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nfraplus\Dropbox\DOH Improve TPMS\0_Data\DOH_Distress_excel_2558\"/>
    </mc:Choice>
  </mc:AlternateContent>
  <bookViews>
    <workbookView xWindow="0" yWindow="0" windowWidth="28800" windowHeight="18000" activeTab="2"/>
  </bookViews>
  <sheets>
    <sheet name="Sheet1" sheetId="3" r:id="rId1"/>
    <sheet name="Sheet2" sheetId="4" r:id="rId2"/>
    <sheet name="AC" sheetId="2" r:id="rId3"/>
  </sheets>
  <definedNames>
    <definedName name="_xlnm._FilterDatabase" localSheetId="2" hidden="1">AC!$A$1:$CJ$2235</definedName>
    <definedName name="_xlnm.Print_Area" localSheetId="2">AC!$B$1:$AM$23</definedName>
  </definedNames>
  <calcPr calcId="152511" concurrentCalc="0"/>
  <pivotCaches>
    <pivotCache cacheId="7" r:id="rId4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G3" i="2" l="1"/>
  <c r="AG4" i="2"/>
  <c r="AG5" i="2"/>
  <c r="AG6" i="2"/>
  <c r="AG7" i="2"/>
  <c r="AG8" i="2"/>
  <c r="AG9" i="2"/>
  <c r="AG10" i="2"/>
  <c r="AG11" i="2"/>
  <c r="AG12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G85" i="2"/>
  <c r="AG86" i="2"/>
  <c r="AG87" i="2"/>
  <c r="AG88" i="2"/>
  <c r="AG89" i="2"/>
  <c r="AG90" i="2"/>
  <c r="AG91" i="2"/>
  <c r="AG92" i="2"/>
  <c r="AG93" i="2"/>
  <c r="AG94" i="2"/>
  <c r="AG95" i="2"/>
  <c r="AG96" i="2"/>
  <c r="AG97" i="2"/>
  <c r="AG98" i="2"/>
  <c r="AG99" i="2"/>
  <c r="AG100" i="2"/>
  <c r="AG101" i="2"/>
  <c r="AG102" i="2"/>
  <c r="AG103" i="2"/>
  <c r="AG104" i="2"/>
  <c r="AG105" i="2"/>
  <c r="AG106" i="2"/>
  <c r="AG107" i="2"/>
  <c r="AG108" i="2"/>
  <c r="AG109" i="2"/>
  <c r="AG110" i="2"/>
  <c r="AG111" i="2"/>
  <c r="AG112" i="2"/>
  <c r="AG113" i="2"/>
  <c r="AG114" i="2"/>
  <c r="AG115" i="2"/>
  <c r="AG116" i="2"/>
  <c r="AG117" i="2"/>
  <c r="AG118" i="2"/>
  <c r="AG119" i="2"/>
  <c r="AG120" i="2"/>
  <c r="AG121" i="2"/>
  <c r="AG122" i="2"/>
  <c r="AG123" i="2"/>
  <c r="AG124" i="2"/>
  <c r="AG125" i="2"/>
  <c r="AG126" i="2"/>
  <c r="AG127" i="2"/>
  <c r="AG128" i="2"/>
  <c r="AG129" i="2"/>
  <c r="AG130" i="2"/>
  <c r="AG131" i="2"/>
  <c r="AG132" i="2"/>
  <c r="AG133" i="2"/>
  <c r="AG134" i="2"/>
  <c r="AG135" i="2"/>
  <c r="AG136" i="2"/>
  <c r="AG137" i="2"/>
  <c r="AG138" i="2"/>
  <c r="AG139" i="2"/>
  <c r="AG140" i="2"/>
  <c r="AG141" i="2"/>
  <c r="AG142" i="2"/>
  <c r="AG143" i="2"/>
  <c r="AG144" i="2"/>
  <c r="AG145" i="2"/>
  <c r="AG146" i="2"/>
  <c r="AG147" i="2"/>
  <c r="AG148" i="2"/>
  <c r="AG149" i="2"/>
  <c r="AG150" i="2"/>
  <c r="AG151" i="2"/>
  <c r="AG152" i="2"/>
  <c r="AG153" i="2"/>
  <c r="AG154" i="2"/>
  <c r="AG155" i="2"/>
  <c r="AG156" i="2"/>
  <c r="AG157" i="2"/>
  <c r="AG158" i="2"/>
  <c r="AG159" i="2"/>
  <c r="AG160" i="2"/>
  <c r="AG161" i="2"/>
  <c r="AG162" i="2"/>
  <c r="AG163" i="2"/>
  <c r="AG164" i="2"/>
  <c r="AG165" i="2"/>
  <c r="AG166" i="2"/>
  <c r="AG167" i="2"/>
  <c r="AG168" i="2"/>
  <c r="AG169" i="2"/>
  <c r="AG170" i="2"/>
  <c r="AG171" i="2"/>
  <c r="AG172" i="2"/>
  <c r="AG173" i="2"/>
  <c r="AG174" i="2"/>
  <c r="AG175" i="2"/>
  <c r="AG176" i="2"/>
  <c r="AG177" i="2"/>
  <c r="AG178" i="2"/>
  <c r="AG179" i="2"/>
  <c r="AG180" i="2"/>
  <c r="AG181" i="2"/>
  <c r="AG182" i="2"/>
  <c r="AG183" i="2"/>
  <c r="AG184" i="2"/>
  <c r="AG185" i="2"/>
  <c r="AG186" i="2"/>
  <c r="AG187" i="2"/>
  <c r="AG188" i="2"/>
  <c r="AG189" i="2"/>
  <c r="AG190" i="2"/>
  <c r="AG191" i="2"/>
  <c r="AG192" i="2"/>
  <c r="AG193" i="2"/>
  <c r="AG194" i="2"/>
  <c r="AG195" i="2"/>
  <c r="AG196" i="2"/>
  <c r="AG197" i="2"/>
  <c r="AG198" i="2"/>
  <c r="AG199" i="2"/>
  <c r="AG200" i="2"/>
  <c r="AG201" i="2"/>
  <c r="AG202" i="2"/>
  <c r="AG203" i="2"/>
  <c r="AG204" i="2"/>
  <c r="AG205" i="2"/>
  <c r="AG206" i="2"/>
  <c r="AG207" i="2"/>
  <c r="AG208" i="2"/>
  <c r="AG209" i="2"/>
  <c r="AG210" i="2"/>
  <c r="AG211" i="2"/>
  <c r="AG212" i="2"/>
  <c r="AG213" i="2"/>
  <c r="AG214" i="2"/>
  <c r="AG215" i="2"/>
  <c r="AG216" i="2"/>
  <c r="AG217" i="2"/>
  <c r="AG218" i="2"/>
  <c r="AG219" i="2"/>
  <c r="AG220" i="2"/>
  <c r="AG221" i="2"/>
  <c r="AG222" i="2"/>
  <c r="AG223" i="2"/>
  <c r="AG224" i="2"/>
  <c r="AG225" i="2"/>
  <c r="AG226" i="2"/>
  <c r="AG227" i="2"/>
  <c r="AG228" i="2"/>
  <c r="AG229" i="2"/>
  <c r="AG230" i="2"/>
  <c r="AG231" i="2"/>
  <c r="AG232" i="2"/>
  <c r="AG233" i="2"/>
  <c r="AG234" i="2"/>
  <c r="AG235" i="2"/>
  <c r="AG236" i="2"/>
  <c r="AG237" i="2"/>
  <c r="AG238" i="2"/>
  <c r="AG239" i="2"/>
  <c r="AG240" i="2"/>
  <c r="AG241" i="2"/>
  <c r="AG242" i="2"/>
  <c r="AG243" i="2"/>
  <c r="AG244" i="2"/>
  <c r="AG245" i="2"/>
  <c r="AG246" i="2"/>
  <c r="AG247" i="2"/>
  <c r="AG248" i="2"/>
  <c r="AG249" i="2"/>
  <c r="AG250" i="2"/>
  <c r="AG251" i="2"/>
  <c r="AG252" i="2"/>
  <c r="AG253" i="2"/>
  <c r="AG254" i="2"/>
  <c r="AG255" i="2"/>
  <c r="AG256" i="2"/>
  <c r="AG257" i="2"/>
  <c r="AG258" i="2"/>
  <c r="AG259" i="2"/>
  <c r="AG260" i="2"/>
  <c r="AG261" i="2"/>
  <c r="AG262" i="2"/>
  <c r="AG263" i="2"/>
  <c r="AG264" i="2"/>
  <c r="AG265" i="2"/>
  <c r="AG266" i="2"/>
  <c r="AG267" i="2"/>
  <c r="AG268" i="2"/>
  <c r="AG269" i="2"/>
  <c r="AG270" i="2"/>
  <c r="AG271" i="2"/>
  <c r="AG272" i="2"/>
  <c r="AG273" i="2"/>
  <c r="AG274" i="2"/>
  <c r="AG275" i="2"/>
  <c r="AG276" i="2"/>
  <c r="AG277" i="2"/>
  <c r="AG278" i="2"/>
  <c r="AG279" i="2"/>
  <c r="AG280" i="2"/>
  <c r="AG281" i="2"/>
  <c r="AG282" i="2"/>
  <c r="AG283" i="2"/>
  <c r="AG284" i="2"/>
  <c r="AG285" i="2"/>
  <c r="AG286" i="2"/>
  <c r="AG287" i="2"/>
  <c r="AG288" i="2"/>
  <c r="AG289" i="2"/>
  <c r="AG290" i="2"/>
  <c r="AG291" i="2"/>
  <c r="AG292" i="2"/>
  <c r="AG293" i="2"/>
  <c r="AG294" i="2"/>
  <c r="AG295" i="2"/>
  <c r="AG296" i="2"/>
  <c r="AG297" i="2"/>
  <c r="AG298" i="2"/>
  <c r="AG299" i="2"/>
  <c r="AG300" i="2"/>
  <c r="AG301" i="2"/>
  <c r="AG302" i="2"/>
  <c r="AG303" i="2"/>
  <c r="AG304" i="2"/>
  <c r="AG305" i="2"/>
  <c r="AG306" i="2"/>
  <c r="AG307" i="2"/>
  <c r="AG308" i="2"/>
  <c r="AG309" i="2"/>
  <c r="AG310" i="2"/>
  <c r="AG311" i="2"/>
  <c r="AG312" i="2"/>
  <c r="AG313" i="2"/>
  <c r="AG314" i="2"/>
  <c r="AG315" i="2"/>
  <c r="AG316" i="2"/>
  <c r="AG317" i="2"/>
  <c r="AG318" i="2"/>
  <c r="AG319" i="2"/>
  <c r="AG320" i="2"/>
  <c r="AG321" i="2"/>
  <c r="AG322" i="2"/>
  <c r="AG323" i="2"/>
  <c r="AG324" i="2"/>
  <c r="AG325" i="2"/>
  <c r="AG326" i="2"/>
  <c r="AG327" i="2"/>
  <c r="AG328" i="2"/>
  <c r="AG329" i="2"/>
  <c r="AG330" i="2"/>
  <c r="AG331" i="2"/>
  <c r="AG332" i="2"/>
  <c r="AG333" i="2"/>
  <c r="AG334" i="2"/>
  <c r="AG335" i="2"/>
  <c r="AG336" i="2"/>
  <c r="AG337" i="2"/>
  <c r="AG338" i="2"/>
  <c r="AG339" i="2"/>
  <c r="AG340" i="2"/>
  <c r="AG341" i="2"/>
  <c r="AG342" i="2"/>
  <c r="AG343" i="2"/>
  <c r="AG344" i="2"/>
  <c r="AG345" i="2"/>
  <c r="AG346" i="2"/>
  <c r="AG347" i="2"/>
  <c r="AG348" i="2"/>
  <c r="AG349" i="2"/>
  <c r="AG350" i="2"/>
  <c r="AG351" i="2"/>
  <c r="AG352" i="2"/>
  <c r="AG353" i="2"/>
  <c r="AG354" i="2"/>
  <c r="AG355" i="2"/>
  <c r="AG356" i="2"/>
  <c r="AG357" i="2"/>
  <c r="AG358" i="2"/>
  <c r="AG359" i="2"/>
  <c r="AG360" i="2"/>
  <c r="AG361" i="2"/>
  <c r="AG362" i="2"/>
  <c r="AG363" i="2"/>
  <c r="AG364" i="2"/>
  <c r="AG365" i="2"/>
  <c r="AG366" i="2"/>
  <c r="AG367" i="2"/>
  <c r="AG368" i="2"/>
  <c r="AG369" i="2"/>
  <c r="AG370" i="2"/>
  <c r="AG371" i="2"/>
  <c r="AG372" i="2"/>
  <c r="AG373" i="2"/>
  <c r="AG374" i="2"/>
  <c r="AG375" i="2"/>
  <c r="AG376" i="2"/>
  <c r="AG377" i="2"/>
  <c r="AG378" i="2"/>
  <c r="AG379" i="2"/>
  <c r="AG380" i="2"/>
  <c r="AG381" i="2"/>
  <c r="AG382" i="2"/>
  <c r="AG383" i="2"/>
  <c r="AG384" i="2"/>
  <c r="AG385" i="2"/>
  <c r="AG386" i="2"/>
  <c r="AG387" i="2"/>
  <c r="AG388" i="2"/>
  <c r="AG389" i="2"/>
  <c r="AG390" i="2"/>
  <c r="AG391" i="2"/>
  <c r="AG392" i="2"/>
  <c r="AG393" i="2"/>
  <c r="AG394" i="2"/>
  <c r="AG395" i="2"/>
  <c r="AG396" i="2"/>
  <c r="AG397" i="2"/>
  <c r="AG398" i="2"/>
  <c r="AG399" i="2"/>
  <c r="AG400" i="2"/>
  <c r="AG401" i="2"/>
  <c r="AG402" i="2"/>
  <c r="AG403" i="2"/>
  <c r="AG404" i="2"/>
  <c r="AG405" i="2"/>
  <c r="AG406" i="2"/>
  <c r="AG407" i="2"/>
  <c r="AG408" i="2"/>
  <c r="AG409" i="2"/>
  <c r="AG410" i="2"/>
  <c r="AG411" i="2"/>
  <c r="AG412" i="2"/>
  <c r="AG413" i="2"/>
  <c r="AG414" i="2"/>
  <c r="AG415" i="2"/>
  <c r="AG416" i="2"/>
  <c r="AG417" i="2"/>
  <c r="AG418" i="2"/>
  <c r="AG419" i="2"/>
  <c r="AG420" i="2"/>
  <c r="AG421" i="2"/>
  <c r="AG422" i="2"/>
  <c r="AG423" i="2"/>
  <c r="AG424" i="2"/>
  <c r="AG425" i="2"/>
  <c r="AG426" i="2"/>
  <c r="AG427" i="2"/>
  <c r="AG428" i="2"/>
  <c r="AG429" i="2"/>
  <c r="AG430" i="2"/>
  <c r="AG431" i="2"/>
  <c r="AG432" i="2"/>
  <c r="AG433" i="2"/>
  <c r="AG434" i="2"/>
  <c r="AG435" i="2"/>
  <c r="AG436" i="2"/>
  <c r="AG437" i="2"/>
  <c r="AG438" i="2"/>
  <c r="AG439" i="2"/>
  <c r="AG440" i="2"/>
  <c r="AG441" i="2"/>
  <c r="AG442" i="2"/>
  <c r="AG443" i="2"/>
  <c r="AG444" i="2"/>
  <c r="AG445" i="2"/>
  <c r="AG446" i="2"/>
  <c r="AG447" i="2"/>
  <c r="AG448" i="2"/>
  <c r="AG449" i="2"/>
  <c r="AG450" i="2"/>
  <c r="AG451" i="2"/>
  <c r="AG452" i="2"/>
  <c r="AG453" i="2"/>
  <c r="AG454" i="2"/>
  <c r="AG455" i="2"/>
  <c r="AG456" i="2"/>
  <c r="AG457" i="2"/>
  <c r="AG458" i="2"/>
  <c r="AG459" i="2"/>
  <c r="AG460" i="2"/>
  <c r="AG461" i="2"/>
  <c r="AG462" i="2"/>
  <c r="AG463" i="2"/>
  <c r="AG464" i="2"/>
  <c r="AG465" i="2"/>
  <c r="AG466" i="2"/>
  <c r="AG467" i="2"/>
  <c r="AG468" i="2"/>
  <c r="AG469" i="2"/>
  <c r="AG470" i="2"/>
  <c r="AG471" i="2"/>
  <c r="AG472" i="2"/>
  <c r="AG473" i="2"/>
  <c r="AG474" i="2"/>
  <c r="AG475" i="2"/>
  <c r="AG476" i="2"/>
  <c r="AG477" i="2"/>
  <c r="AG478" i="2"/>
  <c r="AG479" i="2"/>
  <c r="AG480" i="2"/>
  <c r="AG481" i="2"/>
  <c r="AG482" i="2"/>
  <c r="AG483" i="2"/>
  <c r="AG484" i="2"/>
  <c r="AG485" i="2"/>
  <c r="AG486" i="2"/>
  <c r="AG487" i="2"/>
  <c r="AG488" i="2"/>
  <c r="AG489" i="2"/>
  <c r="AG490" i="2"/>
  <c r="AG491" i="2"/>
  <c r="AG492" i="2"/>
  <c r="AG493" i="2"/>
  <c r="AG494" i="2"/>
  <c r="AG495" i="2"/>
  <c r="AG496" i="2"/>
  <c r="AG497" i="2"/>
  <c r="AG498" i="2"/>
  <c r="AG499" i="2"/>
  <c r="AG500" i="2"/>
  <c r="AG501" i="2"/>
  <c r="AG502" i="2"/>
  <c r="AG503" i="2"/>
  <c r="AG504" i="2"/>
  <c r="AG505" i="2"/>
  <c r="AG506" i="2"/>
  <c r="AG507" i="2"/>
  <c r="AG508" i="2"/>
  <c r="AG509" i="2"/>
  <c r="AG510" i="2"/>
  <c r="AG511" i="2"/>
  <c r="AG512" i="2"/>
  <c r="AG513" i="2"/>
  <c r="AG514" i="2"/>
  <c r="AG515" i="2"/>
  <c r="AG516" i="2"/>
  <c r="AG517" i="2"/>
  <c r="AG518" i="2"/>
  <c r="AG519" i="2"/>
  <c r="AG520" i="2"/>
  <c r="AG521" i="2"/>
  <c r="AG522" i="2"/>
  <c r="AG523" i="2"/>
  <c r="AG524" i="2"/>
  <c r="AG525" i="2"/>
  <c r="AG526" i="2"/>
  <c r="AG527" i="2"/>
  <c r="AG528" i="2"/>
  <c r="AG529" i="2"/>
  <c r="AG530" i="2"/>
  <c r="AG531" i="2"/>
  <c r="AG532" i="2"/>
  <c r="AG533" i="2"/>
  <c r="AG534" i="2"/>
  <c r="AG535" i="2"/>
  <c r="AG536" i="2"/>
  <c r="AG537" i="2"/>
  <c r="AG538" i="2"/>
  <c r="AG539" i="2"/>
  <c r="AG540" i="2"/>
  <c r="AG541" i="2"/>
  <c r="AG542" i="2"/>
  <c r="AG543" i="2"/>
  <c r="AG544" i="2"/>
  <c r="AG545" i="2"/>
  <c r="AG546" i="2"/>
  <c r="AG547" i="2"/>
  <c r="AG548" i="2"/>
  <c r="AG549" i="2"/>
  <c r="AG550" i="2"/>
  <c r="AG551" i="2"/>
  <c r="AG552" i="2"/>
  <c r="AG553" i="2"/>
  <c r="AG554" i="2"/>
  <c r="AG555" i="2"/>
  <c r="AG556" i="2"/>
  <c r="AG557" i="2"/>
  <c r="AG558" i="2"/>
  <c r="AG559" i="2"/>
  <c r="AG560" i="2"/>
  <c r="AG561" i="2"/>
  <c r="AG562" i="2"/>
  <c r="AG563" i="2"/>
  <c r="AG564" i="2"/>
  <c r="AG565" i="2"/>
  <c r="AG566" i="2"/>
  <c r="AG567" i="2"/>
  <c r="AG568" i="2"/>
  <c r="AG569" i="2"/>
  <c r="AG570" i="2"/>
  <c r="AG571" i="2"/>
  <c r="AG572" i="2"/>
  <c r="AG573" i="2"/>
  <c r="AG574" i="2"/>
  <c r="AG575" i="2"/>
  <c r="AG576" i="2"/>
  <c r="AG577" i="2"/>
  <c r="AG578" i="2"/>
  <c r="AG579" i="2"/>
  <c r="AG580" i="2"/>
  <c r="AG581" i="2"/>
  <c r="AG582" i="2"/>
  <c r="AG583" i="2"/>
  <c r="AG584" i="2"/>
  <c r="AG585" i="2"/>
  <c r="AG586" i="2"/>
  <c r="AG587" i="2"/>
  <c r="AG588" i="2"/>
  <c r="AG589" i="2"/>
  <c r="AG590" i="2"/>
  <c r="AG591" i="2"/>
  <c r="AG592" i="2"/>
  <c r="AG593" i="2"/>
  <c r="AG594" i="2"/>
  <c r="AG595" i="2"/>
  <c r="AG596" i="2"/>
  <c r="AG597" i="2"/>
  <c r="AG598" i="2"/>
  <c r="AG599" i="2"/>
  <c r="AG600" i="2"/>
  <c r="AG601" i="2"/>
  <c r="AG602" i="2"/>
  <c r="AG603" i="2"/>
  <c r="AG604" i="2"/>
  <c r="AG605" i="2"/>
  <c r="AG606" i="2"/>
  <c r="AG607" i="2"/>
  <c r="AG608" i="2"/>
  <c r="AG609" i="2"/>
  <c r="AG610" i="2"/>
  <c r="AG611" i="2"/>
  <c r="AG612" i="2"/>
  <c r="AG613" i="2"/>
  <c r="AG614" i="2"/>
  <c r="AG615" i="2"/>
  <c r="AG616" i="2"/>
  <c r="AG617" i="2"/>
  <c r="AG618" i="2"/>
  <c r="AG619" i="2"/>
  <c r="AG620" i="2"/>
  <c r="AG621" i="2"/>
  <c r="AG622" i="2"/>
  <c r="AG623" i="2"/>
  <c r="AG624" i="2"/>
  <c r="AG625" i="2"/>
  <c r="AG626" i="2"/>
  <c r="AG627" i="2"/>
  <c r="AG628" i="2"/>
  <c r="AG629" i="2"/>
  <c r="AG630" i="2"/>
  <c r="AG631" i="2"/>
  <c r="AG632" i="2"/>
  <c r="AG633" i="2"/>
  <c r="AG634" i="2"/>
  <c r="AG635" i="2"/>
  <c r="AG636" i="2"/>
  <c r="AG637" i="2"/>
  <c r="AG638" i="2"/>
  <c r="AG639" i="2"/>
  <c r="AG640" i="2"/>
  <c r="AG641" i="2"/>
  <c r="AG642" i="2"/>
  <c r="AG643" i="2"/>
  <c r="AG644" i="2"/>
  <c r="AG645" i="2"/>
  <c r="AG646" i="2"/>
  <c r="AG647" i="2"/>
  <c r="AG648" i="2"/>
  <c r="AG649" i="2"/>
  <c r="AG650" i="2"/>
  <c r="AG651" i="2"/>
  <c r="AG652" i="2"/>
  <c r="AG653" i="2"/>
  <c r="AG654" i="2"/>
  <c r="AG655" i="2"/>
  <c r="AG656" i="2"/>
  <c r="AG657" i="2"/>
  <c r="AG658" i="2"/>
  <c r="AG659" i="2"/>
  <c r="AG660" i="2"/>
  <c r="AG661" i="2"/>
  <c r="AG662" i="2"/>
  <c r="AG663" i="2"/>
  <c r="AG664" i="2"/>
  <c r="AG665" i="2"/>
  <c r="AG666" i="2"/>
  <c r="AG667" i="2"/>
  <c r="AG668" i="2"/>
  <c r="AG669" i="2"/>
  <c r="AG670" i="2"/>
  <c r="AG671" i="2"/>
  <c r="AG672" i="2"/>
  <c r="AG673" i="2"/>
  <c r="AG674" i="2"/>
  <c r="AG675" i="2"/>
  <c r="AG676" i="2"/>
  <c r="AG677" i="2"/>
  <c r="AG678" i="2"/>
  <c r="AG679" i="2"/>
  <c r="AG680" i="2"/>
  <c r="AG681" i="2"/>
  <c r="AG682" i="2"/>
  <c r="AG683" i="2"/>
  <c r="AG684" i="2"/>
  <c r="AG685" i="2"/>
  <c r="AG686" i="2"/>
  <c r="AG687" i="2"/>
  <c r="AG688" i="2"/>
  <c r="AG689" i="2"/>
  <c r="AG690" i="2"/>
  <c r="AG691" i="2"/>
  <c r="AG692" i="2"/>
  <c r="AG693" i="2"/>
  <c r="AG694" i="2"/>
  <c r="AG695" i="2"/>
  <c r="AG696" i="2"/>
  <c r="AG697" i="2"/>
  <c r="AG698" i="2"/>
  <c r="AG699" i="2"/>
  <c r="AG700" i="2"/>
  <c r="AG701" i="2"/>
  <c r="AG702" i="2"/>
  <c r="AG703" i="2"/>
  <c r="AG704" i="2"/>
  <c r="AG705" i="2"/>
  <c r="AG706" i="2"/>
  <c r="AG707" i="2"/>
  <c r="AG708" i="2"/>
  <c r="AG709" i="2"/>
  <c r="AG710" i="2"/>
  <c r="AG711" i="2"/>
  <c r="AG712" i="2"/>
  <c r="AG713" i="2"/>
  <c r="AG714" i="2"/>
  <c r="AG715" i="2"/>
  <c r="AG716" i="2"/>
  <c r="AG717" i="2"/>
  <c r="AG718" i="2"/>
  <c r="AG719" i="2"/>
  <c r="AG720" i="2"/>
  <c r="AG721" i="2"/>
  <c r="AG722" i="2"/>
  <c r="AG723" i="2"/>
  <c r="AG724" i="2"/>
  <c r="AG725" i="2"/>
  <c r="AG726" i="2"/>
  <c r="AG727" i="2"/>
  <c r="AG728" i="2"/>
  <c r="AG729" i="2"/>
  <c r="AG730" i="2"/>
  <c r="AG731" i="2"/>
  <c r="AG732" i="2"/>
  <c r="AG733" i="2"/>
  <c r="AG734" i="2"/>
  <c r="AG735" i="2"/>
  <c r="AG736" i="2"/>
  <c r="AG737" i="2"/>
  <c r="AG738" i="2"/>
  <c r="AG739" i="2"/>
  <c r="AG740" i="2"/>
  <c r="AG741" i="2"/>
  <c r="AG742" i="2"/>
  <c r="AG743" i="2"/>
  <c r="AG744" i="2"/>
  <c r="AG745" i="2"/>
  <c r="AG746" i="2"/>
  <c r="AG747" i="2"/>
  <c r="AG748" i="2"/>
  <c r="AG749" i="2"/>
  <c r="AG750" i="2"/>
  <c r="AG751" i="2"/>
  <c r="AG752" i="2"/>
  <c r="AG753" i="2"/>
  <c r="AG754" i="2"/>
  <c r="AG755" i="2"/>
  <c r="AG756" i="2"/>
  <c r="AG757" i="2"/>
  <c r="AG758" i="2"/>
  <c r="AG759" i="2"/>
  <c r="AG760" i="2"/>
  <c r="AG761" i="2"/>
  <c r="AG762" i="2"/>
  <c r="AG763" i="2"/>
  <c r="AG764" i="2"/>
  <c r="AG765" i="2"/>
  <c r="AG766" i="2"/>
  <c r="AG767" i="2"/>
  <c r="AG768" i="2"/>
  <c r="AG769" i="2"/>
  <c r="AG770" i="2"/>
  <c r="AG771" i="2"/>
  <c r="AG772" i="2"/>
  <c r="AG773" i="2"/>
  <c r="AG774" i="2"/>
  <c r="AG775" i="2"/>
  <c r="AG776" i="2"/>
  <c r="AG777" i="2"/>
  <c r="AG778" i="2"/>
  <c r="AG779" i="2"/>
  <c r="AG780" i="2"/>
  <c r="AG781" i="2"/>
  <c r="AG782" i="2"/>
  <c r="AG783" i="2"/>
  <c r="AG784" i="2"/>
  <c r="AG785" i="2"/>
  <c r="AG786" i="2"/>
  <c r="AG787" i="2"/>
  <c r="AG788" i="2"/>
  <c r="AG789" i="2"/>
  <c r="AG790" i="2"/>
  <c r="AG791" i="2"/>
  <c r="AG792" i="2"/>
  <c r="AG793" i="2"/>
  <c r="AG794" i="2"/>
  <c r="AG795" i="2"/>
  <c r="AG796" i="2"/>
  <c r="AG797" i="2"/>
  <c r="AG798" i="2"/>
  <c r="AG799" i="2"/>
  <c r="AG800" i="2"/>
  <c r="AG801" i="2"/>
  <c r="AG802" i="2"/>
  <c r="AG803" i="2"/>
  <c r="AG804" i="2"/>
  <c r="AG805" i="2"/>
  <c r="AG806" i="2"/>
  <c r="AG807" i="2"/>
  <c r="AG808" i="2"/>
  <c r="AG809" i="2"/>
  <c r="AG810" i="2"/>
  <c r="AG811" i="2"/>
  <c r="AG812" i="2"/>
  <c r="AG813" i="2"/>
  <c r="AG814" i="2"/>
  <c r="AG815" i="2"/>
  <c r="AG816" i="2"/>
  <c r="AG817" i="2"/>
  <c r="AG818" i="2"/>
  <c r="AG819" i="2"/>
  <c r="AG820" i="2"/>
  <c r="AG821" i="2"/>
  <c r="AG822" i="2"/>
  <c r="AG823" i="2"/>
  <c r="AG824" i="2"/>
  <c r="AG825" i="2"/>
  <c r="AG826" i="2"/>
  <c r="AG827" i="2"/>
  <c r="AG828" i="2"/>
  <c r="AG829" i="2"/>
  <c r="AG830" i="2"/>
  <c r="AG831" i="2"/>
  <c r="AG832" i="2"/>
  <c r="AG833" i="2"/>
  <c r="AG834" i="2"/>
  <c r="AG835" i="2"/>
  <c r="AG836" i="2"/>
  <c r="AG837" i="2"/>
  <c r="AG838" i="2"/>
  <c r="AG839" i="2"/>
  <c r="AG840" i="2"/>
  <c r="AG841" i="2"/>
  <c r="AG842" i="2"/>
  <c r="AG843" i="2"/>
  <c r="AG844" i="2"/>
  <c r="AG845" i="2"/>
  <c r="AG846" i="2"/>
  <c r="AG847" i="2"/>
  <c r="AG848" i="2"/>
  <c r="AG849" i="2"/>
  <c r="AG850" i="2"/>
  <c r="AG851" i="2"/>
  <c r="AG852" i="2"/>
  <c r="AG853" i="2"/>
  <c r="AG854" i="2"/>
  <c r="AG855" i="2"/>
  <c r="AG856" i="2"/>
  <c r="AG857" i="2"/>
  <c r="AG858" i="2"/>
  <c r="AG859" i="2"/>
  <c r="AG860" i="2"/>
  <c r="AG861" i="2"/>
  <c r="AG862" i="2"/>
  <c r="AG863" i="2"/>
  <c r="AG864" i="2"/>
  <c r="AG865" i="2"/>
  <c r="AG866" i="2"/>
  <c r="AG867" i="2"/>
  <c r="AG868" i="2"/>
  <c r="AG869" i="2"/>
  <c r="AG870" i="2"/>
  <c r="AG871" i="2"/>
  <c r="AG872" i="2"/>
  <c r="AG873" i="2"/>
  <c r="AG874" i="2"/>
  <c r="AG875" i="2"/>
  <c r="AG876" i="2"/>
  <c r="AG877" i="2"/>
  <c r="AG878" i="2"/>
  <c r="AG879" i="2"/>
  <c r="AG880" i="2"/>
  <c r="AG881" i="2"/>
  <c r="AG882" i="2"/>
  <c r="AG883" i="2"/>
  <c r="AG884" i="2"/>
  <c r="AG885" i="2"/>
  <c r="AG886" i="2"/>
  <c r="AG887" i="2"/>
  <c r="AG888" i="2"/>
  <c r="AG889" i="2"/>
  <c r="AG890" i="2"/>
  <c r="AG891" i="2"/>
  <c r="AG892" i="2"/>
  <c r="AG893" i="2"/>
  <c r="AG894" i="2"/>
  <c r="AG895" i="2"/>
  <c r="AG896" i="2"/>
  <c r="AG897" i="2"/>
  <c r="AG898" i="2"/>
  <c r="AG899" i="2"/>
  <c r="AG900" i="2"/>
  <c r="AG901" i="2"/>
  <c r="AG902" i="2"/>
  <c r="AG903" i="2"/>
  <c r="AG904" i="2"/>
  <c r="AG905" i="2"/>
  <c r="AG906" i="2"/>
  <c r="AG907" i="2"/>
  <c r="AG908" i="2"/>
  <c r="AG909" i="2"/>
  <c r="AG910" i="2"/>
  <c r="AG911" i="2"/>
  <c r="AG912" i="2"/>
  <c r="AG913" i="2"/>
  <c r="AG914" i="2"/>
  <c r="AG915" i="2"/>
  <c r="AG916" i="2"/>
  <c r="AG917" i="2"/>
  <c r="AG918" i="2"/>
  <c r="AG919" i="2"/>
  <c r="AG920" i="2"/>
  <c r="AG921" i="2"/>
  <c r="AG922" i="2"/>
  <c r="AG923" i="2"/>
  <c r="AG924" i="2"/>
  <c r="AG925" i="2"/>
  <c r="AG926" i="2"/>
  <c r="AG927" i="2"/>
  <c r="AG928" i="2"/>
  <c r="AG929" i="2"/>
  <c r="AG930" i="2"/>
  <c r="AG931" i="2"/>
  <c r="AG932" i="2"/>
  <c r="AG933" i="2"/>
  <c r="AG934" i="2"/>
  <c r="AG935" i="2"/>
  <c r="AG936" i="2"/>
  <c r="AG937" i="2"/>
  <c r="AG938" i="2"/>
  <c r="AG939" i="2"/>
  <c r="AG940" i="2"/>
  <c r="AG941" i="2"/>
  <c r="AG942" i="2"/>
  <c r="AG943" i="2"/>
  <c r="AG944" i="2"/>
  <c r="AG945" i="2"/>
  <c r="AG946" i="2"/>
  <c r="AG947" i="2"/>
  <c r="AG948" i="2"/>
  <c r="AG949" i="2"/>
  <c r="AG950" i="2"/>
  <c r="AG951" i="2"/>
  <c r="AG952" i="2"/>
  <c r="AG953" i="2"/>
  <c r="AG954" i="2"/>
  <c r="AG955" i="2"/>
  <c r="AG956" i="2"/>
  <c r="AG957" i="2"/>
  <c r="AG958" i="2"/>
  <c r="AG959" i="2"/>
  <c r="AG960" i="2"/>
  <c r="AG961" i="2"/>
  <c r="AG962" i="2"/>
  <c r="AG963" i="2"/>
  <c r="AG964" i="2"/>
  <c r="AG965" i="2"/>
  <c r="AG966" i="2"/>
  <c r="AG967" i="2"/>
  <c r="AG968" i="2"/>
  <c r="AG969" i="2"/>
  <c r="AG970" i="2"/>
  <c r="AG971" i="2"/>
  <c r="AG972" i="2"/>
  <c r="AG973" i="2"/>
  <c r="AG974" i="2"/>
  <c r="AG975" i="2"/>
  <c r="AG976" i="2"/>
  <c r="AG977" i="2"/>
  <c r="AG978" i="2"/>
  <c r="AG979" i="2"/>
  <c r="AG980" i="2"/>
  <c r="AG981" i="2"/>
  <c r="AG982" i="2"/>
  <c r="AG983" i="2"/>
  <c r="AG984" i="2"/>
  <c r="AG985" i="2"/>
  <c r="AG986" i="2"/>
  <c r="AG987" i="2"/>
  <c r="AG988" i="2"/>
  <c r="AG989" i="2"/>
  <c r="AG990" i="2"/>
  <c r="AG991" i="2"/>
  <c r="AG992" i="2"/>
  <c r="AG993" i="2"/>
  <c r="AG994" i="2"/>
  <c r="AG995" i="2"/>
  <c r="AG996" i="2"/>
  <c r="AG997" i="2"/>
  <c r="AG998" i="2"/>
  <c r="AG999" i="2"/>
  <c r="AG1000" i="2"/>
  <c r="AG1001" i="2"/>
  <c r="AG1002" i="2"/>
  <c r="AG1003" i="2"/>
  <c r="AG1004" i="2"/>
  <c r="AG1005" i="2"/>
  <c r="AG1006" i="2"/>
  <c r="AG1007" i="2"/>
  <c r="AG1008" i="2"/>
  <c r="AG1009" i="2"/>
  <c r="AG1010" i="2"/>
  <c r="AG1011" i="2"/>
  <c r="AG1012" i="2"/>
  <c r="AG1013" i="2"/>
  <c r="AG1014" i="2"/>
  <c r="AG1015" i="2"/>
  <c r="AG1016" i="2"/>
  <c r="AG1017" i="2"/>
  <c r="AG1018" i="2"/>
  <c r="AG1019" i="2"/>
  <c r="AG1020" i="2"/>
  <c r="AG1021" i="2"/>
  <c r="AG1022" i="2"/>
  <c r="AG1023" i="2"/>
  <c r="AG1024" i="2"/>
  <c r="AG1025" i="2"/>
  <c r="AG1026" i="2"/>
  <c r="AG1027" i="2"/>
  <c r="AG1028" i="2"/>
  <c r="AG1029" i="2"/>
  <c r="AG1030" i="2"/>
  <c r="AG1031" i="2"/>
  <c r="AG1032" i="2"/>
  <c r="AG1033" i="2"/>
  <c r="AG1034" i="2"/>
  <c r="AG1035" i="2"/>
  <c r="AG1036" i="2"/>
  <c r="AG1037" i="2"/>
  <c r="AG1038" i="2"/>
  <c r="AG1039" i="2"/>
  <c r="AG1040" i="2"/>
  <c r="AG1041" i="2"/>
  <c r="AG1042" i="2"/>
  <c r="AG1043" i="2"/>
  <c r="AG1044" i="2"/>
  <c r="AG1045" i="2"/>
  <c r="AG1046" i="2"/>
  <c r="AG1047" i="2"/>
  <c r="AG1048" i="2"/>
  <c r="AG1049" i="2"/>
  <c r="AG1050" i="2"/>
  <c r="AG1051" i="2"/>
  <c r="AG1052" i="2"/>
  <c r="AG1053" i="2"/>
  <c r="AG1054" i="2"/>
  <c r="AG1055" i="2"/>
  <c r="AG1056" i="2"/>
  <c r="AG1057" i="2"/>
  <c r="AG1058" i="2"/>
  <c r="AG1059" i="2"/>
  <c r="AG1060" i="2"/>
  <c r="AG1061" i="2"/>
  <c r="AG1062" i="2"/>
  <c r="AG1063" i="2"/>
  <c r="AG1064" i="2"/>
  <c r="AG1065" i="2"/>
  <c r="AG1066" i="2"/>
  <c r="AG1067" i="2"/>
  <c r="AG1068" i="2"/>
  <c r="AG1069" i="2"/>
  <c r="AG1070" i="2"/>
  <c r="AG1071" i="2"/>
  <c r="AG1072" i="2"/>
  <c r="AG1073" i="2"/>
  <c r="AG1074" i="2"/>
  <c r="AG1075" i="2"/>
  <c r="AG1076" i="2"/>
  <c r="AG1077" i="2"/>
  <c r="AG1078" i="2"/>
  <c r="AG1079" i="2"/>
  <c r="AG1080" i="2"/>
  <c r="AG1081" i="2"/>
  <c r="AG1082" i="2"/>
  <c r="AG1083" i="2"/>
  <c r="AG1084" i="2"/>
  <c r="AG1085" i="2"/>
  <c r="AG1086" i="2"/>
  <c r="AG1087" i="2"/>
  <c r="AG1088" i="2"/>
  <c r="AG1089" i="2"/>
  <c r="AG1090" i="2"/>
  <c r="AG1091" i="2"/>
  <c r="AG1092" i="2"/>
  <c r="AG1093" i="2"/>
  <c r="AG1094" i="2"/>
  <c r="AG1095" i="2"/>
  <c r="AG1096" i="2"/>
  <c r="AG1097" i="2"/>
  <c r="AG1098" i="2"/>
  <c r="AG1099" i="2"/>
  <c r="AG1100" i="2"/>
  <c r="AG1101" i="2"/>
  <c r="AG1102" i="2"/>
  <c r="AG1103" i="2"/>
  <c r="AG1104" i="2"/>
  <c r="AG1105" i="2"/>
  <c r="AG1106" i="2"/>
  <c r="AG1107" i="2"/>
  <c r="AG1108" i="2"/>
  <c r="AG1109" i="2"/>
  <c r="AG1110" i="2"/>
  <c r="AG1111" i="2"/>
  <c r="AG1112" i="2"/>
  <c r="AG1113" i="2"/>
  <c r="AG1114" i="2"/>
  <c r="AG1115" i="2"/>
  <c r="AG1116" i="2"/>
  <c r="AG1117" i="2"/>
  <c r="AG1118" i="2"/>
  <c r="AG1119" i="2"/>
  <c r="AG1120" i="2"/>
  <c r="AG1121" i="2"/>
  <c r="AG1122" i="2"/>
  <c r="AG1123" i="2"/>
  <c r="AG1124" i="2"/>
  <c r="AG1125" i="2"/>
  <c r="AG1126" i="2"/>
  <c r="AG1127" i="2"/>
  <c r="AG1128" i="2"/>
  <c r="AG1129" i="2"/>
  <c r="AG1130" i="2"/>
  <c r="AG1131" i="2"/>
  <c r="AG1132" i="2"/>
  <c r="AG1133" i="2"/>
  <c r="AG1134" i="2"/>
  <c r="AG1135" i="2"/>
  <c r="AG1136" i="2"/>
  <c r="AG1137" i="2"/>
  <c r="AG1138" i="2"/>
  <c r="AG1139" i="2"/>
  <c r="AG1140" i="2"/>
  <c r="AG1141" i="2"/>
  <c r="AG1142" i="2"/>
  <c r="AG1143" i="2"/>
  <c r="AG1144" i="2"/>
  <c r="AG1145" i="2"/>
  <c r="AG1146" i="2"/>
  <c r="AG1147" i="2"/>
  <c r="AG1148" i="2"/>
  <c r="AG1149" i="2"/>
  <c r="AG1150" i="2"/>
  <c r="AG1151" i="2"/>
  <c r="AG1152" i="2"/>
  <c r="AG1153" i="2"/>
  <c r="AG1154" i="2"/>
  <c r="AG1155" i="2"/>
  <c r="AG1156" i="2"/>
  <c r="AG1157" i="2"/>
  <c r="AG1158" i="2"/>
  <c r="AG1159" i="2"/>
  <c r="AG1160" i="2"/>
  <c r="AG1161" i="2"/>
  <c r="AG1162" i="2"/>
  <c r="AG1163" i="2"/>
  <c r="AG1164" i="2"/>
  <c r="AG1165" i="2"/>
  <c r="AG1166" i="2"/>
  <c r="AG1167" i="2"/>
  <c r="AG1168" i="2"/>
  <c r="AG1169" i="2"/>
  <c r="AG1170" i="2"/>
  <c r="AG1171" i="2"/>
  <c r="AG1172" i="2"/>
  <c r="AG1173" i="2"/>
  <c r="AG1174" i="2"/>
  <c r="AG1175" i="2"/>
  <c r="AG1176" i="2"/>
  <c r="AG1177" i="2"/>
  <c r="AG1178" i="2"/>
  <c r="AG1179" i="2"/>
  <c r="AG1180" i="2"/>
  <c r="AG1181" i="2"/>
  <c r="AG1182" i="2"/>
  <c r="AG1183" i="2"/>
  <c r="AG1184" i="2"/>
  <c r="AG1185" i="2"/>
  <c r="AG1186" i="2"/>
  <c r="AG1187" i="2"/>
  <c r="AG1188" i="2"/>
  <c r="AG1189" i="2"/>
  <c r="AG1190" i="2"/>
  <c r="AG1191" i="2"/>
  <c r="AG1192" i="2"/>
  <c r="AG1193" i="2"/>
  <c r="AG1194" i="2"/>
  <c r="AG1195" i="2"/>
  <c r="AG1196" i="2"/>
  <c r="AG1197" i="2"/>
  <c r="AG1198" i="2"/>
  <c r="AG1199" i="2"/>
  <c r="AG1200" i="2"/>
  <c r="AG1201" i="2"/>
  <c r="AG1202" i="2"/>
  <c r="AG1203" i="2"/>
  <c r="AG1204" i="2"/>
  <c r="AG1205" i="2"/>
  <c r="AG1206" i="2"/>
  <c r="AG1207" i="2"/>
  <c r="AG1208" i="2"/>
  <c r="AG1209" i="2"/>
  <c r="AG1210" i="2"/>
  <c r="AG1211" i="2"/>
  <c r="AG1212" i="2"/>
  <c r="AG1213" i="2"/>
  <c r="AG1214" i="2"/>
  <c r="AG1215" i="2"/>
  <c r="AG1216" i="2"/>
  <c r="AG1217" i="2"/>
  <c r="AG1218" i="2"/>
  <c r="AG1219" i="2"/>
  <c r="AG1220" i="2"/>
  <c r="AG1221" i="2"/>
  <c r="AG1222" i="2"/>
  <c r="AG1223" i="2"/>
  <c r="AG1224" i="2"/>
  <c r="AG1225" i="2"/>
  <c r="AG1226" i="2"/>
  <c r="AG1227" i="2"/>
  <c r="AG1228" i="2"/>
  <c r="AG1229" i="2"/>
  <c r="AG1230" i="2"/>
  <c r="AG1231" i="2"/>
  <c r="AG1232" i="2"/>
  <c r="AG1233" i="2"/>
  <c r="AG1234" i="2"/>
  <c r="AG1235" i="2"/>
  <c r="AG1236" i="2"/>
  <c r="AG1237" i="2"/>
  <c r="AG1238" i="2"/>
  <c r="AG1239" i="2"/>
  <c r="AG1240" i="2"/>
  <c r="AG1241" i="2"/>
  <c r="AG1242" i="2"/>
  <c r="AG1243" i="2"/>
  <c r="AG1244" i="2"/>
  <c r="AG1245" i="2"/>
  <c r="AG1246" i="2"/>
  <c r="AG1247" i="2"/>
  <c r="AG1248" i="2"/>
  <c r="AG1249" i="2"/>
  <c r="AG1250" i="2"/>
  <c r="AG1251" i="2"/>
  <c r="AG1252" i="2"/>
  <c r="AG1253" i="2"/>
  <c r="AG1254" i="2"/>
  <c r="AG1255" i="2"/>
  <c r="AG1256" i="2"/>
  <c r="AG1257" i="2"/>
  <c r="AG1258" i="2"/>
  <c r="AG1259" i="2"/>
  <c r="AG1260" i="2"/>
  <c r="AG1261" i="2"/>
  <c r="AG1262" i="2"/>
  <c r="AG1263" i="2"/>
  <c r="AG1264" i="2"/>
  <c r="AG1265" i="2"/>
  <c r="AG1266" i="2"/>
  <c r="AG1267" i="2"/>
  <c r="AG1268" i="2"/>
  <c r="AG1269" i="2"/>
  <c r="AG1270" i="2"/>
  <c r="AG1271" i="2"/>
  <c r="AG1272" i="2"/>
  <c r="AG1273" i="2"/>
  <c r="AG1274" i="2"/>
  <c r="AG1275" i="2"/>
  <c r="AG1276" i="2"/>
  <c r="AG1277" i="2"/>
  <c r="AG1278" i="2"/>
  <c r="AG1279" i="2"/>
  <c r="AG1280" i="2"/>
  <c r="AG1281" i="2"/>
  <c r="AG1282" i="2"/>
  <c r="AG1283" i="2"/>
  <c r="AG1284" i="2"/>
  <c r="AG1285" i="2"/>
  <c r="AG1286" i="2"/>
  <c r="AG1287" i="2"/>
  <c r="AG1288" i="2"/>
  <c r="AG1289" i="2"/>
  <c r="AG1290" i="2"/>
  <c r="AG1291" i="2"/>
  <c r="AG1292" i="2"/>
  <c r="AG1293" i="2"/>
  <c r="AG1294" i="2"/>
  <c r="AG1295" i="2"/>
  <c r="AG1296" i="2"/>
  <c r="AG1297" i="2"/>
  <c r="AG1298" i="2"/>
  <c r="AG1299" i="2"/>
  <c r="AG1300" i="2"/>
  <c r="AG1301" i="2"/>
  <c r="AG1302" i="2"/>
  <c r="AG1303" i="2"/>
  <c r="AG1304" i="2"/>
  <c r="AG1305" i="2"/>
  <c r="AG1306" i="2"/>
  <c r="AG1307" i="2"/>
  <c r="AG1308" i="2"/>
  <c r="AG1309" i="2"/>
  <c r="AG1310" i="2"/>
  <c r="AG1311" i="2"/>
  <c r="AG1312" i="2"/>
  <c r="AG1313" i="2"/>
  <c r="AG1314" i="2"/>
  <c r="AG1315" i="2"/>
  <c r="AG1316" i="2"/>
  <c r="AG1317" i="2"/>
  <c r="AG1318" i="2"/>
  <c r="AG1319" i="2"/>
  <c r="AG1320" i="2"/>
  <c r="AG1321" i="2"/>
  <c r="AG1322" i="2"/>
  <c r="AG1323" i="2"/>
  <c r="AG1324" i="2"/>
  <c r="AG1325" i="2"/>
  <c r="AG1326" i="2"/>
  <c r="AG1327" i="2"/>
  <c r="AG1328" i="2"/>
  <c r="AG1329" i="2"/>
  <c r="AG1330" i="2"/>
  <c r="AG1331" i="2"/>
  <c r="AG1332" i="2"/>
  <c r="AG1333" i="2"/>
  <c r="AG1334" i="2"/>
  <c r="AG1335" i="2"/>
  <c r="AG1336" i="2"/>
  <c r="AG1337" i="2"/>
  <c r="AG1338" i="2"/>
  <c r="AG1339" i="2"/>
  <c r="AG1340" i="2"/>
  <c r="AG1341" i="2"/>
  <c r="AG1342" i="2"/>
  <c r="AG1343" i="2"/>
  <c r="AG1344" i="2"/>
  <c r="AG1345" i="2"/>
  <c r="AG1346" i="2"/>
  <c r="AG1347" i="2"/>
  <c r="AG1348" i="2"/>
  <c r="AG1349" i="2"/>
  <c r="AG1350" i="2"/>
  <c r="AG1351" i="2"/>
  <c r="AG1352" i="2"/>
  <c r="AG1353" i="2"/>
  <c r="AG1354" i="2"/>
  <c r="AG1355" i="2"/>
  <c r="AG1356" i="2"/>
  <c r="AG1357" i="2"/>
  <c r="AG1358" i="2"/>
  <c r="AG1359" i="2"/>
  <c r="AG1360" i="2"/>
  <c r="AG1361" i="2"/>
  <c r="AG1362" i="2"/>
  <c r="AG1363" i="2"/>
  <c r="AG1364" i="2"/>
  <c r="AG1365" i="2"/>
  <c r="AG1366" i="2"/>
  <c r="AG1367" i="2"/>
  <c r="AG1368" i="2"/>
  <c r="AG1369" i="2"/>
  <c r="AG1370" i="2"/>
  <c r="AG1371" i="2"/>
  <c r="AG1372" i="2"/>
  <c r="AG1373" i="2"/>
  <c r="AG1374" i="2"/>
  <c r="AG1375" i="2"/>
  <c r="AG1376" i="2"/>
  <c r="AG1377" i="2"/>
  <c r="AG1378" i="2"/>
  <c r="AG1379" i="2"/>
  <c r="AG1380" i="2"/>
  <c r="AG1381" i="2"/>
  <c r="AG1382" i="2"/>
  <c r="AG1383" i="2"/>
  <c r="AG1384" i="2"/>
  <c r="AG1385" i="2"/>
  <c r="AG1386" i="2"/>
  <c r="AG1387" i="2"/>
  <c r="AG1388" i="2"/>
  <c r="AG1389" i="2"/>
  <c r="AG1390" i="2"/>
  <c r="AG1391" i="2"/>
  <c r="AG1392" i="2"/>
  <c r="AG1393" i="2"/>
  <c r="AG1394" i="2"/>
  <c r="AG1395" i="2"/>
  <c r="AG1396" i="2"/>
  <c r="AG1397" i="2"/>
  <c r="AG1398" i="2"/>
  <c r="AG1399" i="2"/>
  <c r="AG1400" i="2"/>
  <c r="AG1401" i="2"/>
  <c r="AG1402" i="2"/>
  <c r="AG1403" i="2"/>
  <c r="AG1404" i="2"/>
  <c r="AG1405" i="2"/>
  <c r="AG1406" i="2"/>
  <c r="AG1407" i="2"/>
  <c r="AG1408" i="2"/>
  <c r="AG1409" i="2"/>
  <c r="AG1410" i="2"/>
  <c r="AG1411" i="2"/>
  <c r="AG1412" i="2"/>
  <c r="AG1413" i="2"/>
  <c r="AG1414" i="2"/>
  <c r="AG1415" i="2"/>
  <c r="AG1416" i="2"/>
  <c r="AG1417" i="2"/>
  <c r="AG1418" i="2"/>
  <c r="AG1419" i="2"/>
  <c r="AG1420" i="2"/>
  <c r="AG1421" i="2"/>
  <c r="AG1422" i="2"/>
  <c r="AG1423" i="2"/>
  <c r="AG1424" i="2"/>
  <c r="AG1425" i="2"/>
  <c r="AG1426" i="2"/>
  <c r="AG1427" i="2"/>
  <c r="AG1428" i="2"/>
  <c r="AG1429" i="2"/>
  <c r="AG1430" i="2"/>
  <c r="AG1431" i="2"/>
  <c r="AG1432" i="2"/>
  <c r="AG1433" i="2"/>
  <c r="AG1434" i="2"/>
  <c r="AG1435" i="2"/>
  <c r="AG1436" i="2"/>
  <c r="AG1437" i="2"/>
  <c r="AG1438" i="2"/>
  <c r="AG1439" i="2"/>
  <c r="AG1440" i="2"/>
  <c r="AG1441" i="2"/>
  <c r="AG1442" i="2"/>
  <c r="AG1443" i="2"/>
  <c r="AG1444" i="2"/>
  <c r="AG1445" i="2"/>
  <c r="AG1446" i="2"/>
  <c r="AG1447" i="2"/>
  <c r="AG1448" i="2"/>
  <c r="AG1449" i="2"/>
  <c r="AG1450" i="2"/>
  <c r="AG1451" i="2"/>
  <c r="AG1452" i="2"/>
  <c r="AG1453" i="2"/>
  <c r="AG1454" i="2"/>
  <c r="AG1455" i="2"/>
  <c r="AG1456" i="2"/>
  <c r="AG1457" i="2"/>
  <c r="AG1458" i="2"/>
  <c r="AG1459" i="2"/>
  <c r="AG1460" i="2"/>
  <c r="AG1461" i="2"/>
  <c r="AG1462" i="2"/>
  <c r="AG1463" i="2"/>
  <c r="AG1464" i="2"/>
  <c r="AG1465" i="2"/>
  <c r="AG1466" i="2"/>
  <c r="AG1467" i="2"/>
  <c r="AG1468" i="2"/>
  <c r="AG1469" i="2"/>
  <c r="AG1470" i="2"/>
  <c r="AG1471" i="2"/>
  <c r="AG1472" i="2"/>
  <c r="AG1473" i="2"/>
  <c r="AG1474" i="2"/>
  <c r="AG1475" i="2"/>
  <c r="AG1476" i="2"/>
  <c r="AG1477" i="2"/>
  <c r="AG1478" i="2"/>
  <c r="AG1479" i="2"/>
  <c r="AG1480" i="2"/>
  <c r="AG1481" i="2"/>
  <c r="AG1482" i="2"/>
  <c r="AG1483" i="2"/>
  <c r="AG1484" i="2"/>
  <c r="AG1485" i="2"/>
  <c r="AG1486" i="2"/>
  <c r="AG1487" i="2"/>
  <c r="AG1488" i="2"/>
  <c r="AG1489" i="2"/>
  <c r="AG1490" i="2"/>
  <c r="AG1491" i="2"/>
  <c r="AG1492" i="2"/>
  <c r="AG1493" i="2"/>
  <c r="AG1494" i="2"/>
  <c r="AG1495" i="2"/>
  <c r="AG1496" i="2"/>
  <c r="AG1497" i="2"/>
  <c r="AG1498" i="2"/>
  <c r="AG1499" i="2"/>
  <c r="AG1500" i="2"/>
  <c r="AG1501" i="2"/>
  <c r="AG1502" i="2"/>
  <c r="AG1503" i="2"/>
  <c r="AG1504" i="2"/>
  <c r="AG1505" i="2"/>
  <c r="AG1506" i="2"/>
  <c r="AG1507" i="2"/>
  <c r="AG1508" i="2"/>
  <c r="AG1509" i="2"/>
  <c r="AG1510" i="2"/>
  <c r="AG1511" i="2"/>
  <c r="AG1512" i="2"/>
  <c r="AG1513" i="2"/>
  <c r="AG1514" i="2"/>
  <c r="AG1515" i="2"/>
  <c r="AG1516" i="2"/>
  <c r="AG1517" i="2"/>
  <c r="AG1518" i="2"/>
  <c r="AG1519" i="2"/>
  <c r="AG1520" i="2"/>
  <c r="AG1521" i="2"/>
  <c r="AG1522" i="2"/>
  <c r="AG1523" i="2"/>
  <c r="AG1524" i="2"/>
  <c r="AG1525" i="2"/>
  <c r="AG1526" i="2"/>
  <c r="AG1527" i="2"/>
  <c r="AG1528" i="2"/>
  <c r="AG1529" i="2"/>
  <c r="AG1530" i="2"/>
  <c r="AG1531" i="2"/>
  <c r="AG1532" i="2"/>
  <c r="AG1533" i="2"/>
  <c r="AG1534" i="2"/>
  <c r="AG1535" i="2"/>
  <c r="AG1536" i="2"/>
  <c r="AG1537" i="2"/>
  <c r="AG1538" i="2"/>
  <c r="AG1539" i="2"/>
  <c r="AG1540" i="2"/>
  <c r="AG1541" i="2"/>
  <c r="AG1542" i="2"/>
  <c r="AG1543" i="2"/>
  <c r="AG1544" i="2"/>
  <c r="AG1545" i="2"/>
  <c r="AG1546" i="2"/>
  <c r="AG1547" i="2"/>
  <c r="AG1548" i="2"/>
  <c r="AG1549" i="2"/>
  <c r="AG1550" i="2"/>
  <c r="AG1551" i="2"/>
  <c r="AG1552" i="2"/>
  <c r="AG1553" i="2"/>
  <c r="AG1554" i="2"/>
  <c r="AG1555" i="2"/>
  <c r="AG1556" i="2"/>
  <c r="AG1557" i="2"/>
  <c r="AG1558" i="2"/>
  <c r="AG1559" i="2"/>
  <c r="AG1560" i="2"/>
  <c r="AG1561" i="2"/>
  <c r="AG1562" i="2"/>
  <c r="AG1563" i="2"/>
  <c r="AG1564" i="2"/>
  <c r="AG1565" i="2"/>
  <c r="AG1566" i="2"/>
  <c r="AG1567" i="2"/>
  <c r="AG1568" i="2"/>
  <c r="AG1569" i="2"/>
  <c r="AG1570" i="2"/>
  <c r="AG1571" i="2"/>
  <c r="AG1572" i="2"/>
  <c r="AG1573" i="2"/>
  <c r="AG1574" i="2"/>
  <c r="AG1575" i="2"/>
  <c r="AG1576" i="2"/>
  <c r="AG1577" i="2"/>
  <c r="AG1578" i="2"/>
  <c r="AG1579" i="2"/>
  <c r="AG1580" i="2"/>
  <c r="AG1581" i="2"/>
  <c r="AG1582" i="2"/>
  <c r="AG1583" i="2"/>
  <c r="AG1584" i="2"/>
  <c r="AG1585" i="2"/>
  <c r="AG1586" i="2"/>
  <c r="AG1587" i="2"/>
  <c r="AG1588" i="2"/>
  <c r="AG1589" i="2"/>
  <c r="AG1590" i="2"/>
  <c r="AG1591" i="2"/>
  <c r="AG1592" i="2"/>
  <c r="AG1593" i="2"/>
  <c r="AG1594" i="2"/>
  <c r="AG1595" i="2"/>
  <c r="AG1596" i="2"/>
  <c r="AG1597" i="2"/>
  <c r="AG1598" i="2"/>
  <c r="AG1599" i="2"/>
  <c r="AG1600" i="2"/>
  <c r="AG1601" i="2"/>
  <c r="AG1602" i="2"/>
  <c r="AG1603" i="2"/>
  <c r="AG1604" i="2"/>
  <c r="AG1605" i="2"/>
  <c r="AG1606" i="2"/>
  <c r="AG1607" i="2"/>
  <c r="AG1608" i="2"/>
  <c r="AG1609" i="2"/>
  <c r="AG1610" i="2"/>
  <c r="AG1611" i="2"/>
  <c r="AG1612" i="2"/>
  <c r="AG1613" i="2"/>
  <c r="AG1614" i="2"/>
  <c r="AG1615" i="2"/>
  <c r="AG1616" i="2"/>
  <c r="AG1617" i="2"/>
  <c r="AG1618" i="2"/>
  <c r="AG1619" i="2"/>
  <c r="AG1620" i="2"/>
  <c r="AG1621" i="2"/>
  <c r="AG1622" i="2"/>
  <c r="AG1623" i="2"/>
  <c r="AG1624" i="2"/>
  <c r="AG1625" i="2"/>
  <c r="AG1626" i="2"/>
  <c r="AG1627" i="2"/>
  <c r="AG1628" i="2"/>
  <c r="AG1629" i="2"/>
  <c r="AG1630" i="2"/>
  <c r="AG1631" i="2"/>
  <c r="AG1632" i="2"/>
  <c r="AG1633" i="2"/>
  <c r="AG1634" i="2"/>
  <c r="AG1635" i="2"/>
  <c r="AG1636" i="2"/>
  <c r="AG1637" i="2"/>
  <c r="AG1638" i="2"/>
  <c r="AG1639" i="2"/>
  <c r="AG1640" i="2"/>
  <c r="AG1641" i="2"/>
  <c r="AG1642" i="2"/>
  <c r="AG1643" i="2"/>
  <c r="AG1644" i="2"/>
  <c r="AG1645" i="2"/>
  <c r="AG1646" i="2"/>
  <c r="AG1647" i="2"/>
  <c r="AG1648" i="2"/>
  <c r="AG1649" i="2"/>
  <c r="AG1650" i="2"/>
  <c r="AG1651" i="2"/>
  <c r="AG1652" i="2"/>
  <c r="AG1653" i="2"/>
  <c r="AG1654" i="2"/>
  <c r="AG1655" i="2"/>
  <c r="AG1656" i="2"/>
  <c r="AG1657" i="2"/>
  <c r="AG1658" i="2"/>
  <c r="AG1659" i="2"/>
  <c r="AG1660" i="2"/>
  <c r="AG1661" i="2"/>
  <c r="AG1662" i="2"/>
  <c r="AG1663" i="2"/>
  <c r="AG1664" i="2"/>
  <c r="AG1665" i="2"/>
  <c r="AG1666" i="2"/>
  <c r="AG1667" i="2"/>
  <c r="AG1668" i="2"/>
  <c r="AG1669" i="2"/>
  <c r="AG1670" i="2"/>
  <c r="AG1671" i="2"/>
  <c r="AG1672" i="2"/>
  <c r="AG1673" i="2"/>
  <c r="AG1674" i="2"/>
  <c r="AG1675" i="2"/>
  <c r="AG1676" i="2"/>
  <c r="AG1677" i="2"/>
  <c r="AG1678" i="2"/>
  <c r="AG1679" i="2"/>
  <c r="AG1680" i="2"/>
  <c r="AG1681" i="2"/>
  <c r="AG1682" i="2"/>
  <c r="AG1683" i="2"/>
  <c r="AG1684" i="2"/>
  <c r="AG1685" i="2"/>
  <c r="AG1686" i="2"/>
  <c r="AG1687" i="2"/>
  <c r="AG1688" i="2"/>
  <c r="AG1689" i="2"/>
  <c r="AG1690" i="2"/>
  <c r="AG1691" i="2"/>
  <c r="AG1692" i="2"/>
  <c r="AG1693" i="2"/>
  <c r="AG1694" i="2"/>
  <c r="AG1695" i="2"/>
  <c r="AG1696" i="2"/>
  <c r="AG1697" i="2"/>
  <c r="AG1698" i="2"/>
  <c r="AG1699" i="2"/>
  <c r="AG1700" i="2"/>
  <c r="AG1701" i="2"/>
  <c r="AG1702" i="2"/>
  <c r="AG1703" i="2"/>
  <c r="AG1704" i="2"/>
  <c r="AG1705" i="2"/>
  <c r="AG1706" i="2"/>
  <c r="AG1707" i="2"/>
  <c r="AG1708" i="2"/>
  <c r="AG1709" i="2"/>
  <c r="AG1710" i="2"/>
  <c r="AG1711" i="2"/>
  <c r="AG1712" i="2"/>
  <c r="AG1713" i="2"/>
  <c r="AG1714" i="2"/>
  <c r="AG1715" i="2"/>
  <c r="AG1716" i="2"/>
  <c r="AG1717" i="2"/>
  <c r="AG1718" i="2"/>
  <c r="AG1719" i="2"/>
  <c r="AG1720" i="2"/>
  <c r="AG1721" i="2"/>
  <c r="AG1722" i="2"/>
  <c r="AG1723" i="2"/>
  <c r="AG1724" i="2"/>
  <c r="AG1725" i="2"/>
  <c r="AG1726" i="2"/>
  <c r="AG1727" i="2"/>
  <c r="AG1728" i="2"/>
  <c r="AG1729" i="2"/>
  <c r="AG1730" i="2"/>
  <c r="AG1731" i="2"/>
  <c r="AG1732" i="2"/>
  <c r="AG1733" i="2"/>
  <c r="AG1734" i="2"/>
  <c r="AG1735" i="2"/>
  <c r="AG1736" i="2"/>
  <c r="AG1737" i="2"/>
  <c r="AG1738" i="2"/>
  <c r="AG1739" i="2"/>
  <c r="AG1740" i="2"/>
  <c r="AG1741" i="2"/>
  <c r="AG1742" i="2"/>
  <c r="AG1743" i="2"/>
  <c r="AG1744" i="2"/>
  <c r="AG1745" i="2"/>
  <c r="AG1746" i="2"/>
  <c r="AG1747" i="2"/>
  <c r="AG1748" i="2"/>
  <c r="AG1749" i="2"/>
  <c r="AG1750" i="2"/>
  <c r="AG1751" i="2"/>
  <c r="AG1752" i="2"/>
  <c r="AG1753" i="2"/>
  <c r="AG1754" i="2"/>
  <c r="AG1755" i="2"/>
  <c r="AG1756" i="2"/>
  <c r="AG1757" i="2"/>
  <c r="AG1758" i="2"/>
  <c r="AG1759" i="2"/>
  <c r="AG1760" i="2"/>
  <c r="AG1761" i="2"/>
  <c r="AG1762" i="2"/>
  <c r="AG1763" i="2"/>
  <c r="AG1764" i="2"/>
  <c r="AG1765" i="2"/>
  <c r="AG1766" i="2"/>
  <c r="AG1767" i="2"/>
  <c r="AG1768" i="2"/>
  <c r="AG1769" i="2"/>
  <c r="AG1770" i="2"/>
  <c r="AG1771" i="2"/>
  <c r="AG1772" i="2"/>
  <c r="AG1773" i="2"/>
  <c r="AG1774" i="2"/>
  <c r="AG1775" i="2"/>
  <c r="AG1776" i="2"/>
  <c r="AG1777" i="2"/>
  <c r="AG1778" i="2"/>
  <c r="AG1779" i="2"/>
  <c r="AG1780" i="2"/>
  <c r="AG1781" i="2"/>
  <c r="AG1782" i="2"/>
  <c r="AG1783" i="2"/>
  <c r="AG1784" i="2"/>
  <c r="AG1785" i="2"/>
  <c r="AG1786" i="2"/>
  <c r="AG1787" i="2"/>
  <c r="AG1788" i="2"/>
  <c r="AG1789" i="2"/>
  <c r="AG1790" i="2"/>
  <c r="AG1791" i="2"/>
  <c r="AG1792" i="2"/>
  <c r="AG1793" i="2"/>
  <c r="AG1794" i="2"/>
  <c r="AG1795" i="2"/>
  <c r="AG1796" i="2"/>
  <c r="AG1797" i="2"/>
  <c r="AG1798" i="2"/>
  <c r="AG1799" i="2"/>
  <c r="AG1800" i="2"/>
  <c r="AG1801" i="2"/>
  <c r="AG1802" i="2"/>
  <c r="AG1803" i="2"/>
  <c r="AG1804" i="2"/>
  <c r="AG1805" i="2"/>
  <c r="AG1806" i="2"/>
  <c r="AG1807" i="2"/>
  <c r="AG1808" i="2"/>
  <c r="AG1809" i="2"/>
  <c r="AG1810" i="2"/>
  <c r="AG1811" i="2"/>
  <c r="AG1812" i="2"/>
  <c r="AG1813" i="2"/>
  <c r="AG1814" i="2"/>
  <c r="AG1815" i="2"/>
  <c r="AG1816" i="2"/>
  <c r="AG1817" i="2"/>
  <c r="AG1818" i="2"/>
  <c r="AG1819" i="2"/>
  <c r="AG1820" i="2"/>
  <c r="AG1821" i="2"/>
  <c r="AG1822" i="2"/>
  <c r="AG1823" i="2"/>
  <c r="AG1824" i="2"/>
  <c r="AG1825" i="2"/>
  <c r="AG1826" i="2"/>
  <c r="AG1827" i="2"/>
  <c r="AG1828" i="2"/>
  <c r="AG1829" i="2"/>
  <c r="AG1830" i="2"/>
  <c r="AG1831" i="2"/>
  <c r="AG1832" i="2"/>
  <c r="AG1833" i="2"/>
  <c r="AG1834" i="2"/>
  <c r="AG1835" i="2"/>
  <c r="AG1836" i="2"/>
  <c r="AG1837" i="2"/>
  <c r="AG1838" i="2"/>
  <c r="AG1839" i="2"/>
  <c r="AG1840" i="2"/>
  <c r="AG1841" i="2"/>
  <c r="AG1842" i="2"/>
  <c r="AG1843" i="2"/>
  <c r="AG1844" i="2"/>
  <c r="AG1845" i="2"/>
  <c r="AG1846" i="2"/>
  <c r="AG1847" i="2"/>
  <c r="AG1848" i="2"/>
  <c r="AG1849" i="2"/>
  <c r="AG1850" i="2"/>
  <c r="AG1851" i="2"/>
  <c r="AG1852" i="2"/>
  <c r="AG1853" i="2"/>
  <c r="AG1854" i="2"/>
  <c r="AG1855" i="2"/>
  <c r="AG1856" i="2"/>
  <c r="AG1857" i="2"/>
  <c r="AG1858" i="2"/>
  <c r="AG1859" i="2"/>
  <c r="AG1860" i="2"/>
  <c r="AG1861" i="2"/>
  <c r="AG1862" i="2"/>
  <c r="AG1863" i="2"/>
  <c r="AG1864" i="2"/>
  <c r="AG1865" i="2"/>
  <c r="AG1866" i="2"/>
  <c r="AG1867" i="2"/>
  <c r="AG1868" i="2"/>
  <c r="AG1869" i="2"/>
  <c r="AG1870" i="2"/>
  <c r="AG1871" i="2"/>
  <c r="AG1872" i="2"/>
  <c r="AG1873" i="2"/>
  <c r="AG1874" i="2"/>
  <c r="AG1875" i="2"/>
  <c r="AG1876" i="2"/>
  <c r="AG1877" i="2"/>
  <c r="AG1878" i="2"/>
  <c r="AG1879" i="2"/>
  <c r="AG1880" i="2"/>
  <c r="AG1881" i="2"/>
  <c r="AG1882" i="2"/>
  <c r="AG1883" i="2"/>
  <c r="AG1884" i="2"/>
  <c r="AG1885" i="2"/>
  <c r="AG1886" i="2"/>
  <c r="AG1887" i="2"/>
  <c r="AG1888" i="2"/>
  <c r="AG1889" i="2"/>
  <c r="AG1890" i="2"/>
  <c r="AG1891" i="2"/>
  <c r="AG1892" i="2"/>
  <c r="AG1893" i="2"/>
  <c r="AG1894" i="2"/>
  <c r="AG1895" i="2"/>
  <c r="AG1896" i="2"/>
  <c r="AG1897" i="2"/>
  <c r="AG1898" i="2"/>
  <c r="AG1899" i="2"/>
  <c r="AG1900" i="2"/>
  <c r="AG1901" i="2"/>
  <c r="AG1902" i="2"/>
  <c r="AG1903" i="2"/>
  <c r="AG1904" i="2"/>
  <c r="AG1905" i="2"/>
  <c r="AG1906" i="2"/>
  <c r="AG1907" i="2"/>
  <c r="AG1908" i="2"/>
  <c r="AG1909" i="2"/>
  <c r="AG1910" i="2"/>
  <c r="AG1911" i="2"/>
  <c r="AG1912" i="2"/>
  <c r="AG1913" i="2"/>
  <c r="AG1914" i="2"/>
  <c r="AG1915" i="2"/>
  <c r="AG1916" i="2"/>
  <c r="AG1917" i="2"/>
  <c r="AG1918" i="2"/>
  <c r="AG1919" i="2"/>
  <c r="AG1920" i="2"/>
  <c r="AG1921" i="2"/>
  <c r="AG1922" i="2"/>
  <c r="AG1923" i="2"/>
  <c r="AG1924" i="2"/>
  <c r="AG1925" i="2"/>
  <c r="AG1926" i="2"/>
  <c r="AG1927" i="2"/>
  <c r="AG1928" i="2"/>
  <c r="AG1929" i="2"/>
  <c r="AG1930" i="2"/>
  <c r="AG1931" i="2"/>
  <c r="AG1932" i="2"/>
  <c r="AG1933" i="2"/>
  <c r="AG1934" i="2"/>
  <c r="AG1935" i="2"/>
  <c r="AG1936" i="2"/>
  <c r="AG1937" i="2"/>
  <c r="AG1938" i="2"/>
  <c r="AG1939" i="2"/>
  <c r="AG1940" i="2"/>
  <c r="AG1941" i="2"/>
  <c r="AG1942" i="2"/>
  <c r="AG1943" i="2"/>
  <c r="AG1944" i="2"/>
  <c r="AG1945" i="2"/>
  <c r="AG1946" i="2"/>
  <c r="AG1947" i="2"/>
  <c r="AG1948" i="2"/>
  <c r="AG1949" i="2"/>
  <c r="AG1950" i="2"/>
  <c r="AG1951" i="2"/>
  <c r="AG1952" i="2"/>
  <c r="AG1953" i="2"/>
  <c r="AG1954" i="2"/>
  <c r="AG1955" i="2"/>
  <c r="AG1956" i="2"/>
  <c r="AG1957" i="2"/>
  <c r="AG1958" i="2"/>
  <c r="AG1959" i="2"/>
  <c r="AG1960" i="2"/>
  <c r="AG1961" i="2"/>
  <c r="AG1962" i="2"/>
  <c r="AG1963" i="2"/>
  <c r="AG1964" i="2"/>
  <c r="AG1965" i="2"/>
  <c r="AG1966" i="2"/>
  <c r="AG1967" i="2"/>
  <c r="AG1968" i="2"/>
  <c r="AG1969" i="2"/>
  <c r="AG1970" i="2"/>
  <c r="AG1971" i="2"/>
  <c r="AG1972" i="2"/>
  <c r="AG1973" i="2"/>
  <c r="AG1974" i="2"/>
  <c r="AG1975" i="2"/>
  <c r="AG1976" i="2"/>
  <c r="AG1977" i="2"/>
  <c r="AG1978" i="2"/>
  <c r="AG1979" i="2"/>
  <c r="AG1980" i="2"/>
  <c r="AG1981" i="2"/>
  <c r="AG1982" i="2"/>
  <c r="AG1983" i="2"/>
  <c r="AG1984" i="2"/>
  <c r="AG1985" i="2"/>
  <c r="AG1986" i="2"/>
  <c r="AG1987" i="2"/>
  <c r="AG1988" i="2"/>
  <c r="AG1989" i="2"/>
  <c r="AG1990" i="2"/>
  <c r="AG1991" i="2"/>
  <c r="AG1992" i="2"/>
  <c r="AG1993" i="2"/>
  <c r="AG1994" i="2"/>
  <c r="AG1995" i="2"/>
  <c r="AG1996" i="2"/>
  <c r="AG1997" i="2"/>
  <c r="AG1998" i="2"/>
  <c r="AG1999" i="2"/>
  <c r="AG2000" i="2"/>
  <c r="AG2001" i="2"/>
  <c r="AG2002" i="2"/>
  <c r="AG2003" i="2"/>
  <c r="AG2004" i="2"/>
  <c r="AG2005" i="2"/>
  <c r="AG2006" i="2"/>
  <c r="AG2007" i="2"/>
  <c r="AG2008" i="2"/>
  <c r="AG2009" i="2"/>
  <c r="AG2010" i="2"/>
  <c r="AG2011" i="2"/>
  <c r="AG2012" i="2"/>
  <c r="AG2013" i="2"/>
  <c r="AG2014" i="2"/>
  <c r="AG2015" i="2"/>
  <c r="AG2016" i="2"/>
  <c r="AG2017" i="2"/>
  <c r="AG2018" i="2"/>
  <c r="AG2019" i="2"/>
  <c r="AG2020" i="2"/>
  <c r="AG2021" i="2"/>
  <c r="AG2022" i="2"/>
  <c r="AG2023" i="2"/>
  <c r="AG2024" i="2"/>
  <c r="AG2025" i="2"/>
  <c r="AG2026" i="2"/>
  <c r="AG2027" i="2"/>
  <c r="AG2028" i="2"/>
  <c r="AG2029" i="2"/>
  <c r="AG2030" i="2"/>
  <c r="AG2031" i="2"/>
  <c r="AG2032" i="2"/>
  <c r="AG2033" i="2"/>
  <c r="AG2034" i="2"/>
  <c r="AG2035" i="2"/>
  <c r="AG2036" i="2"/>
  <c r="AG2037" i="2"/>
  <c r="AG2038" i="2"/>
  <c r="AG2039" i="2"/>
  <c r="AG2040" i="2"/>
  <c r="AG2041" i="2"/>
  <c r="AG2042" i="2"/>
  <c r="AG2043" i="2"/>
  <c r="AG2044" i="2"/>
  <c r="AG2045" i="2"/>
  <c r="AG2046" i="2"/>
  <c r="AG2047" i="2"/>
  <c r="AG2048" i="2"/>
  <c r="AG2049" i="2"/>
  <c r="AG2050" i="2"/>
  <c r="AG2051" i="2"/>
  <c r="AG2052" i="2"/>
  <c r="AG2053" i="2"/>
  <c r="AG2054" i="2"/>
  <c r="AG2055" i="2"/>
  <c r="AG2056" i="2"/>
  <c r="AG2057" i="2"/>
  <c r="AG2058" i="2"/>
  <c r="AG2059" i="2"/>
  <c r="AG2060" i="2"/>
  <c r="AG2061" i="2"/>
  <c r="AG2062" i="2"/>
  <c r="AG2063" i="2"/>
  <c r="AG2064" i="2"/>
  <c r="AG2065" i="2"/>
  <c r="AG2066" i="2"/>
  <c r="AG2067" i="2"/>
  <c r="AG2068" i="2"/>
  <c r="AG2069" i="2"/>
  <c r="AG2070" i="2"/>
  <c r="AG2071" i="2"/>
  <c r="AG2072" i="2"/>
  <c r="AG2073" i="2"/>
  <c r="AG2074" i="2"/>
  <c r="AG2075" i="2"/>
  <c r="AG2076" i="2"/>
  <c r="AG2077" i="2"/>
  <c r="AG2078" i="2"/>
  <c r="AG2079" i="2"/>
  <c r="AG2080" i="2"/>
  <c r="AG2081" i="2"/>
  <c r="AG2082" i="2"/>
  <c r="AG2083" i="2"/>
  <c r="AG2084" i="2"/>
  <c r="AG2085" i="2"/>
  <c r="AG2086" i="2"/>
  <c r="AG2087" i="2"/>
  <c r="AG2088" i="2"/>
  <c r="AG2089" i="2"/>
  <c r="AG2090" i="2"/>
  <c r="AG2091" i="2"/>
  <c r="AG2092" i="2"/>
  <c r="AG2093" i="2"/>
  <c r="AG2094" i="2"/>
  <c r="AG2095" i="2"/>
  <c r="AG2096" i="2"/>
  <c r="AG2097" i="2"/>
  <c r="AG2098" i="2"/>
  <c r="AG2099" i="2"/>
  <c r="AG2100" i="2"/>
  <c r="AG2101" i="2"/>
  <c r="AG2102" i="2"/>
  <c r="AG2103" i="2"/>
  <c r="AG2104" i="2"/>
  <c r="AG2105" i="2"/>
  <c r="AG2106" i="2"/>
  <c r="AG2107" i="2"/>
  <c r="AG2108" i="2"/>
  <c r="AG2109" i="2"/>
  <c r="AG2110" i="2"/>
  <c r="AG2111" i="2"/>
  <c r="AG2112" i="2"/>
  <c r="AG2113" i="2"/>
  <c r="AG2114" i="2"/>
  <c r="AG2115" i="2"/>
  <c r="AG2116" i="2"/>
  <c r="AG2117" i="2"/>
  <c r="AG2118" i="2"/>
  <c r="AG2119" i="2"/>
  <c r="AG2120" i="2"/>
  <c r="AG2121" i="2"/>
  <c r="AG2122" i="2"/>
  <c r="AG2123" i="2"/>
  <c r="AG2124" i="2"/>
  <c r="AG2125" i="2"/>
  <c r="AG2126" i="2"/>
  <c r="AG2127" i="2"/>
  <c r="AG2128" i="2"/>
  <c r="AG2129" i="2"/>
  <c r="AG2130" i="2"/>
  <c r="AG2131" i="2"/>
  <c r="AG2132" i="2"/>
  <c r="AG2133" i="2"/>
  <c r="AG2134" i="2"/>
  <c r="AG2135" i="2"/>
  <c r="AG2136" i="2"/>
  <c r="AG2137" i="2"/>
  <c r="AG2138" i="2"/>
  <c r="AG2139" i="2"/>
  <c r="AG2140" i="2"/>
  <c r="AG2141" i="2"/>
  <c r="AG2142" i="2"/>
  <c r="AG2143" i="2"/>
  <c r="AG2144" i="2"/>
  <c r="AG2145" i="2"/>
  <c r="AG2146" i="2"/>
  <c r="AG2147" i="2"/>
  <c r="AG2148" i="2"/>
  <c r="AG2149" i="2"/>
  <c r="AG2150" i="2"/>
  <c r="AG2151" i="2"/>
  <c r="AG2152" i="2"/>
  <c r="AG2153" i="2"/>
  <c r="AG2154" i="2"/>
  <c r="AG2155" i="2"/>
  <c r="AG2156" i="2"/>
  <c r="AG2157" i="2"/>
  <c r="AG2158" i="2"/>
  <c r="AG2159" i="2"/>
  <c r="AG2160" i="2"/>
  <c r="AG2161" i="2"/>
  <c r="AG2162" i="2"/>
  <c r="AG2163" i="2"/>
  <c r="AG2164" i="2"/>
  <c r="AG2165" i="2"/>
  <c r="AG2166" i="2"/>
  <c r="AG2167" i="2"/>
  <c r="AG2168" i="2"/>
  <c r="AG2169" i="2"/>
  <c r="AG2170" i="2"/>
  <c r="AG2171" i="2"/>
  <c r="AG2172" i="2"/>
  <c r="AG2173" i="2"/>
  <c r="AG2174" i="2"/>
  <c r="AG2175" i="2"/>
  <c r="AG2176" i="2"/>
  <c r="AG2177" i="2"/>
  <c r="AG2178" i="2"/>
  <c r="AG2179" i="2"/>
  <c r="AG2180" i="2"/>
  <c r="AG2181" i="2"/>
  <c r="AG2182" i="2"/>
  <c r="AG2183" i="2"/>
  <c r="AG2184" i="2"/>
  <c r="AG2185" i="2"/>
  <c r="AG2186" i="2"/>
  <c r="AG2187" i="2"/>
  <c r="AG2188" i="2"/>
  <c r="AG2189" i="2"/>
  <c r="AG2190" i="2"/>
  <c r="AG2191" i="2"/>
  <c r="AG2192" i="2"/>
  <c r="AG2193" i="2"/>
  <c r="AG2194" i="2"/>
  <c r="AG2195" i="2"/>
  <c r="AG2196" i="2"/>
  <c r="AG2197" i="2"/>
  <c r="AG2198" i="2"/>
  <c r="AG2199" i="2"/>
  <c r="AG2200" i="2"/>
  <c r="AG2201" i="2"/>
  <c r="AG2202" i="2"/>
  <c r="AG2203" i="2"/>
  <c r="AG2204" i="2"/>
  <c r="AG2205" i="2"/>
  <c r="AG2206" i="2"/>
  <c r="AG2207" i="2"/>
  <c r="AG2208" i="2"/>
  <c r="AG2209" i="2"/>
  <c r="AG2210" i="2"/>
  <c r="AG2211" i="2"/>
  <c r="AG2212" i="2"/>
  <c r="AG2213" i="2"/>
  <c r="AG2214" i="2"/>
  <c r="AG2215" i="2"/>
  <c r="AG2216" i="2"/>
  <c r="AG2217" i="2"/>
  <c r="AG2218" i="2"/>
  <c r="AG2219" i="2"/>
  <c r="AG2220" i="2"/>
  <c r="AG2221" i="2"/>
  <c r="AG2222" i="2"/>
  <c r="AG2223" i="2"/>
  <c r="AG2224" i="2"/>
  <c r="AG2225" i="2"/>
  <c r="AG2226" i="2"/>
  <c r="AG2227" i="2"/>
  <c r="AG2228" i="2"/>
  <c r="AG2229" i="2"/>
  <c r="AG2230" i="2"/>
  <c r="AG2231" i="2"/>
  <c r="AG2232" i="2"/>
  <c r="AG2233" i="2"/>
  <c r="AG2234" i="2"/>
  <c r="AG2235" i="2"/>
  <c r="AG2" i="2"/>
  <c r="AF2233" i="2"/>
  <c r="AF2232" i="2"/>
  <c r="AF2231" i="2"/>
  <c r="AF2230" i="2"/>
  <c r="AF2229" i="2"/>
  <c r="AF2228" i="2"/>
  <c r="AF2227" i="2"/>
  <c r="AF2224" i="2"/>
  <c r="AF2221" i="2"/>
  <c r="AF2218" i="2"/>
  <c r="AF2216" i="2"/>
  <c r="AF2215" i="2"/>
  <c r="AF2214" i="2"/>
  <c r="AF2213" i="2"/>
  <c r="AF2212" i="2"/>
  <c r="AF2211" i="2"/>
  <c r="AF2210" i="2"/>
  <c r="AF2209" i="2"/>
  <c r="AF2208" i="2"/>
  <c r="AF2207" i="2"/>
  <c r="AF2206" i="2"/>
  <c r="AF2205" i="2"/>
  <c r="AF2204" i="2"/>
  <c r="AF2203" i="2"/>
  <c r="AF2202" i="2"/>
  <c r="AF2201" i="2"/>
  <c r="AF2200" i="2"/>
  <c r="AF2199" i="2"/>
  <c r="AF2198" i="2"/>
  <c r="AF2197" i="2"/>
  <c r="AF2196" i="2"/>
  <c r="AF2195" i="2"/>
  <c r="AF2194" i="2"/>
  <c r="AF2193" i="2"/>
  <c r="AF2192" i="2"/>
  <c r="AF2191" i="2"/>
  <c r="AF2190" i="2"/>
  <c r="AF2189" i="2"/>
  <c r="AF2188" i="2"/>
  <c r="AF2187" i="2"/>
  <c r="AF2186" i="2"/>
  <c r="AF2185" i="2"/>
  <c r="AF2180" i="2"/>
  <c r="AF2179" i="2"/>
  <c r="AF2173" i="2"/>
  <c r="AF2169" i="2"/>
  <c r="AF2168" i="2"/>
  <c r="AF2167" i="2"/>
  <c r="AF2166" i="2"/>
  <c r="AF2163" i="2"/>
  <c r="AF2162" i="2"/>
  <c r="AF2160" i="2"/>
  <c r="AF2159" i="2"/>
  <c r="AF2158" i="2"/>
  <c r="AF2157" i="2"/>
  <c r="AF2156" i="2"/>
  <c r="AF2155" i="2"/>
  <c r="AF2154" i="2"/>
  <c r="AF2153" i="2"/>
  <c r="AF2152" i="2"/>
  <c r="AF2151" i="2"/>
  <c r="AF2150" i="2"/>
  <c r="AF2149" i="2"/>
  <c r="AF2148" i="2"/>
  <c r="AF2147" i="2"/>
  <c r="AF2146" i="2"/>
  <c r="AF2145" i="2"/>
  <c r="AF2144" i="2"/>
  <c r="AF2143" i="2"/>
  <c r="AF2142" i="2"/>
  <c r="AF2141" i="2"/>
  <c r="AF2140" i="2"/>
  <c r="AF2139" i="2"/>
  <c r="AF2138" i="2"/>
  <c r="AF2137" i="2"/>
  <c r="AF2136" i="2"/>
  <c r="AF2135" i="2"/>
  <c r="AF2134" i="2"/>
  <c r="AF2133" i="2"/>
  <c r="AF2132" i="2"/>
  <c r="AF2131" i="2"/>
  <c r="AF2130" i="2"/>
  <c r="AF2129" i="2"/>
  <c r="AF2082" i="2"/>
  <c r="AF2081" i="2"/>
  <c r="AF2079" i="2"/>
  <c r="AF2078" i="2"/>
  <c r="AF2077" i="2"/>
  <c r="AF2076" i="2"/>
  <c r="AF2075" i="2"/>
  <c r="AF2074" i="2"/>
  <c r="AF2073" i="2"/>
  <c r="AF2072" i="2"/>
  <c r="AF2071" i="2"/>
  <c r="AF2061" i="2"/>
  <c r="AF2060" i="2"/>
  <c r="AF2059" i="2"/>
  <c r="AF2058" i="2"/>
  <c r="AF2057" i="2"/>
  <c r="AF2056" i="2"/>
  <c r="AF2055" i="2"/>
  <c r="AF2054" i="2"/>
  <c r="AF2053" i="2"/>
  <c r="AF2052" i="2"/>
  <c r="AF2051" i="2"/>
  <c r="AF2050" i="2"/>
  <c r="AF2049" i="2"/>
  <c r="AF2048" i="2"/>
  <c r="AF2047" i="2"/>
  <c r="AF2046" i="2"/>
  <c r="AF2039" i="2"/>
  <c r="AF2038" i="2"/>
  <c r="AF2037" i="2"/>
  <c r="AF2036" i="2"/>
  <c r="AF2035" i="2"/>
  <c r="AF2034" i="2"/>
  <c r="AF2033" i="2"/>
  <c r="AF2032" i="2"/>
  <c r="AF2031" i="2"/>
  <c r="AF2019" i="2"/>
  <c r="AF2017" i="2"/>
  <c r="AF2016" i="2"/>
  <c r="AF2010" i="2"/>
  <c r="AF2009" i="2"/>
  <c r="AF2008" i="2"/>
  <c r="AF2007" i="2"/>
  <c r="AF2006" i="2"/>
  <c r="AF1999" i="2"/>
  <c r="AF1998" i="2"/>
  <c r="AF1987" i="2"/>
  <c r="AF1986" i="2"/>
  <c r="AF1984" i="2"/>
  <c r="AF1981" i="2"/>
  <c r="AF1980" i="2"/>
  <c r="AF1979" i="2"/>
  <c r="AF1978" i="2"/>
  <c r="AF1977" i="2"/>
  <c r="AF1976" i="2"/>
  <c r="AF1975" i="2"/>
  <c r="AF1974" i="2"/>
  <c r="AF1973" i="2"/>
  <c r="AF1972" i="2"/>
  <c r="AF1957" i="2"/>
  <c r="AF1956" i="2"/>
  <c r="AF1955" i="2"/>
  <c r="AF1954" i="2"/>
  <c r="AF1953" i="2"/>
  <c r="AF1952" i="2"/>
  <c r="AF1951" i="2"/>
  <c r="AF1950" i="2"/>
  <c r="AF1949" i="2"/>
  <c r="AF1948" i="2"/>
  <c r="AF1947" i="2"/>
  <c r="AF1946" i="2"/>
  <c r="AF1945" i="2"/>
  <c r="AF1944" i="2"/>
  <c r="AF1943" i="2"/>
  <c r="AF1942" i="2"/>
  <c r="AF1941" i="2"/>
  <c r="AF1940" i="2"/>
  <c r="AF1939" i="2"/>
  <c r="AF1938" i="2"/>
  <c r="AF1937" i="2"/>
  <c r="AF1936" i="2"/>
  <c r="AF1935" i="2"/>
  <c r="AF1934" i="2"/>
  <c r="AF1933" i="2"/>
  <c r="AF1932" i="2"/>
  <c r="AF1931" i="2"/>
  <c r="AF1930" i="2"/>
  <c r="AF1929" i="2"/>
  <c r="AF1928" i="2"/>
  <c r="AF1927" i="2"/>
  <c r="AF1926" i="2"/>
  <c r="AF1924" i="2"/>
  <c r="AF1922" i="2"/>
  <c r="AF1918" i="2"/>
  <c r="AF1917" i="2"/>
  <c r="AF1916" i="2"/>
  <c r="AF1915" i="2"/>
  <c r="AF1914" i="2"/>
  <c r="AF1910" i="2"/>
  <c r="AF1908" i="2"/>
  <c r="AF1905" i="2"/>
  <c r="AF1904" i="2"/>
  <c r="AF1902" i="2"/>
  <c r="AF1901" i="2"/>
  <c r="AF1899" i="2"/>
  <c r="AF1897" i="2"/>
  <c r="AF1896" i="2"/>
  <c r="AF1895" i="2"/>
  <c r="AF1894" i="2"/>
  <c r="AF1892" i="2"/>
  <c r="AF1891" i="2"/>
  <c r="AF1889" i="2"/>
  <c r="AF1888" i="2"/>
  <c r="AF1885" i="2"/>
  <c r="AF1884" i="2"/>
  <c r="AF1881" i="2"/>
  <c r="AF1880" i="2"/>
  <c r="AF1879" i="2"/>
  <c r="AF1878" i="2"/>
  <c r="AF1877" i="2"/>
  <c r="AF1876" i="2"/>
  <c r="AF1874" i="2"/>
  <c r="AF1871" i="2"/>
  <c r="AF1870" i="2"/>
  <c r="AF1869" i="2"/>
  <c r="AF1867" i="2"/>
  <c r="AF1866" i="2"/>
  <c r="AF1865" i="2"/>
  <c r="AF1864" i="2"/>
  <c r="AF1863" i="2"/>
  <c r="AF1860" i="2"/>
  <c r="AF1859" i="2"/>
  <c r="AF1858" i="2"/>
  <c r="AF1857" i="2"/>
  <c r="AF1856" i="2"/>
  <c r="AF1854" i="2"/>
  <c r="AF1853" i="2"/>
  <c r="AF1852" i="2"/>
  <c r="AF1849" i="2"/>
  <c r="AF1848" i="2"/>
  <c r="AF1847" i="2"/>
  <c r="AF1846" i="2"/>
  <c r="AF1845" i="2"/>
  <c r="AF1844" i="2"/>
  <c r="AF1843" i="2"/>
  <c r="AF1842" i="2"/>
  <c r="AF1840" i="2"/>
  <c r="AF1839" i="2"/>
  <c r="AF1838" i="2"/>
  <c r="AF1837" i="2"/>
  <c r="AF1836" i="2"/>
  <c r="AF1832" i="2"/>
  <c r="AF1831" i="2"/>
  <c r="AF1830" i="2"/>
  <c r="AF1829" i="2"/>
  <c r="AF1828" i="2"/>
  <c r="AF1827" i="2"/>
  <c r="AF1826" i="2"/>
  <c r="AF1825" i="2"/>
  <c r="AF1823" i="2"/>
  <c r="AF1819" i="2"/>
  <c r="AF1818" i="2"/>
  <c r="AF1817" i="2"/>
  <c r="AF1816" i="2"/>
  <c r="AF1815" i="2"/>
  <c r="AF1814" i="2"/>
  <c r="AF1813" i="2"/>
  <c r="AF1812" i="2"/>
  <c r="AF1811" i="2"/>
  <c r="AF1808" i="2"/>
  <c r="AF1806" i="2"/>
  <c r="AF1805" i="2"/>
  <c r="AF1803" i="2"/>
  <c r="AF1802" i="2"/>
  <c r="AF1799" i="2"/>
  <c r="AF1798" i="2"/>
  <c r="AF1797" i="2"/>
  <c r="AF1795" i="2"/>
  <c r="AF1790" i="2"/>
  <c r="AF1788" i="2"/>
  <c r="AF1787" i="2"/>
  <c r="AF1786" i="2"/>
  <c r="AF1784" i="2"/>
  <c r="AF1783" i="2"/>
  <c r="AF1780" i="2"/>
  <c r="AF1778" i="2"/>
  <c r="AF1777" i="2"/>
  <c r="AF1776" i="2"/>
  <c r="AF1771" i="2"/>
  <c r="AF1770" i="2"/>
  <c r="AF1769" i="2"/>
  <c r="AF1768" i="2"/>
  <c r="AF1767" i="2"/>
  <c r="AF1766" i="2"/>
  <c r="AF1764" i="2"/>
  <c r="AF1763" i="2"/>
  <c r="AF1762" i="2"/>
  <c r="AF1760" i="2"/>
  <c r="AF1758" i="2"/>
  <c r="AF1757" i="2"/>
  <c r="AF1756" i="2"/>
  <c r="AF1755" i="2"/>
  <c r="AF1752" i="2"/>
  <c r="AF1751" i="2"/>
  <c r="AF1750" i="2"/>
  <c r="AF1749" i="2"/>
  <c r="AF1746" i="2"/>
  <c r="AF1743" i="2"/>
  <c r="AF1742" i="2"/>
  <c r="AF1737" i="2"/>
  <c r="AF1736" i="2"/>
  <c r="AF1735" i="2"/>
  <c r="AF1733" i="2"/>
  <c r="AF1732" i="2"/>
  <c r="AF1731" i="2"/>
  <c r="AF1730" i="2"/>
  <c r="AF1729" i="2"/>
  <c r="AF1728" i="2"/>
  <c r="AF1726" i="2"/>
  <c r="AF1724" i="2"/>
  <c r="AF1723" i="2"/>
  <c r="AF1721" i="2"/>
  <c r="AF1719" i="2"/>
  <c r="AF1717" i="2"/>
  <c r="AF1716" i="2"/>
  <c r="AF1711" i="2"/>
  <c r="AF1709" i="2"/>
  <c r="AF1708" i="2"/>
  <c r="AF1706" i="2"/>
  <c r="AF1705" i="2"/>
  <c r="AF1702" i="2"/>
  <c r="AF1698" i="2"/>
  <c r="AF1694" i="2"/>
  <c r="AF1691" i="2"/>
  <c r="AF1690" i="2"/>
  <c r="AF1688" i="2"/>
  <c r="AF1687" i="2"/>
  <c r="AF1686" i="2"/>
  <c r="AF1685" i="2"/>
  <c r="AF1684" i="2"/>
  <c r="AF1682" i="2"/>
  <c r="AF1681" i="2"/>
  <c r="AF1680" i="2"/>
  <c r="AF1679" i="2"/>
  <c r="AF1674" i="2"/>
  <c r="AF1673" i="2"/>
  <c r="AF1672" i="2"/>
  <c r="AF1671" i="2"/>
  <c r="AF1669" i="2"/>
  <c r="AF1661" i="2"/>
  <c r="AF1660" i="2"/>
  <c r="AF1659" i="2"/>
  <c r="AF1658" i="2"/>
  <c r="AF1657" i="2"/>
  <c r="AF1655" i="2"/>
  <c r="AF1654" i="2"/>
  <c r="AF1653" i="2"/>
  <c r="AF1651" i="2"/>
  <c r="AF1650" i="2"/>
  <c r="AF1649" i="2"/>
  <c r="AF1648" i="2"/>
  <c r="AF1647" i="2"/>
  <c r="AF1646" i="2"/>
  <c r="AF1645" i="2"/>
  <c r="AF1643" i="2"/>
  <c r="AF1640" i="2"/>
  <c r="AF1639" i="2"/>
  <c r="AF1637" i="2"/>
  <c r="AF1635" i="2"/>
  <c r="AF1634" i="2"/>
  <c r="AF1632" i="2"/>
  <c r="AF1628" i="2"/>
  <c r="AF1627" i="2"/>
  <c r="AF1626" i="2"/>
  <c r="AF1625" i="2"/>
  <c r="AF1624" i="2"/>
  <c r="AF1622" i="2"/>
  <c r="AF1620" i="2"/>
  <c r="AF1619" i="2"/>
  <c r="AF1618" i="2"/>
  <c r="AF1613" i="2"/>
  <c r="AF1611" i="2"/>
  <c r="AF1610" i="2"/>
  <c r="AF1609" i="2"/>
  <c r="AF1608" i="2"/>
  <c r="AF1606" i="2"/>
  <c r="AF1604" i="2"/>
  <c r="AF1603" i="2"/>
  <c r="AF1602" i="2"/>
  <c r="AF1601" i="2"/>
  <c r="AF1599" i="2"/>
  <c r="AF1598" i="2"/>
  <c r="AF1596" i="2"/>
  <c r="AF1590" i="2"/>
  <c r="AF1589" i="2"/>
  <c r="AF1586" i="2"/>
  <c r="AF1584" i="2"/>
  <c r="AF1583" i="2"/>
  <c r="AF1582" i="2"/>
  <c r="AF1581" i="2"/>
  <c r="AF1580" i="2"/>
  <c r="AF1578" i="2"/>
  <c r="AF1577" i="2"/>
  <c r="AF1574" i="2"/>
  <c r="AF1572" i="2"/>
  <c r="AF1569" i="2"/>
  <c r="AF1564" i="2"/>
  <c r="AF1563" i="2"/>
  <c r="AF1562" i="2"/>
  <c r="AF1560" i="2"/>
  <c r="AF1559" i="2"/>
  <c r="AF1557" i="2"/>
  <c r="AF1555" i="2"/>
  <c r="AF1554" i="2"/>
  <c r="AF1553" i="2"/>
  <c r="AF1552" i="2"/>
  <c r="AF1549" i="2"/>
  <c r="AF1547" i="2"/>
  <c r="AF1545" i="2"/>
  <c r="AF1544" i="2"/>
  <c r="AF1543" i="2"/>
  <c r="AF1540" i="2"/>
  <c r="AF1539" i="2"/>
  <c r="AF1535" i="2"/>
  <c r="AF1533" i="2"/>
  <c r="AF1532" i="2"/>
  <c r="AF1531" i="2"/>
  <c r="AF1530" i="2"/>
  <c r="AF1528" i="2"/>
  <c r="AF1524" i="2"/>
  <c r="AF1523" i="2"/>
  <c r="AF1522" i="2"/>
  <c r="AF1521" i="2"/>
  <c r="AF1520" i="2"/>
  <c r="AF1519" i="2"/>
  <c r="AF1518" i="2"/>
  <c r="AF1517" i="2"/>
  <c r="AF1515" i="2"/>
  <c r="AF1514" i="2"/>
  <c r="AF1513" i="2"/>
  <c r="AF1512" i="2"/>
  <c r="AF1511" i="2"/>
  <c r="AF1510" i="2"/>
  <c r="AF1509" i="2"/>
  <c r="AF1508" i="2"/>
  <c r="AF1504" i="2"/>
  <c r="AF1502" i="2"/>
  <c r="AF1501" i="2"/>
  <c r="AF1500" i="2"/>
  <c r="AF1499" i="2"/>
  <c r="AF1498" i="2"/>
  <c r="AF1497" i="2"/>
  <c r="AF1496" i="2"/>
  <c r="AF1494" i="2"/>
  <c r="AF1490" i="2"/>
  <c r="AF1489" i="2"/>
  <c r="AF1488" i="2"/>
  <c r="AF1487" i="2"/>
  <c r="AF1484" i="2"/>
  <c r="AF1480" i="2"/>
  <c r="AF1479" i="2"/>
  <c r="AF1477" i="2"/>
  <c r="AF1475" i="2"/>
  <c r="AF1474" i="2"/>
  <c r="AF1473" i="2"/>
  <c r="AF1472" i="2"/>
  <c r="AF1469" i="2"/>
  <c r="AF1468" i="2"/>
  <c r="AF1467" i="2"/>
  <c r="AF1466" i="2"/>
  <c r="AF1465" i="2"/>
  <c r="AF1463" i="2"/>
  <c r="AF1462" i="2"/>
  <c r="AF1461" i="2"/>
  <c r="AF1457" i="2"/>
  <c r="AF1456" i="2"/>
  <c r="AF1454" i="2"/>
  <c r="AF1453" i="2"/>
  <c r="AF1451" i="2"/>
  <c r="AF1450" i="2"/>
  <c r="AF1448" i="2"/>
  <c r="AF1447" i="2"/>
  <c r="AF1445" i="2"/>
  <c r="AF1444" i="2"/>
  <c r="AF1443" i="2"/>
  <c r="AF1441" i="2"/>
  <c r="AF1440" i="2"/>
  <c r="AF1439" i="2"/>
  <c r="AF1438" i="2"/>
  <c r="AF1436" i="2"/>
  <c r="AF1435" i="2"/>
  <c r="AF1433" i="2"/>
  <c r="AF1431" i="2"/>
  <c r="AF1429" i="2"/>
  <c r="AF1428" i="2"/>
  <c r="AF1427" i="2"/>
  <c r="AF1426" i="2"/>
  <c r="AF1425" i="2"/>
  <c r="AF1424" i="2"/>
  <c r="AF1423" i="2"/>
  <c r="AF1422" i="2"/>
  <c r="AF1421" i="2"/>
  <c r="AF1418" i="2"/>
  <c r="AF1417" i="2"/>
  <c r="AF1414" i="2"/>
  <c r="AF1413" i="2"/>
  <c r="AF1412" i="2"/>
  <c r="AF1411" i="2"/>
  <c r="AF1407" i="2"/>
  <c r="AF1404" i="2"/>
  <c r="AF1402" i="2"/>
  <c r="AF1400" i="2"/>
  <c r="AF1399" i="2"/>
  <c r="AF1397" i="2"/>
  <c r="AF1395" i="2"/>
  <c r="AF1393" i="2"/>
  <c r="AF1391" i="2"/>
  <c r="AF1389" i="2"/>
  <c r="AF1388" i="2"/>
  <c r="AF1387" i="2"/>
  <c r="AF1386" i="2"/>
  <c r="AF1384" i="2"/>
  <c r="AF1383" i="2"/>
  <c r="AF1382" i="2"/>
  <c r="AF1381" i="2"/>
  <c r="AF1378" i="2"/>
  <c r="AF1376" i="2"/>
  <c r="AF1375" i="2"/>
  <c r="AF1374" i="2"/>
  <c r="AF1373" i="2"/>
  <c r="AF1372" i="2"/>
  <c r="AF1371" i="2"/>
  <c r="AF1370" i="2"/>
  <c r="AF1366" i="2"/>
  <c r="AF1361" i="2"/>
  <c r="AF1359" i="2"/>
  <c r="AF1358" i="2"/>
  <c r="AF1357" i="2"/>
  <c r="AF1356" i="2"/>
  <c r="AF1354" i="2"/>
  <c r="AF1352" i="2"/>
  <c r="AF1351" i="2"/>
  <c r="AF1349" i="2"/>
  <c r="AF1348" i="2"/>
  <c r="AF1347" i="2"/>
  <c r="AF1345" i="2"/>
  <c r="AF1344" i="2"/>
  <c r="AF1343" i="2"/>
  <c r="AF1342" i="2"/>
  <c r="AF1341" i="2"/>
  <c r="AF1337" i="2"/>
  <c r="AF1336" i="2"/>
  <c r="AF1335" i="2"/>
  <c r="AF1334" i="2"/>
  <c r="AF1332" i="2"/>
  <c r="AF1330" i="2"/>
  <c r="AF1329" i="2"/>
  <c r="AF1327" i="2"/>
  <c r="AF1326" i="2"/>
  <c r="AF1324" i="2"/>
  <c r="AF1323" i="2"/>
  <c r="AF1321" i="2"/>
  <c r="AF1318" i="2"/>
  <c r="AF1315" i="2"/>
  <c r="AF1313" i="2"/>
  <c r="AF1312" i="2"/>
  <c r="AF1310" i="2"/>
  <c r="AF1309" i="2"/>
  <c r="AF1308" i="2"/>
  <c r="AF1304" i="2"/>
  <c r="AF1303" i="2"/>
  <c r="AF1302" i="2"/>
  <c r="AF1299" i="2"/>
  <c r="AF1298" i="2"/>
  <c r="AF1297" i="2"/>
  <c r="AF1293" i="2"/>
  <c r="AF1292" i="2"/>
  <c r="AF1291" i="2"/>
  <c r="AF1290" i="2"/>
  <c r="AF1289" i="2"/>
  <c r="AF1286" i="2"/>
  <c r="AF1285" i="2"/>
  <c r="AF1284" i="2"/>
  <c r="AF1282" i="2"/>
  <c r="AF1280" i="2"/>
  <c r="AF1279" i="2"/>
  <c r="AF1278" i="2"/>
  <c r="AF1277" i="2"/>
  <c r="AF1274" i="2"/>
  <c r="AF1273" i="2"/>
  <c r="AF1271" i="2"/>
  <c r="AF1269" i="2"/>
  <c r="AF1268" i="2"/>
  <c r="AF1267" i="2"/>
  <c r="AF1265" i="2"/>
  <c r="AF1264" i="2"/>
  <c r="AF1263" i="2"/>
  <c r="AF1262" i="2"/>
  <c r="AF1261" i="2"/>
  <c r="AF1260" i="2"/>
  <c r="AF1259" i="2"/>
  <c r="AF1257" i="2"/>
  <c r="AF1254" i="2"/>
  <c r="AF1253" i="2"/>
  <c r="AF1252" i="2"/>
  <c r="AF1251" i="2"/>
  <c r="AF1246" i="2"/>
  <c r="AF1244" i="2"/>
  <c r="AF1242" i="2"/>
  <c r="AF1241" i="2"/>
  <c r="AF1240" i="2"/>
  <c r="AF1239" i="2"/>
  <c r="AF1238" i="2"/>
  <c r="AF1237" i="2"/>
  <c r="AF1234" i="2"/>
  <c r="AF1233" i="2"/>
  <c r="AF1232" i="2"/>
  <c r="AF1227" i="2"/>
  <c r="AF1226" i="2"/>
  <c r="AF1225" i="2"/>
  <c r="AF1224" i="2"/>
  <c r="AF1223" i="2"/>
  <c r="AF1222" i="2"/>
  <c r="AF1221" i="2"/>
  <c r="AF1219" i="2"/>
  <c r="AF1218" i="2"/>
  <c r="AF1216" i="2"/>
  <c r="AF1215" i="2"/>
  <c r="AF1212" i="2"/>
  <c r="AF1210" i="2"/>
  <c r="AF1209" i="2"/>
  <c r="AF1208" i="2"/>
  <c r="AF1206" i="2"/>
  <c r="AF1204" i="2"/>
  <c r="AF1201" i="2"/>
  <c r="AF1200" i="2"/>
  <c r="AF1198" i="2"/>
  <c r="AF1195" i="2"/>
  <c r="AF1194" i="2"/>
  <c r="AF1193" i="2"/>
  <c r="AF1192" i="2"/>
  <c r="AF1190" i="2"/>
  <c r="AF1189" i="2"/>
  <c r="AF1188" i="2"/>
  <c r="AF1187" i="2"/>
  <c r="AF1185" i="2"/>
  <c r="AF1184" i="2"/>
  <c r="AF1182" i="2"/>
  <c r="AF1179" i="2"/>
  <c r="AF1178" i="2"/>
  <c r="AF1175" i="2"/>
  <c r="AF1174" i="2"/>
  <c r="AF1173" i="2"/>
  <c r="AF1172" i="2"/>
  <c r="AF1160" i="2"/>
  <c r="AF1157" i="2"/>
  <c r="AF1155" i="2"/>
  <c r="AF1151" i="2"/>
  <c r="AF1150" i="2"/>
  <c r="AF1149" i="2"/>
  <c r="AF1147" i="2"/>
  <c r="AF1144" i="2"/>
  <c r="AF1143" i="2"/>
  <c r="AF1141" i="2"/>
  <c r="AF1140" i="2"/>
  <c r="AF1137" i="2"/>
  <c r="AF1134" i="2"/>
  <c r="AF1132" i="2"/>
  <c r="AF1129" i="2"/>
  <c r="AF1127" i="2"/>
  <c r="AF1126" i="2"/>
  <c r="AF1123" i="2"/>
  <c r="AF1122" i="2"/>
  <c r="AF1119" i="2"/>
  <c r="AF1113" i="2"/>
  <c r="AF1112" i="2"/>
  <c r="AF1110" i="2"/>
  <c r="AF1108" i="2"/>
  <c r="AF1107" i="2"/>
  <c r="AF1105" i="2"/>
  <c r="AF1103" i="2"/>
  <c r="AF1102" i="2"/>
  <c r="AF1101" i="2"/>
  <c r="AF1100" i="2"/>
  <c r="AF1097" i="2"/>
  <c r="AF1096" i="2"/>
  <c r="AF1095" i="2"/>
  <c r="AF1094" i="2"/>
  <c r="AF1093" i="2"/>
  <c r="AF1092" i="2"/>
  <c r="AF1091" i="2"/>
  <c r="AF1090" i="2"/>
  <c r="AF1089" i="2"/>
  <c r="AF1088" i="2"/>
  <c r="AF1087" i="2"/>
  <c r="AF1086" i="2"/>
  <c r="AF1085" i="2"/>
  <c r="AF1083" i="2"/>
  <c r="AF1082" i="2"/>
  <c r="AF1080" i="2"/>
  <c r="AF1079" i="2"/>
  <c r="AF1077" i="2"/>
  <c r="AF1073" i="2"/>
  <c r="AF1072" i="2"/>
  <c r="AF1071" i="2"/>
  <c r="AF1070" i="2"/>
  <c r="AF1069" i="2"/>
  <c r="AF1067" i="2"/>
  <c r="AF1066" i="2"/>
  <c r="AF1064" i="2"/>
  <c r="AF1062" i="2"/>
  <c r="AF1061" i="2"/>
  <c r="AF1060" i="2"/>
  <c r="AF1059" i="2"/>
  <c r="AF1057" i="2"/>
  <c r="AF1055" i="2"/>
  <c r="AF1053" i="2"/>
  <c r="AF1051" i="2"/>
  <c r="AF1050" i="2"/>
  <c r="AF1042" i="2"/>
  <c r="AF1041" i="2"/>
  <c r="AF1040" i="2"/>
  <c r="AF1039" i="2"/>
  <c r="AF1037" i="2"/>
  <c r="AF1036" i="2"/>
  <c r="AF1035" i="2"/>
  <c r="AF1033" i="2"/>
  <c r="AF1030" i="2"/>
  <c r="AF1029" i="2"/>
  <c r="AF1026" i="2"/>
  <c r="AF1025" i="2"/>
  <c r="AF1024" i="2"/>
  <c r="AF1023" i="2"/>
  <c r="AF1022" i="2"/>
  <c r="AF1019" i="2"/>
  <c r="AF1016" i="2"/>
  <c r="AF1015" i="2"/>
  <c r="AF1014" i="2"/>
  <c r="AF1013" i="2"/>
  <c r="AF1012" i="2"/>
  <c r="AF1011" i="2"/>
  <c r="AF1006" i="2"/>
  <c r="AF1005" i="2"/>
  <c r="AF1002" i="2"/>
  <c r="AF1001" i="2"/>
  <c r="AF1000" i="2"/>
  <c r="AF999" i="2"/>
  <c r="AF998" i="2"/>
  <c r="AF997" i="2"/>
  <c r="AF993" i="2"/>
  <c r="AF992" i="2"/>
  <c r="AF991" i="2"/>
  <c r="AF988" i="2"/>
  <c r="AF987" i="2"/>
  <c r="AF986" i="2"/>
  <c r="AF985" i="2"/>
  <c r="AF984" i="2"/>
  <c r="AF982" i="2"/>
  <c r="AF981" i="2"/>
  <c r="AF979" i="2"/>
  <c r="AF978" i="2"/>
  <c r="AF976" i="2"/>
  <c r="AF974" i="2"/>
  <c r="AF972" i="2"/>
  <c r="AF970" i="2"/>
  <c r="AF969" i="2"/>
  <c r="AF968" i="2"/>
  <c r="AF967" i="2"/>
  <c r="AF966" i="2"/>
  <c r="AF965" i="2"/>
  <c r="AF963" i="2"/>
  <c r="AF962" i="2"/>
  <c r="AF961" i="2"/>
  <c r="AF960" i="2"/>
  <c r="AF958" i="2"/>
  <c r="AF956" i="2"/>
  <c r="AF954" i="2"/>
  <c r="AF953" i="2"/>
  <c r="AF952" i="2"/>
  <c r="AF949" i="2"/>
  <c r="AF948" i="2"/>
  <c r="AF947" i="2"/>
  <c r="AF946" i="2"/>
  <c r="AF944" i="2"/>
  <c r="AF943" i="2"/>
  <c r="AF940" i="2"/>
  <c r="AF938" i="2"/>
  <c r="AF937" i="2"/>
  <c r="AF936" i="2"/>
  <c r="AF935" i="2"/>
  <c r="AF934" i="2"/>
  <c r="AF933" i="2"/>
  <c r="AF931" i="2"/>
  <c r="AF930" i="2"/>
  <c r="AF928" i="2"/>
  <c r="AF926" i="2"/>
  <c r="AF924" i="2"/>
  <c r="AF921" i="2"/>
  <c r="AF919" i="2"/>
  <c r="AF918" i="2"/>
  <c r="AF917" i="2"/>
  <c r="AF916" i="2"/>
  <c r="AF915" i="2"/>
  <c r="AF914" i="2"/>
  <c r="AF911" i="2"/>
  <c r="AF908" i="2"/>
  <c r="AF907" i="2"/>
  <c r="AF906" i="2"/>
  <c r="AF905" i="2"/>
  <c r="AF903" i="2"/>
  <c r="AF901" i="2"/>
  <c r="AF900" i="2"/>
  <c r="AF899" i="2"/>
  <c r="AF897" i="2"/>
  <c r="AF895" i="2"/>
  <c r="AF893" i="2"/>
  <c r="AF892" i="2"/>
  <c r="AF891" i="2"/>
  <c r="AF890" i="2"/>
  <c r="AF889" i="2"/>
  <c r="AF888" i="2"/>
  <c r="AF885" i="2"/>
  <c r="AF883" i="2"/>
  <c r="AF881" i="2"/>
  <c r="AF879" i="2"/>
  <c r="AF877" i="2"/>
  <c r="AF876" i="2"/>
  <c r="AF875" i="2"/>
  <c r="AF873" i="2"/>
  <c r="AF872" i="2"/>
  <c r="AF871" i="2"/>
  <c r="AF870" i="2"/>
  <c r="AF867" i="2"/>
  <c r="AF866" i="2"/>
  <c r="AF865" i="2"/>
  <c r="AF864" i="2"/>
  <c r="AF861" i="2"/>
  <c r="AF859" i="2"/>
  <c r="AF858" i="2"/>
  <c r="AF857" i="2"/>
  <c r="AF856" i="2"/>
  <c r="AF855" i="2"/>
  <c r="AF854" i="2"/>
  <c r="AF853" i="2"/>
  <c r="AF852" i="2"/>
  <c r="AF850" i="2"/>
  <c r="AF847" i="2"/>
  <c r="AF845" i="2"/>
  <c r="AF840" i="2"/>
  <c r="AF839" i="2"/>
  <c r="AF837" i="2"/>
  <c r="AF836" i="2"/>
  <c r="AF834" i="2"/>
  <c r="AF833" i="2"/>
  <c r="AF830" i="2"/>
  <c r="AF829" i="2"/>
  <c r="AF827" i="2"/>
  <c r="AF826" i="2"/>
  <c r="AF824" i="2"/>
  <c r="AF822" i="2"/>
  <c r="AF821" i="2"/>
  <c r="AF818" i="2"/>
  <c r="AF814" i="2"/>
  <c r="AF813" i="2"/>
  <c r="AF810" i="2"/>
  <c r="AF808" i="2"/>
  <c r="AF804" i="2"/>
  <c r="AF802" i="2"/>
  <c r="AF801" i="2"/>
  <c r="AF799" i="2"/>
  <c r="AF798" i="2"/>
  <c r="AF797" i="2"/>
  <c r="AF796" i="2"/>
  <c r="AF793" i="2"/>
  <c r="AF788" i="2"/>
  <c r="AF787" i="2"/>
  <c r="AF786" i="2"/>
  <c r="AF785" i="2"/>
  <c r="AF784" i="2"/>
  <c r="AF783" i="2"/>
  <c r="AF782" i="2"/>
  <c r="AF781" i="2"/>
  <c r="AF780" i="2"/>
  <c r="AF779" i="2"/>
  <c r="AF777" i="2"/>
  <c r="AF776" i="2"/>
  <c r="AF775" i="2"/>
  <c r="AF774" i="2"/>
  <c r="AF771" i="2"/>
  <c r="AF770" i="2"/>
  <c r="AF769" i="2"/>
  <c r="AF767" i="2"/>
  <c r="AF763" i="2"/>
  <c r="AF762" i="2"/>
  <c r="AF760" i="2"/>
  <c r="AF759" i="2"/>
  <c r="AF758" i="2"/>
  <c r="AF757" i="2"/>
  <c r="AF756" i="2"/>
  <c r="AF754" i="2"/>
  <c r="AF753" i="2"/>
  <c r="AF751" i="2"/>
  <c r="AF749" i="2"/>
  <c r="AF748" i="2"/>
  <c r="AF747" i="2"/>
  <c r="AF746" i="2"/>
  <c r="AF745" i="2"/>
  <c r="AF744" i="2"/>
  <c r="AF743" i="2"/>
  <c r="AF741" i="2"/>
  <c r="AF736" i="2"/>
  <c r="AF735" i="2"/>
  <c r="AF734" i="2"/>
  <c r="AF730" i="2"/>
  <c r="AF729" i="2"/>
  <c r="AF726" i="2"/>
  <c r="AF725" i="2"/>
  <c r="AF724" i="2"/>
  <c r="AF723" i="2"/>
  <c r="AF721" i="2"/>
  <c r="AF720" i="2"/>
  <c r="AF716" i="2"/>
  <c r="AF714" i="2"/>
  <c r="AF710" i="2"/>
  <c r="AF708" i="2"/>
  <c r="AF707" i="2"/>
  <c r="AF706" i="2"/>
  <c r="AF704" i="2"/>
  <c r="AF703" i="2"/>
  <c r="AF702" i="2"/>
  <c r="AF700" i="2"/>
  <c r="AF699" i="2"/>
  <c r="AF698" i="2"/>
  <c r="AF697" i="2"/>
  <c r="AF696" i="2"/>
  <c r="AF692" i="2"/>
  <c r="AF688" i="2"/>
  <c r="AF686" i="2"/>
  <c r="AF683" i="2"/>
  <c r="AF682" i="2"/>
  <c r="AF680" i="2"/>
  <c r="AF679" i="2"/>
  <c r="AF678" i="2"/>
  <c r="AF674" i="2"/>
  <c r="AF672" i="2"/>
  <c r="AF670" i="2"/>
  <c r="AF669" i="2"/>
  <c r="AF667" i="2"/>
  <c r="AF666" i="2"/>
  <c r="AF665" i="2"/>
  <c r="AF664" i="2"/>
  <c r="AF662" i="2"/>
  <c r="AF661" i="2"/>
  <c r="AF659" i="2"/>
  <c r="AF653" i="2"/>
  <c r="AF652" i="2"/>
  <c r="AF651" i="2"/>
  <c r="AF647" i="2"/>
  <c r="AF646" i="2"/>
  <c r="AF645" i="2"/>
  <c r="AF642" i="2"/>
  <c r="AF641" i="2"/>
  <c r="AF637" i="2"/>
  <c r="AF636" i="2"/>
  <c r="AF633" i="2"/>
  <c r="AF632" i="2"/>
  <c r="AF629" i="2"/>
  <c r="AF627" i="2"/>
  <c r="AF625" i="2"/>
  <c r="AF624" i="2"/>
  <c r="AF623" i="2"/>
  <c r="AF622" i="2"/>
  <c r="AF621" i="2"/>
  <c r="AF620" i="2"/>
  <c r="AF618" i="2"/>
  <c r="AF615" i="2"/>
  <c r="AF612" i="2"/>
  <c r="AF611" i="2"/>
  <c r="AF606" i="2"/>
  <c r="AF604" i="2"/>
  <c r="AF603" i="2"/>
  <c r="AF602" i="2"/>
  <c r="AF600" i="2"/>
  <c r="AF596" i="2"/>
  <c r="AF595" i="2"/>
  <c r="AF594" i="2"/>
  <c r="AF593" i="2"/>
  <c r="AF589" i="2"/>
  <c r="AF588" i="2"/>
  <c r="AF587" i="2"/>
  <c r="AF585" i="2"/>
  <c r="AF584" i="2"/>
  <c r="AF583" i="2"/>
  <c r="AF580" i="2"/>
  <c r="AF578" i="2"/>
  <c r="AF574" i="2"/>
  <c r="AF571" i="2"/>
  <c r="AF568" i="2"/>
  <c r="AF566" i="2"/>
  <c r="AF561" i="2"/>
  <c r="AF559" i="2"/>
  <c r="AF556" i="2"/>
  <c r="AF554" i="2"/>
  <c r="AF553" i="2"/>
  <c r="AF551" i="2"/>
  <c r="AF550" i="2"/>
  <c r="AF548" i="2"/>
  <c r="AF547" i="2"/>
  <c r="AF546" i="2"/>
  <c r="AF543" i="2"/>
  <c r="AF542" i="2"/>
  <c r="AF540" i="2"/>
  <c r="AF539" i="2"/>
  <c r="AF538" i="2"/>
  <c r="AF537" i="2"/>
  <c r="AF536" i="2"/>
  <c r="AF535" i="2"/>
  <c r="AF534" i="2"/>
  <c r="AF533" i="2"/>
  <c r="AF531" i="2"/>
  <c r="AF530" i="2"/>
  <c r="AF526" i="2"/>
  <c r="AF522" i="2"/>
  <c r="AF520" i="2"/>
  <c r="AF518" i="2"/>
  <c r="AF517" i="2"/>
  <c r="AF516" i="2"/>
  <c r="AF514" i="2"/>
  <c r="AF513" i="2"/>
  <c r="AF511" i="2"/>
  <c r="AF510" i="2"/>
  <c r="AF505" i="2"/>
  <c r="AF502" i="2"/>
  <c r="AF501" i="2"/>
  <c r="AF500" i="2"/>
  <c r="AF497" i="2"/>
  <c r="AF496" i="2"/>
  <c r="AF495" i="2"/>
  <c r="AF494" i="2"/>
  <c r="AF491" i="2"/>
  <c r="AF490" i="2"/>
  <c r="AF489" i="2"/>
  <c r="AF488" i="2"/>
  <c r="AF487" i="2"/>
  <c r="AF486" i="2"/>
  <c r="AF485" i="2"/>
  <c r="AF481" i="2"/>
  <c r="AF479" i="2"/>
  <c r="AF478" i="2"/>
  <c r="AF477" i="2"/>
  <c r="AF475" i="2"/>
  <c r="AF474" i="2"/>
  <c r="AF471" i="2"/>
  <c r="AF465" i="2"/>
  <c r="AF464" i="2"/>
  <c r="AF463" i="2"/>
  <c r="AF462" i="2"/>
  <c r="AF460" i="2"/>
  <c r="AF458" i="2"/>
  <c r="AF457" i="2"/>
  <c r="AF455" i="2"/>
  <c r="AF454" i="2"/>
  <c r="AF452" i="2"/>
  <c r="AF449" i="2"/>
  <c r="AF448" i="2"/>
  <c r="AF447" i="2"/>
  <c r="AF446" i="2"/>
  <c r="AF445" i="2"/>
  <c r="AF443" i="2"/>
  <c r="AF442" i="2"/>
  <c r="AF441" i="2"/>
  <c r="AF440" i="2"/>
  <c r="AF439" i="2"/>
  <c r="AF438" i="2"/>
  <c r="AF437" i="2"/>
  <c r="AF436" i="2"/>
  <c r="AF431" i="2"/>
  <c r="AF429" i="2"/>
  <c r="AF428" i="2"/>
  <c r="AF427" i="2"/>
  <c r="AF424" i="2"/>
  <c r="AF423" i="2"/>
  <c r="AF419" i="2"/>
  <c r="AF418" i="2"/>
  <c r="AF417" i="2"/>
  <c r="AF416" i="2"/>
  <c r="AF415" i="2"/>
  <c r="AF413" i="2"/>
  <c r="AF412" i="2"/>
  <c r="AF411" i="2"/>
  <c r="AF410" i="2"/>
  <c r="AF407" i="2"/>
  <c r="AF405" i="2"/>
  <c r="AF401" i="2"/>
  <c r="AF400" i="2"/>
  <c r="AF397" i="2"/>
  <c r="AF396" i="2"/>
  <c r="AF394" i="2"/>
  <c r="AF393" i="2"/>
  <c r="AF392" i="2"/>
  <c r="AF391" i="2"/>
  <c r="AF390" i="2"/>
  <c r="AF389" i="2"/>
  <c r="AF388" i="2"/>
  <c r="AF386" i="2"/>
  <c r="AF385" i="2"/>
  <c r="AF382" i="2"/>
  <c r="AF379" i="2"/>
  <c r="AF378" i="2"/>
  <c r="AF377" i="2"/>
  <c r="AF375" i="2"/>
  <c r="AF373" i="2"/>
  <c r="AF372" i="2"/>
  <c r="AF371" i="2"/>
  <c r="AF369" i="2"/>
  <c r="AF368" i="2"/>
  <c r="AF367" i="2"/>
  <c r="AF366" i="2"/>
  <c r="AF365" i="2"/>
  <c r="AF364" i="2"/>
  <c r="AF363" i="2"/>
  <c r="AF361" i="2"/>
  <c r="AF360" i="2"/>
  <c r="AF356" i="2"/>
  <c r="AF354" i="2"/>
  <c r="AF353" i="2"/>
  <c r="AF352" i="2"/>
  <c r="AF351" i="2"/>
  <c r="AF349" i="2"/>
  <c r="AF348" i="2"/>
  <c r="AF347" i="2"/>
  <c r="AF346" i="2"/>
  <c r="AF345" i="2"/>
  <c r="AF343" i="2"/>
  <c r="AF341" i="2"/>
  <c r="AF339" i="2"/>
  <c r="AF338" i="2"/>
  <c r="AF337" i="2"/>
  <c r="AF333" i="2"/>
  <c r="AF332" i="2"/>
  <c r="AF330" i="2"/>
  <c r="AF327" i="2"/>
  <c r="AF325" i="2"/>
  <c r="AF321" i="2"/>
  <c r="AF320" i="2"/>
  <c r="AF319" i="2"/>
  <c r="AF317" i="2"/>
  <c r="AF312" i="2"/>
  <c r="AF311" i="2"/>
  <c r="AF308" i="2"/>
  <c r="AF307" i="2"/>
  <c r="AF303" i="2"/>
  <c r="AF300" i="2"/>
  <c r="AF299" i="2"/>
  <c r="AF293" i="2"/>
  <c r="AF290" i="2"/>
  <c r="AF287" i="2"/>
  <c r="AF285" i="2"/>
  <c r="AF283" i="2"/>
  <c r="AF281" i="2"/>
  <c r="AF280" i="2"/>
  <c r="AF277" i="2"/>
  <c r="AF274" i="2"/>
  <c r="AF273" i="2"/>
  <c r="AF272" i="2"/>
  <c r="AF271" i="2"/>
  <c r="AF270" i="2"/>
  <c r="AF268" i="2"/>
  <c r="AF267" i="2"/>
  <c r="AF265" i="2"/>
  <c r="AF260" i="2"/>
  <c r="AF259" i="2"/>
  <c r="AF258" i="2"/>
  <c r="AF256" i="2"/>
  <c r="AF255" i="2"/>
  <c r="AF250" i="2"/>
  <c r="AF248" i="2"/>
  <c r="AF247" i="2"/>
  <c r="AF246" i="2"/>
  <c r="AF243" i="2"/>
  <c r="AF242" i="2"/>
  <c r="AF241" i="2"/>
  <c r="AF236" i="2"/>
  <c r="AF234" i="2"/>
  <c r="AF232" i="2"/>
  <c r="AF231" i="2"/>
  <c r="AF230" i="2"/>
  <c r="AF229" i="2"/>
  <c r="AF224" i="2"/>
  <c r="AF218" i="2"/>
  <c r="AF217" i="2"/>
  <c r="AF215" i="2"/>
  <c r="AF214" i="2"/>
  <c r="AF213" i="2"/>
  <c r="AF210" i="2"/>
  <c r="AF209" i="2"/>
  <c r="AF207" i="2"/>
  <c r="AF206" i="2"/>
  <c r="AF205" i="2"/>
  <c r="AF204" i="2"/>
  <c r="AF202" i="2"/>
  <c r="AF201" i="2"/>
  <c r="AF200" i="2"/>
  <c r="AF199" i="2"/>
  <c r="AF198" i="2"/>
  <c r="AF197" i="2"/>
  <c r="AF194" i="2"/>
  <c r="AF193" i="2"/>
  <c r="AF189" i="2"/>
  <c r="AF188" i="2"/>
  <c r="AF187" i="2"/>
  <c r="AF186" i="2"/>
  <c r="AF185" i="2"/>
  <c r="AF184" i="2"/>
  <c r="AF182" i="2"/>
  <c r="AF180" i="2"/>
  <c r="AF179" i="2"/>
  <c r="AF176" i="2"/>
  <c r="AF173" i="2"/>
  <c r="AF172" i="2"/>
  <c r="AF171" i="2"/>
  <c r="AF170" i="2"/>
  <c r="AF169" i="2"/>
  <c r="AF168" i="2"/>
  <c r="AF165" i="2"/>
  <c r="AF163" i="2"/>
  <c r="AF162" i="2"/>
  <c r="AF160" i="2"/>
  <c r="AF159" i="2"/>
  <c r="AF157" i="2"/>
  <c r="AF154" i="2"/>
  <c r="AF151" i="2"/>
  <c r="AF150" i="2"/>
  <c r="AF148" i="2"/>
  <c r="AF147" i="2"/>
  <c r="AF146" i="2"/>
  <c r="AF143" i="2"/>
  <c r="AF141" i="2"/>
  <c r="AF138" i="2"/>
  <c r="AF137" i="2"/>
  <c r="AF136" i="2"/>
  <c r="AF135" i="2"/>
  <c r="AF134" i="2"/>
  <c r="AF132" i="2"/>
  <c r="AF131" i="2"/>
  <c r="AF130" i="2"/>
  <c r="AF129" i="2"/>
  <c r="AF128" i="2"/>
  <c r="AF127" i="2"/>
  <c r="AF126" i="2"/>
  <c r="AF123" i="2"/>
  <c r="AF118" i="2"/>
  <c r="AF116" i="2"/>
  <c r="AF114" i="2"/>
  <c r="AF113" i="2"/>
  <c r="AF112" i="2"/>
  <c r="AF108" i="2"/>
  <c r="AF106" i="2"/>
  <c r="AF105" i="2"/>
  <c r="AF102" i="2"/>
  <c r="AF101" i="2"/>
  <c r="AF94" i="2"/>
  <c r="AF93" i="2"/>
  <c r="AF90" i="2"/>
  <c r="AF89" i="2"/>
  <c r="AF87" i="2"/>
  <c r="AF86" i="2"/>
  <c r="AF85" i="2"/>
  <c r="AF84" i="2"/>
  <c r="AF83" i="2"/>
  <c r="AF79" i="2"/>
  <c r="AF78" i="2"/>
  <c r="AF74" i="2"/>
  <c r="AF72" i="2"/>
  <c r="AF69" i="2"/>
  <c r="AF67" i="2"/>
  <c r="AF66" i="2"/>
  <c r="AF58" i="2"/>
  <c r="AF56" i="2"/>
  <c r="AF54" i="2"/>
  <c r="AF48" i="2"/>
  <c r="AF45" i="2"/>
  <c r="AF44" i="2"/>
  <c r="AF43" i="2"/>
  <c r="AF42" i="2"/>
  <c r="AF41" i="2"/>
  <c r="AF39" i="2"/>
  <c r="AF37" i="2"/>
  <c r="AF35" i="2"/>
  <c r="AF34" i="2"/>
  <c r="AF32" i="2"/>
  <c r="AF29" i="2"/>
  <c r="AF25" i="2"/>
  <c r="AF23" i="2"/>
  <c r="AF20" i="2"/>
  <c r="AF17" i="2"/>
  <c r="AF14" i="2"/>
  <c r="S2235" i="2"/>
  <c r="S2234" i="2"/>
  <c r="S2233" i="2"/>
  <c r="S2232" i="2"/>
  <c r="S2231" i="2"/>
  <c r="S2230" i="2"/>
  <c r="S2229" i="2"/>
  <c r="S2228" i="2"/>
  <c r="S2227" i="2"/>
  <c r="S2226" i="2"/>
  <c r="S2225" i="2"/>
  <c r="S2224" i="2"/>
  <c r="S2223" i="2"/>
  <c r="S2222" i="2"/>
  <c r="S2221" i="2"/>
  <c r="S2220" i="2"/>
  <c r="S2219" i="2"/>
  <c r="S2218" i="2"/>
  <c r="S2217" i="2"/>
  <c r="S2216" i="2"/>
  <c r="S2215" i="2"/>
  <c r="S2214" i="2"/>
  <c r="S2213" i="2"/>
  <c r="S2212" i="2"/>
  <c r="S2211" i="2"/>
  <c r="S2210" i="2"/>
  <c r="S2209" i="2"/>
  <c r="S2208" i="2"/>
  <c r="S2207" i="2"/>
  <c r="S2206" i="2"/>
  <c r="S2205" i="2"/>
  <c r="S2204" i="2"/>
  <c r="S2203" i="2"/>
  <c r="S2202" i="2"/>
  <c r="S2201" i="2"/>
  <c r="S2200" i="2"/>
  <c r="S2199" i="2"/>
  <c r="S2198" i="2"/>
  <c r="S2197" i="2"/>
  <c r="S2196" i="2"/>
  <c r="S2195" i="2"/>
  <c r="S2194" i="2"/>
  <c r="S2193" i="2"/>
  <c r="S2192" i="2"/>
  <c r="S2191" i="2"/>
  <c r="S2190" i="2"/>
  <c r="S2189" i="2"/>
  <c r="S2188" i="2"/>
  <c r="S2187" i="2"/>
  <c r="S2186" i="2"/>
  <c r="S2185" i="2"/>
  <c r="S2184" i="2"/>
  <c r="S2183" i="2"/>
  <c r="S2182" i="2"/>
  <c r="S2181" i="2"/>
  <c r="S2180" i="2"/>
  <c r="S2179" i="2"/>
  <c r="S2178" i="2"/>
  <c r="S2177" i="2"/>
  <c r="S2176" i="2"/>
  <c r="S2175" i="2"/>
  <c r="S2174" i="2"/>
  <c r="S2173" i="2"/>
  <c r="S2172" i="2"/>
  <c r="S2171" i="2"/>
  <c r="S2170" i="2"/>
  <c r="S2169" i="2"/>
  <c r="S2168" i="2"/>
  <c r="S2167" i="2"/>
  <c r="S2166" i="2"/>
  <c r="S2165" i="2"/>
  <c r="S2164" i="2"/>
  <c r="S2163" i="2"/>
  <c r="S2162" i="2"/>
  <c r="S2161" i="2"/>
  <c r="S2160" i="2"/>
  <c r="S2159" i="2"/>
  <c r="S2158" i="2"/>
  <c r="S2157" i="2"/>
  <c r="S2156" i="2"/>
  <c r="S2155" i="2"/>
  <c r="S2154" i="2"/>
  <c r="S2153" i="2"/>
  <c r="S2152" i="2"/>
  <c r="S2151" i="2"/>
  <c r="S2150" i="2"/>
  <c r="S2149" i="2"/>
  <c r="S2148" i="2"/>
  <c r="S2147" i="2"/>
  <c r="S2146" i="2"/>
  <c r="S2145" i="2"/>
  <c r="S2144" i="2"/>
  <c r="S2143" i="2"/>
  <c r="S2142" i="2"/>
  <c r="S2141" i="2"/>
  <c r="S2140" i="2"/>
  <c r="S2139" i="2"/>
  <c r="S2138" i="2"/>
  <c r="S2137" i="2"/>
  <c r="S2136" i="2"/>
  <c r="S2135" i="2"/>
  <c r="S2134" i="2"/>
  <c r="S2133" i="2"/>
  <c r="S2132" i="2"/>
  <c r="S2131" i="2"/>
  <c r="S2130" i="2"/>
  <c r="S2129" i="2"/>
  <c r="S2128" i="2"/>
  <c r="S2127" i="2"/>
  <c r="S2126" i="2"/>
  <c r="S2125" i="2"/>
  <c r="S2124" i="2"/>
  <c r="S2123" i="2"/>
  <c r="S2122" i="2"/>
  <c r="S2121" i="2"/>
  <c r="S2120" i="2"/>
  <c r="S2119" i="2"/>
  <c r="S2118" i="2"/>
  <c r="S2117" i="2"/>
  <c r="S2116" i="2"/>
  <c r="S2115" i="2"/>
  <c r="S2114" i="2"/>
  <c r="S2113" i="2"/>
  <c r="S2112" i="2"/>
  <c r="S2111" i="2"/>
  <c r="S2110" i="2"/>
  <c r="S2109" i="2"/>
  <c r="S2108" i="2"/>
  <c r="S2107" i="2"/>
  <c r="S2106" i="2"/>
  <c r="S2105" i="2"/>
  <c r="S2104" i="2"/>
  <c r="S2103" i="2"/>
  <c r="S2102" i="2"/>
  <c r="S2101" i="2"/>
  <c r="S2100" i="2"/>
  <c r="S2099" i="2"/>
  <c r="S2098" i="2"/>
  <c r="S2097" i="2"/>
  <c r="S2096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44" i="2"/>
  <c r="S2043" i="2"/>
  <c r="S2042" i="2"/>
  <c r="S2041" i="2"/>
  <c r="S2040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13" i="2"/>
  <c r="S2012" i="2"/>
  <c r="S2011" i="2"/>
  <c r="S2010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21" i="2"/>
  <c r="S1920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903" i="2"/>
  <c r="S1902" i="2"/>
  <c r="S1901" i="2"/>
  <c r="S1900" i="2"/>
  <c r="S1899" i="2"/>
  <c r="S1898" i="2"/>
  <c r="S1897" i="2"/>
  <c r="S1896" i="2"/>
  <c r="S1895" i="2"/>
  <c r="S1894" i="2"/>
  <c r="S1893" i="2"/>
  <c r="S1892" i="2"/>
  <c r="S1891" i="2"/>
  <c r="S1890" i="2"/>
  <c r="S1889" i="2"/>
  <c r="S1888" i="2"/>
  <c r="S1887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30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814" i="2"/>
  <c r="S1813" i="2"/>
  <c r="S1812" i="2"/>
  <c r="S1811" i="2"/>
  <c r="S1810" i="2"/>
  <c r="S1809" i="2"/>
  <c r="S1808" i="2"/>
  <c r="S1807" i="2"/>
  <c r="S1806" i="2"/>
  <c r="S1805" i="2"/>
  <c r="S1804" i="2"/>
  <c r="S1803" i="2"/>
  <c r="S1802" i="2"/>
  <c r="S1801" i="2"/>
  <c r="S1800" i="2"/>
  <c r="S1799" i="2"/>
  <c r="S1798" i="2"/>
  <c r="S1797" i="2"/>
  <c r="S1796" i="2"/>
  <c r="S1795" i="2"/>
  <c r="S1794" i="2"/>
  <c r="S1793" i="2"/>
  <c r="S1792" i="2"/>
  <c r="S1791" i="2"/>
  <c r="S1790" i="2"/>
  <c r="S1789" i="2"/>
  <c r="S1788" i="2"/>
  <c r="S1787" i="2"/>
  <c r="S1786" i="2"/>
  <c r="S1785" i="2"/>
  <c r="S1784" i="2"/>
  <c r="S1783" i="2"/>
  <c r="S1782" i="2"/>
  <c r="S1781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7" i="2"/>
  <c r="S1766" i="2"/>
  <c r="S1765" i="2"/>
  <c r="S1764" i="2"/>
  <c r="S1763" i="2"/>
  <c r="S1762" i="2"/>
  <c r="S1761" i="2"/>
  <c r="S1760" i="2"/>
  <c r="S1759" i="2"/>
  <c r="S1758" i="2"/>
  <c r="S1757" i="2"/>
  <c r="S1756" i="2"/>
  <c r="S1755" i="2"/>
  <c r="S1754" i="2"/>
  <c r="S1753" i="2"/>
  <c r="S1752" i="2"/>
  <c r="S1751" i="2"/>
  <c r="S1750" i="2"/>
  <c r="S1749" i="2"/>
  <c r="S1748" i="2"/>
  <c r="S1747" i="2"/>
  <c r="S1746" i="2"/>
  <c r="S1745" i="2"/>
  <c r="S1744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8" i="2"/>
  <c r="S1727" i="2"/>
  <c r="S1726" i="2"/>
  <c r="S1725" i="2"/>
  <c r="S1724" i="2"/>
  <c r="S1723" i="2"/>
  <c r="S1722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8" i="2"/>
  <c r="S1707" i="2"/>
  <c r="S1706" i="2"/>
  <c r="S1705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2" i="2"/>
  <c r="S1691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56" i="2"/>
  <c r="S1655" i="2"/>
  <c r="S1654" i="2"/>
  <c r="S1653" i="2"/>
  <c r="S1652" i="2"/>
  <c r="S1651" i="2"/>
  <c r="S1650" i="2"/>
  <c r="S1649" i="2"/>
  <c r="S1648" i="2"/>
  <c r="S1647" i="2"/>
  <c r="S1646" i="2"/>
  <c r="S1645" i="2"/>
  <c r="S1644" i="2"/>
  <c r="S1643" i="2"/>
  <c r="S1642" i="2"/>
  <c r="S1641" i="2"/>
  <c r="S1640" i="2"/>
  <c r="S1639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81" i="2"/>
  <c r="S1580" i="2"/>
  <c r="S1579" i="2"/>
  <c r="S1578" i="2"/>
  <c r="S1577" i="2"/>
  <c r="S1576" i="2"/>
  <c r="S1575" i="2"/>
  <c r="S1574" i="2"/>
  <c r="S1573" i="2"/>
  <c r="S1572" i="2"/>
  <c r="S1571" i="2"/>
  <c r="S1570" i="2"/>
  <c r="S1569" i="2"/>
  <c r="S1568" i="2"/>
  <c r="S1567" i="2"/>
  <c r="S1566" i="2"/>
  <c r="S1565" i="2"/>
  <c r="S1564" i="2"/>
  <c r="S1563" i="2"/>
  <c r="S1562" i="2"/>
  <c r="S1561" i="2"/>
  <c r="S1560" i="2"/>
  <c r="S1559" i="2"/>
  <c r="S1558" i="2"/>
  <c r="S1557" i="2"/>
  <c r="S1556" i="2"/>
  <c r="S1555" i="2"/>
  <c r="S1554" i="2"/>
  <c r="S1553" i="2"/>
  <c r="S1552" i="2"/>
  <c r="S1551" i="2"/>
  <c r="S1550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7" i="2"/>
  <c r="S1536" i="2"/>
  <c r="S1535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70" i="2"/>
  <c r="S1469" i="2"/>
  <c r="S1468" i="2"/>
  <c r="S1467" i="2"/>
  <c r="S1466" i="2"/>
  <c r="S1465" i="2"/>
  <c r="S1464" i="2"/>
  <c r="S1463" i="2"/>
  <c r="S1462" i="2"/>
  <c r="S1461" i="2"/>
  <c r="S1460" i="2"/>
  <c r="S1459" i="2"/>
  <c r="S1458" i="2"/>
  <c r="S1457" i="2"/>
  <c r="S1456" i="2"/>
  <c r="S1455" i="2"/>
  <c r="S1454" i="2"/>
  <c r="S1453" i="2"/>
  <c r="S1452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8" i="2"/>
  <c r="S1407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6" i="2"/>
  <c r="S1295" i="2"/>
  <c r="S1294" i="2"/>
  <c r="S1293" i="2"/>
  <c r="S1292" i="2"/>
  <c r="S1291" i="2"/>
  <c r="S1290" i="2"/>
  <c r="S1289" i="2"/>
  <c r="S1288" i="2"/>
  <c r="S1287" i="2"/>
  <c r="S1286" i="2"/>
  <c r="S1285" i="2"/>
  <c r="S1284" i="2"/>
  <c r="S1283" i="2"/>
  <c r="S1282" i="2"/>
  <c r="S1281" i="2"/>
  <c r="S1280" i="2"/>
  <c r="S1279" i="2"/>
  <c r="S1278" i="2"/>
  <c r="S1277" i="2"/>
  <c r="S1276" i="2"/>
  <c r="S1275" i="2"/>
  <c r="S1274" i="2"/>
  <c r="S1273" i="2"/>
  <c r="S1272" i="2"/>
  <c r="S1271" i="2"/>
  <c r="S1270" i="2"/>
  <c r="S1269" i="2"/>
  <c r="S1268" i="2"/>
  <c r="S1267" i="2"/>
  <c r="S1266" i="2"/>
  <c r="S1265" i="2"/>
  <c r="S1264" i="2"/>
  <c r="S1263" i="2"/>
  <c r="S1262" i="2"/>
  <c r="S1261" i="2"/>
  <c r="S1260" i="2"/>
  <c r="S1259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4" i="2"/>
  <c r="S1213" i="2"/>
  <c r="S1212" i="2"/>
  <c r="S1211" i="2"/>
  <c r="S1210" i="2"/>
  <c r="S1209" i="2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6" i="2"/>
  <c r="S1195" i="2"/>
  <c r="S1194" i="2"/>
  <c r="S1193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9" i="2"/>
  <c r="S1178" i="2"/>
  <c r="S1177" i="2"/>
  <c r="S1176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93" i="2"/>
  <c r="S1092" i="2"/>
  <c r="S1091" i="2"/>
  <c r="S1090" i="2"/>
  <c r="S1089" i="2"/>
  <c r="S1088" i="2"/>
  <c r="S1087" i="2"/>
  <c r="S1086" i="2"/>
  <c r="S1085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64" i="2"/>
  <c r="S1063" i="2"/>
  <c r="S1062" i="2"/>
  <c r="S1061" i="2"/>
  <c r="S1060" i="2"/>
  <c r="S1059" i="2"/>
  <c r="S1058" i="2"/>
  <c r="S1057" i="2"/>
  <c r="S1056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39" i="2"/>
  <c r="S1038" i="2"/>
  <c r="S1037" i="2"/>
  <c r="S1036" i="2"/>
  <c r="S1035" i="2"/>
  <c r="S1034" i="2"/>
  <c r="S1033" i="2"/>
  <c r="S1032" i="2"/>
  <c r="S1031" i="2"/>
  <c r="S1030" i="2"/>
  <c r="S1029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1012" i="2"/>
  <c r="S1011" i="2"/>
  <c r="S1010" i="2"/>
  <c r="S1009" i="2"/>
  <c r="S1008" i="2"/>
  <c r="S1007" i="2"/>
  <c r="S1006" i="2"/>
  <c r="S1005" i="2"/>
  <c r="S1004" i="2"/>
  <c r="S1003" i="2"/>
  <c r="S1002" i="2"/>
  <c r="S1001" i="2"/>
  <c r="S1000" i="2"/>
  <c r="S999" i="2"/>
  <c r="S998" i="2"/>
  <c r="S997" i="2"/>
  <c r="S996" i="2"/>
  <c r="S995" i="2"/>
  <c r="S994" i="2"/>
  <c r="S993" i="2"/>
  <c r="S992" i="2"/>
  <c r="S991" i="2"/>
  <c r="S990" i="2"/>
  <c r="S989" i="2"/>
  <c r="S988" i="2"/>
  <c r="S987" i="2"/>
  <c r="S986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4" i="2"/>
  <c r="S3" i="2"/>
  <c r="Y2235" i="2"/>
  <c r="Y2234" i="2"/>
  <c r="Y2233" i="2"/>
  <c r="Y2232" i="2"/>
  <c r="Y2231" i="2"/>
  <c r="Y2230" i="2"/>
  <c r="Y2229" i="2"/>
  <c r="Y2228" i="2"/>
  <c r="Y2227" i="2"/>
  <c r="Y2226" i="2"/>
  <c r="Y2225" i="2"/>
  <c r="Y2224" i="2"/>
  <c r="Y2223" i="2"/>
  <c r="Y2222" i="2"/>
  <c r="Y2221" i="2"/>
  <c r="Y2220" i="2"/>
  <c r="Y2219" i="2"/>
  <c r="Y2218" i="2"/>
  <c r="Y2217" i="2"/>
  <c r="Y2216" i="2"/>
  <c r="Y2215" i="2"/>
  <c r="Y2214" i="2"/>
  <c r="Y2213" i="2"/>
  <c r="Y2212" i="2"/>
  <c r="Y2211" i="2"/>
  <c r="Y2210" i="2"/>
  <c r="Y2209" i="2"/>
  <c r="Y2208" i="2"/>
  <c r="Y2207" i="2"/>
  <c r="Y2206" i="2"/>
  <c r="Y2205" i="2"/>
  <c r="Y2204" i="2"/>
  <c r="Y2203" i="2"/>
  <c r="Y2202" i="2"/>
  <c r="Y2201" i="2"/>
  <c r="Y2200" i="2"/>
  <c r="Y2199" i="2"/>
  <c r="Y2198" i="2"/>
  <c r="Y2197" i="2"/>
  <c r="Y2196" i="2"/>
  <c r="Y2195" i="2"/>
  <c r="Y2194" i="2"/>
  <c r="Y2193" i="2"/>
  <c r="Y2192" i="2"/>
  <c r="Y2191" i="2"/>
  <c r="Y2190" i="2"/>
  <c r="Y2189" i="2"/>
  <c r="Y2188" i="2"/>
  <c r="Y2187" i="2"/>
  <c r="Y2186" i="2"/>
  <c r="Y2185" i="2"/>
  <c r="Y2184" i="2"/>
  <c r="Y2183" i="2"/>
  <c r="Y2182" i="2"/>
  <c r="Y2181" i="2"/>
  <c r="Y2180" i="2"/>
  <c r="Y2179" i="2"/>
  <c r="Y2178" i="2"/>
  <c r="Y2177" i="2"/>
  <c r="Y2176" i="2"/>
  <c r="Y2175" i="2"/>
  <c r="Y2174" i="2"/>
  <c r="Y2173" i="2"/>
  <c r="Y2172" i="2"/>
  <c r="Y2171" i="2"/>
  <c r="Y2170" i="2"/>
  <c r="Y2169" i="2"/>
  <c r="Y2168" i="2"/>
  <c r="Y2167" i="2"/>
  <c r="Y2166" i="2"/>
  <c r="Y2165" i="2"/>
  <c r="Y2164" i="2"/>
  <c r="Y2163" i="2"/>
  <c r="Y2162" i="2"/>
  <c r="Y2161" i="2"/>
  <c r="Y2160" i="2"/>
  <c r="Y2159" i="2"/>
  <c r="Y2158" i="2"/>
  <c r="Y2157" i="2"/>
  <c r="Y2156" i="2"/>
  <c r="Y2155" i="2"/>
  <c r="Y2154" i="2"/>
  <c r="Y2153" i="2"/>
  <c r="Y2152" i="2"/>
  <c r="Y2151" i="2"/>
  <c r="Y2150" i="2"/>
  <c r="Y2149" i="2"/>
  <c r="Y2148" i="2"/>
  <c r="Y2147" i="2"/>
  <c r="Y2146" i="2"/>
  <c r="Y2145" i="2"/>
  <c r="Y2144" i="2"/>
  <c r="Y2143" i="2"/>
  <c r="Y2142" i="2"/>
  <c r="Y2141" i="2"/>
  <c r="Y2140" i="2"/>
  <c r="Y2139" i="2"/>
  <c r="Y2138" i="2"/>
  <c r="Y2137" i="2"/>
  <c r="Y2136" i="2"/>
  <c r="Y2135" i="2"/>
  <c r="Y2134" i="2"/>
  <c r="Y2133" i="2"/>
  <c r="Y2132" i="2"/>
  <c r="Y2131" i="2"/>
  <c r="Y2130" i="2"/>
  <c r="Y2129" i="2"/>
  <c r="Y2128" i="2"/>
  <c r="Y2127" i="2"/>
  <c r="Y2126" i="2"/>
  <c r="Y2125" i="2"/>
  <c r="Y2124" i="2"/>
  <c r="Y2123" i="2"/>
  <c r="Y2122" i="2"/>
  <c r="Y2121" i="2"/>
  <c r="Y2120" i="2"/>
  <c r="Y2119" i="2"/>
  <c r="Y2118" i="2"/>
  <c r="Y2117" i="2"/>
  <c r="Y2116" i="2"/>
  <c r="Y2115" i="2"/>
  <c r="Y2114" i="2"/>
  <c r="Y2113" i="2"/>
  <c r="Y2112" i="2"/>
  <c r="Y2111" i="2"/>
  <c r="Y2110" i="2"/>
  <c r="Y2109" i="2"/>
  <c r="Y2108" i="2"/>
  <c r="Y2107" i="2"/>
  <c r="Y2106" i="2"/>
  <c r="Y2105" i="2"/>
  <c r="Y2104" i="2"/>
  <c r="Y2103" i="2"/>
  <c r="Y2102" i="2"/>
  <c r="Y2101" i="2"/>
  <c r="Y2100" i="2"/>
  <c r="Y2099" i="2"/>
  <c r="Y2098" i="2"/>
  <c r="Y2097" i="2"/>
  <c r="Y2096" i="2"/>
  <c r="Y2095" i="2"/>
  <c r="Y2094" i="2"/>
  <c r="Y2093" i="2"/>
  <c r="Y2092" i="2"/>
  <c r="Y2091" i="2"/>
  <c r="Y2090" i="2"/>
  <c r="Y2089" i="2"/>
  <c r="Y2088" i="2"/>
  <c r="Y2087" i="2"/>
  <c r="Y2086" i="2"/>
  <c r="Y2085" i="2"/>
  <c r="Y2084" i="2"/>
  <c r="Y2083" i="2"/>
  <c r="Y2082" i="2"/>
  <c r="Y2081" i="2"/>
  <c r="Y2080" i="2"/>
  <c r="Y2079" i="2"/>
  <c r="Y2078" i="2"/>
  <c r="Y2077" i="2"/>
  <c r="Y2076" i="2"/>
  <c r="Y2075" i="2"/>
  <c r="Y2074" i="2"/>
  <c r="Y2073" i="2"/>
  <c r="Y2072" i="2"/>
  <c r="Y2071" i="2"/>
  <c r="Y2070" i="2"/>
  <c r="Y2069" i="2"/>
  <c r="Y2068" i="2"/>
  <c r="Y2067" i="2"/>
  <c r="Y2066" i="2"/>
  <c r="Y2065" i="2"/>
  <c r="Y2064" i="2"/>
  <c r="Y2063" i="2"/>
  <c r="Y2062" i="2"/>
  <c r="Y2061" i="2"/>
  <c r="Y2060" i="2"/>
  <c r="Y2059" i="2"/>
  <c r="Y2058" i="2"/>
  <c r="Y2057" i="2"/>
  <c r="Y2056" i="2"/>
  <c r="Y2055" i="2"/>
  <c r="Y2054" i="2"/>
  <c r="Y2053" i="2"/>
  <c r="Y2052" i="2"/>
  <c r="Y2051" i="2"/>
  <c r="Y2050" i="2"/>
  <c r="Y2049" i="2"/>
  <c r="Y2048" i="2"/>
  <c r="Y2047" i="2"/>
  <c r="Y2046" i="2"/>
  <c r="Y2045" i="2"/>
  <c r="Y2044" i="2"/>
  <c r="Y2043" i="2"/>
  <c r="Y2042" i="2"/>
  <c r="Y2041" i="2"/>
  <c r="Y2040" i="2"/>
  <c r="Y2039" i="2"/>
  <c r="Y2038" i="2"/>
  <c r="Y2037" i="2"/>
  <c r="Y2036" i="2"/>
  <c r="Y2035" i="2"/>
  <c r="Y2034" i="2"/>
  <c r="Y2033" i="2"/>
  <c r="Y2032" i="2"/>
  <c r="Y2031" i="2"/>
  <c r="Y2030" i="2"/>
  <c r="Y2029" i="2"/>
  <c r="Y2028" i="2"/>
  <c r="Y2027" i="2"/>
  <c r="Y2026" i="2"/>
  <c r="Y2025" i="2"/>
  <c r="Y2024" i="2"/>
  <c r="Y2023" i="2"/>
  <c r="Y2022" i="2"/>
  <c r="Y2021" i="2"/>
  <c r="Y2020" i="2"/>
  <c r="Y2019" i="2"/>
  <c r="Y2018" i="2"/>
  <c r="Y2017" i="2"/>
  <c r="Y2016" i="2"/>
  <c r="Y2015" i="2"/>
  <c r="Y2014" i="2"/>
  <c r="Y2013" i="2"/>
  <c r="Y2012" i="2"/>
  <c r="Y2011" i="2"/>
  <c r="Y2010" i="2"/>
  <c r="Y2009" i="2"/>
  <c r="Y2008" i="2"/>
  <c r="Y2007" i="2"/>
  <c r="Y2006" i="2"/>
  <c r="Y2005" i="2"/>
  <c r="Y2004" i="2"/>
  <c r="Y2003" i="2"/>
  <c r="Y2002" i="2"/>
  <c r="Y2001" i="2"/>
  <c r="Y2000" i="2"/>
  <c r="Y1999" i="2"/>
  <c r="Y1998" i="2"/>
  <c r="Y1997" i="2"/>
  <c r="Y1996" i="2"/>
  <c r="Y1995" i="2"/>
  <c r="Y1994" i="2"/>
  <c r="Y1993" i="2"/>
  <c r="Y1992" i="2"/>
  <c r="Y1991" i="2"/>
  <c r="Y1990" i="2"/>
  <c r="Y1989" i="2"/>
  <c r="Y1988" i="2"/>
  <c r="Y1987" i="2"/>
  <c r="Y1986" i="2"/>
  <c r="Y1985" i="2"/>
  <c r="Y1984" i="2"/>
  <c r="Y1983" i="2"/>
  <c r="Y1982" i="2"/>
  <c r="Y1981" i="2"/>
  <c r="Y1980" i="2"/>
  <c r="Y1979" i="2"/>
  <c r="Y1978" i="2"/>
  <c r="Y1977" i="2"/>
  <c r="Y1976" i="2"/>
  <c r="Y1975" i="2"/>
  <c r="Y1974" i="2"/>
  <c r="Y1973" i="2"/>
  <c r="Y1972" i="2"/>
  <c r="Y1971" i="2"/>
  <c r="Y1970" i="2"/>
  <c r="Y1969" i="2"/>
  <c r="Y1968" i="2"/>
  <c r="Y1967" i="2"/>
  <c r="Y1966" i="2"/>
  <c r="Y1965" i="2"/>
  <c r="Y1964" i="2"/>
  <c r="Y1963" i="2"/>
  <c r="Y1962" i="2"/>
  <c r="Y1961" i="2"/>
  <c r="Y1960" i="2"/>
  <c r="Y1959" i="2"/>
  <c r="Y1958" i="2"/>
  <c r="Y1957" i="2"/>
  <c r="Y1956" i="2"/>
  <c r="Y1955" i="2"/>
  <c r="Y1954" i="2"/>
  <c r="Y1953" i="2"/>
  <c r="Y1952" i="2"/>
  <c r="Y1951" i="2"/>
  <c r="Y1950" i="2"/>
  <c r="Y1949" i="2"/>
  <c r="Y1948" i="2"/>
  <c r="Y1947" i="2"/>
  <c r="Y1946" i="2"/>
  <c r="Y1945" i="2"/>
  <c r="Y1944" i="2"/>
  <c r="Y1943" i="2"/>
  <c r="Y1942" i="2"/>
  <c r="Y1941" i="2"/>
  <c r="Y1940" i="2"/>
  <c r="Y1939" i="2"/>
  <c r="Y1938" i="2"/>
  <c r="Y1937" i="2"/>
  <c r="Y1936" i="2"/>
  <c r="Y1935" i="2"/>
  <c r="Y1934" i="2"/>
  <c r="Y1933" i="2"/>
  <c r="Y1932" i="2"/>
  <c r="Y1931" i="2"/>
  <c r="Y1930" i="2"/>
  <c r="Y1929" i="2"/>
  <c r="Y1928" i="2"/>
  <c r="Y1927" i="2"/>
  <c r="Y1926" i="2"/>
  <c r="Y1925" i="2"/>
  <c r="Y1924" i="2"/>
  <c r="Y1923" i="2"/>
  <c r="Y1922" i="2"/>
  <c r="Y1921" i="2"/>
  <c r="Y1920" i="2"/>
  <c r="Y1919" i="2"/>
  <c r="Y1918" i="2"/>
  <c r="Y1917" i="2"/>
  <c r="Y1916" i="2"/>
  <c r="Y1915" i="2"/>
  <c r="Y1914" i="2"/>
  <c r="Y1913" i="2"/>
  <c r="Y1912" i="2"/>
  <c r="Y1911" i="2"/>
  <c r="Y1910" i="2"/>
  <c r="Y1909" i="2"/>
  <c r="Y1908" i="2"/>
  <c r="Y1907" i="2"/>
  <c r="Y1906" i="2"/>
  <c r="Y1905" i="2"/>
  <c r="Y1904" i="2"/>
  <c r="Y1903" i="2"/>
  <c r="Y1902" i="2"/>
  <c r="Y1901" i="2"/>
  <c r="Y1900" i="2"/>
  <c r="Y1899" i="2"/>
  <c r="Y1898" i="2"/>
  <c r="Y1897" i="2"/>
  <c r="Y1896" i="2"/>
  <c r="Y1895" i="2"/>
  <c r="Y1894" i="2"/>
  <c r="Y1893" i="2"/>
  <c r="Y1892" i="2"/>
  <c r="Y1891" i="2"/>
  <c r="Y1890" i="2"/>
  <c r="Y1889" i="2"/>
  <c r="Y1888" i="2"/>
  <c r="Y1887" i="2"/>
  <c r="Y1886" i="2"/>
  <c r="Y1885" i="2"/>
  <c r="Y1884" i="2"/>
  <c r="Y1883" i="2"/>
  <c r="Y1882" i="2"/>
  <c r="Y1881" i="2"/>
  <c r="Y1880" i="2"/>
  <c r="Y1879" i="2"/>
  <c r="Y1878" i="2"/>
  <c r="Y1877" i="2"/>
  <c r="Y1876" i="2"/>
  <c r="Y1875" i="2"/>
  <c r="Y1874" i="2"/>
  <c r="Y1873" i="2"/>
  <c r="Y1872" i="2"/>
  <c r="Y1871" i="2"/>
  <c r="Y1870" i="2"/>
  <c r="Y1869" i="2"/>
  <c r="Y1868" i="2"/>
  <c r="Y1867" i="2"/>
  <c r="Y1866" i="2"/>
  <c r="Y1865" i="2"/>
  <c r="Y1864" i="2"/>
  <c r="Y1863" i="2"/>
  <c r="Y1862" i="2"/>
  <c r="Y1861" i="2"/>
  <c r="Y1860" i="2"/>
  <c r="Y1859" i="2"/>
  <c r="Y1858" i="2"/>
  <c r="Y1857" i="2"/>
  <c r="Y1856" i="2"/>
  <c r="Y1855" i="2"/>
  <c r="Y1854" i="2"/>
  <c r="Y1853" i="2"/>
  <c r="Y1852" i="2"/>
  <c r="Y1851" i="2"/>
  <c r="Y1850" i="2"/>
  <c r="Y1849" i="2"/>
  <c r="Y1848" i="2"/>
  <c r="Y1847" i="2"/>
  <c r="Y1846" i="2"/>
  <c r="Y1845" i="2"/>
  <c r="Y1844" i="2"/>
  <c r="Y1843" i="2"/>
  <c r="Y1842" i="2"/>
  <c r="Y1841" i="2"/>
  <c r="Y1840" i="2"/>
  <c r="Y1839" i="2"/>
  <c r="Y1838" i="2"/>
  <c r="Y1837" i="2"/>
  <c r="Y1836" i="2"/>
  <c r="Y1835" i="2"/>
  <c r="Y1834" i="2"/>
  <c r="Y1833" i="2"/>
  <c r="Y1832" i="2"/>
  <c r="Y1831" i="2"/>
  <c r="Y1830" i="2"/>
  <c r="Y1829" i="2"/>
  <c r="Y1828" i="2"/>
  <c r="Y1827" i="2"/>
  <c r="Y1826" i="2"/>
  <c r="Y1825" i="2"/>
  <c r="Y1824" i="2"/>
  <c r="Y1823" i="2"/>
  <c r="Y1822" i="2"/>
  <c r="Y1821" i="2"/>
  <c r="Y1820" i="2"/>
  <c r="Y1819" i="2"/>
  <c r="Y1818" i="2"/>
  <c r="Y1817" i="2"/>
  <c r="Y1816" i="2"/>
  <c r="Y1815" i="2"/>
  <c r="Y1814" i="2"/>
  <c r="Y1813" i="2"/>
  <c r="Y1812" i="2"/>
  <c r="Y1811" i="2"/>
  <c r="Y1810" i="2"/>
  <c r="Y1809" i="2"/>
  <c r="Y1808" i="2"/>
  <c r="Y1807" i="2"/>
  <c r="Y1806" i="2"/>
  <c r="Y1805" i="2"/>
  <c r="Y1804" i="2"/>
  <c r="Y1803" i="2"/>
  <c r="Y1802" i="2"/>
  <c r="Y1801" i="2"/>
  <c r="Y1800" i="2"/>
  <c r="Y1799" i="2"/>
  <c r="Y1798" i="2"/>
  <c r="Y1797" i="2"/>
  <c r="Y1796" i="2"/>
  <c r="Y1795" i="2"/>
  <c r="Y1794" i="2"/>
  <c r="Y1793" i="2"/>
  <c r="Y1792" i="2"/>
  <c r="Y1791" i="2"/>
  <c r="Y1790" i="2"/>
  <c r="Y1789" i="2"/>
  <c r="Y1788" i="2"/>
  <c r="Y1787" i="2"/>
  <c r="Y1786" i="2"/>
  <c r="Y1785" i="2"/>
  <c r="Y1784" i="2"/>
  <c r="Y1783" i="2"/>
  <c r="Y1782" i="2"/>
  <c r="Y1781" i="2"/>
  <c r="Y1780" i="2"/>
  <c r="Y1779" i="2"/>
  <c r="Y1778" i="2"/>
  <c r="Y1777" i="2"/>
  <c r="Y1776" i="2"/>
  <c r="Y1775" i="2"/>
  <c r="Y1774" i="2"/>
  <c r="Y1773" i="2"/>
  <c r="Y1772" i="2"/>
  <c r="Y1771" i="2"/>
  <c r="Y1770" i="2"/>
  <c r="Y1769" i="2"/>
  <c r="Y1768" i="2"/>
  <c r="Y1767" i="2"/>
  <c r="Y1766" i="2"/>
  <c r="Y1765" i="2"/>
  <c r="Y1764" i="2"/>
  <c r="Y1763" i="2"/>
  <c r="Y1762" i="2"/>
  <c r="Y1761" i="2"/>
  <c r="Y1760" i="2"/>
  <c r="Y1759" i="2"/>
  <c r="Y1758" i="2"/>
  <c r="Y1757" i="2"/>
  <c r="Y1756" i="2"/>
  <c r="Y1755" i="2"/>
  <c r="Y1754" i="2"/>
  <c r="Y1753" i="2"/>
  <c r="Y1752" i="2"/>
  <c r="Y1751" i="2"/>
  <c r="Y1750" i="2"/>
  <c r="Y1749" i="2"/>
  <c r="Y1748" i="2"/>
  <c r="Y1747" i="2"/>
  <c r="Y1746" i="2"/>
  <c r="Y1745" i="2"/>
  <c r="Y1744" i="2"/>
  <c r="Y1743" i="2"/>
  <c r="Y1742" i="2"/>
  <c r="Y1741" i="2"/>
  <c r="Y1740" i="2"/>
  <c r="Y1739" i="2"/>
  <c r="Y1738" i="2"/>
  <c r="Y1737" i="2"/>
  <c r="Y1736" i="2"/>
  <c r="Y1735" i="2"/>
  <c r="Y1734" i="2"/>
  <c r="Y1733" i="2"/>
  <c r="Y1732" i="2"/>
  <c r="Y1731" i="2"/>
  <c r="Y1730" i="2"/>
  <c r="Y1729" i="2"/>
  <c r="Y1728" i="2"/>
  <c r="Y1727" i="2"/>
  <c r="Y1726" i="2"/>
  <c r="Y1725" i="2"/>
  <c r="Y1724" i="2"/>
  <c r="Y1723" i="2"/>
  <c r="Y1722" i="2"/>
  <c r="Y1721" i="2"/>
  <c r="Y1720" i="2"/>
  <c r="Y1719" i="2"/>
  <c r="Y1718" i="2"/>
  <c r="Y1717" i="2"/>
  <c r="Y1716" i="2"/>
  <c r="Y1715" i="2"/>
  <c r="Y1714" i="2"/>
  <c r="Y1713" i="2"/>
  <c r="Y1712" i="2"/>
  <c r="Y1711" i="2"/>
  <c r="Y1710" i="2"/>
  <c r="Y1709" i="2"/>
  <c r="Y1708" i="2"/>
  <c r="Y1707" i="2"/>
  <c r="Y1706" i="2"/>
  <c r="Y1705" i="2"/>
  <c r="Y1704" i="2"/>
  <c r="Y1703" i="2"/>
  <c r="Y1702" i="2"/>
  <c r="Y1701" i="2"/>
  <c r="Y1700" i="2"/>
  <c r="Y1699" i="2"/>
  <c r="Y1698" i="2"/>
  <c r="Y1697" i="2"/>
  <c r="Y1696" i="2"/>
  <c r="Y1695" i="2"/>
  <c r="Y1694" i="2"/>
  <c r="Y1693" i="2"/>
  <c r="Y1692" i="2"/>
  <c r="Y1691" i="2"/>
  <c r="Y1690" i="2"/>
  <c r="Y1689" i="2"/>
  <c r="Y1688" i="2"/>
  <c r="Y1687" i="2"/>
  <c r="Y1686" i="2"/>
  <c r="Y1685" i="2"/>
  <c r="Y1684" i="2"/>
  <c r="Y1683" i="2"/>
  <c r="Y1682" i="2"/>
  <c r="Y1681" i="2"/>
  <c r="Y1680" i="2"/>
  <c r="Y1679" i="2"/>
  <c r="Y1678" i="2"/>
  <c r="Y1677" i="2"/>
  <c r="Y1676" i="2"/>
  <c r="Y1675" i="2"/>
  <c r="Y1674" i="2"/>
  <c r="Y1673" i="2"/>
  <c r="Y1672" i="2"/>
  <c r="Y1671" i="2"/>
  <c r="Y1670" i="2"/>
  <c r="Y1669" i="2"/>
  <c r="Y1668" i="2"/>
  <c r="Y1667" i="2"/>
  <c r="Y1666" i="2"/>
  <c r="Y1665" i="2"/>
  <c r="Y1664" i="2"/>
  <c r="Y1663" i="2"/>
  <c r="Y1662" i="2"/>
  <c r="Y1661" i="2"/>
  <c r="Y1660" i="2"/>
  <c r="Y1659" i="2"/>
  <c r="Y1658" i="2"/>
  <c r="Y1657" i="2"/>
  <c r="Y1656" i="2"/>
  <c r="Y1655" i="2"/>
  <c r="Y1654" i="2"/>
  <c r="Y1653" i="2"/>
  <c r="Y1652" i="2"/>
  <c r="Y1651" i="2"/>
  <c r="Y1650" i="2"/>
  <c r="Y1649" i="2"/>
  <c r="Y1648" i="2"/>
  <c r="Y1647" i="2"/>
  <c r="Y1646" i="2"/>
  <c r="Y1645" i="2"/>
  <c r="Y1644" i="2"/>
  <c r="Y1643" i="2"/>
  <c r="Y1642" i="2"/>
  <c r="Y1641" i="2"/>
  <c r="Y1640" i="2"/>
  <c r="Y1639" i="2"/>
  <c r="Y1638" i="2"/>
  <c r="Y1637" i="2"/>
  <c r="Y1636" i="2"/>
  <c r="Y1635" i="2"/>
  <c r="Y1634" i="2"/>
  <c r="Y1633" i="2"/>
  <c r="Y1632" i="2"/>
  <c r="Y1631" i="2"/>
  <c r="Y1630" i="2"/>
  <c r="Y1629" i="2"/>
  <c r="Y1628" i="2"/>
  <c r="Y1627" i="2"/>
  <c r="Y1626" i="2"/>
  <c r="Y1625" i="2"/>
  <c r="Y1624" i="2"/>
  <c r="Y1623" i="2"/>
  <c r="Y1622" i="2"/>
  <c r="Y1621" i="2"/>
  <c r="Y1620" i="2"/>
  <c r="Y1619" i="2"/>
  <c r="Y1618" i="2"/>
  <c r="Y1617" i="2"/>
  <c r="Y1616" i="2"/>
  <c r="Y1615" i="2"/>
  <c r="Y1614" i="2"/>
  <c r="Y1613" i="2"/>
  <c r="Y1612" i="2"/>
  <c r="Y1611" i="2"/>
  <c r="Y1610" i="2"/>
  <c r="Y1609" i="2"/>
  <c r="Y1608" i="2"/>
  <c r="Y1607" i="2"/>
  <c r="Y1606" i="2"/>
  <c r="Y1605" i="2"/>
  <c r="Y1604" i="2"/>
  <c r="Y1603" i="2"/>
  <c r="Y1602" i="2"/>
  <c r="Y1601" i="2"/>
  <c r="Y1600" i="2"/>
  <c r="Y1599" i="2"/>
  <c r="Y1598" i="2"/>
  <c r="Y1597" i="2"/>
  <c r="Y1596" i="2"/>
  <c r="Y1595" i="2"/>
  <c r="Y1594" i="2"/>
  <c r="Y1593" i="2"/>
  <c r="Y1592" i="2"/>
  <c r="Y1591" i="2"/>
  <c r="Y1590" i="2"/>
  <c r="Y1589" i="2"/>
  <c r="Y1588" i="2"/>
  <c r="Y1587" i="2"/>
  <c r="Y1586" i="2"/>
  <c r="Y1585" i="2"/>
  <c r="Y1584" i="2"/>
  <c r="Y1583" i="2"/>
  <c r="Y1582" i="2"/>
  <c r="Y1581" i="2"/>
  <c r="Y1580" i="2"/>
  <c r="Y1579" i="2"/>
  <c r="Y1578" i="2"/>
  <c r="Y1577" i="2"/>
  <c r="Y1576" i="2"/>
  <c r="Y1575" i="2"/>
  <c r="Y1574" i="2"/>
  <c r="Y1573" i="2"/>
  <c r="Y1572" i="2"/>
  <c r="Y1571" i="2"/>
  <c r="Y1570" i="2"/>
  <c r="Y1569" i="2"/>
  <c r="Y1568" i="2"/>
  <c r="Y1567" i="2"/>
  <c r="Y1566" i="2"/>
  <c r="Y1565" i="2"/>
  <c r="Y1564" i="2"/>
  <c r="Y1563" i="2"/>
  <c r="Y1562" i="2"/>
  <c r="Y1561" i="2"/>
  <c r="Y1560" i="2"/>
  <c r="Y1559" i="2"/>
  <c r="Y1558" i="2"/>
  <c r="Y1557" i="2"/>
  <c r="Y1556" i="2"/>
  <c r="Y1555" i="2"/>
  <c r="Y1554" i="2"/>
  <c r="Y1553" i="2"/>
  <c r="Y1552" i="2"/>
  <c r="Y1551" i="2"/>
  <c r="Y1550" i="2"/>
  <c r="Y1549" i="2"/>
  <c r="Y1548" i="2"/>
  <c r="Y1547" i="2"/>
  <c r="Y1546" i="2"/>
  <c r="Y1545" i="2"/>
  <c r="Y1544" i="2"/>
  <c r="Y1543" i="2"/>
  <c r="Y1542" i="2"/>
  <c r="Y1541" i="2"/>
  <c r="Y1540" i="2"/>
  <c r="Y1539" i="2"/>
  <c r="Y1538" i="2"/>
  <c r="Y1537" i="2"/>
  <c r="Y1536" i="2"/>
  <c r="Y1535" i="2"/>
  <c r="Y1534" i="2"/>
  <c r="Y1533" i="2"/>
  <c r="Y1532" i="2"/>
  <c r="Y1531" i="2"/>
  <c r="Y1530" i="2"/>
  <c r="Y1529" i="2"/>
  <c r="Y1528" i="2"/>
  <c r="Y1527" i="2"/>
  <c r="Y1526" i="2"/>
  <c r="Y1525" i="2"/>
  <c r="Y1524" i="2"/>
  <c r="Y1523" i="2"/>
  <c r="Y1522" i="2"/>
  <c r="Y1521" i="2"/>
  <c r="Y1520" i="2"/>
  <c r="Y1519" i="2"/>
  <c r="Y1518" i="2"/>
  <c r="Y1517" i="2"/>
  <c r="Y1516" i="2"/>
  <c r="Y1515" i="2"/>
  <c r="Y1514" i="2"/>
  <c r="Y1513" i="2"/>
  <c r="Y1512" i="2"/>
  <c r="Y1511" i="2"/>
  <c r="Y1510" i="2"/>
  <c r="Y1509" i="2"/>
  <c r="Y1508" i="2"/>
  <c r="Y1507" i="2"/>
  <c r="Y1506" i="2"/>
  <c r="Y1505" i="2"/>
  <c r="Y1504" i="2"/>
  <c r="Y1503" i="2"/>
  <c r="Y1502" i="2"/>
  <c r="Y1501" i="2"/>
  <c r="Y1500" i="2"/>
  <c r="Y1499" i="2"/>
  <c r="Y1498" i="2"/>
  <c r="Y1497" i="2"/>
  <c r="Y1496" i="2"/>
  <c r="Y1495" i="2"/>
  <c r="Y1494" i="2"/>
  <c r="Y1493" i="2"/>
  <c r="Y1492" i="2"/>
  <c r="Y1491" i="2"/>
  <c r="Y1490" i="2"/>
  <c r="Y1489" i="2"/>
  <c r="Y1488" i="2"/>
  <c r="Y1487" i="2"/>
  <c r="Y1486" i="2"/>
  <c r="Y1485" i="2"/>
  <c r="Y1484" i="2"/>
  <c r="Y1483" i="2"/>
  <c r="Y1482" i="2"/>
  <c r="Y1481" i="2"/>
  <c r="Y1480" i="2"/>
  <c r="Y1479" i="2"/>
  <c r="Y1478" i="2"/>
  <c r="Y1477" i="2"/>
  <c r="Y1476" i="2"/>
  <c r="Y1475" i="2"/>
  <c r="Y1474" i="2"/>
  <c r="Y1473" i="2"/>
  <c r="Y1472" i="2"/>
  <c r="Y1471" i="2"/>
  <c r="Y1470" i="2"/>
  <c r="Y1469" i="2"/>
  <c r="Y1468" i="2"/>
  <c r="Y1467" i="2"/>
  <c r="Y1466" i="2"/>
  <c r="Y1465" i="2"/>
  <c r="Y1464" i="2"/>
  <c r="Y1463" i="2"/>
  <c r="Y1462" i="2"/>
  <c r="Y1461" i="2"/>
  <c r="Y1460" i="2"/>
  <c r="Y1459" i="2"/>
  <c r="Y1458" i="2"/>
  <c r="Y1457" i="2"/>
  <c r="Y1456" i="2"/>
  <c r="Y1455" i="2"/>
  <c r="Y1454" i="2"/>
  <c r="Y1453" i="2"/>
  <c r="Y1452" i="2"/>
  <c r="Y1451" i="2"/>
  <c r="Y1450" i="2"/>
  <c r="Y1449" i="2"/>
  <c r="Y1448" i="2"/>
  <c r="Y1447" i="2"/>
  <c r="Y1446" i="2"/>
  <c r="Y1445" i="2"/>
  <c r="Y1444" i="2"/>
  <c r="Y1443" i="2"/>
  <c r="Y1442" i="2"/>
  <c r="Y1441" i="2"/>
  <c r="Y1440" i="2"/>
  <c r="Y1439" i="2"/>
  <c r="Y1438" i="2"/>
  <c r="Y1437" i="2"/>
  <c r="Y1436" i="2"/>
  <c r="Y1435" i="2"/>
  <c r="Y1434" i="2"/>
  <c r="Y1433" i="2"/>
  <c r="Y1432" i="2"/>
  <c r="Y1431" i="2"/>
  <c r="Y1430" i="2"/>
  <c r="Y1429" i="2"/>
  <c r="Y1428" i="2"/>
  <c r="Y1427" i="2"/>
  <c r="Y1426" i="2"/>
  <c r="Y1425" i="2"/>
  <c r="Y1424" i="2"/>
  <c r="Y1423" i="2"/>
  <c r="Y1422" i="2"/>
  <c r="Y1421" i="2"/>
  <c r="Y1420" i="2"/>
  <c r="Y1419" i="2"/>
  <c r="Y1418" i="2"/>
  <c r="Y1417" i="2"/>
  <c r="Y1416" i="2"/>
  <c r="Y1415" i="2"/>
  <c r="Y1414" i="2"/>
  <c r="Y1413" i="2"/>
  <c r="Y1412" i="2"/>
  <c r="Y1411" i="2"/>
  <c r="Y1410" i="2"/>
  <c r="Y1409" i="2"/>
  <c r="Y1408" i="2"/>
  <c r="Y1407" i="2"/>
  <c r="Y1406" i="2"/>
  <c r="Y1405" i="2"/>
  <c r="Y1404" i="2"/>
  <c r="Y1403" i="2"/>
  <c r="Y1402" i="2"/>
  <c r="Y1401" i="2"/>
  <c r="Y1400" i="2"/>
  <c r="Y1399" i="2"/>
  <c r="Y1398" i="2"/>
  <c r="Y1397" i="2"/>
  <c r="Y1396" i="2"/>
  <c r="Y1395" i="2"/>
  <c r="Y1394" i="2"/>
  <c r="Y1393" i="2"/>
  <c r="Y1392" i="2"/>
  <c r="Y1391" i="2"/>
  <c r="Y1390" i="2"/>
  <c r="Y1389" i="2"/>
  <c r="Y1388" i="2"/>
  <c r="Y1387" i="2"/>
  <c r="Y1386" i="2"/>
  <c r="Y1385" i="2"/>
  <c r="Y1384" i="2"/>
  <c r="Y1383" i="2"/>
  <c r="Y1382" i="2"/>
  <c r="Y1381" i="2"/>
  <c r="Y1380" i="2"/>
  <c r="Y1379" i="2"/>
  <c r="Y1378" i="2"/>
  <c r="Y1377" i="2"/>
  <c r="Y1376" i="2"/>
  <c r="Y1375" i="2"/>
  <c r="Y1374" i="2"/>
  <c r="Y1373" i="2"/>
  <c r="Y1372" i="2"/>
  <c r="Y1371" i="2"/>
  <c r="Y1370" i="2"/>
  <c r="Y1369" i="2"/>
  <c r="Y1368" i="2"/>
  <c r="Y1367" i="2"/>
  <c r="Y1366" i="2"/>
  <c r="Y1365" i="2"/>
  <c r="Y1364" i="2"/>
  <c r="Y1363" i="2"/>
  <c r="Y1362" i="2"/>
  <c r="Y1361" i="2"/>
  <c r="Y1360" i="2"/>
  <c r="Y1359" i="2"/>
  <c r="Y1358" i="2"/>
  <c r="Y1357" i="2"/>
  <c r="Y1356" i="2"/>
  <c r="Y1355" i="2"/>
  <c r="Y1354" i="2"/>
  <c r="Y1353" i="2"/>
  <c r="Y1352" i="2"/>
  <c r="Y1351" i="2"/>
  <c r="Y1350" i="2"/>
  <c r="Y1349" i="2"/>
  <c r="Y1348" i="2"/>
  <c r="Y1347" i="2"/>
  <c r="Y1346" i="2"/>
  <c r="Y1345" i="2"/>
  <c r="Y1344" i="2"/>
  <c r="Y1343" i="2"/>
  <c r="Y1342" i="2"/>
  <c r="Y1341" i="2"/>
  <c r="Y1340" i="2"/>
  <c r="Y1339" i="2"/>
  <c r="Y1338" i="2"/>
  <c r="Y1337" i="2"/>
  <c r="Y1336" i="2"/>
  <c r="Y1335" i="2"/>
  <c r="Y1334" i="2"/>
  <c r="Y1333" i="2"/>
  <c r="Y1332" i="2"/>
  <c r="Y1331" i="2"/>
  <c r="Y1330" i="2"/>
  <c r="Y1329" i="2"/>
  <c r="Y1328" i="2"/>
  <c r="Y1327" i="2"/>
  <c r="Y1326" i="2"/>
  <c r="Y1325" i="2"/>
  <c r="Y1324" i="2"/>
  <c r="Y1323" i="2"/>
  <c r="Y1322" i="2"/>
  <c r="Y1321" i="2"/>
  <c r="Y1320" i="2"/>
  <c r="Y1319" i="2"/>
  <c r="Y1318" i="2"/>
  <c r="Y1317" i="2"/>
  <c r="Y1316" i="2"/>
  <c r="Y1315" i="2"/>
  <c r="Y1314" i="2"/>
  <c r="Y1313" i="2"/>
  <c r="Y1312" i="2"/>
  <c r="Y1311" i="2"/>
  <c r="Y1310" i="2"/>
  <c r="Y1309" i="2"/>
  <c r="Y1308" i="2"/>
  <c r="Y1307" i="2"/>
  <c r="Y1306" i="2"/>
  <c r="Y1305" i="2"/>
  <c r="Y1304" i="2"/>
  <c r="Y1303" i="2"/>
  <c r="Y1302" i="2"/>
  <c r="Y1301" i="2"/>
  <c r="Y1300" i="2"/>
  <c r="Y1299" i="2"/>
  <c r="Y1298" i="2"/>
  <c r="Y1297" i="2"/>
  <c r="Y1296" i="2"/>
  <c r="Y1295" i="2"/>
  <c r="Y1294" i="2"/>
  <c r="Y1293" i="2"/>
  <c r="Y1292" i="2"/>
  <c r="Y1291" i="2"/>
  <c r="Y1290" i="2"/>
  <c r="Y1289" i="2"/>
  <c r="Y1288" i="2"/>
  <c r="Y1287" i="2"/>
  <c r="Y1286" i="2"/>
  <c r="Y1285" i="2"/>
  <c r="Y1284" i="2"/>
  <c r="Y1283" i="2"/>
  <c r="Y1282" i="2"/>
  <c r="Y1281" i="2"/>
  <c r="Y1280" i="2"/>
  <c r="Y1279" i="2"/>
  <c r="Y1278" i="2"/>
  <c r="Y1277" i="2"/>
  <c r="Y1276" i="2"/>
  <c r="Y1275" i="2"/>
  <c r="Y1274" i="2"/>
  <c r="Y1273" i="2"/>
  <c r="Y1272" i="2"/>
  <c r="Y1271" i="2"/>
  <c r="Y1270" i="2"/>
  <c r="Y1269" i="2"/>
  <c r="Y1268" i="2"/>
  <c r="Y1267" i="2"/>
  <c r="Y1266" i="2"/>
  <c r="Y1265" i="2"/>
  <c r="Y1264" i="2"/>
  <c r="Y1263" i="2"/>
  <c r="Y1262" i="2"/>
  <c r="Y1261" i="2"/>
  <c r="Y1260" i="2"/>
  <c r="Y1259" i="2"/>
  <c r="Y1258" i="2"/>
  <c r="Y1257" i="2"/>
  <c r="Y1256" i="2"/>
  <c r="Y1255" i="2"/>
  <c r="Y1254" i="2"/>
  <c r="Y1253" i="2"/>
  <c r="Y1252" i="2"/>
  <c r="Y1251" i="2"/>
  <c r="Y1250" i="2"/>
  <c r="Y1249" i="2"/>
  <c r="Y1248" i="2"/>
  <c r="Y1247" i="2"/>
  <c r="Y1246" i="2"/>
  <c r="Y1245" i="2"/>
  <c r="Y1244" i="2"/>
  <c r="Y1243" i="2"/>
  <c r="Y1242" i="2"/>
  <c r="Y1241" i="2"/>
  <c r="Y1240" i="2"/>
  <c r="Y1239" i="2"/>
  <c r="Y1238" i="2"/>
  <c r="Y1237" i="2"/>
  <c r="Y1236" i="2"/>
  <c r="Y1235" i="2"/>
  <c r="Y1234" i="2"/>
  <c r="Y1233" i="2"/>
  <c r="Y1232" i="2"/>
  <c r="Y1231" i="2"/>
  <c r="Y1230" i="2"/>
  <c r="Y1229" i="2"/>
  <c r="Y1228" i="2"/>
  <c r="Y1227" i="2"/>
  <c r="Y1226" i="2"/>
  <c r="Y1225" i="2"/>
  <c r="Y1224" i="2"/>
  <c r="Y1223" i="2"/>
  <c r="Y1222" i="2"/>
  <c r="Y1221" i="2"/>
  <c r="Y1220" i="2"/>
  <c r="Y1219" i="2"/>
  <c r="Y1218" i="2"/>
  <c r="Y1217" i="2"/>
  <c r="Y1216" i="2"/>
  <c r="Y1215" i="2"/>
  <c r="Y1214" i="2"/>
  <c r="Y1213" i="2"/>
  <c r="Y1212" i="2"/>
  <c r="Y1211" i="2"/>
  <c r="Y1210" i="2"/>
  <c r="Y1209" i="2"/>
  <c r="Y1208" i="2"/>
  <c r="Y1207" i="2"/>
  <c r="Y1206" i="2"/>
  <c r="Y1205" i="2"/>
  <c r="Y1204" i="2"/>
  <c r="Y1203" i="2"/>
  <c r="Y1202" i="2"/>
  <c r="Y1201" i="2"/>
  <c r="Y1200" i="2"/>
  <c r="Y1199" i="2"/>
  <c r="Y1198" i="2"/>
  <c r="Y1197" i="2"/>
  <c r="Y1196" i="2"/>
  <c r="Y1195" i="2"/>
  <c r="Y1194" i="2"/>
  <c r="Y1193" i="2"/>
  <c r="Y1192" i="2"/>
  <c r="Y1191" i="2"/>
  <c r="Y1190" i="2"/>
  <c r="Y1189" i="2"/>
  <c r="Y1188" i="2"/>
  <c r="Y1187" i="2"/>
  <c r="Y1186" i="2"/>
  <c r="Y1185" i="2"/>
  <c r="Y1184" i="2"/>
  <c r="Y1183" i="2"/>
  <c r="Y1182" i="2"/>
  <c r="Y1181" i="2"/>
  <c r="Y1180" i="2"/>
  <c r="Y1179" i="2"/>
  <c r="Y1178" i="2"/>
  <c r="Y1177" i="2"/>
  <c r="Y1176" i="2"/>
  <c r="Y1175" i="2"/>
  <c r="Y1174" i="2"/>
  <c r="Y1173" i="2"/>
  <c r="Y1172" i="2"/>
  <c r="Y1171" i="2"/>
  <c r="Y1170" i="2"/>
  <c r="Y1169" i="2"/>
  <c r="Y1168" i="2"/>
  <c r="Y1167" i="2"/>
  <c r="Y1166" i="2"/>
  <c r="Y1165" i="2"/>
  <c r="Y1164" i="2"/>
  <c r="Y1163" i="2"/>
  <c r="Y1162" i="2"/>
  <c r="Y1161" i="2"/>
  <c r="Y1160" i="2"/>
  <c r="Y1159" i="2"/>
  <c r="Y1158" i="2"/>
  <c r="Y1157" i="2"/>
  <c r="Y1156" i="2"/>
  <c r="Y1155" i="2"/>
  <c r="Y1154" i="2"/>
  <c r="Y1153" i="2"/>
  <c r="Y1152" i="2"/>
  <c r="Y1151" i="2"/>
  <c r="Y1150" i="2"/>
  <c r="Y1149" i="2"/>
  <c r="Y1148" i="2"/>
  <c r="Y1147" i="2"/>
  <c r="Y1146" i="2"/>
  <c r="Y1145" i="2"/>
  <c r="Y1144" i="2"/>
  <c r="Y1143" i="2"/>
  <c r="Y1142" i="2"/>
  <c r="Y1141" i="2"/>
  <c r="Y1140" i="2"/>
  <c r="Y1139" i="2"/>
  <c r="Y1138" i="2"/>
  <c r="Y1137" i="2"/>
  <c r="Y1136" i="2"/>
  <c r="Y1135" i="2"/>
  <c r="Y1134" i="2"/>
  <c r="Y1133" i="2"/>
  <c r="Y1132" i="2"/>
  <c r="Y1131" i="2"/>
  <c r="Y1130" i="2"/>
  <c r="Y1129" i="2"/>
  <c r="Y1128" i="2"/>
  <c r="Y1127" i="2"/>
  <c r="Y1126" i="2"/>
  <c r="Y1125" i="2"/>
  <c r="Y1124" i="2"/>
  <c r="Y1123" i="2"/>
  <c r="Y1122" i="2"/>
  <c r="Y1121" i="2"/>
  <c r="Y1120" i="2"/>
  <c r="Y1119" i="2"/>
  <c r="Y1118" i="2"/>
  <c r="Y1117" i="2"/>
  <c r="Y1116" i="2"/>
  <c r="Y1115" i="2"/>
  <c r="Y1114" i="2"/>
  <c r="Y1113" i="2"/>
  <c r="Y1112" i="2"/>
  <c r="Y1111" i="2"/>
  <c r="Y1110" i="2"/>
  <c r="Y1109" i="2"/>
  <c r="Y1108" i="2"/>
  <c r="Y1107" i="2"/>
  <c r="Y1106" i="2"/>
  <c r="Y1105" i="2"/>
  <c r="Y1104" i="2"/>
  <c r="Y1103" i="2"/>
  <c r="Y1102" i="2"/>
  <c r="Y1101" i="2"/>
  <c r="Y1100" i="2"/>
  <c r="Y1099" i="2"/>
  <c r="Y1098" i="2"/>
  <c r="Y1097" i="2"/>
  <c r="Y1096" i="2"/>
  <c r="Y1095" i="2"/>
  <c r="Y1094" i="2"/>
  <c r="Y1093" i="2"/>
  <c r="Y1092" i="2"/>
  <c r="Y1091" i="2"/>
  <c r="Y1090" i="2"/>
  <c r="Y1089" i="2"/>
  <c r="Y1088" i="2"/>
  <c r="Y1087" i="2"/>
  <c r="Y1086" i="2"/>
  <c r="Y1085" i="2"/>
  <c r="Y1084" i="2"/>
  <c r="Y1083" i="2"/>
  <c r="Y1082" i="2"/>
  <c r="Y1081" i="2"/>
  <c r="Y1080" i="2"/>
  <c r="Y1079" i="2"/>
  <c r="Y1078" i="2"/>
  <c r="Y1077" i="2"/>
  <c r="Y1076" i="2"/>
  <c r="Y1075" i="2"/>
  <c r="Y1074" i="2"/>
  <c r="Y1073" i="2"/>
  <c r="Y1072" i="2"/>
  <c r="Y1071" i="2"/>
  <c r="Y1070" i="2"/>
  <c r="Y1069" i="2"/>
  <c r="Y1068" i="2"/>
  <c r="Y1067" i="2"/>
  <c r="Y1066" i="2"/>
  <c r="Y1065" i="2"/>
  <c r="Y1064" i="2"/>
  <c r="Y1063" i="2"/>
  <c r="Y1062" i="2"/>
  <c r="Y1061" i="2"/>
  <c r="Y1060" i="2"/>
  <c r="Y1059" i="2"/>
  <c r="Y1058" i="2"/>
  <c r="Y1057" i="2"/>
  <c r="Y1056" i="2"/>
  <c r="Y1055" i="2"/>
  <c r="Y1054" i="2"/>
  <c r="Y1053" i="2"/>
  <c r="Y1052" i="2"/>
  <c r="Y1051" i="2"/>
  <c r="Y1050" i="2"/>
  <c r="Y1049" i="2"/>
  <c r="Y1048" i="2"/>
  <c r="Y1047" i="2"/>
  <c r="Y1046" i="2"/>
  <c r="Y1045" i="2"/>
  <c r="Y1044" i="2"/>
  <c r="Y1043" i="2"/>
  <c r="Y1042" i="2"/>
  <c r="Y1041" i="2"/>
  <c r="Y1040" i="2"/>
  <c r="Y1039" i="2"/>
  <c r="Y1038" i="2"/>
  <c r="Y1037" i="2"/>
  <c r="Y1036" i="2"/>
  <c r="Y1035" i="2"/>
  <c r="Y1034" i="2"/>
  <c r="Y1033" i="2"/>
  <c r="Y1032" i="2"/>
  <c r="Y1031" i="2"/>
  <c r="Y1030" i="2"/>
  <c r="Y1029" i="2"/>
  <c r="Y1028" i="2"/>
  <c r="Y1027" i="2"/>
  <c r="Y1026" i="2"/>
  <c r="Y1025" i="2"/>
  <c r="Y1024" i="2"/>
  <c r="Y1023" i="2"/>
  <c r="Y1022" i="2"/>
  <c r="Y1021" i="2"/>
  <c r="Y1020" i="2"/>
  <c r="Y1019" i="2"/>
  <c r="Y1018" i="2"/>
  <c r="Y1017" i="2"/>
  <c r="Y1016" i="2"/>
  <c r="Y1015" i="2"/>
  <c r="Y1014" i="2"/>
  <c r="Y1013" i="2"/>
  <c r="Y1012" i="2"/>
  <c r="Y1011" i="2"/>
  <c r="Y1010" i="2"/>
  <c r="Y1009" i="2"/>
  <c r="Y1008" i="2"/>
  <c r="Y1007" i="2"/>
  <c r="Y1006" i="2"/>
  <c r="Y1005" i="2"/>
  <c r="Y1004" i="2"/>
  <c r="Y1003" i="2"/>
  <c r="Y1002" i="2"/>
  <c r="Y1001" i="2"/>
  <c r="Y1000" i="2"/>
  <c r="Y999" i="2"/>
  <c r="Y998" i="2"/>
  <c r="Y997" i="2"/>
  <c r="Y996" i="2"/>
  <c r="Y995" i="2"/>
  <c r="Y994" i="2"/>
  <c r="Y993" i="2"/>
  <c r="Y992" i="2"/>
  <c r="Y991" i="2"/>
  <c r="Y990" i="2"/>
  <c r="Y989" i="2"/>
  <c r="Y988" i="2"/>
  <c r="Y987" i="2"/>
  <c r="Y986" i="2"/>
  <c r="Y985" i="2"/>
  <c r="Y984" i="2"/>
  <c r="Y983" i="2"/>
  <c r="Y982" i="2"/>
  <c r="Y981" i="2"/>
  <c r="Y980" i="2"/>
  <c r="Y979" i="2"/>
  <c r="Y978" i="2"/>
  <c r="Y977" i="2"/>
  <c r="Y976" i="2"/>
  <c r="Y975" i="2"/>
  <c r="Y974" i="2"/>
  <c r="Y973" i="2"/>
  <c r="Y972" i="2"/>
  <c r="Y971" i="2"/>
  <c r="Y970" i="2"/>
  <c r="Y969" i="2"/>
  <c r="Y968" i="2"/>
  <c r="Y967" i="2"/>
  <c r="Y966" i="2"/>
  <c r="Y965" i="2"/>
  <c r="Y964" i="2"/>
  <c r="Y963" i="2"/>
  <c r="Y962" i="2"/>
  <c r="Y961" i="2"/>
  <c r="Y960" i="2"/>
  <c r="Y959" i="2"/>
  <c r="Y958" i="2"/>
  <c r="Y957" i="2"/>
  <c r="Y956" i="2"/>
  <c r="Y955" i="2"/>
  <c r="Y954" i="2"/>
  <c r="Y953" i="2"/>
  <c r="Y952" i="2"/>
  <c r="Y951" i="2"/>
  <c r="Y950" i="2"/>
  <c r="Y949" i="2"/>
  <c r="Y948" i="2"/>
  <c r="Y947" i="2"/>
  <c r="Y946" i="2"/>
  <c r="Y945" i="2"/>
  <c r="Y944" i="2"/>
  <c r="Y943" i="2"/>
  <c r="Y942" i="2"/>
  <c r="Y941" i="2"/>
  <c r="Y940" i="2"/>
  <c r="Y939" i="2"/>
  <c r="Y938" i="2"/>
  <c r="Y937" i="2"/>
  <c r="Y936" i="2"/>
  <c r="Y935" i="2"/>
  <c r="Y934" i="2"/>
  <c r="Y933" i="2"/>
  <c r="Y932" i="2"/>
  <c r="Y931" i="2"/>
  <c r="Y930" i="2"/>
  <c r="Y929" i="2"/>
  <c r="Y928" i="2"/>
  <c r="Y927" i="2"/>
  <c r="Y926" i="2"/>
  <c r="Y925" i="2"/>
  <c r="Y924" i="2"/>
  <c r="Y923" i="2"/>
  <c r="Y922" i="2"/>
  <c r="Y921" i="2"/>
  <c r="Y920" i="2"/>
  <c r="Y919" i="2"/>
  <c r="Y918" i="2"/>
  <c r="Y917" i="2"/>
  <c r="Y916" i="2"/>
  <c r="Y915" i="2"/>
  <c r="Y914" i="2"/>
  <c r="Y913" i="2"/>
  <c r="Y912" i="2"/>
  <c r="Y911" i="2"/>
  <c r="Y910" i="2"/>
  <c r="Y909" i="2"/>
  <c r="Y908" i="2"/>
  <c r="Y907" i="2"/>
  <c r="Y906" i="2"/>
  <c r="Y905" i="2"/>
  <c r="Y904" i="2"/>
  <c r="Y903" i="2"/>
  <c r="Y902" i="2"/>
  <c r="Y901" i="2"/>
  <c r="Y900" i="2"/>
  <c r="Y899" i="2"/>
  <c r="Y898" i="2"/>
  <c r="Y897" i="2"/>
  <c r="Y896" i="2"/>
  <c r="Y895" i="2"/>
  <c r="Y894" i="2"/>
  <c r="Y893" i="2"/>
  <c r="Y892" i="2"/>
  <c r="Y891" i="2"/>
  <c r="Y890" i="2"/>
  <c r="Y889" i="2"/>
  <c r="Y888" i="2"/>
  <c r="Y887" i="2"/>
  <c r="Y886" i="2"/>
  <c r="Y885" i="2"/>
  <c r="Y884" i="2"/>
  <c r="Y883" i="2"/>
  <c r="Y882" i="2"/>
  <c r="Y881" i="2"/>
  <c r="Y880" i="2"/>
  <c r="Y879" i="2"/>
  <c r="Y878" i="2"/>
  <c r="Y877" i="2"/>
  <c r="Y876" i="2"/>
  <c r="Y875" i="2"/>
  <c r="Y874" i="2"/>
  <c r="Y873" i="2"/>
  <c r="Y872" i="2"/>
  <c r="Y871" i="2"/>
  <c r="Y870" i="2"/>
  <c r="Y869" i="2"/>
  <c r="Y868" i="2"/>
  <c r="Y867" i="2"/>
  <c r="Y866" i="2"/>
  <c r="Y865" i="2"/>
  <c r="Y864" i="2"/>
  <c r="Y863" i="2"/>
  <c r="Y862" i="2"/>
  <c r="Y861" i="2"/>
  <c r="Y860" i="2"/>
  <c r="Y859" i="2"/>
  <c r="Y858" i="2"/>
  <c r="Y857" i="2"/>
  <c r="Y856" i="2"/>
  <c r="Y855" i="2"/>
  <c r="Y854" i="2"/>
  <c r="Y853" i="2"/>
  <c r="Y852" i="2"/>
  <c r="Y851" i="2"/>
  <c r="Y850" i="2"/>
  <c r="Y849" i="2"/>
  <c r="Y848" i="2"/>
  <c r="Y847" i="2"/>
  <c r="Y846" i="2"/>
  <c r="Y845" i="2"/>
  <c r="Y844" i="2"/>
  <c r="Y843" i="2"/>
  <c r="Y842" i="2"/>
  <c r="Y841" i="2"/>
  <c r="Y840" i="2"/>
  <c r="Y839" i="2"/>
  <c r="Y838" i="2"/>
  <c r="Y837" i="2"/>
  <c r="Y836" i="2"/>
  <c r="Y835" i="2"/>
  <c r="Y834" i="2"/>
  <c r="Y833" i="2"/>
  <c r="Y832" i="2"/>
  <c r="Y831" i="2"/>
  <c r="Y830" i="2"/>
  <c r="Y829" i="2"/>
  <c r="Y828" i="2"/>
  <c r="Y827" i="2"/>
  <c r="Y826" i="2"/>
  <c r="Y825" i="2"/>
  <c r="Y824" i="2"/>
  <c r="Y823" i="2"/>
  <c r="Y822" i="2"/>
  <c r="Y821" i="2"/>
  <c r="Y820" i="2"/>
  <c r="Y819" i="2"/>
  <c r="Y818" i="2"/>
  <c r="Y817" i="2"/>
  <c r="Y816" i="2"/>
  <c r="Y815" i="2"/>
  <c r="Y814" i="2"/>
  <c r="Y813" i="2"/>
  <c r="Y812" i="2"/>
  <c r="Y811" i="2"/>
  <c r="Y810" i="2"/>
  <c r="Y809" i="2"/>
  <c r="Y808" i="2"/>
  <c r="Y807" i="2"/>
  <c r="Y806" i="2"/>
  <c r="Y805" i="2"/>
  <c r="Y804" i="2"/>
  <c r="Y803" i="2"/>
  <c r="Y802" i="2"/>
  <c r="Y801" i="2"/>
  <c r="Y800" i="2"/>
  <c r="Y799" i="2"/>
  <c r="Y798" i="2"/>
  <c r="Y797" i="2"/>
  <c r="Y796" i="2"/>
  <c r="Y795" i="2"/>
  <c r="Y794" i="2"/>
  <c r="Y793" i="2"/>
  <c r="Y792" i="2"/>
  <c r="Y791" i="2"/>
  <c r="Y790" i="2"/>
  <c r="Y789" i="2"/>
  <c r="Y788" i="2"/>
  <c r="Y787" i="2"/>
  <c r="Y786" i="2"/>
  <c r="Y785" i="2"/>
  <c r="Y784" i="2"/>
  <c r="Y783" i="2"/>
  <c r="Y782" i="2"/>
  <c r="Y781" i="2"/>
  <c r="Y780" i="2"/>
  <c r="Y779" i="2"/>
  <c r="Y778" i="2"/>
  <c r="Y777" i="2"/>
  <c r="Y776" i="2"/>
  <c r="Y775" i="2"/>
  <c r="Y774" i="2"/>
  <c r="Y773" i="2"/>
  <c r="Y772" i="2"/>
  <c r="Y771" i="2"/>
  <c r="Y770" i="2"/>
  <c r="Y769" i="2"/>
  <c r="Y768" i="2"/>
  <c r="Y767" i="2"/>
  <c r="Y766" i="2"/>
  <c r="Y765" i="2"/>
  <c r="Y764" i="2"/>
  <c r="Y763" i="2"/>
  <c r="Y762" i="2"/>
  <c r="Y761" i="2"/>
  <c r="Y760" i="2"/>
  <c r="Y759" i="2"/>
  <c r="Y758" i="2"/>
  <c r="Y757" i="2"/>
  <c r="Y756" i="2"/>
  <c r="Y755" i="2"/>
  <c r="Y754" i="2"/>
  <c r="Y753" i="2"/>
  <c r="Y752" i="2"/>
  <c r="Y751" i="2"/>
  <c r="Y750" i="2"/>
  <c r="Y749" i="2"/>
  <c r="Y748" i="2"/>
  <c r="Y747" i="2"/>
  <c r="Y746" i="2"/>
  <c r="Y745" i="2"/>
  <c r="Y744" i="2"/>
  <c r="Y743" i="2"/>
  <c r="Y742" i="2"/>
  <c r="Y741" i="2"/>
  <c r="Y740" i="2"/>
  <c r="Y739" i="2"/>
  <c r="Y738" i="2"/>
  <c r="Y737" i="2"/>
  <c r="Y736" i="2"/>
  <c r="Y735" i="2"/>
  <c r="Y734" i="2"/>
  <c r="Y733" i="2"/>
  <c r="Y732" i="2"/>
  <c r="Y731" i="2"/>
  <c r="Y730" i="2"/>
  <c r="Y729" i="2"/>
  <c r="Y728" i="2"/>
  <c r="Y727" i="2"/>
  <c r="Y726" i="2"/>
  <c r="Y725" i="2"/>
  <c r="Y724" i="2"/>
  <c r="Y723" i="2"/>
  <c r="Y722" i="2"/>
  <c r="Y721" i="2"/>
  <c r="Y720" i="2"/>
  <c r="Y719" i="2"/>
  <c r="Y718" i="2"/>
  <c r="Y717" i="2"/>
  <c r="Y716" i="2"/>
  <c r="Y715" i="2"/>
  <c r="Y714" i="2"/>
  <c r="Y713" i="2"/>
  <c r="Y712" i="2"/>
  <c r="Y711" i="2"/>
  <c r="Y710" i="2"/>
  <c r="Y709" i="2"/>
  <c r="Y708" i="2"/>
  <c r="Y707" i="2"/>
  <c r="Y706" i="2"/>
  <c r="Y705" i="2"/>
  <c r="Y704" i="2"/>
  <c r="Y703" i="2"/>
  <c r="Y702" i="2"/>
  <c r="Y701" i="2"/>
  <c r="Y700" i="2"/>
  <c r="Y699" i="2"/>
  <c r="Y698" i="2"/>
  <c r="Y697" i="2"/>
  <c r="Y696" i="2"/>
  <c r="Y695" i="2"/>
  <c r="Y694" i="2"/>
  <c r="Y693" i="2"/>
  <c r="Y692" i="2"/>
  <c r="Y691" i="2"/>
  <c r="Y690" i="2"/>
  <c r="Y689" i="2"/>
  <c r="Y688" i="2"/>
  <c r="Y687" i="2"/>
  <c r="Y686" i="2"/>
  <c r="Y685" i="2"/>
  <c r="Y684" i="2"/>
  <c r="Y683" i="2"/>
  <c r="Y682" i="2"/>
  <c r="Y681" i="2"/>
  <c r="Y680" i="2"/>
  <c r="Y679" i="2"/>
  <c r="Y678" i="2"/>
  <c r="Y677" i="2"/>
  <c r="Y676" i="2"/>
  <c r="Y675" i="2"/>
  <c r="Y674" i="2"/>
  <c r="Y673" i="2"/>
  <c r="Y672" i="2"/>
  <c r="Y671" i="2"/>
  <c r="Y670" i="2"/>
  <c r="Y669" i="2"/>
  <c r="Y668" i="2"/>
  <c r="Y667" i="2"/>
  <c r="Y666" i="2"/>
  <c r="Y665" i="2"/>
  <c r="Y664" i="2"/>
  <c r="Y663" i="2"/>
  <c r="Y662" i="2"/>
  <c r="Y661" i="2"/>
  <c r="Y660" i="2"/>
  <c r="Y659" i="2"/>
  <c r="Y658" i="2"/>
  <c r="Y657" i="2"/>
  <c r="Y656" i="2"/>
  <c r="Y655" i="2"/>
  <c r="Y654" i="2"/>
  <c r="Y653" i="2"/>
  <c r="Y652" i="2"/>
  <c r="Y651" i="2"/>
  <c r="Y650" i="2"/>
  <c r="Y649" i="2"/>
  <c r="Y648" i="2"/>
  <c r="Y647" i="2"/>
  <c r="Y646" i="2"/>
  <c r="Y645" i="2"/>
  <c r="Y644" i="2"/>
  <c r="Y643" i="2"/>
  <c r="Y642" i="2"/>
  <c r="Y641" i="2"/>
  <c r="Y640" i="2"/>
  <c r="Y639" i="2"/>
  <c r="Y638" i="2"/>
  <c r="Y637" i="2"/>
  <c r="Y636" i="2"/>
  <c r="Y635" i="2"/>
  <c r="Y634" i="2"/>
  <c r="Y633" i="2"/>
  <c r="Y632" i="2"/>
  <c r="Y631" i="2"/>
  <c r="Y630" i="2"/>
  <c r="Y629" i="2"/>
  <c r="Y628" i="2"/>
  <c r="Y627" i="2"/>
  <c r="Y626" i="2"/>
  <c r="Y625" i="2"/>
  <c r="Y624" i="2"/>
  <c r="Y623" i="2"/>
  <c r="Y622" i="2"/>
  <c r="Y621" i="2"/>
  <c r="Y620" i="2"/>
  <c r="Y619" i="2"/>
  <c r="Y618" i="2"/>
  <c r="Y617" i="2"/>
  <c r="Y616" i="2"/>
  <c r="Y615" i="2"/>
  <c r="Y614" i="2"/>
  <c r="Y613" i="2"/>
  <c r="Y612" i="2"/>
  <c r="Y611" i="2"/>
  <c r="Y610" i="2"/>
  <c r="Y609" i="2"/>
  <c r="Y608" i="2"/>
  <c r="Y607" i="2"/>
  <c r="Y606" i="2"/>
  <c r="Y605" i="2"/>
  <c r="Y604" i="2"/>
  <c r="Y603" i="2"/>
  <c r="Y602" i="2"/>
  <c r="Y601" i="2"/>
  <c r="Y600" i="2"/>
  <c r="Y599" i="2"/>
  <c r="Y598" i="2"/>
  <c r="Y597" i="2"/>
  <c r="Y596" i="2"/>
  <c r="Y595" i="2"/>
  <c r="Y594" i="2"/>
  <c r="Y593" i="2"/>
  <c r="Y592" i="2"/>
  <c r="Y591" i="2"/>
  <c r="Y590" i="2"/>
  <c r="Y589" i="2"/>
  <c r="Y588" i="2"/>
  <c r="Y587" i="2"/>
  <c r="Y586" i="2"/>
  <c r="Y585" i="2"/>
  <c r="Y584" i="2"/>
  <c r="Y583" i="2"/>
  <c r="Y582" i="2"/>
  <c r="Y581" i="2"/>
  <c r="Y580" i="2"/>
  <c r="Y579" i="2"/>
  <c r="Y578" i="2"/>
  <c r="Y577" i="2"/>
  <c r="Y576" i="2"/>
  <c r="Y575" i="2"/>
  <c r="Y574" i="2"/>
  <c r="Y573" i="2"/>
  <c r="Y572" i="2"/>
  <c r="Y571" i="2"/>
  <c r="Y570" i="2"/>
  <c r="Y569" i="2"/>
  <c r="Y568" i="2"/>
  <c r="Y567" i="2"/>
  <c r="Y566" i="2"/>
  <c r="Y565" i="2"/>
  <c r="Y564" i="2"/>
  <c r="Y563" i="2"/>
  <c r="Y562" i="2"/>
  <c r="Y561" i="2"/>
  <c r="Y560" i="2"/>
  <c r="Y559" i="2"/>
  <c r="Y558" i="2"/>
  <c r="Y557" i="2"/>
  <c r="Y556" i="2"/>
  <c r="Y555" i="2"/>
  <c r="Y554" i="2"/>
  <c r="Y553" i="2"/>
  <c r="Y552" i="2"/>
  <c r="Y551" i="2"/>
  <c r="Y550" i="2"/>
  <c r="Y549" i="2"/>
  <c r="Y548" i="2"/>
  <c r="Y547" i="2"/>
  <c r="Y546" i="2"/>
  <c r="Y545" i="2"/>
  <c r="Y544" i="2"/>
  <c r="Y543" i="2"/>
  <c r="Y542" i="2"/>
  <c r="Y541" i="2"/>
  <c r="Y540" i="2"/>
  <c r="Y539" i="2"/>
  <c r="Y538" i="2"/>
  <c r="Y537" i="2"/>
  <c r="Y536" i="2"/>
  <c r="Y535" i="2"/>
  <c r="Y534" i="2"/>
  <c r="Y533" i="2"/>
  <c r="Y532" i="2"/>
  <c r="Y531" i="2"/>
  <c r="Y530" i="2"/>
  <c r="Y529" i="2"/>
  <c r="Y528" i="2"/>
  <c r="Y527" i="2"/>
  <c r="Y526" i="2"/>
  <c r="Y525" i="2"/>
  <c r="Y524" i="2"/>
  <c r="Y523" i="2"/>
  <c r="Y522" i="2"/>
  <c r="Y521" i="2"/>
  <c r="Y520" i="2"/>
  <c r="Y519" i="2"/>
  <c r="Y518" i="2"/>
  <c r="Y517" i="2"/>
  <c r="Y516" i="2"/>
  <c r="Y515" i="2"/>
  <c r="Y514" i="2"/>
  <c r="Y513" i="2"/>
  <c r="Y512" i="2"/>
  <c r="Y511" i="2"/>
  <c r="Y510" i="2"/>
  <c r="Y509" i="2"/>
  <c r="Y508" i="2"/>
  <c r="Y507" i="2"/>
  <c r="Y506" i="2"/>
  <c r="Y505" i="2"/>
  <c r="Y504" i="2"/>
  <c r="Y503" i="2"/>
  <c r="Y502" i="2"/>
  <c r="Y501" i="2"/>
  <c r="Y500" i="2"/>
  <c r="Y499" i="2"/>
  <c r="Y498" i="2"/>
  <c r="Y497" i="2"/>
  <c r="Y496" i="2"/>
  <c r="Y495" i="2"/>
  <c r="Y494" i="2"/>
  <c r="Y493" i="2"/>
  <c r="Y492" i="2"/>
  <c r="Y491" i="2"/>
  <c r="Y490" i="2"/>
  <c r="Y489" i="2"/>
  <c r="Y488" i="2"/>
  <c r="Y487" i="2"/>
  <c r="Y486" i="2"/>
  <c r="Y485" i="2"/>
  <c r="Y484" i="2"/>
  <c r="Y483" i="2"/>
  <c r="Y482" i="2"/>
  <c r="Y481" i="2"/>
  <c r="Y480" i="2"/>
  <c r="Y479" i="2"/>
  <c r="Y478" i="2"/>
  <c r="Y477" i="2"/>
  <c r="Y476" i="2"/>
  <c r="Y475" i="2"/>
  <c r="Y474" i="2"/>
  <c r="Y473" i="2"/>
  <c r="Y472" i="2"/>
  <c r="Y471" i="2"/>
  <c r="Y470" i="2"/>
  <c r="Y469" i="2"/>
  <c r="Y468" i="2"/>
  <c r="Y467" i="2"/>
  <c r="Y466" i="2"/>
  <c r="Y465" i="2"/>
  <c r="Y464" i="2"/>
  <c r="Y463" i="2"/>
  <c r="Y462" i="2"/>
  <c r="Y461" i="2"/>
  <c r="Y460" i="2"/>
  <c r="Y459" i="2"/>
  <c r="Y458" i="2"/>
  <c r="Y457" i="2"/>
  <c r="Y456" i="2"/>
  <c r="Y455" i="2"/>
  <c r="Y454" i="2"/>
  <c r="Y453" i="2"/>
  <c r="Y452" i="2"/>
  <c r="Y451" i="2"/>
  <c r="Y450" i="2"/>
  <c r="Y449" i="2"/>
  <c r="Y448" i="2"/>
  <c r="Y447" i="2"/>
  <c r="Y446" i="2"/>
  <c r="Y445" i="2"/>
  <c r="Y444" i="2"/>
  <c r="Y443" i="2"/>
  <c r="Y442" i="2"/>
  <c r="Y441" i="2"/>
  <c r="Y440" i="2"/>
  <c r="Y439" i="2"/>
  <c r="Y438" i="2"/>
  <c r="Y437" i="2"/>
  <c r="Y436" i="2"/>
  <c r="Y435" i="2"/>
  <c r="Y434" i="2"/>
  <c r="Y433" i="2"/>
  <c r="Y432" i="2"/>
  <c r="Y431" i="2"/>
  <c r="Y430" i="2"/>
  <c r="Y429" i="2"/>
  <c r="Y428" i="2"/>
  <c r="Y427" i="2"/>
  <c r="Y426" i="2"/>
  <c r="Y425" i="2"/>
  <c r="Y424" i="2"/>
  <c r="Y423" i="2"/>
  <c r="Y422" i="2"/>
  <c r="Y421" i="2"/>
  <c r="Y420" i="2"/>
  <c r="Y419" i="2"/>
  <c r="Y418" i="2"/>
  <c r="Y417" i="2"/>
  <c r="Y416" i="2"/>
  <c r="Y415" i="2"/>
  <c r="Y414" i="2"/>
  <c r="Y413" i="2"/>
  <c r="Y412" i="2"/>
  <c r="Y411" i="2"/>
  <c r="Y410" i="2"/>
  <c r="Y409" i="2"/>
  <c r="Y408" i="2"/>
  <c r="Y407" i="2"/>
  <c r="Y406" i="2"/>
  <c r="Y405" i="2"/>
  <c r="Y404" i="2"/>
  <c r="Y403" i="2"/>
  <c r="Y402" i="2"/>
  <c r="Y401" i="2"/>
  <c r="Y400" i="2"/>
  <c r="Y399" i="2"/>
  <c r="Y398" i="2"/>
  <c r="Y397" i="2"/>
  <c r="Y396" i="2"/>
  <c r="Y395" i="2"/>
  <c r="Y394" i="2"/>
  <c r="Y393" i="2"/>
  <c r="Y392" i="2"/>
  <c r="Y391" i="2"/>
  <c r="Y390" i="2"/>
  <c r="Y389" i="2"/>
  <c r="Y388" i="2"/>
  <c r="Y387" i="2"/>
  <c r="Y386" i="2"/>
  <c r="Y385" i="2"/>
  <c r="Y384" i="2"/>
  <c r="Y383" i="2"/>
  <c r="Y382" i="2"/>
  <c r="Y381" i="2"/>
  <c r="Y380" i="2"/>
  <c r="Y379" i="2"/>
  <c r="Y378" i="2"/>
  <c r="Y377" i="2"/>
  <c r="Y376" i="2"/>
  <c r="Y375" i="2"/>
  <c r="Y374" i="2"/>
  <c r="Y373" i="2"/>
  <c r="Y372" i="2"/>
  <c r="Y371" i="2"/>
  <c r="Y370" i="2"/>
  <c r="Y369" i="2"/>
  <c r="Y368" i="2"/>
  <c r="Y367" i="2"/>
  <c r="Y366" i="2"/>
  <c r="Y365" i="2"/>
  <c r="Y364" i="2"/>
  <c r="Y363" i="2"/>
  <c r="Y362" i="2"/>
  <c r="Y361" i="2"/>
  <c r="Y360" i="2"/>
  <c r="Y359" i="2"/>
  <c r="Y358" i="2"/>
  <c r="Y357" i="2"/>
  <c r="Y356" i="2"/>
  <c r="Y355" i="2"/>
  <c r="Y354" i="2"/>
  <c r="Y353" i="2"/>
  <c r="Y352" i="2"/>
  <c r="Y351" i="2"/>
  <c r="Y350" i="2"/>
  <c r="Y349" i="2"/>
  <c r="Y348" i="2"/>
  <c r="Y347" i="2"/>
  <c r="Y346" i="2"/>
  <c r="Y345" i="2"/>
  <c r="Y344" i="2"/>
  <c r="Y343" i="2"/>
  <c r="Y342" i="2"/>
  <c r="Y341" i="2"/>
  <c r="Y340" i="2"/>
  <c r="Y339" i="2"/>
  <c r="Y338" i="2"/>
  <c r="Y337" i="2"/>
  <c r="Y336" i="2"/>
  <c r="Y335" i="2"/>
  <c r="Y334" i="2"/>
  <c r="Y333" i="2"/>
  <c r="Y332" i="2"/>
  <c r="Y331" i="2"/>
  <c r="Y330" i="2"/>
  <c r="Y329" i="2"/>
  <c r="Y328" i="2"/>
  <c r="Y327" i="2"/>
  <c r="Y326" i="2"/>
  <c r="Y325" i="2"/>
  <c r="Y324" i="2"/>
  <c r="Y323" i="2"/>
  <c r="Y322" i="2"/>
  <c r="Y321" i="2"/>
  <c r="Y320" i="2"/>
  <c r="Y319" i="2"/>
  <c r="Y318" i="2"/>
  <c r="Y317" i="2"/>
  <c r="Y316" i="2"/>
  <c r="Y315" i="2"/>
  <c r="Y314" i="2"/>
  <c r="Y313" i="2"/>
  <c r="Y312" i="2"/>
  <c r="Y311" i="2"/>
  <c r="Y310" i="2"/>
  <c r="Y309" i="2"/>
  <c r="Y308" i="2"/>
  <c r="Y307" i="2"/>
  <c r="Y306" i="2"/>
  <c r="Y305" i="2"/>
  <c r="Y304" i="2"/>
  <c r="Y303" i="2"/>
  <c r="Y302" i="2"/>
  <c r="Y301" i="2"/>
  <c r="Y300" i="2"/>
  <c r="Y299" i="2"/>
  <c r="Y298" i="2"/>
  <c r="Y297" i="2"/>
  <c r="Y296" i="2"/>
  <c r="Y295" i="2"/>
  <c r="Y294" i="2"/>
  <c r="Y293" i="2"/>
  <c r="Y292" i="2"/>
  <c r="Y291" i="2"/>
  <c r="Y290" i="2"/>
  <c r="Y289" i="2"/>
  <c r="Y288" i="2"/>
  <c r="Y287" i="2"/>
  <c r="Y286" i="2"/>
  <c r="Y285" i="2"/>
  <c r="Y284" i="2"/>
  <c r="Y283" i="2"/>
  <c r="Y282" i="2"/>
  <c r="Y281" i="2"/>
  <c r="Y280" i="2"/>
  <c r="Y279" i="2"/>
  <c r="Y278" i="2"/>
  <c r="Y277" i="2"/>
  <c r="Y276" i="2"/>
  <c r="Y275" i="2"/>
  <c r="Y274" i="2"/>
  <c r="Y273" i="2"/>
  <c r="Y272" i="2"/>
  <c r="Y271" i="2"/>
  <c r="Y270" i="2"/>
  <c r="Y269" i="2"/>
  <c r="Y268" i="2"/>
  <c r="Y267" i="2"/>
  <c r="Y266" i="2"/>
  <c r="Y265" i="2"/>
  <c r="Y264" i="2"/>
  <c r="Y263" i="2"/>
  <c r="Y262" i="2"/>
  <c r="Y261" i="2"/>
  <c r="Y260" i="2"/>
  <c r="Y259" i="2"/>
  <c r="Y258" i="2"/>
  <c r="Y257" i="2"/>
  <c r="Y256" i="2"/>
  <c r="Y255" i="2"/>
  <c r="Y254" i="2"/>
  <c r="Y253" i="2"/>
  <c r="Y252" i="2"/>
  <c r="Y251" i="2"/>
  <c r="Y250" i="2"/>
  <c r="Y249" i="2"/>
  <c r="Y248" i="2"/>
  <c r="Y247" i="2"/>
  <c r="Y246" i="2"/>
  <c r="Y245" i="2"/>
  <c r="Y244" i="2"/>
  <c r="Y243" i="2"/>
  <c r="Y242" i="2"/>
  <c r="Y241" i="2"/>
  <c r="Y240" i="2"/>
  <c r="Y239" i="2"/>
  <c r="Y238" i="2"/>
  <c r="Y237" i="2"/>
  <c r="Y236" i="2"/>
  <c r="Y235" i="2"/>
  <c r="Y234" i="2"/>
  <c r="Y233" i="2"/>
  <c r="Y232" i="2"/>
  <c r="Y231" i="2"/>
  <c r="Y230" i="2"/>
  <c r="Y229" i="2"/>
  <c r="Y228" i="2"/>
  <c r="Y227" i="2"/>
  <c r="Y226" i="2"/>
  <c r="Y225" i="2"/>
  <c r="Y224" i="2"/>
  <c r="Y223" i="2"/>
  <c r="Y222" i="2"/>
  <c r="Y221" i="2"/>
  <c r="Y220" i="2"/>
  <c r="Y219" i="2"/>
  <c r="Y218" i="2"/>
  <c r="Y217" i="2"/>
  <c r="Y216" i="2"/>
  <c r="Y215" i="2"/>
  <c r="Y214" i="2"/>
  <c r="Y213" i="2"/>
  <c r="Y212" i="2"/>
  <c r="Y211" i="2"/>
  <c r="Y210" i="2"/>
  <c r="Y209" i="2"/>
  <c r="Y208" i="2"/>
  <c r="Y207" i="2"/>
  <c r="Y206" i="2"/>
  <c r="Y205" i="2"/>
  <c r="Y204" i="2"/>
  <c r="Y203" i="2"/>
  <c r="Y202" i="2"/>
  <c r="Y201" i="2"/>
  <c r="Y200" i="2"/>
  <c r="Y199" i="2"/>
  <c r="Y198" i="2"/>
  <c r="Y197" i="2"/>
  <c r="Y196" i="2"/>
  <c r="Y195" i="2"/>
  <c r="Y194" i="2"/>
  <c r="Y193" i="2"/>
  <c r="Y192" i="2"/>
  <c r="Y191" i="2"/>
  <c r="Y190" i="2"/>
  <c r="Y189" i="2"/>
  <c r="Y188" i="2"/>
  <c r="Y187" i="2"/>
  <c r="Y186" i="2"/>
  <c r="Y185" i="2"/>
  <c r="Y184" i="2"/>
  <c r="Y183" i="2"/>
  <c r="Y182" i="2"/>
  <c r="Y181" i="2"/>
  <c r="Y180" i="2"/>
  <c r="Y179" i="2"/>
  <c r="Y178" i="2"/>
  <c r="Y177" i="2"/>
  <c r="Y176" i="2"/>
  <c r="Y175" i="2"/>
  <c r="Y174" i="2"/>
  <c r="Y173" i="2"/>
  <c r="Y172" i="2"/>
  <c r="Y171" i="2"/>
  <c r="Y170" i="2"/>
  <c r="Y169" i="2"/>
  <c r="Y168" i="2"/>
  <c r="Y167" i="2"/>
  <c r="Y166" i="2"/>
  <c r="Y165" i="2"/>
  <c r="Y164" i="2"/>
  <c r="Y163" i="2"/>
  <c r="Y162" i="2"/>
  <c r="Y161" i="2"/>
  <c r="Y160" i="2"/>
  <c r="Y159" i="2"/>
  <c r="Y158" i="2"/>
  <c r="Y157" i="2"/>
  <c r="Y156" i="2"/>
  <c r="Y155" i="2"/>
  <c r="Y154" i="2"/>
  <c r="Y153" i="2"/>
  <c r="Y152" i="2"/>
  <c r="Y151" i="2"/>
  <c r="Y150" i="2"/>
  <c r="Y149" i="2"/>
  <c r="Y148" i="2"/>
  <c r="Y147" i="2"/>
  <c r="Y146" i="2"/>
  <c r="Y145" i="2"/>
  <c r="Y144" i="2"/>
  <c r="Y143" i="2"/>
  <c r="Y142" i="2"/>
  <c r="Y141" i="2"/>
  <c r="Y140" i="2"/>
  <c r="Y139" i="2"/>
  <c r="Y138" i="2"/>
  <c r="Y137" i="2"/>
  <c r="Y136" i="2"/>
  <c r="Y135" i="2"/>
  <c r="Y134" i="2"/>
  <c r="Y133" i="2"/>
  <c r="Y132" i="2"/>
  <c r="Y131" i="2"/>
  <c r="Y130" i="2"/>
  <c r="Y129" i="2"/>
  <c r="Y128" i="2"/>
  <c r="Y127" i="2"/>
  <c r="Y126" i="2"/>
  <c r="Y125" i="2"/>
  <c r="Y124" i="2"/>
  <c r="Y123" i="2"/>
  <c r="Y122" i="2"/>
  <c r="Y121" i="2"/>
  <c r="Y120" i="2"/>
  <c r="Y119" i="2"/>
  <c r="Y118" i="2"/>
  <c r="Y117" i="2"/>
  <c r="Y116" i="2"/>
  <c r="Y115" i="2"/>
  <c r="Y114" i="2"/>
  <c r="Y113" i="2"/>
  <c r="Y112" i="2"/>
  <c r="X111" i="2"/>
  <c r="Y111" i="2"/>
  <c r="Y110" i="2"/>
  <c r="Y109" i="2"/>
  <c r="Y108" i="2"/>
  <c r="Y107" i="2"/>
  <c r="Y106" i="2"/>
  <c r="Y105" i="2"/>
  <c r="Y104" i="2"/>
  <c r="Y103" i="2"/>
  <c r="Y102" i="2"/>
  <c r="Y101" i="2"/>
  <c r="Y100" i="2"/>
  <c r="Y99" i="2"/>
  <c r="Y98" i="2"/>
  <c r="Y97" i="2"/>
  <c r="Y96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X28" i="2"/>
  <c r="Y28" i="2"/>
  <c r="Y27" i="2"/>
  <c r="X26" i="2"/>
  <c r="Y26" i="2"/>
  <c r="Y25" i="2"/>
  <c r="X24" i="2"/>
  <c r="Y24" i="2"/>
  <c r="Y23" i="2"/>
  <c r="X22" i="2"/>
  <c r="Y22" i="2"/>
  <c r="X21" i="2"/>
  <c r="Y21" i="2"/>
  <c r="Y20" i="2"/>
  <c r="Y19" i="2"/>
  <c r="Y18" i="2"/>
  <c r="Y17" i="2"/>
  <c r="Y16" i="2"/>
  <c r="Y15" i="2"/>
  <c r="Y14" i="2"/>
  <c r="Y13" i="2"/>
  <c r="X12" i="2"/>
  <c r="Y12" i="2"/>
  <c r="X11" i="2"/>
  <c r="Y11" i="2"/>
  <c r="Y10" i="2"/>
  <c r="X9" i="2"/>
  <c r="Y9" i="2"/>
  <c r="Y8" i="2"/>
  <c r="X7" i="2"/>
  <c r="Y7" i="2"/>
  <c r="X6" i="2"/>
  <c r="Y6" i="2"/>
  <c r="X5" i="2"/>
  <c r="Y5" i="2"/>
  <c r="X4" i="2"/>
  <c r="Y4" i="2"/>
  <c r="X3" i="2"/>
  <c r="Y3" i="2"/>
  <c r="X2" i="2"/>
  <c r="Y2" i="2"/>
  <c r="S2" i="2"/>
  <c r="AM1248" i="2"/>
  <c r="AM923" i="2"/>
  <c r="AM2235" i="2"/>
  <c r="AM663" i="2"/>
  <c r="AM156" i="2"/>
  <c r="AM628" i="2"/>
  <c r="AM626" i="2"/>
  <c r="AM1666" i="2"/>
  <c r="AM64" i="2"/>
  <c r="AM639" i="2"/>
  <c r="AM638" i="2"/>
  <c r="AM1380" i="2"/>
  <c r="AL2234" i="2"/>
  <c r="AM2234" i="2"/>
  <c r="AM1571" i="2"/>
  <c r="AK1942" i="2"/>
  <c r="AL1942" i="2"/>
  <c r="AM1942" i="2"/>
  <c r="AI1942" i="2"/>
  <c r="AM1940" i="2"/>
  <c r="AK1940" i="2"/>
  <c r="AI1940" i="2"/>
  <c r="AM1478" i="2"/>
  <c r="AM898" i="2"/>
  <c r="AM1683" i="2"/>
  <c r="AM1573" i="2"/>
  <c r="AM896" i="2"/>
  <c r="AM1919" i="2"/>
  <c r="AM586" i="2"/>
  <c r="AM507" i="2"/>
  <c r="AM1211" i="2"/>
  <c r="AM1063" i="2"/>
  <c r="AM565" i="2"/>
  <c r="AM1611" i="2"/>
  <c r="AI1611" i="2"/>
  <c r="AM1381" i="2"/>
  <c r="AI1381" i="2"/>
  <c r="AM1290" i="2"/>
  <c r="AI1290" i="2"/>
  <c r="AM1837" i="2"/>
  <c r="AI1837" i="2"/>
  <c r="AM1489" i="2"/>
  <c r="AI1489" i="2"/>
  <c r="AM1241" i="2"/>
  <c r="AI1241" i="2"/>
  <c r="AM1192" i="2"/>
  <c r="AI1192" i="2"/>
  <c r="AM397" i="2"/>
  <c r="AI397" i="2"/>
  <c r="AM872" i="2"/>
  <c r="AI872" i="2"/>
  <c r="AM2233" i="2"/>
  <c r="AI2233" i="2"/>
  <c r="AM364" i="2"/>
  <c r="AI364" i="2"/>
  <c r="AM1731" i="2"/>
  <c r="AI1731" i="2"/>
  <c r="AM1210" i="2"/>
  <c r="AI1210" i="2"/>
  <c r="AM1302" i="2"/>
  <c r="AI1302" i="2"/>
  <c r="AM1222" i="2"/>
  <c r="AI1222" i="2"/>
  <c r="AM1178" i="2"/>
  <c r="AI1178" i="2"/>
  <c r="AM1563" i="2"/>
  <c r="AI1563" i="2"/>
  <c r="AM2232" i="2"/>
  <c r="AI2232" i="2"/>
  <c r="AM285" i="2"/>
  <c r="AK285" i="2"/>
  <c r="AI285" i="2"/>
  <c r="AM405" i="2"/>
  <c r="AK405" i="2"/>
  <c r="AI405" i="2"/>
  <c r="AM1011" i="2"/>
  <c r="AK1011" i="2"/>
  <c r="AI1011" i="2"/>
  <c r="AS287" i="2"/>
  <c r="AW287" i="2"/>
  <c r="AR287" i="2"/>
  <c r="AV287" i="2"/>
  <c r="AQ287" i="2"/>
  <c r="AU287" i="2"/>
  <c r="AM287" i="2"/>
  <c r="AK287" i="2"/>
  <c r="AI287" i="2"/>
  <c r="AR1584" i="2"/>
  <c r="AV1584" i="2"/>
  <c r="AS1584" i="2"/>
  <c r="AW1584" i="2"/>
  <c r="AQ1584" i="2"/>
  <c r="AU1584" i="2"/>
  <c r="AM1584" i="2"/>
  <c r="AK1584" i="2"/>
  <c r="AI1584" i="2"/>
  <c r="AR1033" i="2"/>
  <c r="AV1033" i="2"/>
  <c r="AS1033" i="2"/>
  <c r="AW1033" i="2"/>
  <c r="AQ1033" i="2"/>
  <c r="AU1033" i="2"/>
  <c r="AM1033" i="2"/>
  <c r="AK1033" i="2"/>
  <c r="AI1033" i="2"/>
  <c r="AR1477" i="2"/>
  <c r="AV1477" i="2"/>
  <c r="AS1477" i="2"/>
  <c r="AW1477" i="2"/>
  <c r="AQ1477" i="2"/>
  <c r="AU1477" i="2"/>
  <c r="AM1477" i="2"/>
  <c r="AK1477" i="2"/>
  <c r="AI1477" i="2"/>
  <c r="AR1334" i="2"/>
  <c r="AV1334" i="2"/>
  <c r="AS1334" i="2"/>
  <c r="AW1334" i="2"/>
  <c r="AQ1334" i="2"/>
  <c r="AU1334" i="2"/>
  <c r="AM1334" i="2"/>
  <c r="AK1334" i="2"/>
  <c r="AI1334" i="2"/>
  <c r="AR236" i="2"/>
  <c r="AV236" i="2"/>
  <c r="AS236" i="2"/>
  <c r="AW236" i="2"/>
  <c r="AQ236" i="2"/>
  <c r="AU236" i="2"/>
  <c r="AM236" i="2"/>
  <c r="AK236" i="2"/>
  <c r="AI236" i="2"/>
  <c r="AR876" i="2"/>
  <c r="AV876" i="2"/>
  <c r="AS876" i="2"/>
  <c r="AW876" i="2"/>
  <c r="AQ876" i="2"/>
  <c r="AU876" i="2"/>
  <c r="AM876" i="2"/>
  <c r="AK876" i="2"/>
  <c r="AI876" i="2"/>
  <c r="AR974" i="2"/>
  <c r="AV974" i="2"/>
  <c r="AS974" i="2"/>
  <c r="AW974" i="2"/>
  <c r="AQ974" i="2"/>
  <c r="AU974" i="2"/>
  <c r="AM974" i="2"/>
  <c r="AK974" i="2"/>
  <c r="AI974" i="2"/>
  <c r="AR1826" i="2"/>
  <c r="AV1826" i="2"/>
  <c r="AS1826" i="2"/>
  <c r="AW1826" i="2"/>
  <c r="AQ1826" i="2"/>
  <c r="AU1826" i="2"/>
  <c r="AM1826" i="2"/>
  <c r="AK1826" i="2"/>
  <c r="AI1826" i="2"/>
  <c r="AR1847" i="2"/>
  <c r="AV1847" i="2"/>
  <c r="AS1847" i="2"/>
  <c r="AW1847" i="2"/>
  <c r="AQ1847" i="2"/>
  <c r="AU1847" i="2"/>
  <c r="AM1847" i="2"/>
  <c r="AK1847" i="2"/>
  <c r="AI1847" i="2"/>
  <c r="AR692" i="2"/>
  <c r="AV692" i="2"/>
  <c r="AS692" i="2"/>
  <c r="AW692" i="2"/>
  <c r="AQ692" i="2"/>
  <c r="AU692" i="2"/>
  <c r="AM692" i="2"/>
  <c r="AK692" i="2"/>
  <c r="AI692" i="2"/>
  <c r="AR1528" i="2"/>
  <c r="AV1528" i="2"/>
  <c r="AS1528" i="2"/>
  <c r="AW1528" i="2"/>
  <c r="AQ1528" i="2"/>
  <c r="AU1528" i="2"/>
  <c r="AM1528" i="2"/>
  <c r="AK1528" i="2"/>
  <c r="AI1528" i="2"/>
  <c r="AR1488" i="2"/>
  <c r="AV1488" i="2"/>
  <c r="AS1488" i="2"/>
  <c r="AW1488" i="2"/>
  <c r="AQ1488" i="2"/>
  <c r="AU1488" i="2"/>
  <c r="AM1488" i="2"/>
  <c r="AK1488" i="2"/>
  <c r="AI1488" i="2"/>
  <c r="AR2231" i="2"/>
  <c r="AV2231" i="2"/>
  <c r="AS2231" i="2"/>
  <c r="AW2231" i="2"/>
  <c r="AQ2231" i="2"/>
  <c r="AU2231" i="2"/>
  <c r="AM2231" i="2"/>
  <c r="AK2231" i="2"/>
  <c r="AI2231" i="2"/>
  <c r="AR1221" i="2"/>
  <c r="AV1221" i="2"/>
  <c r="AS1221" i="2"/>
  <c r="AW1221" i="2"/>
  <c r="AQ1221" i="2"/>
  <c r="AU1221" i="2"/>
  <c r="AM1221" i="2"/>
  <c r="AK1221" i="2"/>
  <c r="AI1221" i="2"/>
  <c r="AR1578" i="2"/>
  <c r="AV1578" i="2"/>
  <c r="AS1578" i="2"/>
  <c r="AW1578" i="2"/>
  <c r="AQ1578" i="2"/>
  <c r="AU1578" i="2"/>
  <c r="AM1578" i="2"/>
  <c r="AK1578" i="2"/>
  <c r="AI1578" i="2"/>
  <c r="AR901" i="2"/>
  <c r="AV901" i="2"/>
  <c r="AS901" i="2"/>
  <c r="AW901" i="2"/>
  <c r="AQ901" i="2"/>
  <c r="AU901" i="2"/>
  <c r="AM901" i="2"/>
  <c r="AK901" i="2"/>
  <c r="AI901" i="2"/>
  <c r="AR1423" i="2"/>
  <c r="AV1423" i="2"/>
  <c r="AS1423" i="2"/>
  <c r="AW1423" i="2"/>
  <c r="AQ1423" i="2"/>
  <c r="AU1423" i="2"/>
  <c r="AM1423" i="2"/>
  <c r="AK1423" i="2"/>
  <c r="AI1423" i="2"/>
  <c r="AR1439" i="2"/>
  <c r="AV1439" i="2"/>
  <c r="AS1439" i="2"/>
  <c r="AW1439" i="2"/>
  <c r="AQ1439" i="2"/>
  <c r="AU1439" i="2"/>
  <c r="AM1439" i="2"/>
  <c r="AK1439" i="2"/>
  <c r="AI1439" i="2"/>
  <c r="AR1582" i="2"/>
  <c r="AV1582" i="2"/>
  <c r="AS1582" i="2"/>
  <c r="AW1582" i="2"/>
  <c r="AQ1582" i="2"/>
  <c r="AU1582" i="2"/>
  <c r="AM1582" i="2"/>
  <c r="AK1582" i="2"/>
  <c r="AI1582" i="2"/>
  <c r="AR2167" i="2"/>
  <c r="AV2167" i="2"/>
  <c r="AS2167" i="2"/>
  <c r="AW2167" i="2"/>
  <c r="AQ2167" i="2"/>
  <c r="AU2167" i="2"/>
  <c r="AM2167" i="2"/>
  <c r="AK2167" i="2"/>
  <c r="AI2167" i="2"/>
  <c r="AR2166" i="2"/>
  <c r="AV2166" i="2"/>
  <c r="AS2166" i="2"/>
  <c r="AW2166" i="2"/>
  <c r="AQ2166" i="2"/>
  <c r="AU2166" i="2"/>
  <c r="AM2166" i="2"/>
  <c r="AK2166" i="2"/>
  <c r="AI2166" i="2"/>
  <c r="AR1490" i="2"/>
  <c r="AV1490" i="2"/>
  <c r="AS1490" i="2"/>
  <c r="AW1490" i="2"/>
  <c r="AQ1490" i="2"/>
  <c r="AU1490" i="2"/>
  <c r="AM1490" i="2"/>
  <c r="AK1490" i="2"/>
  <c r="AI1490" i="2"/>
  <c r="AR1680" i="2"/>
  <c r="AV1680" i="2"/>
  <c r="AS1680" i="2"/>
  <c r="AW1680" i="2"/>
  <c r="AQ1680" i="2"/>
  <c r="AU1680" i="2"/>
  <c r="AM1680" i="2"/>
  <c r="AK1680" i="2"/>
  <c r="AI1680" i="2"/>
  <c r="AR2230" i="2"/>
  <c r="AV2230" i="2"/>
  <c r="AS2230" i="2"/>
  <c r="AW2230" i="2"/>
  <c r="AQ2230" i="2"/>
  <c r="AU2230" i="2"/>
  <c r="AM2230" i="2"/>
  <c r="AK2230" i="2"/>
  <c r="AI2230" i="2"/>
  <c r="AR2229" i="2"/>
  <c r="AV2229" i="2"/>
  <c r="AS2229" i="2"/>
  <c r="AW2229" i="2"/>
  <c r="AQ2229" i="2"/>
  <c r="AU2229" i="2"/>
  <c r="AM2229" i="2"/>
  <c r="AK2229" i="2"/>
  <c r="AI2229" i="2"/>
  <c r="AR1457" i="2"/>
  <c r="AV1457" i="2"/>
  <c r="AS1457" i="2"/>
  <c r="AW1457" i="2"/>
  <c r="AQ1457" i="2"/>
  <c r="AU1457" i="2"/>
  <c r="AM1457" i="2"/>
  <c r="AK1457" i="2"/>
  <c r="AI1457" i="2"/>
  <c r="AR1777" i="2"/>
  <c r="AV1777" i="2"/>
  <c r="AS1777" i="2"/>
  <c r="AW1777" i="2"/>
  <c r="AQ1777" i="2"/>
  <c r="AU1777" i="2"/>
  <c r="AM1777" i="2"/>
  <c r="AK1777" i="2"/>
  <c r="AI1777" i="2"/>
  <c r="AM69" i="2"/>
  <c r="AK69" i="2"/>
  <c r="AI69" i="2"/>
  <c r="AM136" i="2"/>
  <c r="AK136" i="2"/>
  <c r="AI136" i="2"/>
  <c r="AM394" i="2"/>
  <c r="AK394" i="2"/>
  <c r="AI394" i="2"/>
  <c r="AM836" i="2"/>
  <c r="AK836" i="2"/>
  <c r="AI836" i="2"/>
  <c r="AM1077" i="2"/>
  <c r="AK1077" i="2"/>
  <c r="AI1077" i="2"/>
  <c r="AM1358" i="2"/>
  <c r="AK1358" i="2"/>
  <c r="AI1358" i="2"/>
  <c r="AM41" i="2"/>
  <c r="AK41" i="2"/>
  <c r="AI41" i="2"/>
  <c r="AM39" i="2"/>
  <c r="AK39" i="2"/>
  <c r="AI39" i="2"/>
  <c r="AM427" i="2"/>
  <c r="AK427" i="2"/>
  <c r="AI427" i="2"/>
  <c r="AM1639" i="2"/>
  <c r="AK1639" i="2"/>
  <c r="AI1639" i="2"/>
  <c r="AM256" i="2"/>
  <c r="AK256" i="2"/>
  <c r="AI256" i="2"/>
  <c r="AM416" i="2"/>
  <c r="AK416" i="2"/>
  <c r="AI416" i="2"/>
  <c r="AM441" i="2"/>
  <c r="AK441" i="2"/>
  <c r="AI441" i="2"/>
  <c r="AM247" i="2"/>
  <c r="AK247" i="2"/>
  <c r="AI247" i="2"/>
  <c r="AM255" i="2"/>
  <c r="AK255" i="2"/>
  <c r="AI255" i="2"/>
  <c r="AM1874" i="2"/>
  <c r="AK1874" i="2"/>
  <c r="AI1874" i="2"/>
  <c r="AM531" i="2"/>
  <c r="AK531" i="2"/>
  <c r="AI531" i="2"/>
  <c r="AM2228" i="2"/>
  <c r="AK2228" i="2"/>
  <c r="AI2228" i="2"/>
  <c r="AM799" i="2"/>
  <c r="AK799" i="2"/>
  <c r="AI799" i="2"/>
  <c r="AM963" i="2"/>
  <c r="AK963" i="2"/>
  <c r="AI963" i="2"/>
  <c r="AS748" i="2"/>
  <c r="AW748" i="2"/>
  <c r="AR748" i="2"/>
  <c r="AV748" i="2"/>
  <c r="AQ748" i="2"/>
  <c r="AU748" i="2"/>
  <c r="AM748" i="2"/>
  <c r="AI748" i="2"/>
  <c r="AQ129" i="2"/>
  <c r="AU129" i="2"/>
  <c r="AS129" i="2"/>
  <c r="AW129" i="2"/>
  <c r="AR129" i="2"/>
  <c r="AV129" i="2"/>
  <c r="AM129" i="2"/>
  <c r="AI129" i="2"/>
  <c r="AR382" i="2"/>
  <c r="AV382" i="2"/>
  <c r="AS382" i="2"/>
  <c r="AW382" i="2"/>
  <c r="AQ382" i="2"/>
  <c r="AU382" i="2"/>
  <c r="AM382" i="2"/>
  <c r="AI382" i="2"/>
  <c r="AS556" i="2"/>
  <c r="AW556" i="2"/>
  <c r="AR556" i="2"/>
  <c r="AV556" i="2"/>
  <c r="AQ556" i="2"/>
  <c r="AU556" i="2"/>
  <c r="AM556" i="2"/>
  <c r="AI556" i="2"/>
  <c r="AS1041" i="2"/>
  <c r="AW1041" i="2"/>
  <c r="AR1041" i="2"/>
  <c r="AV1041" i="2"/>
  <c r="AQ1041" i="2"/>
  <c r="AU1041" i="2"/>
  <c r="AM1041" i="2"/>
  <c r="AI1041" i="2"/>
  <c r="AQ460" i="2"/>
  <c r="AU460" i="2"/>
  <c r="AS460" i="2"/>
  <c r="AW460" i="2"/>
  <c r="AR460" i="2"/>
  <c r="AV460" i="2"/>
  <c r="AM460" i="2"/>
  <c r="AI460" i="2"/>
  <c r="AR1780" i="2"/>
  <c r="AV1780" i="2"/>
  <c r="AS1780" i="2"/>
  <c r="AW1780" i="2"/>
  <c r="AQ1780" i="2"/>
  <c r="AU1780" i="2"/>
  <c r="AM1780" i="2"/>
  <c r="AI1780" i="2"/>
  <c r="AS1654" i="2"/>
  <c r="AW1654" i="2"/>
  <c r="AR1654" i="2"/>
  <c r="AV1654" i="2"/>
  <c r="AQ1654" i="2"/>
  <c r="AU1654" i="2"/>
  <c r="AM1654" i="2"/>
  <c r="AI1654" i="2"/>
  <c r="AS1520" i="2"/>
  <c r="AW1520" i="2"/>
  <c r="AR1520" i="2"/>
  <c r="AV1520" i="2"/>
  <c r="AQ1520" i="2"/>
  <c r="AU1520" i="2"/>
  <c r="AM1520" i="2"/>
  <c r="AI1520" i="2"/>
  <c r="AQ1598" i="2"/>
  <c r="AU1598" i="2"/>
  <c r="AS1598" i="2"/>
  <c r="AW1598" i="2"/>
  <c r="AR1598" i="2"/>
  <c r="AV1598" i="2"/>
  <c r="AM1598" i="2"/>
  <c r="AI1598" i="2"/>
  <c r="AR1608" i="2"/>
  <c r="AV1608" i="2"/>
  <c r="AS1608" i="2"/>
  <c r="AW1608" i="2"/>
  <c r="AQ1608" i="2"/>
  <c r="AU1608" i="2"/>
  <c r="AM1608" i="2"/>
  <c r="AI1608" i="2"/>
  <c r="AS1299" i="2"/>
  <c r="AW1299" i="2"/>
  <c r="AR1299" i="2"/>
  <c r="AV1299" i="2"/>
  <c r="AQ1299" i="2"/>
  <c r="AU1299" i="2"/>
  <c r="AM1299" i="2"/>
  <c r="AI1299" i="2"/>
  <c r="AS1904" i="2"/>
  <c r="AW1904" i="2"/>
  <c r="AR1904" i="2"/>
  <c r="AV1904" i="2"/>
  <c r="AQ1904" i="2"/>
  <c r="AU1904" i="2"/>
  <c r="AM1904" i="2"/>
  <c r="AI1904" i="2"/>
  <c r="AQ465" i="2"/>
  <c r="AU465" i="2"/>
  <c r="AS465" i="2"/>
  <c r="AW465" i="2"/>
  <c r="AR465" i="2"/>
  <c r="AV465" i="2"/>
  <c r="AM465" i="2"/>
  <c r="AI465" i="2"/>
  <c r="AR944" i="2"/>
  <c r="AV944" i="2"/>
  <c r="AS944" i="2"/>
  <c r="AW944" i="2"/>
  <c r="AQ944" i="2"/>
  <c r="AU944" i="2"/>
  <c r="AM944" i="2"/>
  <c r="AI944" i="2"/>
  <c r="AS672" i="2"/>
  <c r="AW672" i="2"/>
  <c r="AR672" i="2"/>
  <c r="AV672" i="2"/>
  <c r="AQ672" i="2"/>
  <c r="AU672" i="2"/>
  <c r="AM672" i="2"/>
  <c r="AI672" i="2"/>
  <c r="AS956" i="2"/>
  <c r="AW956" i="2"/>
  <c r="AR956" i="2"/>
  <c r="AV956" i="2"/>
  <c r="AQ956" i="2"/>
  <c r="AU956" i="2"/>
  <c r="AM956" i="2"/>
  <c r="AI956" i="2"/>
  <c r="AQ1552" i="2"/>
  <c r="AU1552" i="2"/>
  <c r="AS1552" i="2"/>
  <c r="AW1552" i="2"/>
  <c r="AR1552" i="2"/>
  <c r="AV1552" i="2"/>
  <c r="AM1552" i="2"/>
  <c r="AI1552" i="2"/>
  <c r="AR2227" i="2"/>
  <c r="AV2227" i="2"/>
  <c r="AS2227" i="2"/>
  <c r="AW2227" i="2"/>
  <c r="AQ2227" i="2"/>
  <c r="AU2227" i="2"/>
  <c r="AM2227" i="2"/>
  <c r="AI2227" i="2"/>
  <c r="AM2226" i="2"/>
  <c r="AM1807" i="2"/>
  <c r="AM598" i="2"/>
  <c r="AM742" i="2"/>
  <c r="AM932" i="2"/>
  <c r="AM607" i="2"/>
  <c r="AM832" i="2"/>
  <c r="AM790" i="2"/>
  <c r="AM469" i="2"/>
  <c r="AM1045" i="2"/>
  <c r="AM432" i="2"/>
  <c r="AM380" i="2"/>
  <c r="AM1476" i="2"/>
  <c r="AM1245" i="2"/>
  <c r="AM1868" i="2"/>
  <c r="AM167" i="2"/>
  <c r="AM279" i="2"/>
  <c r="AM525" i="2"/>
  <c r="AM2225" i="2"/>
  <c r="AM306" i="2"/>
  <c r="AM461" i="2"/>
  <c r="AM649" i="2"/>
  <c r="AM61" i="2"/>
  <c r="AM55" i="2"/>
  <c r="AM100" i="2"/>
  <c r="AM503" i="2"/>
  <c r="AM104" i="2"/>
  <c r="AM422" i="2"/>
  <c r="AM655" i="2"/>
  <c r="AM252" i="2"/>
  <c r="AM1020" i="2"/>
  <c r="AM1774" i="2"/>
  <c r="AM323" i="2"/>
  <c r="AM269" i="2"/>
  <c r="AM675" i="2"/>
  <c r="AM1715" i="2"/>
  <c r="AM1167" i="2"/>
  <c r="AM499" i="2"/>
  <c r="AM579" i="2"/>
  <c r="AM664" i="2"/>
  <c r="AM1090" i="2"/>
  <c r="AM437" i="2"/>
  <c r="AM1721" i="2"/>
  <c r="AM1519" i="2"/>
  <c r="AM20" i="2"/>
  <c r="AM1604" i="2"/>
  <c r="AM837" i="2"/>
  <c r="AM647" i="2"/>
  <c r="AM911" i="2"/>
  <c r="AM758" i="2"/>
  <c r="AM997" i="2"/>
  <c r="AM551" i="2"/>
  <c r="AM1144" i="2"/>
  <c r="AM1688" i="2"/>
  <c r="AM1414" i="2"/>
  <c r="AM946" i="2"/>
  <c r="AS67" i="2"/>
  <c r="AW67" i="2"/>
  <c r="AR67" i="2"/>
  <c r="AV67" i="2"/>
  <c r="AQ67" i="2"/>
  <c r="AU67" i="2"/>
  <c r="AM67" i="2"/>
  <c r="AK67" i="2"/>
  <c r="AI67" i="2"/>
  <c r="AR667" i="2"/>
  <c r="AV667" i="2"/>
  <c r="AS667" i="2"/>
  <c r="AW667" i="2"/>
  <c r="AQ667" i="2"/>
  <c r="AU667" i="2"/>
  <c r="AM667" i="2"/>
  <c r="AK667" i="2"/>
  <c r="AI667" i="2"/>
  <c r="AS193" i="2"/>
  <c r="AW193" i="2"/>
  <c r="AR193" i="2"/>
  <c r="AV193" i="2"/>
  <c r="AQ193" i="2"/>
  <c r="AU193" i="2"/>
  <c r="AM193" i="2"/>
  <c r="AK193" i="2"/>
  <c r="AI193" i="2"/>
  <c r="AR747" i="2"/>
  <c r="AV747" i="2"/>
  <c r="AS747" i="2"/>
  <c r="AW747" i="2"/>
  <c r="AQ747" i="2"/>
  <c r="AU747" i="2"/>
  <c r="AM747" i="2"/>
  <c r="AK747" i="2"/>
  <c r="AI747" i="2"/>
  <c r="AS179" i="2"/>
  <c r="AW179" i="2"/>
  <c r="AR179" i="2"/>
  <c r="AV179" i="2"/>
  <c r="AQ179" i="2"/>
  <c r="AU179" i="2"/>
  <c r="AM179" i="2"/>
  <c r="AK179" i="2"/>
  <c r="AI179" i="2"/>
  <c r="AR992" i="2"/>
  <c r="AV992" i="2"/>
  <c r="AS992" i="2"/>
  <c r="AW992" i="2"/>
  <c r="AQ992" i="2"/>
  <c r="AU992" i="2"/>
  <c r="AM992" i="2"/>
  <c r="AK992" i="2"/>
  <c r="AI992" i="2"/>
  <c r="AR566" i="2"/>
  <c r="AV566" i="2"/>
  <c r="AS566" i="2"/>
  <c r="AW566" i="2"/>
  <c r="AQ566" i="2"/>
  <c r="AU566" i="2"/>
  <c r="AM566" i="2"/>
  <c r="AK566" i="2"/>
  <c r="AI566" i="2"/>
  <c r="AR361" i="2"/>
  <c r="AV361" i="2"/>
  <c r="AS361" i="2"/>
  <c r="AW361" i="2"/>
  <c r="AQ361" i="2"/>
  <c r="AU361" i="2"/>
  <c r="AM361" i="2"/>
  <c r="AK361" i="2"/>
  <c r="AI361" i="2"/>
  <c r="AR339" i="2"/>
  <c r="AV339" i="2"/>
  <c r="AS339" i="2"/>
  <c r="AW339" i="2"/>
  <c r="AQ339" i="2"/>
  <c r="AU339" i="2"/>
  <c r="AM339" i="2"/>
  <c r="AK339" i="2"/>
  <c r="AI339" i="2"/>
  <c r="AR232" i="2"/>
  <c r="AV232" i="2"/>
  <c r="AS232" i="2"/>
  <c r="AW232" i="2"/>
  <c r="AQ232" i="2"/>
  <c r="AU232" i="2"/>
  <c r="AM232" i="2"/>
  <c r="AK232" i="2"/>
  <c r="AI232" i="2"/>
  <c r="AS988" i="2"/>
  <c r="AW988" i="2"/>
  <c r="AR988" i="2"/>
  <c r="AV988" i="2"/>
  <c r="AQ988" i="2"/>
  <c r="AU988" i="2"/>
  <c r="AM988" i="2"/>
  <c r="AK988" i="2"/>
  <c r="AI988" i="2"/>
  <c r="AR1816" i="2"/>
  <c r="AV1816" i="2"/>
  <c r="AS1816" i="2"/>
  <c r="AW1816" i="2"/>
  <c r="AQ1816" i="2"/>
  <c r="AU1816" i="2"/>
  <c r="AM1816" i="2"/>
  <c r="AK1816" i="2"/>
  <c r="AI1816" i="2"/>
  <c r="AR1351" i="2"/>
  <c r="AV1351" i="2"/>
  <c r="AS1351" i="2"/>
  <c r="AW1351" i="2"/>
  <c r="AQ1351" i="2"/>
  <c r="AU1351" i="2"/>
  <c r="AM1351" i="2"/>
  <c r="AK1351" i="2"/>
  <c r="AI1351" i="2"/>
  <c r="AR653" i="2"/>
  <c r="AV653" i="2"/>
  <c r="AS653" i="2"/>
  <c r="AW653" i="2"/>
  <c r="AQ653" i="2"/>
  <c r="AU653" i="2"/>
  <c r="AM653" i="2"/>
  <c r="AK653" i="2"/>
  <c r="AI653" i="2"/>
  <c r="AS2224" i="2"/>
  <c r="AW2224" i="2"/>
  <c r="AR2224" i="2"/>
  <c r="AV2224" i="2"/>
  <c r="AQ2224" i="2"/>
  <c r="AU2224" i="2"/>
  <c r="AM2224" i="2"/>
  <c r="AK2224" i="2"/>
  <c r="AI2224" i="2"/>
  <c r="AR1705" i="2"/>
  <c r="AV1705" i="2"/>
  <c r="AS1705" i="2"/>
  <c r="AW1705" i="2"/>
  <c r="AQ1705" i="2"/>
  <c r="AU1705" i="2"/>
  <c r="AM1705" i="2"/>
  <c r="AK1705" i="2"/>
  <c r="AI1705" i="2"/>
  <c r="AS961" i="2"/>
  <c r="AW961" i="2"/>
  <c r="AR961" i="2"/>
  <c r="AV961" i="2"/>
  <c r="AQ961" i="2"/>
  <c r="AU961" i="2"/>
  <c r="AM961" i="2"/>
  <c r="AK961" i="2"/>
  <c r="AI961" i="2"/>
  <c r="AR900" i="2"/>
  <c r="AV900" i="2"/>
  <c r="AS900" i="2"/>
  <c r="AW900" i="2"/>
  <c r="AQ900" i="2"/>
  <c r="AU900" i="2"/>
  <c r="AM900" i="2"/>
  <c r="AK900" i="2"/>
  <c r="AI900" i="2"/>
  <c r="AS379" i="2"/>
  <c r="AW379" i="2"/>
  <c r="AR379" i="2"/>
  <c r="AV379" i="2"/>
  <c r="AQ379" i="2"/>
  <c r="AU379" i="2"/>
  <c r="AM379" i="2"/>
  <c r="AK379" i="2"/>
  <c r="AI379" i="2"/>
  <c r="AR458" i="2"/>
  <c r="AV458" i="2"/>
  <c r="AS458" i="2"/>
  <c r="AW458" i="2"/>
  <c r="AQ458" i="2"/>
  <c r="AU458" i="2"/>
  <c r="AM458" i="2"/>
  <c r="AK458" i="2"/>
  <c r="AI458" i="2"/>
  <c r="AS1201" i="2"/>
  <c r="AW1201" i="2"/>
  <c r="AR1201" i="2"/>
  <c r="AV1201" i="2"/>
  <c r="AQ1201" i="2"/>
  <c r="AU1201" i="2"/>
  <c r="AM1201" i="2"/>
  <c r="AK1201" i="2"/>
  <c r="AI1201" i="2"/>
  <c r="AR801" i="2"/>
  <c r="AV801" i="2"/>
  <c r="AS801" i="2"/>
  <c r="AW801" i="2"/>
  <c r="AQ801" i="2"/>
  <c r="AU801" i="2"/>
  <c r="AM801" i="2"/>
  <c r="AK801" i="2"/>
  <c r="AI801" i="2"/>
  <c r="AS1086" i="2"/>
  <c r="AW1086" i="2"/>
  <c r="AR1086" i="2"/>
  <c r="AV1086" i="2"/>
  <c r="AQ1086" i="2"/>
  <c r="AU1086" i="2"/>
  <c r="AM1086" i="2"/>
  <c r="AK1086" i="2"/>
  <c r="AI1086" i="2"/>
  <c r="AR612" i="2"/>
  <c r="AV612" i="2"/>
  <c r="AS612" i="2"/>
  <c r="AW612" i="2"/>
  <c r="AQ612" i="2"/>
  <c r="AU612" i="2"/>
  <c r="AM612" i="2"/>
  <c r="AK612" i="2"/>
  <c r="AI612" i="2"/>
  <c r="AS325" i="2"/>
  <c r="AW325" i="2"/>
  <c r="AR325" i="2"/>
  <c r="AV325" i="2"/>
  <c r="AQ325" i="2"/>
  <c r="AU325" i="2"/>
  <c r="AM325" i="2"/>
  <c r="AK325" i="2"/>
  <c r="AI325" i="2"/>
  <c r="AR1267" i="2"/>
  <c r="AV1267" i="2"/>
  <c r="AS1267" i="2"/>
  <c r="AW1267" i="2"/>
  <c r="AQ1267" i="2"/>
  <c r="AU1267" i="2"/>
  <c r="AM1267" i="2"/>
  <c r="AK1267" i="2"/>
  <c r="AI1267" i="2"/>
  <c r="AS1863" i="2"/>
  <c r="AW1863" i="2"/>
  <c r="AR1863" i="2"/>
  <c r="AV1863" i="2"/>
  <c r="AQ1863" i="2"/>
  <c r="AU1863" i="2"/>
  <c r="AM1863" i="2"/>
  <c r="AK1863" i="2"/>
  <c r="AI1863" i="2"/>
  <c r="AM1031" i="2"/>
  <c r="AM1410" i="2"/>
  <c r="AM88" i="2"/>
  <c r="AM302" i="2"/>
  <c r="AM809" i="2"/>
  <c r="AM1796" i="2"/>
  <c r="AM2223" i="2"/>
  <c r="AM1446" i="2"/>
  <c r="AM1995" i="2"/>
  <c r="AM718" i="2"/>
  <c r="AM778" i="2"/>
  <c r="AM1664" i="2"/>
  <c r="AM1704" i="2"/>
  <c r="AM1109" i="2"/>
  <c r="AM381" i="2"/>
  <c r="AM1419" i="2"/>
  <c r="AM1804" i="2"/>
  <c r="AM2222" i="2"/>
  <c r="AK2222" i="2"/>
  <c r="AM806" i="2"/>
  <c r="AM601" i="2"/>
  <c r="AM1697" i="2"/>
  <c r="AM1734" i="2"/>
  <c r="AM795" i="2"/>
  <c r="AM1176" i="2"/>
  <c r="AM1296" i="2"/>
  <c r="AM1773" i="2"/>
  <c r="AM1695" i="2"/>
  <c r="AM939" i="2"/>
  <c r="AM1044" i="2"/>
  <c r="AM1046" i="2"/>
  <c r="AM1617" i="2"/>
  <c r="AM761" i="2"/>
  <c r="AM322" i="2"/>
  <c r="AM1798" i="2"/>
  <c r="AK1798" i="2"/>
  <c r="AI1798" i="2"/>
  <c r="AM1533" i="2"/>
  <c r="AK1533" i="2"/>
  <c r="AI1533" i="2"/>
  <c r="AM720" i="2"/>
  <c r="AK720" i="2"/>
  <c r="AI720" i="2"/>
  <c r="AM1915" i="2"/>
  <c r="AK1915" i="2"/>
  <c r="AI1915" i="2"/>
  <c r="AM478" i="2"/>
  <c r="AK478" i="2"/>
  <c r="AI478" i="2"/>
  <c r="AM1335" i="2"/>
  <c r="AK1335" i="2"/>
  <c r="AI1335" i="2"/>
  <c r="AM132" i="2"/>
  <c r="AK132" i="2"/>
  <c r="AI132" i="2"/>
  <c r="AM243" i="2"/>
  <c r="AK243" i="2"/>
  <c r="AI243" i="2"/>
  <c r="AM1786" i="2"/>
  <c r="AI1786" i="2"/>
  <c r="AM1818" i="2"/>
  <c r="AI1818" i="2"/>
  <c r="AM1864" i="2"/>
  <c r="AI1864" i="2"/>
  <c r="AM471" i="2"/>
  <c r="AI471" i="2"/>
  <c r="AM1762" i="2"/>
  <c r="AI1762" i="2"/>
  <c r="AM968" i="2"/>
  <c r="AI968" i="2"/>
  <c r="AM1232" i="2"/>
  <c r="AI1232" i="2"/>
  <c r="AM935" i="2"/>
  <c r="AI935" i="2"/>
  <c r="AM548" i="2"/>
  <c r="AI548" i="2"/>
  <c r="AM1827" i="2"/>
  <c r="AI1827" i="2"/>
  <c r="AM2221" i="2"/>
  <c r="AI2221" i="2"/>
  <c r="AM1200" i="2"/>
  <c r="AI1200" i="2"/>
  <c r="AM1162" i="2"/>
  <c r="AI1162" i="2"/>
  <c r="AM1550" i="2"/>
  <c r="AI1550" i="2"/>
  <c r="AM473" i="2"/>
  <c r="AI473" i="2"/>
  <c r="AM1362" i="2"/>
  <c r="AI1362" i="2"/>
  <c r="AM1740" i="2"/>
  <c r="AI1740" i="2"/>
  <c r="AM630" i="2"/>
  <c r="AI630" i="2"/>
  <c r="AM1775" i="2"/>
  <c r="AI1775" i="2"/>
  <c r="AM2220" i="2"/>
  <c r="AI2220" i="2"/>
  <c r="AM819" i="2"/>
  <c r="AI819" i="2"/>
  <c r="AM705" i="2"/>
  <c r="AI705" i="2"/>
  <c r="AM1131" i="2"/>
  <c r="AI1131" i="2"/>
  <c r="AX2219" i="2"/>
  <c r="AS2219" i="2"/>
  <c r="AW2219" i="2"/>
  <c r="AR2219" i="2"/>
  <c r="AV2219" i="2"/>
  <c r="AQ2219" i="2"/>
  <c r="AU2219" i="2"/>
  <c r="AM2219" i="2"/>
  <c r="AX2218" i="2"/>
  <c r="AS2218" i="2"/>
  <c r="AW2218" i="2"/>
  <c r="AR2218" i="2"/>
  <c r="AV2218" i="2"/>
  <c r="AQ2218" i="2"/>
  <c r="AU2218" i="2"/>
  <c r="AM2218" i="2"/>
  <c r="AK2218" i="2"/>
  <c r="AI2218" i="2"/>
  <c r="AX1941" i="2"/>
  <c r="AR1941" i="2"/>
  <c r="AV1941" i="2"/>
  <c r="AQ1941" i="2"/>
  <c r="AU1941" i="2"/>
  <c r="AS1941" i="2"/>
  <c r="AW1941" i="2"/>
  <c r="AM1941" i="2"/>
  <c r="AK1941" i="2"/>
  <c r="AI1941" i="2"/>
  <c r="AX387" i="2"/>
  <c r="AS387" i="2"/>
  <c r="AW387" i="2"/>
  <c r="AQ387" i="2"/>
  <c r="AU387" i="2"/>
  <c r="AR387" i="2"/>
  <c r="AV387" i="2"/>
  <c r="AM387" i="2"/>
  <c r="AX414" i="2"/>
  <c r="AS414" i="2"/>
  <c r="AW414" i="2"/>
  <c r="AQ414" i="2"/>
  <c r="AU414" i="2"/>
  <c r="AR414" i="2"/>
  <c r="AV414" i="2"/>
  <c r="AM414" i="2"/>
  <c r="AX374" i="2"/>
  <c r="AS374" i="2"/>
  <c r="AW374" i="2"/>
  <c r="AQ374" i="2"/>
  <c r="AU374" i="2"/>
  <c r="AR374" i="2"/>
  <c r="AV374" i="2"/>
  <c r="AM374" i="2"/>
  <c r="AX145" i="2"/>
  <c r="AS145" i="2"/>
  <c r="AW145" i="2"/>
  <c r="AQ145" i="2"/>
  <c r="AU145" i="2"/>
  <c r="AR145" i="2"/>
  <c r="AV145" i="2"/>
  <c r="AM145" i="2"/>
  <c r="AX980" i="2"/>
  <c r="AS980" i="2"/>
  <c r="AW980" i="2"/>
  <c r="AQ980" i="2"/>
  <c r="AU980" i="2"/>
  <c r="AR980" i="2"/>
  <c r="AV980" i="2"/>
  <c r="AM980" i="2"/>
  <c r="AX244" i="2"/>
  <c r="AS244" i="2"/>
  <c r="AW244" i="2"/>
  <c r="AQ244" i="2"/>
  <c r="AU244" i="2"/>
  <c r="AR244" i="2"/>
  <c r="AV244" i="2"/>
  <c r="AM244" i="2"/>
  <c r="AX717" i="2"/>
  <c r="AS717" i="2"/>
  <c r="AW717" i="2"/>
  <c r="AQ717" i="2"/>
  <c r="AU717" i="2"/>
  <c r="AR717" i="2"/>
  <c r="AV717" i="2"/>
  <c r="AM717" i="2"/>
  <c r="AX1663" i="2"/>
  <c r="AS1663" i="2"/>
  <c r="AW1663" i="2"/>
  <c r="AQ1663" i="2"/>
  <c r="AU1663" i="2"/>
  <c r="AR1663" i="2"/>
  <c r="AV1663" i="2"/>
  <c r="AM1663" i="2"/>
  <c r="AX752" i="2"/>
  <c r="AS752" i="2"/>
  <c r="AW752" i="2"/>
  <c r="AQ752" i="2"/>
  <c r="AU752" i="2"/>
  <c r="AR752" i="2"/>
  <c r="AV752" i="2"/>
  <c r="AM752" i="2"/>
  <c r="AX1018" i="2"/>
  <c r="AS1018" i="2"/>
  <c r="AW1018" i="2"/>
  <c r="AQ1018" i="2"/>
  <c r="AU1018" i="2"/>
  <c r="AR1018" i="2"/>
  <c r="AV1018" i="2"/>
  <c r="AM1018" i="2"/>
  <c r="AX2217" i="2"/>
  <c r="AS2217" i="2"/>
  <c r="AW2217" i="2"/>
  <c r="AQ2217" i="2"/>
  <c r="AU2217" i="2"/>
  <c r="AR2217" i="2"/>
  <c r="AV2217" i="2"/>
  <c r="AM2217" i="2"/>
  <c r="AX1300" i="2"/>
  <c r="AS1300" i="2"/>
  <c r="AW1300" i="2"/>
  <c r="AQ1300" i="2"/>
  <c r="AU1300" i="2"/>
  <c r="AR1300" i="2"/>
  <c r="AV1300" i="2"/>
  <c r="AM1300" i="2"/>
  <c r="AX292" i="2"/>
  <c r="AS292" i="2"/>
  <c r="AW292" i="2"/>
  <c r="AQ292" i="2"/>
  <c r="AU292" i="2"/>
  <c r="AR292" i="2"/>
  <c r="AV292" i="2"/>
  <c r="AM292" i="2"/>
  <c r="AX701" i="2"/>
  <c r="AS701" i="2"/>
  <c r="AW701" i="2"/>
  <c r="AQ701" i="2"/>
  <c r="AU701" i="2"/>
  <c r="AR701" i="2"/>
  <c r="AV701" i="2"/>
  <c r="AM701" i="2"/>
  <c r="AX1009" i="2"/>
  <c r="AS1009" i="2"/>
  <c r="AW1009" i="2"/>
  <c r="AQ1009" i="2"/>
  <c r="AU1009" i="2"/>
  <c r="AR1009" i="2"/>
  <c r="AV1009" i="2"/>
  <c r="AM1009" i="2"/>
  <c r="AX1568" i="2"/>
  <c r="AS1568" i="2"/>
  <c r="AW1568" i="2"/>
  <c r="AQ1568" i="2"/>
  <c r="AU1568" i="2"/>
  <c r="AR1568" i="2"/>
  <c r="AV1568" i="2"/>
  <c r="AM1568" i="2"/>
  <c r="AI1568" i="2"/>
  <c r="AX508" i="2"/>
  <c r="AR508" i="2"/>
  <c r="AV508" i="2"/>
  <c r="AQ508" i="2"/>
  <c r="AU508" i="2"/>
  <c r="AS508" i="2"/>
  <c r="AW508" i="2"/>
  <c r="AM508" i="2"/>
  <c r="AX994" i="2"/>
  <c r="AR994" i="2"/>
  <c r="AV994" i="2"/>
  <c r="AQ994" i="2"/>
  <c r="AU994" i="2"/>
  <c r="AS994" i="2"/>
  <c r="AW994" i="2"/>
  <c r="AM994" i="2"/>
  <c r="AX581" i="2"/>
  <c r="AR581" i="2"/>
  <c r="AV581" i="2"/>
  <c r="AQ581" i="2"/>
  <c r="AU581" i="2"/>
  <c r="AS581" i="2"/>
  <c r="AW581" i="2"/>
  <c r="AM581" i="2"/>
  <c r="AX927" i="2"/>
  <c r="AR927" i="2"/>
  <c r="AV927" i="2"/>
  <c r="AQ927" i="2"/>
  <c r="AU927" i="2"/>
  <c r="AS927" i="2"/>
  <c r="AW927" i="2"/>
  <c r="AM927" i="2"/>
  <c r="AX941" i="2"/>
  <c r="AR941" i="2"/>
  <c r="AV941" i="2"/>
  <c r="AQ941" i="2"/>
  <c r="AU941" i="2"/>
  <c r="AS941" i="2"/>
  <c r="AW941" i="2"/>
  <c r="AM941" i="2"/>
  <c r="AX294" i="2"/>
  <c r="AR294" i="2"/>
  <c r="AV294" i="2"/>
  <c r="AQ294" i="2"/>
  <c r="AU294" i="2"/>
  <c r="AS294" i="2"/>
  <c r="AW294" i="2"/>
  <c r="AM294" i="2"/>
  <c r="AS1305" i="2"/>
  <c r="AW1305" i="2"/>
  <c r="AR1305" i="2"/>
  <c r="AV1305" i="2"/>
  <c r="AQ1305" i="2"/>
  <c r="AU1305" i="2"/>
  <c r="AM1305" i="2"/>
  <c r="AS1630" i="2"/>
  <c r="AW1630" i="2"/>
  <c r="AR1630" i="2"/>
  <c r="AV1630" i="2"/>
  <c r="AQ1630" i="2"/>
  <c r="AU1630" i="2"/>
  <c r="AM1630" i="2"/>
  <c r="AS515" i="2"/>
  <c r="AW515" i="2"/>
  <c r="AR515" i="2"/>
  <c r="AV515" i="2"/>
  <c r="AQ515" i="2"/>
  <c r="AU515" i="2"/>
  <c r="AM515" i="2"/>
  <c r="AR687" i="2"/>
  <c r="AV687" i="2"/>
  <c r="AQ687" i="2"/>
  <c r="AU687" i="2"/>
  <c r="AS687" i="2"/>
  <c r="AW687" i="2"/>
  <c r="AM687" i="2"/>
  <c r="AQ406" i="2"/>
  <c r="AU406" i="2"/>
  <c r="AS406" i="2"/>
  <c r="AW406" i="2"/>
  <c r="AR406" i="2"/>
  <c r="AV406" i="2"/>
  <c r="AM406" i="2"/>
  <c r="AS235" i="2"/>
  <c r="AW235" i="2"/>
  <c r="AR235" i="2"/>
  <c r="AV235" i="2"/>
  <c r="AQ235" i="2"/>
  <c r="AU235" i="2"/>
  <c r="AM235" i="2"/>
  <c r="AS740" i="2"/>
  <c r="AW740" i="2"/>
  <c r="AR740" i="2"/>
  <c r="AV740" i="2"/>
  <c r="AQ740" i="2"/>
  <c r="AU740" i="2"/>
  <c r="AM740" i="2"/>
  <c r="AR275" i="2"/>
  <c r="AV275" i="2"/>
  <c r="AQ275" i="2"/>
  <c r="AU275" i="2"/>
  <c r="AS275" i="2"/>
  <c r="AW275" i="2"/>
  <c r="AM275" i="2"/>
  <c r="AQ1152" i="2"/>
  <c r="AU1152" i="2"/>
  <c r="AS1152" i="2"/>
  <c r="AW1152" i="2"/>
  <c r="AR1152" i="2"/>
  <c r="AV1152" i="2"/>
  <c r="AM1152" i="2"/>
  <c r="AS1099" i="2"/>
  <c r="AW1099" i="2"/>
  <c r="AR1099" i="2"/>
  <c r="AV1099" i="2"/>
  <c r="AQ1099" i="2"/>
  <c r="AU1099" i="2"/>
  <c r="AM1099" i="2"/>
  <c r="AS346" i="2"/>
  <c r="AW346" i="2"/>
  <c r="AR346" i="2"/>
  <c r="AV346" i="2"/>
  <c r="AQ346" i="2"/>
  <c r="AU346" i="2"/>
  <c r="AM346" i="2"/>
  <c r="AK346" i="2"/>
  <c r="AI346" i="2"/>
  <c r="AR700" i="2"/>
  <c r="AV700" i="2"/>
  <c r="AS700" i="2"/>
  <c r="AW700" i="2"/>
  <c r="AQ700" i="2"/>
  <c r="AU700" i="2"/>
  <c r="AM700" i="2"/>
  <c r="AK700" i="2"/>
  <c r="AI700" i="2"/>
  <c r="AS281" i="2"/>
  <c r="AW281" i="2"/>
  <c r="AR281" i="2"/>
  <c r="AV281" i="2"/>
  <c r="AQ281" i="2"/>
  <c r="AU281" i="2"/>
  <c r="AM281" i="2"/>
  <c r="AK281" i="2"/>
  <c r="AI281" i="2"/>
  <c r="AR633" i="2"/>
  <c r="AV633" i="2"/>
  <c r="AS633" i="2"/>
  <c r="AW633" i="2"/>
  <c r="AQ633" i="2"/>
  <c r="AU633" i="2"/>
  <c r="AM633" i="2"/>
  <c r="AK633" i="2"/>
  <c r="AI633" i="2"/>
  <c r="AS947" i="2"/>
  <c r="AW947" i="2"/>
  <c r="AR947" i="2"/>
  <c r="AV947" i="2"/>
  <c r="AQ947" i="2"/>
  <c r="AU947" i="2"/>
  <c r="AM947" i="2"/>
  <c r="AK947" i="2"/>
  <c r="AI947" i="2"/>
  <c r="AR407" i="2"/>
  <c r="AV407" i="2"/>
  <c r="AS407" i="2"/>
  <c r="AW407" i="2"/>
  <c r="AQ407" i="2"/>
  <c r="AU407" i="2"/>
  <c r="AM407" i="2"/>
  <c r="AK407" i="2"/>
  <c r="AI407" i="2"/>
  <c r="AS785" i="2"/>
  <c r="AW785" i="2"/>
  <c r="AR785" i="2"/>
  <c r="AV785" i="2"/>
  <c r="AQ785" i="2"/>
  <c r="AU785" i="2"/>
  <c r="AM785" i="2"/>
  <c r="AK785" i="2"/>
  <c r="AI785" i="2"/>
  <c r="AR141" i="2"/>
  <c r="AV141" i="2"/>
  <c r="AS141" i="2"/>
  <c r="AW141" i="2"/>
  <c r="AQ141" i="2"/>
  <c r="AU141" i="2"/>
  <c r="AM141" i="2"/>
  <c r="AK141" i="2"/>
  <c r="AI141" i="2"/>
  <c r="AS307" i="2"/>
  <c r="AW307" i="2"/>
  <c r="AR307" i="2"/>
  <c r="AV307" i="2"/>
  <c r="AQ307" i="2"/>
  <c r="AU307" i="2"/>
  <c r="AM307" i="2"/>
  <c r="AK307" i="2"/>
  <c r="AI307" i="2"/>
  <c r="AR539" i="2"/>
  <c r="AV539" i="2"/>
  <c r="AS539" i="2"/>
  <c r="AW539" i="2"/>
  <c r="AQ539" i="2"/>
  <c r="AU539" i="2"/>
  <c r="AM539" i="2"/>
  <c r="AK539" i="2"/>
  <c r="AI539" i="2"/>
  <c r="AS674" i="2"/>
  <c r="AW674" i="2"/>
  <c r="AR674" i="2"/>
  <c r="AV674" i="2"/>
  <c r="AQ674" i="2"/>
  <c r="AU674" i="2"/>
  <c r="AM674" i="2"/>
  <c r="AK674" i="2"/>
  <c r="AI674" i="2"/>
  <c r="AS1590" i="2"/>
  <c r="AW1590" i="2"/>
  <c r="AR1590" i="2"/>
  <c r="AV1590" i="2"/>
  <c r="AQ1590" i="2"/>
  <c r="AU1590" i="2"/>
  <c r="AM1590" i="2"/>
  <c r="AK1590" i="2"/>
  <c r="AI1590" i="2"/>
  <c r="AR1431" i="2"/>
  <c r="AV1431" i="2"/>
  <c r="AS1431" i="2"/>
  <c r="AW1431" i="2"/>
  <c r="AQ1431" i="2"/>
  <c r="AU1431" i="2"/>
  <c r="AM1431" i="2"/>
  <c r="AK1431" i="2"/>
  <c r="AI1431" i="2"/>
  <c r="AS108" i="2"/>
  <c r="AW108" i="2"/>
  <c r="AR108" i="2"/>
  <c r="AV108" i="2"/>
  <c r="AQ108" i="2"/>
  <c r="AU108" i="2"/>
  <c r="AM108" i="2"/>
  <c r="AK108" i="2"/>
  <c r="AI108" i="2"/>
  <c r="AR1728" i="2"/>
  <c r="AV1728" i="2"/>
  <c r="AS1728" i="2"/>
  <c r="AW1728" i="2"/>
  <c r="AQ1728" i="2"/>
  <c r="AU1728" i="2"/>
  <c r="AM1728" i="2"/>
  <c r="AK1728" i="2"/>
  <c r="AI1728" i="2"/>
  <c r="AS1763" i="2"/>
  <c r="AW1763" i="2"/>
  <c r="AR1763" i="2"/>
  <c r="AV1763" i="2"/>
  <c r="AQ1763" i="2"/>
  <c r="AU1763" i="2"/>
  <c r="AM1763" i="2"/>
  <c r="AK1763" i="2"/>
  <c r="AI1763" i="2"/>
  <c r="AR1359" i="2"/>
  <c r="AV1359" i="2"/>
  <c r="AS1359" i="2"/>
  <c r="AW1359" i="2"/>
  <c r="AQ1359" i="2"/>
  <c r="AU1359" i="2"/>
  <c r="AM1359" i="2"/>
  <c r="AK1359" i="2"/>
  <c r="AI1359" i="2"/>
  <c r="AS1769" i="2"/>
  <c r="AW1769" i="2"/>
  <c r="AR1769" i="2"/>
  <c r="AV1769" i="2"/>
  <c r="AQ1769" i="2"/>
  <c r="AU1769" i="2"/>
  <c r="AM1769" i="2"/>
  <c r="AK1769" i="2"/>
  <c r="AI1769" i="2"/>
  <c r="AR48" i="2"/>
  <c r="AV48" i="2"/>
  <c r="AS48" i="2"/>
  <c r="AW48" i="2"/>
  <c r="AQ48" i="2"/>
  <c r="AU48" i="2"/>
  <c r="AM48" i="2"/>
  <c r="AK48" i="2"/>
  <c r="AI48" i="2"/>
  <c r="AS1127" i="2"/>
  <c r="AW1127" i="2"/>
  <c r="AR1127" i="2"/>
  <c r="AV1127" i="2"/>
  <c r="AQ1127" i="2"/>
  <c r="AU1127" i="2"/>
  <c r="AM1127" i="2"/>
  <c r="AK1127" i="2"/>
  <c r="AI1127" i="2"/>
  <c r="AR723" i="2"/>
  <c r="AV723" i="2"/>
  <c r="AS723" i="2"/>
  <c r="AW723" i="2"/>
  <c r="AQ723" i="2"/>
  <c r="AU723" i="2"/>
  <c r="AM723" i="2"/>
  <c r="AK723" i="2"/>
  <c r="AI723" i="2"/>
  <c r="AS187" i="2"/>
  <c r="AW187" i="2"/>
  <c r="AR187" i="2"/>
  <c r="AV187" i="2"/>
  <c r="AQ187" i="2"/>
  <c r="AU187" i="2"/>
  <c r="AM187" i="2"/>
  <c r="AK187" i="2"/>
  <c r="AI187" i="2"/>
  <c r="AR1730" i="2"/>
  <c r="AV1730" i="2"/>
  <c r="AS1730" i="2"/>
  <c r="AW1730" i="2"/>
  <c r="AQ1730" i="2"/>
  <c r="AU1730" i="2"/>
  <c r="AM1730" i="2"/>
  <c r="AK1730" i="2"/>
  <c r="AI1730" i="2"/>
  <c r="AS1602" i="2"/>
  <c r="AW1602" i="2"/>
  <c r="AR1602" i="2"/>
  <c r="AV1602" i="2"/>
  <c r="AQ1602" i="2"/>
  <c r="AU1602" i="2"/>
  <c r="AM1602" i="2"/>
  <c r="AK1602" i="2"/>
  <c r="AI1602" i="2"/>
  <c r="AR907" i="2"/>
  <c r="AV907" i="2"/>
  <c r="AS907" i="2"/>
  <c r="AW907" i="2"/>
  <c r="AQ907" i="2"/>
  <c r="AU907" i="2"/>
  <c r="AM907" i="2"/>
  <c r="AK907" i="2"/>
  <c r="AI907" i="2"/>
  <c r="AS1053" i="2"/>
  <c r="AW1053" i="2"/>
  <c r="AR1053" i="2"/>
  <c r="AV1053" i="2"/>
  <c r="AQ1053" i="2"/>
  <c r="AU1053" i="2"/>
  <c r="AM1053" i="2"/>
  <c r="AK1053" i="2"/>
  <c r="AI1053" i="2"/>
  <c r="AR1523" i="2"/>
  <c r="AV1523" i="2"/>
  <c r="AS1523" i="2"/>
  <c r="AW1523" i="2"/>
  <c r="AQ1523" i="2"/>
  <c r="AU1523" i="2"/>
  <c r="AM1523" i="2"/>
  <c r="AK1523" i="2"/>
  <c r="AI1523" i="2"/>
  <c r="AS537" i="2"/>
  <c r="AW537" i="2"/>
  <c r="AR537" i="2"/>
  <c r="AV537" i="2"/>
  <c r="AQ537" i="2"/>
  <c r="AU537" i="2"/>
  <c r="AM537" i="2"/>
  <c r="AK537" i="2"/>
  <c r="AI537" i="2"/>
  <c r="AR1839" i="2"/>
  <c r="AV1839" i="2"/>
  <c r="AS1839" i="2"/>
  <c r="AW1839" i="2"/>
  <c r="AQ1839" i="2"/>
  <c r="AU1839" i="2"/>
  <c r="AM1839" i="2"/>
  <c r="AK1839" i="2"/>
  <c r="AI1839" i="2"/>
  <c r="AS1064" i="2"/>
  <c r="AW1064" i="2"/>
  <c r="AR1064" i="2"/>
  <c r="AV1064" i="2"/>
  <c r="AQ1064" i="2"/>
  <c r="AU1064" i="2"/>
  <c r="AM1064" i="2"/>
  <c r="AK1064" i="2"/>
  <c r="AI1064" i="2"/>
  <c r="AR1389" i="2"/>
  <c r="AV1389" i="2"/>
  <c r="AS1389" i="2"/>
  <c r="AW1389" i="2"/>
  <c r="AQ1389" i="2"/>
  <c r="AU1389" i="2"/>
  <c r="AM1389" i="2"/>
  <c r="AK1389" i="2"/>
  <c r="AI1389" i="2"/>
  <c r="AS850" i="2"/>
  <c r="AW850" i="2"/>
  <c r="AR850" i="2"/>
  <c r="AV850" i="2"/>
  <c r="AQ850" i="2"/>
  <c r="AU850" i="2"/>
  <c r="AM850" i="2"/>
  <c r="AK850" i="2"/>
  <c r="AI850" i="2"/>
  <c r="AR1035" i="2"/>
  <c r="AV1035" i="2"/>
  <c r="AS1035" i="2"/>
  <c r="AW1035" i="2"/>
  <c r="AQ1035" i="2"/>
  <c r="AU1035" i="2"/>
  <c r="AM1035" i="2"/>
  <c r="AK1035" i="2"/>
  <c r="AI1035" i="2"/>
  <c r="AS1357" i="2"/>
  <c r="AW1357" i="2"/>
  <c r="AR1357" i="2"/>
  <c r="AV1357" i="2"/>
  <c r="AQ1357" i="2"/>
  <c r="AU1357" i="2"/>
  <c r="AM1357" i="2"/>
  <c r="AK1357" i="2"/>
  <c r="AI1357" i="2"/>
  <c r="AR1686" i="2"/>
  <c r="AV1686" i="2"/>
  <c r="AS1686" i="2"/>
  <c r="AW1686" i="2"/>
  <c r="AQ1686" i="2"/>
  <c r="AU1686" i="2"/>
  <c r="AM1686" i="2"/>
  <c r="AK1686" i="2"/>
  <c r="AI1686" i="2"/>
  <c r="AS2216" i="2"/>
  <c r="AW2216" i="2"/>
  <c r="AR2216" i="2"/>
  <c r="AV2216" i="2"/>
  <c r="AQ2216" i="2"/>
  <c r="AU2216" i="2"/>
  <c r="AM2216" i="2"/>
  <c r="AK2216" i="2"/>
  <c r="AI2216" i="2"/>
  <c r="AR940" i="2"/>
  <c r="AV940" i="2"/>
  <c r="AS940" i="2"/>
  <c r="AW940" i="2"/>
  <c r="AQ940" i="2"/>
  <c r="AU940" i="2"/>
  <c r="AM940" i="2"/>
  <c r="AK940" i="2"/>
  <c r="AI940" i="2"/>
  <c r="AS1037" i="2"/>
  <c r="AW1037" i="2"/>
  <c r="AR1037" i="2"/>
  <c r="AV1037" i="2"/>
  <c r="AQ1037" i="2"/>
  <c r="AU1037" i="2"/>
  <c r="AM1037" i="2"/>
  <c r="AK1037" i="2"/>
  <c r="AI1037" i="2"/>
  <c r="AR517" i="2"/>
  <c r="AV517" i="2"/>
  <c r="AS517" i="2"/>
  <c r="AW517" i="2"/>
  <c r="AQ517" i="2"/>
  <c r="AU517" i="2"/>
  <c r="AM517" i="2"/>
  <c r="AK517" i="2"/>
  <c r="AI517" i="2"/>
  <c r="AM470" i="2"/>
  <c r="AM654" i="2"/>
  <c r="AM959" i="2"/>
  <c r="AM690" i="2"/>
  <c r="AM685" i="2"/>
  <c r="AM842" i="2"/>
  <c r="AM835" i="2"/>
  <c r="AM1644" i="2"/>
  <c r="AM695" i="2"/>
  <c r="AM1934" i="2"/>
  <c r="AM1939" i="2"/>
  <c r="AM1933" i="2"/>
  <c r="AK1933" i="2"/>
  <c r="AI1933" i="2"/>
  <c r="AM1932" i="2"/>
  <c r="AK1932" i="2"/>
  <c r="AI1932" i="2"/>
  <c r="AM1938" i="2"/>
  <c r="AK1938" i="2"/>
  <c r="AI1938" i="2"/>
  <c r="AM1928" i="2"/>
  <c r="AK1928" i="2"/>
  <c r="AI1928" i="2"/>
  <c r="AM2215" i="2"/>
  <c r="AK2215" i="2"/>
  <c r="AI2215" i="2"/>
  <c r="AM1935" i="2"/>
  <c r="AK1935" i="2"/>
  <c r="AI1935" i="2"/>
  <c r="AM1930" i="2"/>
  <c r="AM1931" i="2"/>
  <c r="AM1926" i="2"/>
  <c r="AM1937" i="2"/>
  <c r="AK1937" i="2"/>
  <c r="AI1937" i="2"/>
  <c r="AM657" i="2"/>
  <c r="V657" i="2"/>
  <c r="U657" i="2"/>
  <c r="T657" i="2"/>
  <c r="Q657" i="2"/>
  <c r="P657" i="2"/>
  <c r="O657" i="2"/>
  <c r="N657" i="2"/>
  <c r="AM395" i="2"/>
  <c r="AM237" i="2"/>
  <c r="AM902" i="2"/>
  <c r="AM1165" i="2"/>
  <c r="AM1164" i="2"/>
  <c r="AM955" i="2"/>
  <c r="AM2214" i="2"/>
  <c r="AK2214" i="2"/>
  <c r="AI2214" i="2"/>
  <c r="AB2214" i="2"/>
  <c r="AM2213" i="2"/>
  <c r="AK2213" i="2"/>
  <c r="AI2213" i="2"/>
  <c r="AB2213" i="2"/>
  <c r="AM2212" i="2"/>
  <c r="AK2212" i="2"/>
  <c r="AI2212" i="2"/>
  <c r="AB2212" i="2"/>
  <c r="AO1819" i="2"/>
  <c r="AP1819" i="2"/>
  <c r="AM1819" i="2"/>
  <c r="AK1819" i="2"/>
  <c r="AI1819" i="2"/>
  <c r="AB1819" i="2"/>
  <c r="AO2211" i="2"/>
  <c r="AP2211" i="2"/>
  <c r="AM2211" i="2"/>
  <c r="AK2211" i="2"/>
  <c r="AI2211" i="2"/>
  <c r="AB2211" i="2"/>
  <c r="AO2210" i="2"/>
  <c r="AP2210" i="2"/>
  <c r="AM2210" i="2"/>
  <c r="AK2210" i="2"/>
  <c r="AI2210" i="2"/>
  <c r="AB2210" i="2"/>
  <c r="AO2209" i="2"/>
  <c r="AP2209" i="2"/>
  <c r="AM2209" i="2"/>
  <c r="AK2209" i="2"/>
  <c r="AI2209" i="2"/>
  <c r="AB2209" i="2"/>
  <c r="AO2208" i="2"/>
  <c r="AP2208" i="2"/>
  <c r="AM2208" i="2"/>
  <c r="AK2208" i="2"/>
  <c r="AI2208" i="2"/>
  <c r="AB2208" i="2"/>
  <c r="AO2207" i="2"/>
  <c r="AP2207" i="2"/>
  <c r="AM2207" i="2"/>
  <c r="AK2207" i="2"/>
  <c r="AI2207" i="2"/>
  <c r="AB2207" i="2"/>
  <c r="AO2206" i="2"/>
  <c r="AP2206" i="2"/>
  <c r="AM2206" i="2"/>
  <c r="AK2206" i="2"/>
  <c r="AI2206" i="2"/>
  <c r="AB2206" i="2"/>
  <c r="AO2205" i="2"/>
  <c r="AP2205" i="2"/>
  <c r="AM2205" i="2"/>
  <c r="AK2205" i="2"/>
  <c r="AI2205" i="2"/>
  <c r="AB2205" i="2"/>
  <c r="AO2204" i="2"/>
  <c r="AP2204" i="2"/>
  <c r="AM2204" i="2"/>
  <c r="AK2204" i="2"/>
  <c r="AI2204" i="2"/>
  <c r="AB2204" i="2"/>
  <c r="AO2203" i="2"/>
  <c r="AP2203" i="2"/>
  <c r="AM2203" i="2"/>
  <c r="AK2203" i="2"/>
  <c r="AI2203" i="2"/>
  <c r="AB2203" i="2"/>
  <c r="AO2202" i="2"/>
  <c r="AP2202" i="2"/>
  <c r="AM2202" i="2"/>
  <c r="AK2202" i="2"/>
  <c r="AI2202" i="2"/>
  <c r="AB2202" i="2"/>
  <c r="AO1866" i="2"/>
  <c r="AP1866" i="2"/>
  <c r="AM1866" i="2"/>
  <c r="AK1866" i="2"/>
  <c r="AI1866" i="2"/>
  <c r="AB1866" i="2"/>
  <c r="AO1737" i="2"/>
  <c r="AP1737" i="2"/>
  <c r="AM1737" i="2"/>
  <c r="AK1737" i="2"/>
  <c r="AI1737" i="2"/>
  <c r="AB1737" i="2"/>
  <c r="AO2201" i="2"/>
  <c r="AP2201" i="2"/>
  <c r="AM2201" i="2"/>
  <c r="AK2201" i="2"/>
  <c r="AI2201" i="2"/>
  <c r="AB2201" i="2"/>
  <c r="AO1618" i="2"/>
  <c r="AP1618" i="2"/>
  <c r="AM1618" i="2"/>
  <c r="AK1618" i="2"/>
  <c r="AI1618" i="2"/>
  <c r="AB1618" i="2"/>
  <c r="AO2200" i="2"/>
  <c r="AP2200" i="2"/>
  <c r="AM2200" i="2"/>
  <c r="AK2200" i="2"/>
  <c r="AI2200" i="2"/>
  <c r="AB2200" i="2"/>
  <c r="AO2199" i="2"/>
  <c r="AP2199" i="2"/>
  <c r="AM2199" i="2"/>
  <c r="AK2199" i="2"/>
  <c r="AI2199" i="2"/>
  <c r="AB2199" i="2"/>
  <c r="AO2198" i="2"/>
  <c r="AP2198" i="2"/>
  <c r="AM2198" i="2"/>
  <c r="AK2198" i="2"/>
  <c r="AI2198" i="2"/>
  <c r="AB2198" i="2"/>
  <c r="AO2197" i="2"/>
  <c r="AP2197" i="2"/>
  <c r="AM2197" i="2"/>
  <c r="AK2197" i="2"/>
  <c r="AI2197" i="2"/>
  <c r="AB2197" i="2"/>
  <c r="AO2196" i="2"/>
  <c r="AP2196" i="2"/>
  <c r="AM2196" i="2"/>
  <c r="AK2196" i="2"/>
  <c r="AI2196" i="2"/>
  <c r="AB2196" i="2"/>
  <c r="AO2195" i="2"/>
  <c r="AP2195" i="2"/>
  <c r="AM2195" i="2"/>
  <c r="AK2195" i="2"/>
  <c r="AI2195" i="2"/>
  <c r="AB2195" i="2"/>
  <c r="AO2194" i="2"/>
  <c r="AP2194" i="2"/>
  <c r="AM2194" i="2"/>
  <c r="AK2194" i="2"/>
  <c r="AI2194" i="2"/>
  <c r="AB2194" i="2"/>
  <c r="AO2193" i="2"/>
  <c r="AP2193" i="2"/>
  <c r="AM2193" i="2"/>
  <c r="AK2193" i="2"/>
  <c r="AI2193" i="2"/>
  <c r="AB2193" i="2"/>
  <c r="AO2192" i="2"/>
  <c r="AP2192" i="2"/>
  <c r="AM2192" i="2"/>
  <c r="AK2192" i="2"/>
  <c r="AI2192" i="2"/>
  <c r="AB2192" i="2"/>
  <c r="AO1606" i="2"/>
  <c r="AP1606" i="2"/>
  <c r="AM1606" i="2"/>
  <c r="AK1606" i="2"/>
  <c r="AI1606" i="2"/>
  <c r="AB1606" i="2"/>
  <c r="AO2191" i="2"/>
  <c r="AP2191" i="2"/>
  <c r="AM2191" i="2"/>
  <c r="AK2191" i="2"/>
  <c r="AI2191" i="2"/>
  <c r="AB2191" i="2"/>
  <c r="AO2190" i="2"/>
  <c r="AP2190" i="2"/>
  <c r="AM2190" i="2"/>
  <c r="AK2190" i="2"/>
  <c r="AI2190" i="2"/>
  <c r="AB2190" i="2"/>
  <c r="AO2189" i="2"/>
  <c r="AP2189" i="2"/>
  <c r="AM2189" i="2"/>
  <c r="AK2189" i="2"/>
  <c r="AI2189" i="2"/>
  <c r="AB2189" i="2"/>
  <c r="AO2188" i="2"/>
  <c r="AP2188" i="2"/>
  <c r="AM2188" i="2"/>
  <c r="AK2188" i="2"/>
  <c r="AI2188" i="2"/>
  <c r="AB2188" i="2"/>
  <c r="AO2187" i="2"/>
  <c r="AP2187" i="2"/>
  <c r="AM2187" i="2"/>
  <c r="AK2187" i="2"/>
  <c r="AI2187" i="2"/>
  <c r="AB2187" i="2"/>
  <c r="AO2186" i="2"/>
  <c r="AP2186" i="2"/>
  <c r="AM2186" i="2"/>
  <c r="AK2186" i="2"/>
  <c r="AI2186" i="2"/>
  <c r="AB2186" i="2"/>
  <c r="AO1472" i="2"/>
  <c r="AP1472" i="2"/>
  <c r="AM1472" i="2"/>
  <c r="AK1472" i="2"/>
  <c r="AI1472" i="2"/>
  <c r="AB1472" i="2"/>
  <c r="AR999" i="2"/>
  <c r="AQ999" i="2"/>
  <c r="AO999" i="2"/>
  <c r="AP999" i="2"/>
  <c r="AM999" i="2"/>
  <c r="AK999" i="2"/>
  <c r="AI999" i="2"/>
  <c r="AB999" i="2"/>
  <c r="AR123" i="2"/>
  <c r="AQ123" i="2"/>
  <c r="AO123" i="2"/>
  <c r="AP123" i="2"/>
  <c r="AM123" i="2"/>
  <c r="AK123" i="2"/>
  <c r="AI123" i="2"/>
  <c r="AB123" i="2"/>
  <c r="AR875" i="2"/>
  <c r="AQ875" i="2"/>
  <c r="AO875" i="2"/>
  <c r="AP875" i="2"/>
  <c r="AM875" i="2"/>
  <c r="AK875" i="2"/>
  <c r="AI875" i="2"/>
  <c r="AB875" i="2"/>
  <c r="AO373" i="2"/>
  <c r="AP373" i="2"/>
  <c r="AM373" i="2"/>
  <c r="AK373" i="2"/>
  <c r="AI373" i="2"/>
  <c r="AB373" i="2"/>
  <c r="AR128" i="2"/>
  <c r="AQ128" i="2"/>
  <c r="AO128" i="2"/>
  <c r="AP128" i="2"/>
  <c r="AM128" i="2"/>
  <c r="AK128" i="2"/>
  <c r="AI128" i="2"/>
  <c r="AB128" i="2"/>
  <c r="AR777" i="2"/>
  <c r="AQ777" i="2"/>
  <c r="AO777" i="2"/>
  <c r="AP777" i="2"/>
  <c r="AM777" i="2"/>
  <c r="AK777" i="2"/>
  <c r="AI777" i="2"/>
  <c r="AB777" i="2"/>
  <c r="AR680" i="2"/>
  <c r="AQ680" i="2"/>
  <c r="AO680" i="2"/>
  <c r="AP680" i="2"/>
  <c r="AM680" i="2"/>
  <c r="AK680" i="2"/>
  <c r="AI680" i="2"/>
  <c r="AB680" i="2"/>
  <c r="AR2185" i="2"/>
  <c r="AQ2185" i="2"/>
  <c r="AO2185" i="2"/>
  <c r="AP2185" i="2"/>
  <c r="AM2185" i="2"/>
  <c r="AK2185" i="2"/>
  <c r="AI2185" i="2"/>
  <c r="AB2185" i="2"/>
  <c r="AR1853" i="2"/>
  <c r="AQ1853" i="2"/>
  <c r="AO1853" i="2"/>
  <c r="AP1853" i="2"/>
  <c r="AM1853" i="2"/>
  <c r="AK1853" i="2"/>
  <c r="AI1853" i="2"/>
  <c r="AB1853" i="2"/>
  <c r="AR1540" i="2"/>
  <c r="AQ1540" i="2"/>
  <c r="AO1540" i="2"/>
  <c r="AP1540" i="2"/>
  <c r="AM1540" i="2"/>
  <c r="AK1540" i="2"/>
  <c r="AI1540" i="2"/>
  <c r="AB1540" i="2"/>
  <c r="AR1512" i="2"/>
  <c r="AQ1512" i="2"/>
  <c r="AO1512" i="2"/>
  <c r="AP1512" i="2"/>
  <c r="AM1512" i="2"/>
  <c r="AK1512" i="2"/>
  <c r="AI1512" i="2"/>
  <c r="AB1512" i="2"/>
  <c r="AR1845" i="2"/>
  <c r="AQ1845" i="2"/>
  <c r="AO1845" i="2"/>
  <c r="AP1845" i="2"/>
  <c r="AM1845" i="2"/>
  <c r="AK1845" i="2"/>
  <c r="AI1845" i="2"/>
  <c r="AB1845" i="2"/>
  <c r="AR1651" i="2"/>
  <c r="AQ1651" i="2"/>
  <c r="AO1651" i="2"/>
  <c r="AP1651" i="2"/>
  <c r="AM1651" i="2"/>
  <c r="AK1651" i="2"/>
  <c r="AI1651" i="2"/>
  <c r="AB1651" i="2"/>
  <c r="AR1596" i="2"/>
  <c r="AQ1596" i="2"/>
  <c r="AO1596" i="2"/>
  <c r="AP1596" i="2"/>
  <c r="AM1596" i="2"/>
  <c r="AK1596" i="2"/>
  <c r="AI1596" i="2"/>
  <c r="AB1596" i="2"/>
  <c r="AO914" i="2"/>
  <c r="AP914" i="2"/>
  <c r="AM914" i="2"/>
  <c r="AK914" i="2"/>
  <c r="AI914" i="2"/>
  <c r="AB914" i="2"/>
  <c r="AR385" i="2"/>
  <c r="AQ385" i="2"/>
  <c r="AO385" i="2"/>
  <c r="AP385" i="2"/>
  <c r="AM385" i="2"/>
  <c r="AK385" i="2"/>
  <c r="AI385" i="2"/>
  <c r="AB385" i="2"/>
  <c r="AR583" i="2"/>
  <c r="AQ583" i="2"/>
  <c r="AO583" i="2"/>
  <c r="AP583" i="2"/>
  <c r="AM583" i="2"/>
  <c r="AK583" i="2"/>
  <c r="AI583" i="2"/>
  <c r="AB583" i="2"/>
  <c r="AO1844" i="2"/>
  <c r="AP1844" i="2"/>
  <c r="AM1844" i="2"/>
  <c r="AK1844" i="2"/>
  <c r="AI1844" i="2"/>
  <c r="AB1844" i="2"/>
  <c r="AR1501" i="2"/>
  <c r="AQ1501" i="2"/>
  <c r="AO1501" i="2"/>
  <c r="AP1501" i="2"/>
  <c r="AM1501" i="2"/>
  <c r="AK1501" i="2"/>
  <c r="AI1501" i="2"/>
  <c r="AB1501" i="2"/>
  <c r="AO1840" i="2"/>
  <c r="AP1840" i="2"/>
  <c r="AM1840" i="2"/>
  <c r="AK1840" i="2"/>
  <c r="AI1840" i="2"/>
  <c r="AB1840" i="2"/>
  <c r="AR1513" i="2"/>
  <c r="AQ1513" i="2"/>
  <c r="AO1513" i="2"/>
  <c r="AP1513" i="2"/>
  <c r="AM1513" i="2"/>
  <c r="AK1513" i="2"/>
  <c r="AI1513" i="2"/>
  <c r="AB1513" i="2"/>
  <c r="AR1505" i="2"/>
  <c r="AQ1505" i="2"/>
  <c r="AO1505" i="2"/>
  <c r="AP1505" i="2"/>
  <c r="AB1505" i="2"/>
  <c r="AB2184" i="2"/>
  <c r="AR2183" i="2"/>
  <c r="AQ2183" i="2"/>
  <c r="AB2183" i="2"/>
  <c r="AR120" i="2"/>
  <c r="AQ120" i="2"/>
  <c r="AO120" i="2"/>
  <c r="AP120" i="2"/>
  <c r="AB120" i="2"/>
  <c r="AR155" i="2"/>
  <c r="AQ155" i="2"/>
  <c r="AO155" i="2"/>
  <c r="AP155" i="2"/>
  <c r="AB155" i="2"/>
  <c r="AR124" i="2"/>
  <c r="AQ124" i="2"/>
  <c r="AO124" i="2"/>
  <c r="AP124" i="2"/>
  <c r="AB124" i="2"/>
  <c r="AR221" i="2"/>
  <c r="AQ221" i="2"/>
  <c r="AO221" i="2"/>
  <c r="AP221" i="2"/>
  <c r="AB221" i="2"/>
  <c r="AR153" i="2"/>
  <c r="AQ153" i="2"/>
  <c r="AO153" i="2"/>
  <c r="AP153" i="2"/>
  <c r="AB153" i="2"/>
  <c r="AR2182" i="2"/>
  <c r="AQ2182" i="2"/>
  <c r="AB2182" i="2"/>
  <c r="AR2181" i="2"/>
  <c r="AQ2181" i="2"/>
  <c r="AO2181" i="2"/>
  <c r="AP2181" i="2"/>
  <c r="AB2181" i="2"/>
  <c r="AR712" i="2"/>
  <c r="AQ712" i="2"/>
  <c r="AO712" i="2"/>
  <c r="AP712" i="2"/>
  <c r="AB712" i="2"/>
  <c r="AR222" i="2"/>
  <c r="AQ222" i="2"/>
  <c r="AO222" i="2"/>
  <c r="AP222" i="2"/>
  <c r="AB222" i="2"/>
  <c r="AR825" i="2"/>
  <c r="AQ825" i="2"/>
  <c r="AO825" i="2"/>
  <c r="AP825" i="2"/>
  <c r="AB825" i="2"/>
  <c r="AR1392" i="2"/>
  <c r="AQ1392" i="2"/>
  <c r="AO1392" i="2"/>
  <c r="AP1392" i="2"/>
  <c r="AB1392" i="2"/>
  <c r="AR2180" i="2"/>
  <c r="AQ2180" i="2"/>
  <c r="AO2180" i="2"/>
  <c r="AP2180" i="2"/>
  <c r="AM2180" i="2"/>
  <c r="AK2180" i="2"/>
  <c r="AB2180" i="2"/>
  <c r="AR2179" i="2"/>
  <c r="AQ2179" i="2"/>
  <c r="AO2179" i="2"/>
  <c r="AP2179" i="2"/>
  <c r="AM2179" i="2"/>
  <c r="AK2179" i="2"/>
  <c r="AI2179" i="2"/>
  <c r="AB2179" i="2"/>
  <c r="AO1724" i="2"/>
  <c r="AP1724" i="2"/>
  <c r="AM1724" i="2"/>
  <c r="AK1724" i="2"/>
  <c r="AI1724" i="2"/>
  <c r="AB1724" i="2"/>
  <c r="AR352" i="2"/>
  <c r="AQ352" i="2"/>
  <c r="AO352" i="2"/>
  <c r="AP352" i="2"/>
  <c r="AM352" i="2"/>
  <c r="AK352" i="2"/>
  <c r="AI352" i="2"/>
  <c r="AB352" i="2"/>
  <c r="AR891" i="2"/>
  <c r="AQ891" i="2"/>
  <c r="AO891" i="2"/>
  <c r="AP891" i="2"/>
  <c r="AM891" i="2"/>
  <c r="AK891" i="2"/>
  <c r="AI891" i="2"/>
  <c r="AB891" i="2"/>
  <c r="AO615" i="2"/>
  <c r="AP615" i="2"/>
  <c r="AM615" i="2"/>
  <c r="AK615" i="2"/>
  <c r="AI615" i="2"/>
  <c r="AB615" i="2"/>
  <c r="AR813" i="2"/>
  <c r="AQ813" i="2"/>
  <c r="AO813" i="2"/>
  <c r="AP813" i="2"/>
  <c r="AM813" i="2"/>
  <c r="AK813" i="2"/>
  <c r="AI813" i="2"/>
  <c r="AB813" i="2"/>
  <c r="AO1825" i="2"/>
  <c r="AP1825" i="2"/>
  <c r="AM1825" i="2"/>
  <c r="AK1825" i="2"/>
  <c r="AI1825" i="2"/>
  <c r="AB1825" i="2"/>
  <c r="AO1560" i="2"/>
  <c r="AP1560" i="2"/>
  <c r="AM1560" i="2"/>
  <c r="AK1560" i="2"/>
  <c r="AI1560" i="2"/>
  <c r="AB1560" i="2"/>
  <c r="AR1691" i="2"/>
  <c r="AQ1691" i="2"/>
  <c r="AO1691" i="2"/>
  <c r="AP1691" i="2"/>
  <c r="AM1691" i="2"/>
  <c r="AK1691" i="2"/>
  <c r="AI1691" i="2"/>
  <c r="AB1691" i="2"/>
  <c r="AO847" i="2"/>
  <c r="AP847" i="2"/>
  <c r="AM847" i="2"/>
  <c r="AK847" i="2"/>
  <c r="AI847" i="2"/>
  <c r="AB847" i="2"/>
  <c r="AR1286" i="2"/>
  <c r="AQ1286" i="2"/>
  <c r="AO1286" i="2"/>
  <c r="AP1286" i="2"/>
  <c r="AM1286" i="2"/>
  <c r="AK1286" i="2"/>
  <c r="AI1286" i="2"/>
  <c r="AB1286" i="2"/>
  <c r="AR1376" i="2"/>
  <c r="AQ1376" i="2"/>
  <c r="AO1376" i="2"/>
  <c r="AP1376" i="2"/>
  <c r="AM1376" i="2"/>
  <c r="AK1376" i="2"/>
  <c r="AI1376" i="2"/>
  <c r="AB1376" i="2"/>
  <c r="AR1750" i="2"/>
  <c r="AQ1750" i="2"/>
  <c r="AO1750" i="2"/>
  <c r="AP1750" i="2"/>
  <c r="AM1750" i="2"/>
  <c r="AK1750" i="2"/>
  <c r="AI1750" i="2"/>
  <c r="AB1750" i="2"/>
  <c r="AR1454" i="2"/>
  <c r="AQ1454" i="2"/>
  <c r="AO1454" i="2"/>
  <c r="AP1454" i="2"/>
  <c r="AM1454" i="2"/>
  <c r="AK1454" i="2"/>
  <c r="AI1454" i="2"/>
  <c r="AB1454" i="2"/>
  <c r="AR1581" i="2"/>
  <c r="AQ1581" i="2"/>
  <c r="AO1581" i="2"/>
  <c r="AP1581" i="2"/>
  <c r="AK1581" i="2"/>
  <c r="AI1581" i="2"/>
  <c r="AR1321" i="2"/>
  <c r="AQ1321" i="2"/>
  <c r="AO1321" i="2"/>
  <c r="AP1321" i="2"/>
  <c r="AK1321" i="2"/>
  <c r="AI1321" i="2"/>
  <c r="AR1643" i="2"/>
  <c r="AQ1643" i="2"/>
  <c r="AO1643" i="2"/>
  <c r="AP1643" i="2"/>
  <c r="AK1643" i="2"/>
  <c r="AI1643" i="2"/>
  <c r="AR1555" i="2"/>
  <c r="AQ1555" i="2"/>
  <c r="AO1555" i="2"/>
  <c r="AP1555" i="2"/>
  <c r="AK1555" i="2"/>
  <c r="AI1555" i="2"/>
  <c r="AR231" i="2"/>
  <c r="AQ231" i="2"/>
  <c r="AO231" i="2"/>
  <c r="AP231" i="2"/>
  <c r="AK231" i="2"/>
  <c r="AI231" i="2"/>
  <c r="AR1831" i="2"/>
  <c r="AQ1831" i="2"/>
  <c r="AO1831" i="2"/>
  <c r="AP1831" i="2"/>
  <c r="AK1831" i="2"/>
  <c r="AI1831" i="2"/>
  <c r="AR118" i="2"/>
  <c r="AQ118" i="2"/>
  <c r="AO118" i="2"/>
  <c r="AP118" i="2"/>
  <c r="AK118" i="2"/>
  <c r="AI118" i="2"/>
  <c r="AR429" i="2"/>
  <c r="AQ429" i="2"/>
  <c r="AO429" i="2"/>
  <c r="AP429" i="2"/>
  <c r="AM429" i="2"/>
  <c r="AK429" i="2"/>
  <c r="AI429" i="2"/>
  <c r="AR1137" i="2"/>
  <c r="AQ1137" i="2"/>
  <c r="AO1137" i="2"/>
  <c r="AP1137" i="2"/>
  <c r="AM1137" i="2"/>
  <c r="AK1137" i="2"/>
  <c r="AI1137" i="2"/>
  <c r="AR1532" i="2"/>
  <c r="AQ1532" i="2"/>
  <c r="AO1532" i="2"/>
  <c r="AP1532" i="2"/>
  <c r="AM1532" i="2"/>
  <c r="AK1532" i="2"/>
  <c r="AI1532" i="2"/>
  <c r="AR371" i="2"/>
  <c r="AQ371" i="2"/>
  <c r="AO371" i="2"/>
  <c r="AP371" i="2"/>
  <c r="AM371" i="2"/>
  <c r="AK371" i="2"/>
  <c r="AI371" i="2"/>
  <c r="AR1754" i="2"/>
  <c r="AQ1754" i="2"/>
  <c r="AO1754" i="2"/>
  <c r="AP1754" i="2"/>
  <c r="AK1754" i="2"/>
  <c r="AR1851" i="2"/>
  <c r="AQ1851" i="2"/>
  <c r="AO1851" i="2"/>
  <c r="AP1851" i="2"/>
  <c r="AK1851" i="2"/>
  <c r="AR161" i="2"/>
  <c r="AQ161" i="2"/>
  <c r="AO161" i="2"/>
  <c r="AP161" i="2"/>
  <c r="AK161" i="2"/>
  <c r="AR650" i="2"/>
  <c r="AQ650" i="2"/>
  <c r="AO650" i="2"/>
  <c r="AP650" i="2"/>
  <c r="AK650" i="2"/>
  <c r="AR838" i="2"/>
  <c r="AQ838" i="2"/>
  <c r="AO838" i="2"/>
  <c r="AP838" i="2"/>
  <c r="AK838" i="2"/>
  <c r="AR2178" i="2"/>
  <c r="AQ2178" i="2"/>
  <c r="AO2178" i="2"/>
  <c r="AP2178" i="2"/>
  <c r="AK2178" i="2"/>
  <c r="AR1199" i="2"/>
  <c r="AQ1199" i="2"/>
  <c r="AO1199" i="2"/>
  <c r="AP1199" i="2"/>
  <c r="AK1199" i="2"/>
  <c r="AR656" i="2"/>
  <c r="AQ656" i="2"/>
  <c r="AO656" i="2"/>
  <c r="AP656" i="2"/>
  <c r="AK656" i="2"/>
  <c r="AR1486" i="2"/>
  <c r="AQ1486" i="2"/>
  <c r="AO1486" i="2"/>
  <c r="AP1486" i="2"/>
  <c r="AK1486" i="2"/>
  <c r="AR174" i="2"/>
  <c r="AQ174" i="2"/>
  <c r="AO174" i="2"/>
  <c r="AP174" i="2"/>
  <c r="AK174" i="2"/>
  <c r="AR286" i="2"/>
  <c r="AQ286" i="2"/>
  <c r="AO286" i="2"/>
  <c r="AP286" i="2"/>
  <c r="AK286" i="2"/>
  <c r="AR253" i="2"/>
  <c r="AQ253" i="2"/>
  <c r="AO253" i="2"/>
  <c r="AJ253" i="2"/>
  <c r="AK253" i="2"/>
  <c r="AR954" i="2"/>
  <c r="AQ954" i="2"/>
  <c r="AO954" i="2"/>
  <c r="AP954" i="2"/>
  <c r="AK954" i="2"/>
  <c r="AI954" i="2"/>
  <c r="AW1483" i="2"/>
  <c r="BA1483" i="2"/>
  <c r="AV1483" i="2"/>
  <c r="AZ1483" i="2"/>
  <c r="AX1483" i="2"/>
  <c r="BB1483" i="2"/>
  <c r="AQ1483" i="2"/>
  <c r="AU1483" i="2"/>
  <c r="AR1483" i="2"/>
  <c r="AO1483" i="2"/>
  <c r="AP1483" i="2"/>
  <c r="AX1898" i="2"/>
  <c r="BB1898" i="2"/>
  <c r="AV1898" i="2"/>
  <c r="AZ1898" i="2"/>
  <c r="AW1898" i="2"/>
  <c r="BA1898" i="2"/>
  <c r="AR1898" i="2"/>
  <c r="AQ1898" i="2"/>
  <c r="AU1898" i="2"/>
  <c r="AO1898" i="2"/>
  <c r="AP1898" i="2"/>
  <c r="AX1493" i="2"/>
  <c r="BB1493" i="2"/>
  <c r="AW1493" i="2"/>
  <c r="BA1493" i="2"/>
  <c r="AV1493" i="2"/>
  <c r="AZ1493" i="2"/>
  <c r="AR1493" i="2"/>
  <c r="AQ1493" i="2"/>
  <c r="AU1493" i="2"/>
  <c r="AO1493" i="2"/>
  <c r="AP1493" i="2"/>
  <c r="AX1288" i="2"/>
  <c r="BB1288" i="2"/>
  <c r="AW1288" i="2"/>
  <c r="BA1288" i="2"/>
  <c r="AV1288" i="2"/>
  <c r="AZ1288" i="2"/>
  <c r="AQ1288" i="2"/>
  <c r="AU1288" i="2"/>
  <c r="AR1288" i="2"/>
  <c r="AO1288" i="2"/>
  <c r="AP1288" i="2"/>
  <c r="AW2177" i="2"/>
  <c r="BA2177" i="2"/>
  <c r="AV2177" i="2"/>
  <c r="AZ2177" i="2"/>
  <c r="AX2177" i="2"/>
  <c r="BB2177" i="2"/>
  <c r="AQ2177" i="2"/>
  <c r="AU2177" i="2"/>
  <c r="AR2177" i="2"/>
  <c r="AO2177" i="2"/>
  <c r="AP2177" i="2"/>
  <c r="AX2176" i="2"/>
  <c r="BB2176" i="2"/>
  <c r="AV2176" i="2"/>
  <c r="AZ2176" i="2"/>
  <c r="AW2176" i="2"/>
  <c r="BA2176" i="2"/>
  <c r="AR2176" i="2"/>
  <c r="AQ2176" i="2"/>
  <c r="AU2176" i="2"/>
  <c r="AO2176" i="2"/>
  <c r="AP2176" i="2"/>
  <c r="AX2175" i="2"/>
  <c r="BB2175" i="2"/>
  <c r="AW2175" i="2"/>
  <c r="BA2175" i="2"/>
  <c r="AV2175" i="2"/>
  <c r="AZ2175" i="2"/>
  <c r="AR2175" i="2"/>
  <c r="AQ2175" i="2"/>
  <c r="AU2175" i="2"/>
  <c r="AO2175" i="2"/>
  <c r="AP2175" i="2"/>
  <c r="AX764" i="2"/>
  <c r="BB764" i="2"/>
  <c r="AW764" i="2"/>
  <c r="BA764" i="2"/>
  <c r="AV764" i="2"/>
  <c r="AZ764" i="2"/>
  <c r="AQ764" i="2"/>
  <c r="AU764" i="2"/>
  <c r="AR764" i="2"/>
  <c r="AO764" i="2"/>
  <c r="AP764" i="2"/>
  <c r="AW2174" i="2"/>
  <c r="BA2174" i="2"/>
  <c r="AV2174" i="2"/>
  <c r="AZ2174" i="2"/>
  <c r="AX2174" i="2"/>
  <c r="BB2174" i="2"/>
  <c r="AQ2174" i="2"/>
  <c r="AU2174" i="2"/>
  <c r="AR2174" i="2"/>
  <c r="AO2174" i="2"/>
  <c r="AP2174" i="2"/>
  <c r="AX1738" i="2"/>
  <c r="BB1738" i="2"/>
  <c r="AV1738" i="2"/>
  <c r="AZ1738" i="2"/>
  <c r="AW1738" i="2"/>
  <c r="BA1738" i="2"/>
  <c r="AR1738" i="2"/>
  <c r="AQ1738" i="2"/>
  <c r="AU1738" i="2"/>
  <c r="AO1738" i="2"/>
  <c r="AP1738" i="2"/>
  <c r="AX1492" i="2"/>
  <c r="BB1492" i="2"/>
  <c r="AW1492" i="2"/>
  <c r="BA1492" i="2"/>
  <c r="AV1492" i="2"/>
  <c r="AZ1492" i="2"/>
  <c r="AR1492" i="2"/>
  <c r="AQ1492" i="2"/>
  <c r="AU1492" i="2"/>
  <c r="AO1492" i="2"/>
  <c r="AP1492" i="2"/>
  <c r="AX434" i="2"/>
  <c r="BB434" i="2"/>
  <c r="AW434" i="2"/>
  <c r="BA434" i="2"/>
  <c r="AV434" i="2"/>
  <c r="AZ434" i="2"/>
  <c r="AQ434" i="2"/>
  <c r="AU434" i="2"/>
  <c r="AR434" i="2"/>
  <c r="AO434" i="2"/>
  <c r="AP434" i="2"/>
  <c r="AW886" i="2"/>
  <c r="BA886" i="2"/>
  <c r="AV886" i="2"/>
  <c r="AZ886" i="2"/>
  <c r="AX886" i="2"/>
  <c r="BB886" i="2"/>
  <c r="AQ886" i="2"/>
  <c r="AU886" i="2"/>
  <c r="AR886" i="2"/>
  <c r="AO886" i="2"/>
  <c r="AP886" i="2"/>
  <c r="AX335" i="2"/>
  <c r="BB335" i="2"/>
  <c r="AV335" i="2"/>
  <c r="AZ335" i="2"/>
  <c r="AW335" i="2"/>
  <c r="BA335" i="2"/>
  <c r="AR335" i="2"/>
  <c r="AQ335" i="2"/>
  <c r="AU335" i="2"/>
  <c r="AO335" i="2"/>
  <c r="AP335" i="2"/>
  <c r="AX577" i="2"/>
  <c r="BB577" i="2"/>
  <c r="AW577" i="2"/>
  <c r="BA577" i="2"/>
  <c r="AV577" i="2"/>
  <c r="AZ577" i="2"/>
  <c r="AR577" i="2"/>
  <c r="AQ577" i="2"/>
  <c r="AU577" i="2"/>
  <c r="AO577" i="2"/>
  <c r="AP577" i="2"/>
  <c r="AX430" i="2"/>
  <c r="BB430" i="2"/>
  <c r="AW430" i="2"/>
  <c r="BA430" i="2"/>
  <c r="AV430" i="2"/>
  <c r="AZ430" i="2"/>
  <c r="AQ430" i="2"/>
  <c r="AU430" i="2"/>
  <c r="AR430" i="2"/>
  <c r="AO430" i="2"/>
  <c r="AP430" i="2"/>
  <c r="AW1758" i="2"/>
  <c r="BA1758" i="2"/>
  <c r="AV1758" i="2"/>
  <c r="AZ1758" i="2"/>
  <c r="AX1758" i="2"/>
  <c r="BB1758" i="2"/>
  <c r="AQ1758" i="2"/>
  <c r="AU1758" i="2"/>
  <c r="AR1758" i="2"/>
  <c r="AO1758" i="2"/>
  <c r="AP1758" i="2"/>
  <c r="AK1758" i="2"/>
  <c r="AI1758" i="2"/>
  <c r="AX1736" i="2"/>
  <c r="BB1736" i="2"/>
  <c r="AW1736" i="2"/>
  <c r="BA1736" i="2"/>
  <c r="AV1736" i="2"/>
  <c r="AZ1736" i="2"/>
  <c r="AR1736" i="2"/>
  <c r="AQ1736" i="2"/>
  <c r="AU1736" i="2"/>
  <c r="AO1736" i="2"/>
  <c r="AP1736" i="2"/>
  <c r="AK1736" i="2"/>
  <c r="AI1736" i="2"/>
  <c r="AW1710" i="2"/>
  <c r="BA1710" i="2"/>
  <c r="AV1710" i="2"/>
  <c r="AZ1710" i="2"/>
  <c r="AX1710" i="2"/>
  <c r="BB1710" i="2"/>
  <c r="AQ1710" i="2"/>
  <c r="AU1710" i="2"/>
  <c r="AR1710" i="2"/>
  <c r="AO1710" i="2"/>
  <c r="AP1710" i="2"/>
  <c r="AX1776" i="2"/>
  <c r="BB1776" i="2"/>
  <c r="AV1776" i="2"/>
  <c r="AZ1776" i="2"/>
  <c r="AW1776" i="2"/>
  <c r="BA1776" i="2"/>
  <c r="AR1776" i="2"/>
  <c r="AQ1776" i="2"/>
  <c r="AU1776" i="2"/>
  <c r="AO1776" i="2"/>
  <c r="AP1776" i="2"/>
  <c r="AM1776" i="2"/>
  <c r="AK1776" i="2"/>
  <c r="AI1776" i="2"/>
  <c r="AO455" i="2"/>
  <c r="AP455" i="2"/>
  <c r="AM455" i="2"/>
  <c r="AK455" i="2"/>
  <c r="AI455" i="2"/>
  <c r="AO679" i="2"/>
  <c r="AP679" i="2"/>
  <c r="AM679" i="2"/>
  <c r="AK679" i="2"/>
  <c r="AI679" i="2"/>
  <c r="AO2173" i="2"/>
  <c r="AP2173" i="2"/>
  <c r="AM2173" i="2"/>
  <c r="AK2173" i="2"/>
  <c r="AI2173" i="2"/>
  <c r="AR979" i="2"/>
  <c r="AQ979" i="2"/>
  <c r="AO979" i="2"/>
  <c r="AP979" i="2"/>
  <c r="AM979" i="2"/>
  <c r="AK979" i="2"/>
  <c r="AI979" i="2"/>
  <c r="W2172" i="2"/>
  <c r="V2172" i="2"/>
  <c r="U2172" i="2"/>
  <c r="T2172" i="2"/>
  <c r="Q2172" i="2"/>
  <c r="P2172" i="2"/>
  <c r="O2172" i="2"/>
  <c r="N2172" i="2"/>
  <c r="AO2171" i="2"/>
  <c r="AP2171" i="2"/>
  <c r="AK2171" i="2"/>
  <c r="AI2171" i="2"/>
  <c r="W2171" i="2"/>
  <c r="U2171" i="2"/>
  <c r="T2171" i="2"/>
  <c r="Q2171" i="2"/>
  <c r="P2171" i="2"/>
  <c r="O2171" i="2"/>
  <c r="N2171" i="2"/>
  <c r="AO2170" i="2"/>
  <c r="AP2170" i="2"/>
  <c r="AK2170" i="2"/>
  <c r="AI2170" i="2"/>
  <c r="V2170" i="2"/>
  <c r="T2170" i="2"/>
  <c r="AR2170" i="2"/>
  <c r="Q2170" i="2"/>
  <c r="P2170" i="2"/>
  <c r="O2170" i="2"/>
  <c r="N2170" i="2"/>
  <c r="AR1327" i="2"/>
  <c r="AQ1327" i="2"/>
  <c r="AO1327" i="2"/>
  <c r="AP1327" i="2"/>
  <c r="AM1327" i="2"/>
  <c r="AK1327" i="2"/>
  <c r="AI1327" i="2"/>
  <c r="AR2169" i="2"/>
  <c r="AQ2169" i="2"/>
  <c r="AO2169" i="2"/>
  <c r="AP2169" i="2"/>
  <c r="AM2169" i="2"/>
  <c r="AK2169" i="2"/>
  <c r="AI2169" i="2"/>
  <c r="AR2168" i="2"/>
  <c r="AQ2168" i="2"/>
  <c r="AO2168" i="2"/>
  <c r="AP2168" i="2"/>
  <c r="AM2168" i="2"/>
  <c r="AK2168" i="2"/>
  <c r="AI2168" i="2"/>
  <c r="AR1771" i="2"/>
  <c r="AQ1771" i="2"/>
  <c r="AO1771" i="2"/>
  <c r="AP1771" i="2"/>
  <c r="AM1771" i="2"/>
  <c r="AK1771" i="2"/>
  <c r="AI1771" i="2"/>
  <c r="AR1717" i="2"/>
  <c r="AQ1717" i="2"/>
  <c r="AO1717" i="2"/>
  <c r="AP1717" i="2"/>
  <c r="AM1717" i="2"/>
  <c r="AK1717" i="2"/>
  <c r="AI1717" i="2"/>
  <c r="AR1029" i="2"/>
  <c r="AQ1029" i="2"/>
  <c r="AO1029" i="2"/>
  <c r="AP1029" i="2"/>
  <c r="AM1029" i="2"/>
  <c r="AK1029" i="2"/>
  <c r="AI1029" i="2"/>
  <c r="AR602" i="2"/>
  <c r="AQ602" i="2"/>
  <c r="AO602" i="2"/>
  <c r="AP602" i="2"/>
  <c r="AM602" i="2"/>
  <c r="AK602" i="2"/>
  <c r="AI602" i="2"/>
  <c r="W2165" i="2"/>
  <c r="V2165" i="2"/>
  <c r="U2165" i="2"/>
  <c r="T2165" i="2"/>
  <c r="Q2165" i="2"/>
  <c r="P2165" i="2"/>
  <c r="O2165" i="2"/>
  <c r="N2165" i="2"/>
  <c r="W2164" i="2"/>
  <c r="V2164" i="2"/>
  <c r="U2164" i="2"/>
  <c r="T2164" i="2"/>
  <c r="Q2164" i="2"/>
  <c r="P2164" i="2"/>
  <c r="O2164" i="2"/>
  <c r="N2164" i="2"/>
  <c r="AR209" i="2"/>
  <c r="AQ209" i="2"/>
  <c r="AO209" i="2"/>
  <c r="AP209" i="2"/>
  <c r="AM209" i="2"/>
  <c r="AK209" i="2"/>
  <c r="AI209" i="2"/>
  <c r="AR349" i="2"/>
  <c r="AQ349" i="2"/>
  <c r="AO349" i="2"/>
  <c r="AP349" i="2"/>
  <c r="AM349" i="2"/>
  <c r="AK349" i="2"/>
  <c r="AI349" i="2"/>
  <c r="AR338" i="2"/>
  <c r="AQ338" i="2"/>
  <c r="AO338" i="2"/>
  <c r="AP338" i="2"/>
  <c r="AM338" i="2"/>
  <c r="AK338" i="2"/>
  <c r="AI338" i="2"/>
  <c r="AR1768" i="2"/>
  <c r="AQ1768" i="2"/>
  <c r="AO1768" i="2"/>
  <c r="AP1768" i="2"/>
  <c r="AM1768" i="2"/>
  <c r="AK1768" i="2"/>
  <c r="AI1768" i="2"/>
  <c r="AR1400" i="2"/>
  <c r="AQ1400" i="2"/>
  <c r="AO1400" i="2"/>
  <c r="AP1400" i="2"/>
  <c r="AM1400" i="2"/>
  <c r="AK1400" i="2"/>
  <c r="AI1400" i="2"/>
  <c r="AR2163" i="2"/>
  <c r="AQ2163" i="2"/>
  <c r="AO2163" i="2"/>
  <c r="AP2163" i="2"/>
  <c r="AM2163" i="2"/>
  <c r="AK2163" i="2"/>
  <c r="AI2163" i="2"/>
  <c r="AR1690" i="2"/>
  <c r="AQ1690" i="2"/>
  <c r="AO1690" i="2"/>
  <c r="AP1690" i="2"/>
  <c r="AM1690" i="2"/>
  <c r="AK1690" i="2"/>
  <c r="AI1690" i="2"/>
  <c r="AR134" i="2"/>
  <c r="AQ134" i="2"/>
  <c r="AO134" i="2"/>
  <c r="AP134" i="2"/>
  <c r="AM134" i="2"/>
  <c r="AK134" i="2"/>
  <c r="AI134" i="2"/>
  <c r="AR162" i="2"/>
  <c r="AQ162" i="2"/>
  <c r="AO162" i="2"/>
  <c r="AP162" i="2"/>
  <c r="AM162" i="2"/>
  <c r="AK162" i="2"/>
  <c r="AI162" i="2"/>
  <c r="AR2162" i="2"/>
  <c r="AQ2162" i="2"/>
  <c r="AO2162" i="2"/>
  <c r="AP2162" i="2"/>
  <c r="AM2162" i="2"/>
  <c r="AK2162" i="2"/>
  <c r="AI2162" i="2"/>
  <c r="AR1888" i="2"/>
  <c r="AQ1888" i="2"/>
  <c r="AO1888" i="2"/>
  <c r="AP1888" i="2"/>
  <c r="AM1888" i="2"/>
  <c r="AK1888" i="2"/>
  <c r="AI1888" i="2"/>
  <c r="AR1412" i="2"/>
  <c r="AQ1412" i="2"/>
  <c r="AO1412" i="2"/>
  <c r="AP1412" i="2"/>
  <c r="AM1412" i="2"/>
  <c r="AK1412" i="2"/>
  <c r="AI1412" i="2"/>
  <c r="AR1024" i="2"/>
  <c r="AQ1024" i="2"/>
  <c r="AO1024" i="2"/>
  <c r="AP1024" i="2"/>
  <c r="AM1024" i="2"/>
  <c r="AK1024" i="2"/>
  <c r="AI1024" i="2"/>
  <c r="AK2161" i="2"/>
  <c r="AR1637" i="2"/>
  <c r="AQ1637" i="2"/>
  <c r="AO1637" i="2"/>
  <c r="AP1637" i="2"/>
  <c r="AM1637" i="2"/>
  <c r="AK1637" i="2"/>
  <c r="AI1637" i="2"/>
  <c r="AP253" i="2"/>
  <c r="AS1685" i="2"/>
  <c r="AR1685" i="2"/>
  <c r="AQ1685" i="2"/>
  <c r="AO1685" i="2"/>
  <c r="AP1685" i="2"/>
  <c r="AM1685" i="2"/>
  <c r="AK1685" i="2"/>
  <c r="AI1685" i="2"/>
  <c r="AB1685" i="2"/>
  <c r="AS1676" i="2"/>
  <c r="AR1676" i="2"/>
  <c r="AQ1676" i="2"/>
  <c r="AO1676" i="2"/>
  <c r="AP1676" i="2"/>
  <c r="AS1508" i="2"/>
  <c r="AR1508" i="2"/>
  <c r="AQ1508" i="2"/>
  <c r="AO1508" i="2"/>
  <c r="AP1508" i="2"/>
  <c r="AM1508" i="2"/>
  <c r="AK1508" i="2"/>
  <c r="AI1508" i="2"/>
  <c r="AB1508" i="2"/>
  <c r="AS1846" i="2"/>
  <c r="AR1846" i="2"/>
  <c r="AQ1846" i="2"/>
  <c r="AO1846" i="2"/>
  <c r="AP1846" i="2"/>
  <c r="AM1846" i="2"/>
  <c r="AK1846" i="2"/>
  <c r="AI1846" i="2"/>
  <c r="AB1846" i="2"/>
  <c r="AS1784" i="2"/>
  <c r="AR1784" i="2"/>
  <c r="AQ1784" i="2"/>
  <c r="AO1784" i="2"/>
  <c r="AP1784" i="2"/>
  <c r="AM1784" i="2"/>
  <c r="AK1784" i="2"/>
  <c r="AI1784" i="2"/>
  <c r="AB1784" i="2"/>
  <c r="AS1767" i="2"/>
  <c r="AR1767" i="2"/>
  <c r="AQ1767" i="2"/>
  <c r="AO1767" i="2"/>
  <c r="AP1767" i="2"/>
  <c r="AM1767" i="2"/>
  <c r="AK1767" i="2"/>
  <c r="AI1767" i="2"/>
  <c r="AB1767" i="2"/>
  <c r="AS937" i="2"/>
  <c r="AR937" i="2"/>
  <c r="AQ937" i="2"/>
  <c r="AO937" i="2"/>
  <c r="AP937" i="2"/>
  <c r="AM937" i="2"/>
  <c r="AK937" i="2"/>
  <c r="AI937" i="2"/>
  <c r="AB937" i="2"/>
  <c r="AS1102" i="2"/>
  <c r="AR1102" i="2"/>
  <c r="AQ1102" i="2"/>
  <c r="AO1102" i="2"/>
  <c r="AP1102" i="2"/>
  <c r="AM1102" i="2"/>
  <c r="AK1102" i="2"/>
  <c r="AI1102" i="2"/>
  <c r="AB1102" i="2"/>
  <c r="AS1059" i="2"/>
  <c r="AR1059" i="2"/>
  <c r="AQ1059" i="2"/>
  <c r="AO1059" i="2"/>
  <c r="AP1059" i="2"/>
  <c r="AM1059" i="2"/>
  <c r="AK1059" i="2"/>
  <c r="AI1059" i="2"/>
  <c r="AB1059" i="2"/>
  <c r="AS1752" i="2"/>
  <c r="AR1752" i="2"/>
  <c r="AQ1752" i="2"/>
  <c r="AO1752" i="2"/>
  <c r="AP1752" i="2"/>
  <c r="AM1752" i="2"/>
  <c r="AK1752" i="2"/>
  <c r="AI1752" i="2"/>
  <c r="AB1752" i="2"/>
  <c r="AS1544" i="2"/>
  <c r="AR1544" i="2"/>
  <c r="AQ1544" i="2"/>
  <c r="AO1544" i="2"/>
  <c r="AP1544" i="2"/>
  <c r="AM1544" i="2"/>
  <c r="AK1544" i="2"/>
  <c r="AI1544" i="2"/>
  <c r="AB1544" i="2"/>
  <c r="AS1060" i="2"/>
  <c r="AR1060" i="2"/>
  <c r="AQ1060" i="2"/>
  <c r="AO1060" i="2"/>
  <c r="AP1060" i="2"/>
  <c r="AM1060" i="2"/>
  <c r="AK1060" i="2"/>
  <c r="AI1060" i="2"/>
  <c r="AB1060" i="2"/>
  <c r="AS624" i="2"/>
  <c r="AR624" i="2"/>
  <c r="AQ624" i="2"/>
  <c r="AO624" i="2"/>
  <c r="AP624" i="2"/>
  <c r="AM624" i="2"/>
  <c r="AK624" i="2"/>
  <c r="AI624" i="2"/>
  <c r="AB624" i="2"/>
  <c r="AS1698" i="2"/>
  <c r="AR1698" i="2"/>
  <c r="AQ1698" i="2"/>
  <c r="AO1698" i="2"/>
  <c r="AP1698" i="2"/>
  <c r="AM1698" i="2"/>
  <c r="AK1698" i="2"/>
  <c r="AI1698" i="2"/>
  <c r="AB1698" i="2"/>
  <c r="AS1681" i="2"/>
  <c r="AR1681" i="2"/>
  <c r="AQ1681" i="2"/>
  <c r="AO1681" i="2"/>
  <c r="AP1681" i="2"/>
  <c r="AM1681" i="2"/>
  <c r="AK1681" i="2"/>
  <c r="AI1681" i="2"/>
  <c r="AB1681" i="2"/>
  <c r="AS2160" i="2"/>
  <c r="AR2160" i="2"/>
  <c r="AQ2160" i="2"/>
  <c r="AO2160" i="2"/>
  <c r="AP2160" i="2"/>
  <c r="AM2160" i="2"/>
  <c r="AK2160" i="2"/>
  <c r="AI2160" i="2"/>
  <c r="AB2160" i="2"/>
  <c r="AS2159" i="2"/>
  <c r="AR2159" i="2"/>
  <c r="AQ2159" i="2"/>
  <c r="AO2159" i="2"/>
  <c r="AP2159" i="2"/>
  <c r="AM2159" i="2"/>
  <c r="AK2159" i="2"/>
  <c r="AI2159" i="2"/>
  <c r="AB2159" i="2"/>
  <c r="AS1867" i="2"/>
  <c r="AR1867" i="2"/>
  <c r="AQ1867" i="2"/>
  <c r="AO1867" i="2"/>
  <c r="AP1867" i="2"/>
  <c r="AM1867" i="2"/>
  <c r="AK1867" i="2"/>
  <c r="AI1867" i="2"/>
  <c r="AB1867" i="2"/>
  <c r="AS2158" i="2"/>
  <c r="AR2158" i="2"/>
  <c r="AQ2158" i="2"/>
  <c r="AO2158" i="2"/>
  <c r="AP2158" i="2"/>
  <c r="AM2158" i="2"/>
  <c r="AK2158" i="2"/>
  <c r="AI2158" i="2"/>
  <c r="AB2158" i="2"/>
  <c r="AS949" i="2"/>
  <c r="AR949" i="2"/>
  <c r="AQ949" i="2"/>
  <c r="AO949" i="2"/>
  <c r="AP949" i="2"/>
  <c r="AM949" i="2"/>
  <c r="AK949" i="2"/>
  <c r="AI949" i="2"/>
  <c r="AB949" i="2"/>
  <c r="AS1461" i="2"/>
  <c r="AR1461" i="2"/>
  <c r="AQ1461" i="2"/>
  <c r="AO1461" i="2"/>
  <c r="AP1461" i="2"/>
  <c r="AM1461" i="2"/>
  <c r="AK1461" i="2"/>
  <c r="AI1461" i="2"/>
  <c r="AB1461" i="2"/>
  <c r="AS1030" i="2"/>
  <c r="AR1030" i="2"/>
  <c r="AQ1030" i="2"/>
  <c r="AO1030" i="2"/>
  <c r="AP1030" i="2"/>
  <c r="AM1030" i="2"/>
  <c r="AK1030" i="2"/>
  <c r="AI1030" i="2"/>
  <c r="AB1030" i="2"/>
  <c r="AS2157" i="2"/>
  <c r="AR2157" i="2"/>
  <c r="AQ2157" i="2"/>
  <c r="AO2157" i="2"/>
  <c r="AP2157" i="2"/>
  <c r="AN2157" i="2"/>
  <c r="AM2157" i="2"/>
  <c r="AK2157" i="2"/>
  <c r="AI2157" i="2"/>
  <c r="AB2157" i="2"/>
  <c r="AS1378" i="2"/>
  <c r="AR1378" i="2"/>
  <c r="AQ1378" i="2"/>
  <c r="AO1378" i="2"/>
  <c r="AP1378" i="2"/>
  <c r="AN1378" i="2"/>
  <c r="AM1378" i="2"/>
  <c r="AK1378" i="2"/>
  <c r="AI1378" i="2"/>
  <c r="AB1378" i="2"/>
  <c r="AS2156" i="2"/>
  <c r="AR2156" i="2"/>
  <c r="AQ2156" i="2"/>
  <c r="AO2156" i="2"/>
  <c r="AP2156" i="2"/>
  <c r="AN2156" i="2"/>
  <c r="AM2156" i="2"/>
  <c r="AK2156" i="2"/>
  <c r="AI2156" i="2"/>
  <c r="AB2156" i="2"/>
  <c r="AS2155" i="2"/>
  <c r="AR2155" i="2"/>
  <c r="AQ2155" i="2"/>
  <c r="AO2155" i="2"/>
  <c r="AP2155" i="2"/>
  <c r="AN2155" i="2"/>
  <c r="AM2155" i="2"/>
  <c r="AK2155" i="2"/>
  <c r="AI2155" i="2"/>
  <c r="AB2155" i="2"/>
  <c r="AS2154" i="2"/>
  <c r="AR2154" i="2"/>
  <c r="AQ2154" i="2"/>
  <c r="AO2154" i="2"/>
  <c r="AP2154" i="2"/>
  <c r="AN2154" i="2"/>
  <c r="AM2154" i="2"/>
  <c r="AK2154" i="2"/>
  <c r="AI2154" i="2"/>
  <c r="AB2154" i="2"/>
  <c r="AS2153" i="2"/>
  <c r="AR2153" i="2"/>
  <c r="AQ2153" i="2"/>
  <c r="AO2153" i="2"/>
  <c r="AP2153" i="2"/>
  <c r="AN2153" i="2"/>
  <c r="AM2153" i="2"/>
  <c r="AK2153" i="2"/>
  <c r="AI2153" i="2"/>
  <c r="AB2153" i="2"/>
  <c r="AS2152" i="2"/>
  <c r="AR2152" i="2"/>
  <c r="AQ2152" i="2"/>
  <c r="AO2152" i="2"/>
  <c r="AP2152" i="2"/>
  <c r="AN2152" i="2"/>
  <c r="AM2152" i="2"/>
  <c r="AK2152" i="2"/>
  <c r="AI2152" i="2"/>
  <c r="AB2152" i="2"/>
  <c r="AS2151" i="2"/>
  <c r="AR2151" i="2"/>
  <c r="AQ2151" i="2"/>
  <c r="AO2151" i="2"/>
  <c r="AP2151" i="2"/>
  <c r="AN2151" i="2"/>
  <c r="AM2151" i="2"/>
  <c r="AK2151" i="2"/>
  <c r="AI2151" i="2"/>
  <c r="AB2151" i="2"/>
  <c r="AS2150" i="2"/>
  <c r="AR2150" i="2"/>
  <c r="AQ2150" i="2"/>
  <c r="AO2150" i="2"/>
  <c r="AP2150" i="2"/>
  <c r="AN2150" i="2"/>
  <c r="AM2150" i="2"/>
  <c r="AK2150" i="2"/>
  <c r="AI2150" i="2"/>
  <c r="AB2150" i="2"/>
  <c r="AS2149" i="2"/>
  <c r="AR2149" i="2"/>
  <c r="AQ2149" i="2"/>
  <c r="AO2149" i="2"/>
  <c r="AP2149" i="2"/>
  <c r="AN2149" i="2"/>
  <c r="AM2149" i="2"/>
  <c r="AK2149" i="2"/>
  <c r="AI2149" i="2"/>
  <c r="AB2149" i="2"/>
  <c r="AS2148" i="2"/>
  <c r="AR2148" i="2"/>
  <c r="AQ2148" i="2"/>
  <c r="AO2148" i="2"/>
  <c r="AP2148" i="2"/>
  <c r="AN2148" i="2"/>
  <c r="AM2148" i="2"/>
  <c r="AK2148" i="2"/>
  <c r="AI2148" i="2"/>
  <c r="AB2148" i="2"/>
  <c r="AS2147" i="2"/>
  <c r="AR2147" i="2"/>
  <c r="AQ2147" i="2"/>
  <c r="AO2147" i="2"/>
  <c r="AP2147" i="2"/>
  <c r="AN2147" i="2"/>
  <c r="AM2147" i="2"/>
  <c r="AK2147" i="2"/>
  <c r="AI2147" i="2"/>
  <c r="AB2147" i="2"/>
  <c r="AS2146" i="2"/>
  <c r="AR2146" i="2"/>
  <c r="AQ2146" i="2"/>
  <c r="AO2146" i="2"/>
  <c r="AP2146" i="2"/>
  <c r="AN2146" i="2"/>
  <c r="AM2146" i="2"/>
  <c r="AK2146" i="2"/>
  <c r="AI2146" i="2"/>
  <c r="AB2146" i="2"/>
  <c r="AS2145" i="2"/>
  <c r="AR2145" i="2"/>
  <c r="AQ2145" i="2"/>
  <c r="AO2145" i="2"/>
  <c r="AP2145" i="2"/>
  <c r="AN2145" i="2"/>
  <c r="AM2145" i="2"/>
  <c r="AK2145" i="2"/>
  <c r="AI2145" i="2"/>
  <c r="AB2145" i="2"/>
  <c r="AS2144" i="2"/>
  <c r="AR2144" i="2"/>
  <c r="AQ2144" i="2"/>
  <c r="AO2144" i="2"/>
  <c r="AP2144" i="2"/>
  <c r="AN2144" i="2"/>
  <c r="AM2144" i="2"/>
  <c r="AK2144" i="2"/>
  <c r="AI2144" i="2"/>
  <c r="AB2144" i="2"/>
  <c r="AS2143" i="2"/>
  <c r="AR2143" i="2"/>
  <c r="AQ2143" i="2"/>
  <c r="AO2143" i="2"/>
  <c r="AP2143" i="2"/>
  <c r="AN2143" i="2"/>
  <c r="AM2143" i="2"/>
  <c r="AK2143" i="2"/>
  <c r="AI2143" i="2"/>
  <c r="AB2143" i="2"/>
  <c r="AS2142" i="2"/>
  <c r="AR2142" i="2"/>
  <c r="AQ2142" i="2"/>
  <c r="AO2142" i="2"/>
  <c r="AP2142" i="2"/>
  <c r="AN2142" i="2"/>
  <c r="AM2142" i="2"/>
  <c r="AK2142" i="2"/>
  <c r="AI2142" i="2"/>
  <c r="AB2142" i="2"/>
  <c r="AS2141" i="2"/>
  <c r="AR2141" i="2"/>
  <c r="AQ2141" i="2"/>
  <c r="AO2141" i="2"/>
  <c r="AP2141" i="2"/>
  <c r="AN2141" i="2"/>
  <c r="AM2141" i="2"/>
  <c r="AK2141" i="2"/>
  <c r="AI2141" i="2"/>
  <c r="AB2141" i="2"/>
  <c r="AS2140" i="2"/>
  <c r="AR2140" i="2"/>
  <c r="AQ2140" i="2"/>
  <c r="AO2140" i="2"/>
  <c r="AP2140" i="2"/>
  <c r="AN2140" i="2"/>
  <c r="AM2140" i="2"/>
  <c r="AK2140" i="2"/>
  <c r="AI2140" i="2"/>
  <c r="AB2140" i="2"/>
  <c r="AS2139" i="2"/>
  <c r="AR2139" i="2"/>
  <c r="AQ2139" i="2"/>
  <c r="AO2139" i="2"/>
  <c r="AP2139" i="2"/>
  <c r="AN2139" i="2"/>
  <c r="AM2139" i="2"/>
  <c r="AK2139" i="2"/>
  <c r="AI2139" i="2"/>
  <c r="AB2139" i="2"/>
  <c r="AS2138" i="2"/>
  <c r="AR2138" i="2"/>
  <c r="AQ2138" i="2"/>
  <c r="AO2138" i="2"/>
  <c r="AP2138" i="2"/>
  <c r="AN2138" i="2"/>
  <c r="AM2138" i="2"/>
  <c r="AK2138" i="2"/>
  <c r="AI2138" i="2"/>
  <c r="AB2138" i="2"/>
  <c r="AS2137" i="2"/>
  <c r="AR2137" i="2"/>
  <c r="AQ2137" i="2"/>
  <c r="AO2137" i="2"/>
  <c r="AP2137" i="2"/>
  <c r="AN2137" i="2"/>
  <c r="AM2137" i="2"/>
  <c r="AK2137" i="2"/>
  <c r="AI2137" i="2"/>
  <c r="AB2137" i="2"/>
  <c r="AS2136" i="2"/>
  <c r="AR2136" i="2"/>
  <c r="AQ2136" i="2"/>
  <c r="AO2136" i="2"/>
  <c r="AP2136" i="2"/>
  <c r="AN2136" i="2"/>
  <c r="AM2136" i="2"/>
  <c r="AK2136" i="2"/>
  <c r="AI2136" i="2"/>
  <c r="AB2136" i="2"/>
  <c r="AS2135" i="2"/>
  <c r="AR2135" i="2"/>
  <c r="AQ2135" i="2"/>
  <c r="AO2135" i="2"/>
  <c r="AP2135" i="2"/>
  <c r="AN2135" i="2"/>
  <c r="AM2135" i="2"/>
  <c r="AK2135" i="2"/>
  <c r="AI2135" i="2"/>
  <c r="AB2135" i="2"/>
  <c r="AS702" i="2"/>
  <c r="AR702" i="2"/>
  <c r="AQ702" i="2"/>
  <c r="AO702" i="2"/>
  <c r="AP702" i="2"/>
  <c r="AN702" i="2"/>
  <c r="AM702" i="2"/>
  <c r="AK702" i="2"/>
  <c r="AI702" i="2"/>
  <c r="AB702" i="2"/>
  <c r="AS2134" i="2"/>
  <c r="AR2134" i="2"/>
  <c r="AQ2134" i="2"/>
  <c r="AO2134" i="2"/>
  <c r="AP2134" i="2"/>
  <c r="AN2134" i="2"/>
  <c r="AM2134" i="2"/>
  <c r="AK2134" i="2"/>
  <c r="AI2134" i="2"/>
  <c r="AB2134" i="2"/>
  <c r="AS2133" i="2"/>
  <c r="AR2133" i="2"/>
  <c r="AQ2133" i="2"/>
  <c r="AO2133" i="2"/>
  <c r="AP2133" i="2"/>
  <c r="AN2133" i="2"/>
  <c r="AM2133" i="2"/>
  <c r="AK2133" i="2"/>
  <c r="AI2133" i="2"/>
  <c r="AB2133" i="2"/>
  <c r="AS2132" i="2"/>
  <c r="AR2132" i="2"/>
  <c r="AQ2132" i="2"/>
  <c r="AO2132" i="2"/>
  <c r="AP2132" i="2"/>
  <c r="AN2132" i="2"/>
  <c r="AM2132" i="2"/>
  <c r="AK2132" i="2"/>
  <c r="AI2132" i="2"/>
  <c r="AB2132" i="2"/>
  <c r="AS2131" i="2"/>
  <c r="AR2131" i="2"/>
  <c r="AQ2131" i="2"/>
  <c r="AO2131" i="2"/>
  <c r="AP2131" i="2"/>
  <c r="AN2131" i="2"/>
  <c r="AM2131" i="2"/>
  <c r="AK2131" i="2"/>
  <c r="AI2131" i="2"/>
  <c r="AB2131" i="2"/>
  <c r="AS2130" i="2"/>
  <c r="AR2130" i="2"/>
  <c r="AQ2130" i="2"/>
  <c r="AO2130" i="2"/>
  <c r="AP2130" i="2"/>
  <c r="AN2130" i="2"/>
  <c r="AM2130" i="2"/>
  <c r="AK2130" i="2"/>
  <c r="AI2130" i="2"/>
  <c r="AB2130" i="2"/>
  <c r="AS2129" i="2"/>
  <c r="AR2129" i="2"/>
  <c r="AQ2129" i="2"/>
  <c r="AO2129" i="2"/>
  <c r="AP2129" i="2"/>
  <c r="AN2129" i="2"/>
  <c r="AM2129" i="2"/>
  <c r="AK2129" i="2"/>
  <c r="AI2129" i="2"/>
  <c r="AB2129" i="2"/>
  <c r="AS1292" i="2"/>
  <c r="AR1292" i="2"/>
  <c r="AQ1292" i="2"/>
  <c r="AO1292" i="2"/>
  <c r="AP1292" i="2"/>
  <c r="AN1292" i="2"/>
  <c r="AM1292" i="2"/>
  <c r="AK1292" i="2"/>
  <c r="AI1292" i="2"/>
  <c r="AB1292" i="2"/>
  <c r="AS248" i="2"/>
  <c r="AR248" i="2"/>
  <c r="AQ248" i="2"/>
  <c r="AO248" i="2"/>
  <c r="AP248" i="2"/>
  <c r="AN248" i="2"/>
  <c r="AM248" i="2"/>
  <c r="AK248" i="2"/>
  <c r="AI248" i="2"/>
  <c r="AB248" i="2"/>
  <c r="AS797" i="2"/>
  <c r="AR797" i="2"/>
  <c r="AQ797" i="2"/>
  <c r="AO797" i="2"/>
  <c r="AP797" i="2"/>
  <c r="AN797" i="2"/>
  <c r="AM797" i="2"/>
  <c r="AK797" i="2"/>
  <c r="AI797" i="2"/>
  <c r="AB797" i="2"/>
  <c r="AS706" i="2"/>
  <c r="AR706" i="2"/>
  <c r="AQ706" i="2"/>
  <c r="AO706" i="2"/>
  <c r="AP706" i="2"/>
  <c r="AN706" i="2"/>
  <c r="AM706" i="2"/>
  <c r="AK706" i="2"/>
  <c r="AI706" i="2"/>
  <c r="AB706" i="2"/>
  <c r="AS636" i="2"/>
  <c r="AR636" i="2"/>
  <c r="AQ636" i="2"/>
  <c r="AO636" i="2"/>
  <c r="AP636" i="2"/>
  <c r="AN636" i="2"/>
  <c r="AM636" i="2"/>
  <c r="AK636" i="2"/>
  <c r="AI636" i="2"/>
  <c r="AB636" i="2"/>
  <c r="AS1397" i="2"/>
  <c r="AR1397" i="2"/>
  <c r="AQ1397" i="2"/>
  <c r="AO1397" i="2"/>
  <c r="AP1397" i="2"/>
  <c r="AN1397" i="2"/>
  <c r="AM1397" i="2"/>
  <c r="AK1397" i="2"/>
  <c r="AI1397" i="2"/>
  <c r="AB1397" i="2"/>
  <c r="AS1447" i="2"/>
  <c r="AR1447" i="2"/>
  <c r="AQ1447" i="2"/>
  <c r="AO1447" i="2"/>
  <c r="AP1447" i="2"/>
  <c r="AN1447" i="2"/>
  <c r="AM1447" i="2"/>
  <c r="AK1447" i="2"/>
  <c r="AI1447" i="2"/>
  <c r="AB1447" i="2"/>
  <c r="AS386" i="2"/>
  <c r="AR386" i="2"/>
  <c r="AQ386" i="2"/>
  <c r="AO386" i="2"/>
  <c r="AP386" i="2"/>
  <c r="AN386" i="2"/>
  <c r="AM386" i="2"/>
  <c r="AK386" i="2"/>
  <c r="AI386" i="2"/>
  <c r="AB386" i="2"/>
  <c r="AS365" i="2"/>
  <c r="AR365" i="2"/>
  <c r="AQ365" i="2"/>
  <c r="AO365" i="2"/>
  <c r="AP365" i="2"/>
  <c r="AN365" i="2"/>
  <c r="AM365" i="2"/>
  <c r="AK365" i="2"/>
  <c r="AI365" i="2"/>
  <c r="AB365" i="2"/>
  <c r="V2128" i="2"/>
  <c r="V18" i="2"/>
  <c r="V2127" i="2"/>
  <c r="V122" i="2"/>
  <c r="V2126" i="2"/>
  <c r="V2125" i="2"/>
  <c r="V8" i="2"/>
  <c r="V2124" i="2"/>
  <c r="V2123" i="2"/>
  <c r="V71" i="2"/>
  <c r="V30" i="2"/>
  <c r="V2122" i="2"/>
  <c r="V2121" i="2"/>
  <c r="V53" i="2"/>
  <c r="V2120" i="2"/>
  <c r="V103" i="2"/>
  <c r="V60" i="2"/>
  <c r="V2119" i="2"/>
  <c r="V2118" i="2"/>
  <c r="V33" i="2"/>
  <c r="V19" i="2"/>
  <c r="V1592" i="2"/>
  <c r="V1591" i="2"/>
  <c r="V2117" i="2"/>
  <c r="V2116" i="2"/>
  <c r="V2115" i="2"/>
  <c r="V2114" i="2"/>
  <c r="V2113" i="2"/>
  <c r="V2112" i="2"/>
  <c r="V2111" i="2"/>
  <c r="V2110" i="2"/>
  <c r="V2109" i="2"/>
  <c r="V2108" i="2"/>
  <c r="V2107" i="2"/>
  <c r="V2106" i="2"/>
  <c r="V2105" i="2"/>
  <c r="V2104" i="2"/>
  <c r="V2103" i="2"/>
  <c r="V2102" i="2"/>
  <c r="V2101" i="2"/>
  <c r="V2100" i="2"/>
  <c r="V2099" i="2"/>
  <c r="V2098" i="2"/>
  <c r="V2097" i="2"/>
  <c r="V2096" i="2"/>
  <c r="V2095" i="2"/>
  <c r="V10" i="2"/>
  <c r="V1566" i="2"/>
  <c r="V1565" i="2"/>
  <c r="V2094" i="2"/>
  <c r="V2093" i="2"/>
  <c r="V2092" i="2"/>
  <c r="V2091" i="2"/>
  <c r="V2090" i="2"/>
  <c r="V2089" i="2"/>
  <c r="V2088" i="2"/>
  <c r="V2087" i="2"/>
  <c r="V2086" i="2"/>
  <c r="V2085" i="2"/>
  <c r="V2084" i="2"/>
  <c r="V2083" i="2"/>
  <c r="AR1822" i="2"/>
  <c r="AQ1822" i="2"/>
  <c r="AO1822" i="2"/>
  <c r="AP1822" i="2"/>
  <c r="AB1822" i="2"/>
  <c r="AR957" i="2"/>
  <c r="AQ957" i="2"/>
  <c r="AO957" i="2"/>
  <c r="AP957" i="2"/>
  <c r="AB957" i="2"/>
  <c r="AR1390" i="2"/>
  <c r="AQ1390" i="2"/>
  <c r="AO1390" i="2"/>
  <c r="AP1390" i="2"/>
  <c r="AB1390" i="2"/>
  <c r="AR1322" i="2"/>
  <c r="AQ1322" i="2"/>
  <c r="AO1322" i="2"/>
  <c r="AP1322" i="2"/>
  <c r="AB1322" i="2"/>
  <c r="AR1534" i="2"/>
  <c r="AQ1534" i="2"/>
  <c r="AO1534" i="2"/>
  <c r="AP1534" i="2"/>
  <c r="AB1534" i="2"/>
  <c r="AR324" i="2"/>
  <c r="AQ324" i="2"/>
  <c r="AO324" i="2"/>
  <c r="AP324" i="2"/>
  <c r="AB324" i="2"/>
  <c r="AR1779" i="2"/>
  <c r="AQ1779" i="2"/>
  <c r="AO1779" i="2"/>
  <c r="AP1779" i="2"/>
  <c r="AB1779" i="2"/>
  <c r="AR1671" i="2"/>
  <c r="AQ1671" i="2"/>
  <c r="AO1671" i="2"/>
  <c r="AP1671" i="2"/>
  <c r="AM1671" i="2"/>
  <c r="AK1671" i="2"/>
  <c r="AI1671" i="2"/>
  <c r="AB1671" i="2"/>
  <c r="AS852" i="2"/>
  <c r="AR852" i="2"/>
  <c r="AO852" i="2"/>
  <c r="AP852" i="2"/>
  <c r="AM852" i="2"/>
  <c r="AK852" i="2"/>
  <c r="AI852" i="2"/>
  <c r="AS308" i="2"/>
  <c r="AR308" i="2"/>
  <c r="AO308" i="2"/>
  <c r="AP308" i="2"/>
  <c r="AM308" i="2"/>
  <c r="AK308" i="2"/>
  <c r="AI308" i="2"/>
  <c r="AS299" i="2"/>
  <c r="AR299" i="2"/>
  <c r="AO299" i="2"/>
  <c r="AP299" i="2"/>
  <c r="AM299" i="2"/>
  <c r="AK299" i="2"/>
  <c r="AI299" i="2"/>
  <c r="AS568" i="2"/>
  <c r="AR568" i="2"/>
  <c r="AO568" i="2"/>
  <c r="AP568" i="2"/>
  <c r="AM568" i="2"/>
  <c r="AK568" i="2"/>
  <c r="AI568" i="2"/>
  <c r="AS410" i="2"/>
  <c r="AR410" i="2"/>
  <c r="AO410" i="2"/>
  <c r="AP410" i="2"/>
  <c r="AM410" i="2"/>
  <c r="AK410" i="2"/>
  <c r="AI410" i="2"/>
  <c r="AS218" i="2"/>
  <c r="AR218" i="2"/>
  <c r="AO218" i="2"/>
  <c r="AP218" i="2"/>
  <c r="AM218" i="2"/>
  <c r="AK218" i="2"/>
  <c r="AI218" i="2"/>
  <c r="AS698" i="2"/>
  <c r="AR698" i="2"/>
  <c r="AO698" i="2"/>
  <c r="AP698" i="2"/>
  <c r="AM698" i="2"/>
  <c r="AK698" i="2"/>
  <c r="AI698" i="2"/>
  <c r="AS513" i="2"/>
  <c r="AR513" i="2"/>
  <c r="AO513" i="2"/>
  <c r="AP513" i="2"/>
  <c r="AM513" i="2"/>
  <c r="AK513" i="2"/>
  <c r="AI513" i="2"/>
  <c r="AS1746" i="2"/>
  <c r="AR1746" i="2"/>
  <c r="AO1746" i="2"/>
  <c r="AP1746" i="2"/>
  <c r="AM1746" i="2"/>
  <c r="AK1746" i="2"/>
  <c r="AI1746" i="2"/>
  <c r="AS85" i="2"/>
  <c r="AR85" i="2"/>
  <c r="AO85" i="2"/>
  <c r="AP85" i="2"/>
  <c r="AM85" i="2"/>
  <c r="AK85" i="2"/>
  <c r="AI85" i="2"/>
  <c r="AS194" i="2"/>
  <c r="AR194" i="2"/>
  <c r="AO194" i="2"/>
  <c r="AP194" i="2"/>
  <c r="AM194" i="2"/>
  <c r="AK194" i="2"/>
  <c r="AI194" i="2"/>
  <c r="AS746" i="2"/>
  <c r="AR746" i="2"/>
  <c r="AO746" i="2"/>
  <c r="AP746" i="2"/>
  <c r="AM746" i="2"/>
  <c r="AK746" i="2"/>
  <c r="AI746" i="2"/>
  <c r="AS877" i="2"/>
  <c r="AR877" i="2"/>
  <c r="AO877" i="2"/>
  <c r="AP877" i="2"/>
  <c r="AM877" i="2"/>
  <c r="AK877" i="2"/>
  <c r="AI877" i="2"/>
  <c r="AS2082" i="2"/>
  <c r="AR2082" i="2"/>
  <c r="AO2082" i="2"/>
  <c r="AP2082" i="2"/>
  <c r="AM2082" i="2"/>
  <c r="AK2082" i="2"/>
  <c r="AI2082" i="2"/>
  <c r="AW2081" i="2"/>
  <c r="BA2081" i="2"/>
  <c r="AV2081" i="2"/>
  <c r="AZ2081" i="2"/>
  <c r="AX2081" i="2"/>
  <c r="BB2081" i="2"/>
  <c r="AS2081" i="2"/>
  <c r="AR2081" i="2"/>
  <c r="AQ2081" i="2"/>
  <c r="AO2081" i="2"/>
  <c r="AP2081" i="2"/>
  <c r="AM2081" i="2"/>
  <c r="AK2081" i="2"/>
  <c r="AI2081" i="2"/>
  <c r="AX2080" i="2"/>
  <c r="BB2080" i="2"/>
  <c r="AV2080" i="2"/>
  <c r="AZ2080" i="2"/>
  <c r="AW2080" i="2"/>
  <c r="BA2080" i="2"/>
  <c r="AS2080" i="2"/>
  <c r="AR2080" i="2"/>
  <c r="AQ2080" i="2"/>
  <c r="AO2080" i="2"/>
  <c r="AP2080" i="2"/>
  <c r="AK2080" i="2"/>
  <c r="AX2079" i="2"/>
  <c r="BB2079" i="2"/>
  <c r="AV2079" i="2"/>
  <c r="AZ2079" i="2"/>
  <c r="AW2079" i="2"/>
  <c r="BA2079" i="2"/>
  <c r="AS2079" i="2"/>
  <c r="AR2079" i="2"/>
  <c r="AQ2079" i="2"/>
  <c r="AO2079" i="2"/>
  <c r="AP2079" i="2"/>
  <c r="AM2079" i="2"/>
  <c r="AK2079" i="2"/>
  <c r="AI2079" i="2"/>
  <c r="AX2078" i="2"/>
  <c r="BB2078" i="2"/>
  <c r="AW2078" i="2"/>
  <c r="BA2078" i="2"/>
  <c r="AV2078" i="2"/>
  <c r="AZ2078" i="2"/>
  <c r="AS2078" i="2"/>
  <c r="AR2078" i="2"/>
  <c r="AQ2078" i="2"/>
  <c r="AO2078" i="2"/>
  <c r="AP2078" i="2"/>
  <c r="AM2078" i="2"/>
  <c r="AK2078" i="2"/>
  <c r="AI2078" i="2"/>
  <c r="AX1813" i="2"/>
  <c r="BB1813" i="2"/>
  <c r="AW1813" i="2"/>
  <c r="BA1813" i="2"/>
  <c r="AV1813" i="2"/>
  <c r="AZ1813" i="2"/>
  <c r="AS1813" i="2"/>
  <c r="AR1813" i="2"/>
  <c r="AQ1813" i="2"/>
  <c r="AO1813" i="2"/>
  <c r="AP1813" i="2"/>
  <c r="AM1813" i="2"/>
  <c r="AK1813" i="2"/>
  <c r="AI1813" i="2"/>
  <c r="AW1892" i="2"/>
  <c r="BA1892" i="2"/>
  <c r="AV1892" i="2"/>
  <c r="AZ1892" i="2"/>
  <c r="AX1892" i="2"/>
  <c r="BB1892" i="2"/>
  <c r="AS1892" i="2"/>
  <c r="AR1892" i="2"/>
  <c r="AQ1892" i="2"/>
  <c r="AO1892" i="2"/>
  <c r="AP1892" i="2"/>
  <c r="AM1892" i="2"/>
  <c r="AK1892" i="2"/>
  <c r="AI1892" i="2"/>
  <c r="AX1264" i="2"/>
  <c r="BB1264" i="2"/>
  <c r="AV1264" i="2"/>
  <c r="AZ1264" i="2"/>
  <c r="AW1264" i="2"/>
  <c r="BA1264" i="2"/>
  <c r="AS1264" i="2"/>
  <c r="AR1264" i="2"/>
  <c r="AQ1264" i="2"/>
  <c r="AO1264" i="2"/>
  <c r="AP1264" i="2"/>
  <c r="AM1264" i="2"/>
  <c r="AK1264" i="2"/>
  <c r="AI1264" i="2"/>
  <c r="AX934" i="2"/>
  <c r="BB934" i="2"/>
  <c r="AW934" i="2"/>
  <c r="BA934" i="2"/>
  <c r="AV934" i="2"/>
  <c r="AZ934" i="2"/>
  <c r="AQ934" i="2"/>
  <c r="AO934" i="2"/>
  <c r="AP934" i="2"/>
  <c r="AM934" i="2"/>
  <c r="AK934" i="2"/>
  <c r="AI934" i="2"/>
  <c r="AX1347" i="2"/>
  <c r="BB1347" i="2"/>
  <c r="AV1347" i="2"/>
  <c r="AZ1347" i="2"/>
  <c r="AW1347" i="2"/>
  <c r="BA1347" i="2"/>
  <c r="AS1347" i="2"/>
  <c r="AR1347" i="2"/>
  <c r="AQ1347" i="2"/>
  <c r="AO1347" i="2"/>
  <c r="AP1347" i="2"/>
  <c r="AM1347" i="2"/>
  <c r="AK1347" i="2"/>
  <c r="AI1347" i="2"/>
  <c r="AX392" i="2"/>
  <c r="BB392" i="2"/>
  <c r="AW392" i="2"/>
  <c r="BA392" i="2"/>
  <c r="AV392" i="2"/>
  <c r="AZ392" i="2"/>
  <c r="AS392" i="2"/>
  <c r="AR392" i="2"/>
  <c r="AQ392" i="2"/>
  <c r="AO392" i="2"/>
  <c r="AP392" i="2"/>
  <c r="AM392" i="2"/>
  <c r="AK392" i="2"/>
  <c r="AI392" i="2"/>
  <c r="AX1388" i="2"/>
  <c r="BB1388" i="2"/>
  <c r="AW1388" i="2"/>
  <c r="BA1388" i="2"/>
  <c r="AV1388" i="2"/>
  <c r="AZ1388" i="2"/>
  <c r="AS1388" i="2"/>
  <c r="AR1388" i="2"/>
  <c r="AQ1388" i="2"/>
  <c r="AO1388" i="2"/>
  <c r="AP1388" i="2"/>
  <c r="AM1388" i="2"/>
  <c r="AK1388" i="2"/>
  <c r="AI1388" i="2"/>
  <c r="AW1093" i="2"/>
  <c r="BA1093" i="2"/>
  <c r="AV1093" i="2"/>
  <c r="AZ1093" i="2"/>
  <c r="AX1093" i="2"/>
  <c r="BB1093" i="2"/>
  <c r="AS1093" i="2"/>
  <c r="AR1093" i="2"/>
  <c r="AQ1093" i="2"/>
  <c r="AO1093" i="2"/>
  <c r="AP1093" i="2"/>
  <c r="AM1093" i="2"/>
  <c r="AK1093" i="2"/>
  <c r="AI1093" i="2"/>
  <c r="AX822" i="2"/>
  <c r="BB822" i="2"/>
  <c r="AV822" i="2"/>
  <c r="AZ822" i="2"/>
  <c r="AW822" i="2"/>
  <c r="BA822" i="2"/>
  <c r="AS822" i="2"/>
  <c r="AR822" i="2"/>
  <c r="AQ822" i="2"/>
  <c r="AO822" i="2"/>
  <c r="AP822" i="2"/>
  <c r="AM822" i="2"/>
  <c r="AK822" i="2"/>
  <c r="AI822" i="2"/>
  <c r="AX659" i="2"/>
  <c r="BB659" i="2"/>
  <c r="AW659" i="2"/>
  <c r="BA659" i="2"/>
  <c r="AV659" i="2"/>
  <c r="AZ659" i="2"/>
  <c r="AS659" i="2"/>
  <c r="AR659" i="2"/>
  <c r="AQ659" i="2"/>
  <c r="AO659" i="2"/>
  <c r="AP659" i="2"/>
  <c r="AM659" i="2"/>
  <c r="AK659" i="2"/>
  <c r="AI659" i="2"/>
  <c r="AX2077" i="2"/>
  <c r="BB2077" i="2"/>
  <c r="AW2077" i="2"/>
  <c r="BA2077" i="2"/>
  <c r="AV2077" i="2"/>
  <c r="AZ2077" i="2"/>
  <c r="AS2077" i="2"/>
  <c r="AR2077" i="2"/>
  <c r="AQ2077" i="2"/>
  <c r="AO2077" i="2"/>
  <c r="AP2077" i="2"/>
  <c r="AM2077" i="2"/>
  <c r="AK2077" i="2"/>
  <c r="AI2077" i="2"/>
  <c r="AW1151" i="2"/>
  <c r="BA1151" i="2"/>
  <c r="AV1151" i="2"/>
  <c r="AZ1151" i="2"/>
  <c r="AX1151" i="2"/>
  <c r="BB1151" i="2"/>
  <c r="AQ1151" i="2"/>
  <c r="AO1151" i="2"/>
  <c r="AP1151" i="2"/>
  <c r="AM1151" i="2"/>
  <c r="AK1151" i="2"/>
  <c r="AI1151" i="2"/>
  <c r="AX1313" i="2"/>
  <c r="BB1313" i="2"/>
  <c r="AW1313" i="2"/>
  <c r="BA1313" i="2"/>
  <c r="AV1313" i="2"/>
  <c r="AZ1313" i="2"/>
  <c r="AS1313" i="2"/>
  <c r="AR1313" i="2"/>
  <c r="AQ1313" i="2"/>
  <c r="AO1313" i="2"/>
  <c r="AP1313" i="2"/>
  <c r="AM1313" i="2"/>
  <c r="AK1313" i="2"/>
  <c r="AI1313" i="2"/>
  <c r="AW487" i="2"/>
  <c r="BA487" i="2"/>
  <c r="AV487" i="2"/>
  <c r="AZ487" i="2"/>
  <c r="AX487" i="2"/>
  <c r="BB487" i="2"/>
  <c r="AQ487" i="2"/>
  <c r="AO487" i="2"/>
  <c r="AP487" i="2"/>
  <c r="AM487" i="2"/>
  <c r="AK487" i="2"/>
  <c r="AI487" i="2"/>
  <c r="AX1852" i="2"/>
  <c r="BB1852" i="2"/>
  <c r="AW1852" i="2"/>
  <c r="BA1852" i="2"/>
  <c r="AV1852" i="2"/>
  <c r="AZ1852" i="2"/>
  <c r="AS1852" i="2"/>
  <c r="AR1852" i="2"/>
  <c r="AQ1852" i="2"/>
  <c r="AO1852" i="2"/>
  <c r="AP1852" i="2"/>
  <c r="AM1852" i="2"/>
  <c r="AK1852" i="2"/>
  <c r="AI1852" i="2"/>
  <c r="AW2076" i="2"/>
  <c r="BA2076" i="2"/>
  <c r="AV2076" i="2"/>
  <c r="AZ2076" i="2"/>
  <c r="AX2076" i="2"/>
  <c r="BB2076" i="2"/>
  <c r="AS2076" i="2"/>
  <c r="AR2076" i="2"/>
  <c r="AQ2076" i="2"/>
  <c r="AO2076" i="2"/>
  <c r="AP2076" i="2"/>
  <c r="AM2076" i="2"/>
  <c r="AK2076" i="2"/>
  <c r="AI2076" i="2"/>
  <c r="AX202" i="2"/>
  <c r="BB202" i="2"/>
  <c r="AV202" i="2"/>
  <c r="AZ202" i="2"/>
  <c r="AW202" i="2"/>
  <c r="BA202" i="2"/>
  <c r="AS202" i="2"/>
  <c r="AR202" i="2"/>
  <c r="AQ202" i="2"/>
  <c r="AO202" i="2"/>
  <c r="AP202" i="2"/>
  <c r="AM202" i="2"/>
  <c r="AK202" i="2"/>
  <c r="AI202" i="2"/>
  <c r="AX1393" i="2"/>
  <c r="BB1393" i="2"/>
  <c r="AW1393" i="2"/>
  <c r="BA1393" i="2"/>
  <c r="AV1393" i="2"/>
  <c r="AZ1393" i="2"/>
  <c r="AQ1393" i="2"/>
  <c r="AO1393" i="2"/>
  <c r="AP1393" i="2"/>
  <c r="AM1393" i="2"/>
  <c r="AK1393" i="2"/>
  <c r="AI1393" i="2"/>
  <c r="AX780" i="2"/>
  <c r="BB780" i="2"/>
  <c r="AV780" i="2"/>
  <c r="AZ780" i="2"/>
  <c r="AW780" i="2"/>
  <c r="BA780" i="2"/>
  <c r="AQ780" i="2"/>
  <c r="AO780" i="2"/>
  <c r="AP780" i="2"/>
  <c r="AM780" i="2"/>
  <c r="AK780" i="2"/>
  <c r="AI780" i="2"/>
  <c r="AW2075" i="2"/>
  <c r="BA2075" i="2"/>
  <c r="AV2075" i="2"/>
  <c r="AZ2075" i="2"/>
  <c r="AX2075" i="2"/>
  <c r="BB2075" i="2"/>
  <c r="AS2075" i="2"/>
  <c r="AR2075" i="2"/>
  <c r="AQ2075" i="2"/>
  <c r="AO2075" i="2"/>
  <c r="AP2075" i="2"/>
  <c r="AM2075" i="2"/>
  <c r="AK2075" i="2"/>
  <c r="AI2075" i="2"/>
  <c r="AX2074" i="2"/>
  <c r="BB2074" i="2"/>
  <c r="AV2074" i="2"/>
  <c r="AZ2074" i="2"/>
  <c r="AW2074" i="2"/>
  <c r="BA2074" i="2"/>
  <c r="AS2074" i="2"/>
  <c r="AR2074" i="2"/>
  <c r="AQ2074" i="2"/>
  <c r="AO2074" i="2"/>
  <c r="AP2074" i="2"/>
  <c r="AM2074" i="2"/>
  <c r="AK2074" i="2"/>
  <c r="AI2074" i="2"/>
  <c r="AX1716" i="2"/>
  <c r="BB1716" i="2"/>
  <c r="AW1716" i="2"/>
  <c r="BA1716" i="2"/>
  <c r="AV1716" i="2"/>
  <c r="AZ1716" i="2"/>
  <c r="AS1716" i="2"/>
  <c r="AR1716" i="2"/>
  <c r="AQ1716" i="2"/>
  <c r="AO1716" i="2"/>
  <c r="AP1716" i="2"/>
  <c r="AM1716" i="2"/>
  <c r="AK1716" i="2"/>
  <c r="AI1716" i="2"/>
  <c r="AX1370" i="2"/>
  <c r="BB1370" i="2"/>
  <c r="AW1370" i="2"/>
  <c r="BA1370" i="2"/>
  <c r="AV1370" i="2"/>
  <c r="AZ1370" i="2"/>
  <c r="AS1370" i="2"/>
  <c r="AR1370" i="2"/>
  <c r="AQ1370" i="2"/>
  <c r="AO1370" i="2"/>
  <c r="AP1370" i="2"/>
  <c r="AM1370" i="2"/>
  <c r="AK1370" i="2"/>
  <c r="AI1370" i="2"/>
  <c r="AW169" i="2"/>
  <c r="BA169" i="2"/>
  <c r="AV169" i="2"/>
  <c r="AZ169" i="2"/>
  <c r="AX169" i="2"/>
  <c r="BB169" i="2"/>
  <c r="AS169" i="2"/>
  <c r="AR169" i="2"/>
  <c r="AQ169" i="2"/>
  <c r="AO169" i="2"/>
  <c r="AP169" i="2"/>
  <c r="AM169" i="2"/>
  <c r="AK169" i="2"/>
  <c r="AI169" i="2"/>
  <c r="AX303" i="2"/>
  <c r="BB303" i="2"/>
  <c r="AV303" i="2"/>
  <c r="AZ303" i="2"/>
  <c r="AW303" i="2"/>
  <c r="BA303" i="2"/>
  <c r="AS303" i="2"/>
  <c r="AR303" i="2"/>
  <c r="AQ303" i="2"/>
  <c r="AO303" i="2"/>
  <c r="AP303" i="2"/>
  <c r="AM303" i="2"/>
  <c r="AK303" i="2"/>
  <c r="AI303" i="2"/>
  <c r="AX1382" i="2"/>
  <c r="BB1382" i="2"/>
  <c r="AW1382" i="2"/>
  <c r="BA1382" i="2"/>
  <c r="AV1382" i="2"/>
  <c r="AZ1382" i="2"/>
  <c r="AS1382" i="2"/>
  <c r="AR1382" i="2"/>
  <c r="AQ1382" i="2"/>
  <c r="AO1382" i="2"/>
  <c r="AP1382" i="2"/>
  <c r="AM1382" i="2"/>
  <c r="AK1382" i="2"/>
  <c r="AI1382" i="2"/>
  <c r="AX906" i="2"/>
  <c r="BB906" i="2"/>
  <c r="AW906" i="2"/>
  <c r="BA906" i="2"/>
  <c r="AV906" i="2"/>
  <c r="AZ906" i="2"/>
  <c r="AS906" i="2"/>
  <c r="AR906" i="2"/>
  <c r="AQ906" i="2"/>
  <c r="AO906" i="2"/>
  <c r="AP906" i="2"/>
  <c r="AM906" i="2"/>
  <c r="AK906" i="2"/>
  <c r="AI906" i="2"/>
  <c r="AS159" i="2"/>
  <c r="AR159" i="2"/>
  <c r="AO159" i="2"/>
  <c r="AP159" i="2"/>
  <c r="AM159" i="2"/>
  <c r="AK159" i="2"/>
  <c r="AI159" i="2"/>
  <c r="AB159" i="2"/>
  <c r="AS449" i="2"/>
  <c r="AR449" i="2"/>
  <c r="AO449" i="2"/>
  <c r="AP449" i="2"/>
  <c r="AM449" i="2"/>
  <c r="AK449" i="2"/>
  <c r="AI449" i="2"/>
  <c r="AB449" i="2"/>
  <c r="AS1586" i="2"/>
  <c r="AR1586" i="2"/>
  <c r="AO1586" i="2"/>
  <c r="AP1586" i="2"/>
  <c r="AM1586" i="2"/>
  <c r="AK1586" i="2"/>
  <c r="AI1586" i="2"/>
  <c r="AB1586" i="2"/>
  <c r="AS1766" i="2"/>
  <c r="AR1766" i="2"/>
  <c r="AO1766" i="2"/>
  <c r="AP1766" i="2"/>
  <c r="AM1766" i="2"/>
  <c r="AK1766" i="2"/>
  <c r="AI1766" i="2"/>
  <c r="AB1766" i="2"/>
  <c r="AS839" i="2"/>
  <c r="AR839" i="2"/>
  <c r="AO839" i="2"/>
  <c r="AP839" i="2"/>
  <c r="AM839" i="2"/>
  <c r="AK839" i="2"/>
  <c r="AI839" i="2"/>
  <c r="AB839" i="2"/>
  <c r="AO1494" i="2"/>
  <c r="AP1494" i="2"/>
  <c r="AM1494" i="2"/>
  <c r="AK1494" i="2"/>
  <c r="AI1494" i="2"/>
  <c r="AB1494" i="2"/>
  <c r="AO1484" i="2"/>
  <c r="AP1484" i="2"/>
  <c r="AM1484" i="2"/>
  <c r="AK1484" i="2"/>
  <c r="AI1484" i="2"/>
  <c r="AB1484" i="2"/>
  <c r="AO1547" i="2"/>
  <c r="AP1547" i="2"/>
  <c r="AM1547" i="2"/>
  <c r="AK1547" i="2"/>
  <c r="AI1547" i="2"/>
  <c r="AB1547" i="2"/>
  <c r="AO1356" i="2"/>
  <c r="AP1356" i="2"/>
  <c r="AM1356" i="2"/>
  <c r="AK1356" i="2"/>
  <c r="AI1356" i="2"/>
  <c r="AB1356" i="2"/>
  <c r="AO1149" i="2"/>
  <c r="AP1149" i="2"/>
  <c r="AM1149" i="2"/>
  <c r="AK1149" i="2"/>
  <c r="AI1149" i="2"/>
  <c r="AB1149" i="2"/>
  <c r="AO86" i="2"/>
  <c r="AP86" i="2"/>
  <c r="AM86" i="2"/>
  <c r="AK86" i="2"/>
  <c r="AI86" i="2"/>
  <c r="AB86" i="2"/>
  <c r="AO494" i="2"/>
  <c r="AP494" i="2"/>
  <c r="AM494" i="2"/>
  <c r="AK494" i="2"/>
  <c r="AI494" i="2"/>
  <c r="AB494" i="2"/>
  <c r="AO366" i="2"/>
  <c r="AP366" i="2"/>
  <c r="AM366" i="2"/>
  <c r="AK366" i="2"/>
  <c r="AI366" i="2"/>
  <c r="AB366" i="2"/>
  <c r="AO978" i="2"/>
  <c r="AP978" i="2"/>
  <c r="AM978" i="2"/>
  <c r="AK978" i="2"/>
  <c r="AI978" i="2"/>
  <c r="AB978" i="2"/>
  <c r="AO415" i="2"/>
  <c r="AP415" i="2"/>
  <c r="AM415" i="2"/>
  <c r="AK415" i="2"/>
  <c r="AI415" i="2"/>
  <c r="AB415" i="2"/>
  <c r="AO767" i="2"/>
  <c r="AP767" i="2"/>
  <c r="AM767" i="2"/>
  <c r="AK767" i="2"/>
  <c r="AI767" i="2"/>
  <c r="AB767" i="2"/>
  <c r="AO1175" i="2"/>
  <c r="AP1175" i="2"/>
  <c r="AM1175" i="2"/>
  <c r="AK1175" i="2"/>
  <c r="AI1175" i="2"/>
  <c r="AB1175" i="2"/>
  <c r="AO1279" i="2"/>
  <c r="AP1279" i="2"/>
  <c r="AM1279" i="2"/>
  <c r="AK1279" i="2"/>
  <c r="AI1279" i="2"/>
  <c r="AB1279" i="2"/>
  <c r="AO1006" i="2"/>
  <c r="AP1006" i="2"/>
  <c r="AM1006" i="2"/>
  <c r="AK1006" i="2"/>
  <c r="AI1006" i="2"/>
  <c r="AB1006" i="2"/>
  <c r="AO198" i="2"/>
  <c r="AP198" i="2"/>
  <c r="AM198" i="2"/>
  <c r="AK198" i="2"/>
  <c r="AI198" i="2"/>
  <c r="AB198" i="2"/>
  <c r="AO280" i="2"/>
  <c r="AP280" i="2"/>
  <c r="AM280" i="2"/>
  <c r="AK280" i="2"/>
  <c r="AI280" i="2"/>
  <c r="AB280" i="2"/>
  <c r="AO853" i="2"/>
  <c r="AP853" i="2"/>
  <c r="AM853" i="2"/>
  <c r="AK853" i="2"/>
  <c r="AI853" i="2"/>
  <c r="AB853" i="2"/>
  <c r="AO393" i="2"/>
  <c r="AP393" i="2"/>
  <c r="AM393" i="2"/>
  <c r="AK393" i="2"/>
  <c r="AI393" i="2"/>
  <c r="AB393" i="2"/>
  <c r="AS391" i="2"/>
  <c r="AR391" i="2"/>
  <c r="AO391" i="2"/>
  <c r="AP391" i="2"/>
  <c r="AM391" i="2"/>
  <c r="AK391" i="2"/>
  <c r="AI391" i="2"/>
  <c r="AB391" i="2"/>
  <c r="AO535" i="2"/>
  <c r="AP535" i="2"/>
  <c r="AM535" i="2"/>
  <c r="AK535" i="2"/>
  <c r="AI535" i="2"/>
  <c r="AB535" i="2"/>
  <c r="AO798" i="2"/>
  <c r="AP798" i="2"/>
  <c r="AM798" i="2"/>
  <c r="AK798" i="2"/>
  <c r="AI798" i="2"/>
  <c r="AO2073" i="2"/>
  <c r="AP2073" i="2"/>
  <c r="AM2073" i="2"/>
  <c r="AK2073" i="2"/>
  <c r="AI2073" i="2"/>
  <c r="AB2073" i="2"/>
  <c r="AO1387" i="2"/>
  <c r="AP1387" i="2"/>
  <c r="AM1387" i="2"/>
  <c r="AK1387" i="2"/>
  <c r="AI1387" i="2"/>
  <c r="AB1387" i="2"/>
  <c r="AS2072" i="2"/>
  <c r="AR2072" i="2"/>
  <c r="AO2072" i="2"/>
  <c r="AP2072" i="2"/>
  <c r="AM2072" i="2"/>
  <c r="AK2072" i="2"/>
  <c r="AI2072" i="2"/>
  <c r="AB2072" i="2"/>
  <c r="AM1233" i="2"/>
  <c r="AK1233" i="2"/>
  <c r="AI1233" i="2"/>
  <c r="AM1324" i="2"/>
  <c r="AK1324" i="2"/>
  <c r="AI1324" i="2"/>
  <c r="AM501" i="2"/>
  <c r="AK501" i="2"/>
  <c r="AI501" i="2"/>
  <c r="AM899" i="2"/>
  <c r="AK899" i="2"/>
  <c r="AI899" i="2"/>
  <c r="AM589" i="2"/>
  <c r="AK589" i="2"/>
  <c r="AI589" i="2"/>
  <c r="AM682" i="2"/>
  <c r="AK682" i="2"/>
  <c r="AI682" i="2"/>
  <c r="AM1303" i="2"/>
  <c r="AK1303" i="2"/>
  <c r="AI1303" i="2"/>
  <c r="AM1225" i="2"/>
  <c r="AK1225" i="2"/>
  <c r="AI1225" i="2"/>
  <c r="AM89" i="2"/>
  <c r="AK89" i="2"/>
  <c r="AI89" i="2"/>
  <c r="AM1113" i="2"/>
  <c r="AK1113" i="2"/>
  <c r="AI1113" i="2"/>
  <c r="AM439" i="2"/>
  <c r="AK439" i="2"/>
  <c r="AI439" i="2"/>
  <c r="AM826" i="2"/>
  <c r="AK826" i="2"/>
  <c r="AI826" i="2"/>
  <c r="AM642" i="2"/>
  <c r="AK642" i="2"/>
  <c r="AI642" i="2"/>
  <c r="AM1298" i="2"/>
  <c r="AK1298" i="2"/>
  <c r="AI1298" i="2"/>
  <c r="AM1372" i="2"/>
  <c r="AK1372" i="2"/>
  <c r="AI1372" i="2"/>
  <c r="AM259" i="2"/>
  <c r="AK259" i="2"/>
  <c r="AI259" i="2"/>
  <c r="AM938" i="2"/>
  <c r="AK938" i="2"/>
  <c r="AI938" i="2"/>
  <c r="AM1254" i="2"/>
  <c r="AK1254" i="2"/>
  <c r="AI1254" i="2"/>
  <c r="AM622" i="2"/>
  <c r="AK622" i="2"/>
  <c r="AI622" i="2"/>
  <c r="AM646" i="2"/>
  <c r="AK646" i="2"/>
  <c r="AI646" i="2"/>
  <c r="AM37" i="2"/>
  <c r="AK37" i="2"/>
  <c r="AI37" i="2"/>
  <c r="AM1188" i="2"/>
  <c r="AK1188" i="2"/>
  <c r="AI1188" i="2"/>
  <c r="AM1610" i="2"/>
  <c r="AK1610" i="2"/>
  <c r="AI1610" i="2"/>
  <c r="AM2071" i="2"/>
  <c r="AK2071" i="2"/>
  <c r="AI2071" i="2"/>
  <c r="AM1435" i="2"/>
  <c r="AK1435" i="2"/>
  <c r="AI1435" i="2"/>
  <c r="AM1352" i="2"/>
  <c r="AK1352" i="2"/>
  <c r="AI1352" i="2"/>
  <c r="AM1134" i="2"/>
  <c r="AK1134" i="2"/>
  <c r="AI1134" i="2"/>
  <c r="AM930" i="2"/>
  <c r="AK930" i="2"/>
  <c r="AI930" i="2"/>
  <c r="AM881" i="2"/>
  <c r="AK881" i="2"/>
  <c r="AI881" i="2"/>
  <c r="AM1089" i="2"/>
  <c r="AK1089" i="2"/>
  <c r="AI1089" i="2"/>
  <c r="AM885" i="2"/>
  <c r="AK885" i="2"/>
  <c r="AI885" i="2"/>
  <c r="AM1263" i="2"/>
  <c r="AK1263" i="2"/>
  <c r="AI1263" i="2"/>
  <c r="AM1764" i="2"/>
  <c r="AK1764" i="2"/>
  <c r="AI1764" i="2"/>
  <c r="AM1613" i="2"/>
  <c r="AK1613" i="2"/>
  <c r="AI1613" i="2"/>
  <c r="AM27" i="2"/>
  <c r="AK27" i="2"/>
  <c r="AI27" i="2"/>
  <c r="AM125" i="2"/>
  <c r="AK125" i="2"/>
  <c r="AI125" i="2"/>
  <c r="AM40" i="2"/>
  <c r="AK40" i="2"/>
  <c r="AI40" i="2"/>
  <c r="AM59" i="2"/>
  <c r="AK59" i="2"/>
  <c r="AI59" i="2"/>
  <c r="AM15" i="2"/>
  <c r="AK15" i="2"/>
  <c r="AI15" i="2"/>
  <c r="AM521" i="2"/>
  <c r="AK521" i="2"/>
  <c r="AI521" i="2"/>
  <c r="AM1629" i="2"/>
  <c r="AK1629" i="2"/>
  <c r="AI1629" i="2"/>
  <c r="AM1525" i="2"/>
  <c r="AK1525" i="2"/>
  <c r="AI1525" i="2"/>
  <c r="AM1365" i="2"/>
  <c r="AK1365" i="2"/>
  <c r="AI1365" i="2"/>
  <c r="AM142" i="2"/>
  <c r="AK142" i="2"/>
  <c r="AI142" i="2"/>
  <c r="AM648" i="2"/>
  <c r="AK648" i="2"/>
  <c r="AI648" i="2"/>
  <c r="AM314" i="2"/>
  <c r="AK314" i="2"/>
  <c r="AI314" i="2"/>
  <c r="AM2070" i="2"/>
  <c r="AK2070" i="2"/>
  <c r="AI2070" i="2"/>
  <c r="AM619" i="2"/>
  <c r="AK619" i="2"/>
  <c r="AI619" i="2"/>
  <c r="AM1759" i="2"/>
  <c r="AK1759" i="2"/>
  <c r="AI1759" i="2"/>
  <c r="AM671" i="2"/>
  <c r="AK671" i="2"/>
  <c r="AI671" i="2"/>
  <c r="AM421" i="2"/>
  <c r="AK421" i="2"/>
  <c r="AI421" i="2"/>
  <c r="AM616" i="2"/>
  <c r="AK616" i="2"/>
  <c r="AI616" i="2"/>
  <c r="AM728" i="2"/>
  <c r="AK728" i="2"/>
  <c r="AI728" i="2"/>
  <c r="Q728" i="2"/>
  <c r="AM70" i="2"/>
  <c r="AK70" i="2"/>
  <c r="AI70" i="2"/>
  <c r="P70" i="2"/>
  <c r="AM257" i="2"/>
  <c r="AK257" i="2"/>
  <c r="AI257" i="2"/>
  <c r="O257" i="2"/>
  <c r="AM820" i="2"/>
  <c r="AK820" i="2"/>
  <c r="AI820" i="2"/>
  <c r="W820" i="2"/>
  <c r="V820" i="2"/>
  <c r="U820" i="2"/>
  <c r="T820" i="2"/>
  <c r="Q820" i="2"/>
  <c r="P820" i="2"/>
  <c r="O820" i="2"/>
  <c r="N820" i="2"/>
  <c r="AM731" i="2"/>
  <c r="AK731" i="2"/>
  <c r="AI731" i="2"/>
  <c r="AM828" i="2"/>
  <c r="AK828" i="2"/>
  <c r="AI828" i="2"/>
  <c r="AM2069" i="2"/>
  <c r="AK2069" i="2"/>
  <c r="AI2069" i="2"/>
  <c r="AM305" i="2"/>
  <c r="AK305" i="2"/>
  <c r="AI305" i="2"/>
  <c r="AM13" i="2"/>
  <c r="AK13" i="2"/>
  <c r="AI13" i="2"/>
  <c r="AM2068" i="2"/>
  <c r="AK2068" i="2"/>
  <c r="AI2068" i="2"/>
  <c r="AM1250" i="2"/>
  <c r="AK1250" i="2"/>
  <c r="AI1250" i="2"/>
  <c r="AM869" i="2"/>
  <c r="AK869" i="2"/>
  <c r="AI869" i="2"/>
  <c r="AM1331" i="2"/>
  <c r="AK1331" i="2"/>
  <c r="AI1331" i="2"/>
  <c r="AM841" i="2"/>
  <c r="AK841" i="2"/>
  <c r="AI841" i="2"/>
  <c r="AR139" i="2"/>
  <c r="AV139" i="2"/>
  <c r="AQ139" i="2"/>
  <c r="AU139" i="2"/>
  <c r="AP139" i="2"/>
  <c r="AT139" i="2"/>
  <c r="AQ52" i="2"/>
  <c r="AU52" i="2"/>
  <c r="AR52" i="2"/>
  <c r="AV52" i="2"/>
  <c r="AP52" i="2"/>
  <c r="AT52" i="2"/>
  <c r="AR860" i="2"/>
  <c r="AV860" i="2"/>
  <c r="AQ860" i="2"/>
  <c r="AU860" i="2"/>
  <c r="AP860" i="2"/>
  <c r="AT860" i="2"/>
  <c r="AQ480" i="2"/>
  <c r="AU480" i="2"/>
  <c r="AR480" i="2"/>
  <c r="AV480" i="2"/>
  <c r="AP480" i="2"/>
  <c r="AT480" i="2"/>
  <c r="AR190" i="2"/>
  <c r="AV190" i="2"/>
  <c r="AQ190" i="2"/>
  <c r="AU190" i="2"/>
  <c r="AP190" i="2"/>
  <c r="AT190" i="2"/>
  <c r="AQ506" i="2"/>
  <c r="AU506" i="2"/>
  <c r="AR506" i="2"/>
  <c r="AV506" i="2"/>
  <c r="AP506" i="2"/>
  <c r="AT506" i="2"/>
  <c r="AR564" i="2"/>
  <c r="AV564" i="2"/>
  <c r="AQ564" i="2"/>
  <c r="AU564" i="2"/>
  <c r="AP564" i="2"/>
  <c r="AT564" i="2"/>
  <c r="AQ557" i="2"/>
  <c r="AU557" i="2"/>
  <c r="AR557" i="2"/>
  <c r="AV557" i="2"/>
  <c r="AP557" i="2"/>
  <c r="AT557" i="2"/>
  <c r="AR803" i="2"/>
  <c r="AV803" i="2"/>
  <c r="AQ803" i="2"/>
  <c r="AU803" i="2"/>
  <c r="AP803" i="2"/>
  <c r="AT803" i="2"/>
  <c r="AQ97" i="2"/>
  <c r="AU97" i="2"/>
  <c r="AR97" i="2"/>
  <c r="AV97" i="2"/>
  <c r="AP97" i="2"/>
  <c r="AT97" i="2"/>
  <c r="AR309" i="2"/>
  <c r="AV309" i="2"/>
  <c r="AQ309" i="2"/>
  <c r="AU309" i="2"/>
  <c r="AP309" i="2"/>
  <c r="AT309" i="2"/>
  <c r="AQ239" i="2"/>
  <c r="AU239" i="2"/>
  <c r="AR239" i="2"/>
  <c r="AV239" i="2"/>
  <c r="AP239" i="2"/>
  <c r="AT239" i="2"/>
  <c r="AR572" i="2"/>
  <c r="AV572" i="2"/>
  <c r="AQ572" i="2"/>
  <c r="AU572" i="2"/>
  <c r="AP572" i="2"/>
  <c r="AT572" i="2"/>
  <c r="AQ313" i="2"/>
  <c r="AU313" i="2"/>
  <c r="AR313" i="2"/>
  <c r="AV313" i="2"/>
  <c r="AP313" i="2"/>
  <c r="AT313" i="2"/>
  <c r="AR1247" i="2"/>
  <c r="AV1247" i="2"/>
  <c r="AQ1247" i="2"/>
  <c r="AU1247" i="2"/>
  <c r="AP1247" i="2"/>
  <c r="AT1247" i="2"/>
  <c r="AI1219" i="2"/>
  <c r="AI584" i="2"/>
  <c r="AI1194" i="2"/>
  <c r="AI200" i="2"/>
  <c r="AI1100" i="2"/>
  <c r="AI505" i="2"/>
  <c r="AI1433" i="2"/>
  <c r="AI1441" i="2"/>
  <c r="AI587" i="2"/>
  <c r="AI637" i="2"/>
  <c r="AI1836" i="2"/>
  <c r="AI34" i="2"/>
  <c r="AI1640" i="2"/>
  <c r="AI991" i="2"/>
  <c r="AI1574" i="2"/>
  <c r="AI1123" i="2"/>
  <c r="AI1141" i="2"/>
  <c r="AI1373" i="2"/>
  <c r="AI724" i="2"/>
  <c r="AI1332" i="2"/>
  <c r="AI550" i="2"/>
  <c r="AI1418" i="2"/>
  <c r="AI1428" i="2"/>
  <c r="AM229" i="2"/>
  <c r="AK229" i="2"/>
  <c r="AI229" i="2"/>
  <c r="AM54" i="2"/>
  <c r="AK54" i="2"/>
  <c r="AI54" i="2"/>
  <c r="AM56" i="2"/>
  <c r="AK56" i="2"/>
  <c r="AI56" i="2"/>
  <c r="AM23" i="2"/>
  <c r="AK23" i="2"/>
  <c r="AI23" i="2"/>
  <c r="AM106" i="2"/>
  <c r="AK106" i="2"/>
  <c r="AI106" i="2"/>
  <c r="AM90" i="2"/>
  <c r="AK90" i="2"/>
  <c r="AI90" i="2"/>
  <c r="AM1083" i="2"/>
  <c r="AK1083" i="2"/>
  <c r="AI1083" i="2"/>
  <c r="AM1465" i="2"/>
  <c r="AK1465" i="2"/>
  <c r="AI1465" i="2"/>
  <c r="AM1274" i="2"/>
  <c r="AK1274" i="2"/>
  <c r="AI1274" i="2"/>
  <c r="AM354" i="2"/>
  <c r="AK354" i="2"/>
  <c r="AI354" i="2"/>
  <c r="AM982" i="2"/>
  <c r="AK982" i="2"/>
  <c r="AI982" i="2"/>
  <c r="AM1108" i="2"/>
  <c r="AK1108" i="2"/>
  <c r="AI1108" i="2"/>
  <c r="AM241" i="2"/>
  <c r="AK241" i="2"/>
  <c r="AI241" i="2"/>
  <c r="AM1569" i="2"/>
  <c r="AK1569" i="2"/>
  <c r="AI1569" i="2"/>
  <c r="AM347" i="2"/>
  <c r="AK347" i="2"/>
  <c r="AI347" i="2"/>
  <c r="AM928" i="2"/>
  <c r="AK928" i="2"/>
  <c r="AI928" i="2"/>
  <c r="AM888" i="2"/>
  <c r="AK888" i="2"/>
  <c r="AI888" i="2"/>
  <c r="AM1451" i="2"/>
  <c r="AK1451" i="2"/>
  <c r="AI1451" i="2"/>
  <c r="AM696" i="2"/>
  <c r="AK696" i="2"/>
  <c r="AI696" i="2"/>
  <c r="AM743" i="2"/>
  <c r="AK743" i="2"/>
  <c r="AI743" i="2"/>
  <c r="AM43" i="2"/>
  <c r="AK43" i="2"/>
  <c r="AI43" i="2"/>
  <c r="AM463" i="2"/>
  <c r="AK463" i="2"/>
  <c r="AI463" i="2"/>
  <c r="AM1073" i="2"/>
  <c r="AK1073" i="2"/>
  <c r="AI1073" i="2"/>
  <c r="AM893" i="2"/>
  <c r="AK893" i="2"/>
  <c r="AI893" i="2"/>
  <c r="AM1549" i="2"/>
  <c r="AK1549" i="2"/>
  <c r="AI1549" i="2"/>
  <c r="AM1726" i="2"/>
  <c r="AK1726" i="2"/>
  <c r="AI1726" i="2"/>
  <c r="AM1193" i="2"/>
  <c r="AK1193" i="2"/>
  <c r="AI1193" i="2"/>
  <c r="AM443" i="2"/>
  <c r="AK443" i="2"/>
  <c r="AI443" i="2"/>
  <c r="AM871" i="2"/>
  <c r="AK871" i="2"/>
  <c r="AI871" i="2"/>
  <c r="AM1282" i="2"/>
  <c r="AK1282" i="2"/>
  <c r="AI1282" i="2"/>
  <c r="AM734" i="2"/>
  <c r="AK734" i="2"/>
  <c r="AI734" i="2"/>
  <c r="AM1927" i="2"/>
  <c r="AK1927" i="2"/>
  <c r="AI1927" i="2"/>
  <c r="AM1330" i="2"/>
  <c r="AK1330" i="2"/>
  <c r="AI1330" i="2"/>
  <c r="AM585" i="2"/>
  <c r="AK585" i="2"/>
  <c r="AI585" i="2"/>
  <c r="AM538" i="2"/>
  <c r="AK538" i="2"/>
  <c r="AI538" i="2"/>
  <c r="AM1719" i="2"/>
  <c r="AK1719" i="2"/>
  <c r="AI1719" i="2"/>
  <c r="AM1336" i="2"/>
  <c r="AK1336" i="2"/>
  <c r="AI1336" i="2"/>
  <c r="AM1110" i="2"/>
  <c r="AK1110" i="2"/>
  <c r="AI1110" i="2"/>
  <c r="AM1599" i="2"/>
  <c r="AK1599" i="2"/>
  <c r="AI1599" i="2"/>
  <c r="AM1095" i="2"/>
  <c r="AK1095" i="2"/>
  <c r="AI1095" i="2"/>
  <c r="AM1271" i="2"/>
  <c r="AK1271" i="2"/>
  <c r="AI1271" i="2"/>
  <c r="AM1749" i="2"/>
  <c r="AK1749" i="2"/>
  <c r="AI1749" i="2"/>
  <c r="AM522" i="2"/>
  <c r="AK522" i="2"/>
  <c r="AI522" i="2"/>
  <c r="AM188" i="2"/>
  <c r="AK188" i="2"/>
  <c r="AI188" i="2"/>
  <c r="AM78" i="2"/>
  <c r="AK78" i="2"/>
  <c r="AI78" i="2"/>
  <c r="AM419" i="2"/>
  <c r="AK419" i="2"/>
  <c r="AI419" i="2"/>
  <c r="AM112" i="2"/>
  <c r="AK112" i="2"/>
  <c r="AI112" i="2"/>
  <c r="AM833" i="2"/>
  <c r="AK833" i="2"/>
  <c r="AI833" i="2"/>
  <c r="AM784" i="2"/>
  <c r="AK784" i="2"/>
  <c r="AI784" i="2"/>
  <c r="AM1521" i="2"/>
  <c r="AK1521" i="2"/>
  <c r="AI1521" i="2"/>
  <c r="AM985" i="2"/>
  <c r="AK985" i="2"/>
  <c r="AI985" i="2"/>
  <c r="AM1310" i="2"/>
  <c r="AK1310" i="2"/>
  <c r="AI1310" i="2"/>
  <c r="AM317" i="2"/>
  <c r="AK317" i="2"/>
  <c r="AI317" i="2"/>
  <c r="AM986" i="2"/>
  <c r="AK986" i="2"/>
  <c r="AI986" i="2"/>
  <c r="AM744" i="2"/>
  <c r="AK744" i="2"/>
  <c r="AI744" i="2"/>
  <c r="AM571" i="2"/>
  <c r="AK571" i="2"/>
  <c r="AI571" i="2"/>
  <c r="AM377" i="2"/>
  <c r="AK377" i="2"/>
  <c r="AI377" i="2"/>
  <c r="AM135" i="2"/>
  <c r="AK135" i="2"/>
  <c r="AI135" i="2"/>
  <c r="AM35" i="2"/>
  <c r="AK35" i="2"/>
  <c r="AI35" i="2"/>
  <c r="AM796" i="2"/>
  <c r="AK796" i="2"/>
  <c r="AI796" i="2"/>
  <c r="AM1496" i="2"/>
  <c r="AK1496" i="2"/>
  <c r="AI1496" i="2"/>
  <c r="AM2061" i="2"/>
  <c r="AK2061" i="2"/>
  <c r="AI2061" i="2"/>
  <c r="AM1341" i="2"/>
  <c r="AK1341" i="2"/>
  <c r="AI1341" i="2"/>
  <c r="AM1291" i="2"/>
  <c r="AK1291" i="2"/>
  <c r="AI1291" i="2"/>
  <c r="AM865" i="2"/>
  <c r="AK865" i="2"/>
  <c r="AI865" i="2"/>
  <c r="AM1016" i="2"/>
  <c r="AK1016" i="2"/>
  <c r="AI1016" i="2"/>
  <c r="AM1673" i="2"/>
  <c r="AK1673" i="2"/>
  <c r="AI1673" i="2"/>
  <c r="AM993" i="2"/>
  <c r="AK993" i="2"/>
  <c r="AI993" i="2"/>
  <c r="AM987" i="2"/>
  <c r="AK987" i="2"/>
  <c r="AI987" i="2"/>
  <c r="AM666" i="2"/>
  <c r="AK666" i="2"/>
  <c r="AI666" i="2"/>
  <c r="AM1524" i="2"/>
  <c r="AK1524" i="2"/>
  <c r="AI1524" i="2"/>
  <c r="AM749" i="2"/>
  <c r="AK749" i="2"/>
  <c r="AI749" i="2"/>
  <c r="AM621" i="2"/>
  <c r="AK621" i="2"/>
  <c r="AI621" i="2"/>
  <c r="AM375" i="2"/>
  <c r="AK375" i="2"/>
  <c r="AI375" i="2"/>
  <c r="AM984" i="2"/>
  <c r="AK984" i="2"/>
  <c r="AI984" i="2"/>
  <c r="AM1674" i="2"/>
  <c r="AK1674" i="2"/>
  <c r="AI1674" i="2"/>
  <c r="AM786" i="2"/>
  <c r="AK786" i="2"/>
  <c r="AI786" i="2"/>
  <c r="AM1061" i="2"/>
  <c r="AK1061" i="2"/>
  <c r="AI1061" i="2"/>
  <c r="AM1094" i="2"/>
  <c r="AK1094" i="2"/>
  <c r="AI1094" i="2"/>
  <c r="AM1285" i="2"/>
  <c r="AK1285" i="2"/>
  <c r="AI1285" i="2"/>
  <c r="AM864" i="2"/>
  <c r="AK864" i="2"/>
  <c r="AI864" i="2"/>
  <c r="AM45" i="2"/>
  <c r="AK45" i="2"/>
  <c r="AI45" i="2"/>
  <c r="AM1342" i="2"/>
  <c r="AK1342" i="2"/>
  <c r="AI1342" i="2"/>
  <c r="AM79" i="2"/>
  <c r="AK79" i="2"/>
  <c r="AI79" i="2"/>
  <c r="AM1304" i="2"/>
  <c r="AK1304" i="2"/>
  <c r="AI1304" i="2"/>
  <c r="AM1208" i="2"/>
  <c r="AK1208" i="2"/>
  <c r="AI1208" i="2"/>
  <c r="AM1645" i="2"/>
  <c r="AK1645" i="2"/>
  <c r="AI1645" i="2"/>
  <c r="AM17" i="2"/>
  <c r="AK17" i="2"/>
  <c r="AI17" i="2"/>
  <c r="AM1129" i="2"/>
  <c r="AK1129" i="2"/>
  <c r="AI1129" i="2"/>
  <c r="AM1383" i="2"/>
  <c r="AK1383" i="2"/>
  <c r="AI1383" i="2"/>
  <c r="AM1000" i="2"/>
  <c r="AK1000" i="2"/>
  <c r="AI1000" i="2"/>
  <c r="AM916" i="2"/>
  <c r="AK916" i="2"/>
  <c r="AI916" i="2"/>
  <c r="AM623" i="2"/>
  <c r="AK623" i="2"/>
  <c r="AI623" i="2"/>
  <c r="AM793" i="2"/>
  <c r="AK793" i="2"/>
  <c r="AI793" i="2"/>
  <c r="AX72" i="2"/>
  <c r="BB72" i="2"/>
  <c r="AW72" i="2"/>
  <c r="BA72" i="2"/>
  <c r="AV72" i="2"/>
  <c r="AZ72" i="2"/>
  <c r="AT72" i="2"/>
  <c r="AS72" i="2"/>
  <c r="AP72" i="2"/>
  <c r="AQ72" i="2"/>
  <c r="AM72" i="2"/>
  <c r="AK72" i="2"/>
  <c r="AI72" i="2"/>
  <c r="AW217" i="2"/>
  <c r="BA217" i="2"/>
  <c r="AX217" i="2"/>
  <c r="BB217" i="2"/>
  <c r="AV217" i="2"/>
  <c r="AZ217" i="2"/>
  <c r="AT217" i="2"/>
  <c r="AS217" i="2"/>
  <c r="AP217" i="2"/>
  <c r="AQ217" i="2"/>
  <c r="AM217" i="2"/>
  <c r="AK217" i="2"/>
  <c r="AI217" i="2"/>
  <c r="AW14" i="2"/>
  <c r="BA14" i="2"/>
  <c r="AX14" i="2"/>
  <c r="BB14" i="2"/>
  <c r="AV14" i="2"/>
  <c r="AZ14" i="2"/>
  <c r="AT14" i="2"/>
  <c r="AS14" i="2"/>
  <c r="AP14" i="2"/>
  <c r="AQ14" i="2"/>
  <c r="AM14" i="2"/>
  <c r="AK14" i="2"/>
  <c r="AI14" i="2"/>
  <c r="AW32" i="2"/>
  <c r="BA32" i="2"/>
  <c r="AX32" i="2"/>
  <c r="BB32" i="2"/>
  <c r="AV32" i="2"/>
  <c r="AZ32" i="2"/>
  <c r="AT32" i="2"/>
  <c r="AS32" i="2"/>
  <c r="AP32" i="2"/>
  <c r="AQ32" i="2"/>
  <c r="AM32" i="2"/>
  <c r="AK32" i="2"/>
  <c r="AI32" i="2"/>
  <c r="AW25" i="2"/>
  <c r="BA25" i="2"/>
  <c r="AX25" i="2"/>
  <c r="BB25" i="2"/>
  <c r="AV25" i="2"/>
  <c r="AZ25" i="2"/>
  <c r="AT25" i="2"/>
  <c r="AS25" i="2"/>
  <c r="AP25" i="2"/>
  <c r="AQ25" i="2"/>
  <c r="AM25" i="2"/>
  <c r="AK25" i="2"/>
  <c r="AI25" i="2"/>
  <c r="AW93" i="2"/>
  <c r="BA93" i="2"/>
  <c r="AX93" i="2"/>
  <c r="BB93" i="2"/>
  <c r="AV93" i="2"/>
  <c r="AZ93" i="2"/>
  <c r="AT93" i="2"/>
  <c r="AS93" i="2"/>
  <c r="AP93" i="2"/>
  <c r="AQ93" i="2"/>
  <c r="AM93" i="2"/>
  <c r="AK93" i="2"/>
  <c r="AI93" i="2"/>
  <c r="AW312" i="2"/>
  <c r="BA312" i="2"/>
  <c r="AX312" i="2"/>
  <c r="BB312" i="2"/>
  <c r="AV312" i="2"/>
  <c r="AZ312" i="2"/>
  <c r="AT312" i="2"/>
  <c r="AS312" i="2"/>
  <c r="AP312" i="2"/>
  <c r="AQ312" i="2"/>
  <c r="AM312" i="2"/>
  <c r="AK312" i="2"/>
  <c r="AI312" i="2"/>
  <c r="AW699" i="2"/>
  <c r="BA699" i="2"/>
  <c r="AX699" i="2"/>
  <c r="BB699" i="2"/>
  <c r="AV699" i="2"/>
  <c r="AZ699" i="2"/>
  <c r="AT699" i="2"/>
  <c r="AS699" i="2"/>
  <c r="AP699" i="2"/>
  <c r="AQ699" i="2"/>
  <c r="AM699" i="2"/>
  <c r="AK699" i="2"/>
  <c r="AI699" i="2"/>
  <c r="AW360" i="2"/>
  <c r="BA360" i="2"/>
  <c r="AX360" i="2"/>
  <c r="BB360" i="2"/>
  <c r="AV360" i="2"/>
  <c r="AZ360" i="2"/>
  <c r="AT360" i="2"/>
  <c r="AS360" i="2"/>
  <c r="AP360" i="2"/>
  <c r="AQ360" i="2"/>
  <c r="AM360" i="2"/>
  <c r="AK360" i="2"/>
  <c r="AI360" i="2"/>
  <c r="AW84" i="2"/>
  <c r="BA84" i="2"/>
  <c r="AX84" i="2"/>
  <c r="BB84" i="2"/>
  <c r="AV84" i="2"/>
  <c r="AZ84" i="2"/>
  <c r="AT84" i="2"/>
  <c r="AS84" i="2"/>
  <c r="AP84" i="2"/>
  <c r="AQ84" i="2"/>
  <c r="AM84" i="2"/>
  <c r="AK84" i="2"/>
  <c r="AI84" i="2"/>
  <c r="AW29" i="2"/>
  <c r="BA29" i="2"/>
  <c r="AX29" i="2"/>
  <c r="BB29" i="2"/>
  <c r="AV29" i="2"/>
  <c r="AZ29" i="2"/>
  <c r="AT29" i="2"/>
  <c r="AS29" i="2"/>
  <c r="AP29" i="2"/>
  <c r="AQ29" i="2"/>
  <c r="AM29" i="2"/>
  <c r="AK29" i="2"/>
  <c r="AI29" i="2"/>
  <c r="AW396" i="2"/>
  <c r="BA396" i="2"/>
  <c r="AX396" i="2"/>
  <c r="BB396" i="2"/>
  <c r="AV396" i="2"/>
  <c r="AZ396" i="2"/>
  <c r="AT396" i="2"/>
  <c r="AS396" i="2"/>
  <c r="AP396" i="2"/>
  <c r="AQ396" i="2"/>
  <c r="AM396" i="2"/>
  <c r="AK396" i="2"/>
  <c r="AI396" i="2"/>
  <c r="AW2060" i="2"/>
  <c r="BA2060" i="2"/>
  <c r="AX2060" i="2"/>
  <c r="BB2060" i="2"/>
  <c r="AV2060" i="2"/>
  <c r="AZ2060" i="2"/>
  <c r="AT2060" i="2"/>
  <c r="AS2060" i="2"/>
  <c r="AP2060" i="2"/>
  <c r="AQ2060" i="2"/>
  <c r="AM2060" i="2"/>
  <c r="AK2060" i="2"/>
  <c r="AI2060" i="2"/>
  <c r="AW2059" i="2"/>
  <c r="BA2059" i="2"/>
  <c r="AX2059" i="2"/>
  <c r="BB2059" i="2"/>
  <c r="AV2059" i="2"/>
  <c r="AZ2059" i="2"/>
  <c r="AT2059" i="2"/>
  <c r="AS2059" i="2"/>
  <c r="AP2059" i="2"/>
  <c r="AQ2059" i="2"/>
  <c r="AM2059" i="2"/>
  <c r="AK2059" i="2"/>
  <c r="AI2059" i="2"/>
  <c r="AW917" i="2"/>
  <c r="BA917" i="2"/>
  <c r="AX917" i="2"/>
  <c r="BB917" i="2"/>
  <c r="AV917" i="2"/>
  <c r="AZ917" i="2"/>
  <c r="AT917" i="2"/>
  <c r="AS917" i="2"/>
  <c r="AP917" i="2"/>
  <c r="AQ917" i="2"/>
  <c r="AM917" i="2"/>
  <c r="AK917" i="2"/>
  <c r="AI917" i="2"/>
  <c r="AW180" i="2"/>
  <c r="BA180" i="2"/>
  <c r="AX180" i="2"/>
  <c r="BB180" i="2"/>
  <c r="AV180" i="2"/>
  <c r="AZ180" i="2"/>
  <c r="AT180" i="2"/>
  <c r="AS180" i="2"/>
  <c r="AP180" i="2"/>
  <c r="AQ180" i="2"/>
  <c r="AM180" i="2"/>
  <c r="AK180" i="2"/>
  <c r="AI180" i="2"/>
  <c r="AW603" i="2"/>
  <c r="BA603" i="2"/>
  <c r="AX603" i="2"/>
  <c r="BB603" i="2"/>
  <c r="AV603" i="2"/>
  <c r="AZ603" i="2"/>
  <c r="AT603" i="2"/>
  <c r="AS603" i="2"/>
  <c r="AP603" i="2"/>
  <c r="AQ603" i="2"/>
  <c r="AM603" i="2"/>
  <c r="AK603" i="2"/>
  <c r="AI603" i="2"/>
  <c r="AW66" i="2"/>
  <c r="BA66" i="2"/>
  <c r="AX66" i="2"/>
  <c r="BB66" i="2"/>
  <c r="AV66" i="2"/>
  <c r="AZ66" i="2"/>
  <c r="AT66" i="2"/>
  <c r="AS66" i="2"/>
  <c r="AP66" i="2"/>
  <c r="AQ66" i="2"/>
  <c r="AM66" i="2"/>
  <c r="AK66" i="2"/>
  <c r="AI66" i="2"/>
  <c r="AW131" i="2"/>
  <c r="BA131" i="2"/>
  <c r="AX131" i="2"/>
  <c r="BB131" i="2"/>
  <c r="AV131" i="2"/>
  <c r="AZ131" i="2"/>
  <c r="AT131" i="2"/>
  <c r="AS131" i="2"/>
  <c r="AP131" i="2"/>
  <c r="AQ131" i="2"/>
  <c r="AM131" i="2"/>
  <c r="AK131" i="2"/>
  <c r="AI131" i="2"/>
  <c r="AW431" i="2"/>
  <c r="BA431" i="2"/>
  <c r="AX431" i="2"/>
  <c r="BB431" i="2"/>
  <c r="AV431" i="2"/>
  <c r="AZ431" i="2"/>
  <c r="AT431" i="2"/>
  <c r="AS431" i="2"/>
  <c r="AP431" i="2"/>
  <c r="AQ431" i="2"/>
  <c r="AM431" i="2"/>
  <c r="AK431" i="2"/>
  <c r="AI431" i="2"/>
  <c r="AW1514" i="2"/>
  <c r="BA1514" i="2"/>
  <c r="AX1514" i="2"/>
  <c r="BB1514" i="2"/>
  <c r="AV1514" i="2"/>
  <c r="AZ1514" i="2"/>
  <c r="AT1514" i="2"/>
  <c r="AS1514" i="2"/>
  <c r="AP1514" i="2"/>
  <c r="AQ1514" i="2"/>
  <c r="AM1514" i="2"/>
  <c r="AK1514" i="2"/>
  <c r="AI1514" i="2"/>
  <c r="AW1112" i="2"/>
  <c r="BA1112" i="2"/>
  <c r="AX1112" i="2"/>
  <c r="BB1112" i="2"/>
  <c r="AV1112" i="2"/>
  <c r="AZ1112" i="2"/>
  <c r="AT1112" i="2"/>
  <c r="AS1112" i="2"/>
  <c r="AP1112" i="2"/>
  <c r="AQ1112" i="2"/>
  <c r="AM1112" i="2"/>
  <c r="AK1112" i="2"/>
  <c r="AI1112" i="2"/>
  <c r="AW207" i="2"/>
  <c r="BA207" i="2"/>
  <c r="AX207" i="2"/>
  <c r="BB207" i="2"/>
  <c r="AV207" i="2"/>
  <c r="AZ207" i="2"/>
  <c r="AT207" i="2"/>
  <c r="AS207" i="2"/>
  <c r="AP207" i="2"/>
  <c r="AQ207" i="2"/>
  <c r="AM207" i="2"/>
  <c r="AK207" i="2"/>
  <c r="AI207" i="2"/>
  <c r="AW2058" i="2"/>
  <c r="BA2058" i="2"/>
  <c r="AX2058" i="2"/>
  <c r="BB2058" i="2"/>
  <c r="AV2058" i="2"/>
  <c r="AZ2058" i="2"/>
  <c r="AT2058" i="2"/>
  <c r="AS2058" i="2"/>
  <c r="AP2058" i="2"/>
  <c r="AQ2058" i="2"/>
  <c r="AM2058" i="2"/>
  <c r="AK2058" i="2"/>
  <c r="AI2058" i="2"/>
  <c r="AW151" i="2"/>
  <c r="BA151" i="2"/>
  <c r="AX151" i="2"/>
  <c r="BB151" i="2"/>
  <c r="AV151" i="2"/>
  <c r="AZ151" i="2"/>
  <c r="AT151" i="2"/>
  <c r="AS151" i="2"/>
  <c r="AP151" i="2"/>
  <c r="AQ151" i="2"/>
  <c r="AM151" i="2"/>
  <c r="AK151" i="2"/>
  <c r="AI151" i="2"/>
  <c r="AW783" i="2"/>
  <c r="BA783" i="2"/>
  <c r="AX783" i="2"/>
  <c r="BB783" i="2"/>
  <c r="AV783" i="2"/>
  <c r="AZ783" i="2"/>
  <c r="AT783" i="2"/>
  <c r="AS783" i="2"/>
  <c r="AP783" i="2"/>
  <c r="AQ783" i="2"/>
  <c r="AM783" i="2"/>
  <c r="AK783" i="2"/>
  <c r="AI783" i="2"/>
  <c r="AW199" i="2"/>
  <c r="BA199" i="2"/>
  <c r="AX199" i="2"/>
  <c r="BB199" i="2"/>
  <c r="AV199" i="2"/>
  <c r="AZ199" i="2"/>
  <c r="AT199" i="2"/>
  <c r="AS199" i="2"/>
  <c r="AP199" i="2"/>
  <c r="AQ199" i="2"/>
  <c r="AM199" i="2"/>
  <c r="AK199" i="2"/>
  <c r="AI199" i="2"/>
  <c r="AW540" i="2"/>
  <c r="BA540" i="2"/>
  <c r="AX540" i="2"/>
  <c r="BB540" i="2"/>
  <c r="AV540" i="2"/>
  <c r="AZ540" i="2"/>
  <c r="AT540" i="2"/>
  <c r="AS540" i="2"/>
  <c r="AP540" i="2"/>
  <c r="AQ540" i="2"/>
  <c r="AM540" i="2"/>
  <c r="AK540" i="2"/>
  <c r="AI540" i="2"/>
  <c r="AW148" i="2"/>
  <c r="BA148" i="2"/>
  <c r="AX148" i="2"/>
  <c r="BB148" i="2"/>
  <c r="AV148" i="2"/>
  <c r="AZ148" i="2"/>
  <c r="AT148" i="2"/>
  <c r="AS148" i="2"/>
  <c r="AP148" i="2"/>
  <c r="AQ148" i="2"/>
  <c r="AM148" i="2"/>
  <c r="AK148" i="2"/>
  <c r="AI148" i="2"/>
  <c r="AW1905" i="2"/>
  <c r="BA1905" i="2"/>
  <c r="AX1905" i="2"/>
  <c r="BB1905" i="2"/>
  <c r="AV1905" i="2"/>
  <c r="AZ1905" i="2"/>
  <c r="AT1905" i="2"/>
  <c r="AS1905" i="2"/>
  <c r="AP1905" i="2"/>
  <c r="AQ1905" i="2"/>
  <c r="AM1905" i="2"/>
  <c r="AK1905" i="2"/>
  <c r="AI1905" i="2"/>
  <c r="AT2" i="2"/>
  <c r="AS2" i="2"/>
  <c r="AQ2" i="2"/>
  <c r="AR2" i="2"/>
  <c r="AO2" i="2"/>
  <c r="AM2" i="2"/>
  <c r="AK2" i="2"/>
  <c r="AI2" i="2"/>
  <c r="AD2" i="2"/>
  <c r="Z2" i="2"/>
  <c r="AT111" i="2"/>
  <c r="AS111" i="2"/>
  <c r="AQ111" i="2"/>
  <c r="AR111" i="2"/>
  <c r="AO111" i="2"/>
  <c r="AM111" i="2"/>
  <c r="AK111" i="2"/>
  <c r="AI111" i="2"/>
  <c r="AD111" i="2"/>
  <c r="Z111" i="2"/>
  <c r="AT21" i="2"/>
  <c r="AS21" i="2"/>
  <c r="AQ21" i="2"/>
  <c r="AR21" i="2"/>
  <c r="AO21" i="2"/>
  <c r="AM21" i="2"/>
  <c r="AK21" i="2"/>
  <c r="AI21" i="2"/>
  <c r="AD21" i="2"/>
  <c r="Z21" i="2"/>
  <c r="AT11" i="2"/>
  <c r="AS11" i="2"/>
  <c r="AQ11" i="2"/>
  <c r="AR11" i="2"/>
  <c r="AO11" i="2"/>
  <c r="AM11" i="2"/>
  <c r="AK11" i="2"/>
  <c r="AI11" i="2"/>
  <c r="AD11" i="2"/>
  <c r="Z11" i="2"/>
  <c r="AT7" i="2"/>
  <c r="AS7" i="2"/>
  <c r="AQ7" i="2"/>
  <c r="AR7" i="2"/>
  <c r="AO7" i="2"/>
  <c r="AM7" i="2"/>
  <c r="AK7" i="2"/>
  <c r="AI7" i="2"/>
  <c r="AD7" i="2"/>
  <c r="Z7" i="2"/>
  <c r="AT6" i="2"/>
  <c r="AS6" i="2"/>
  <c r="AQ6" i="2"/>
  <c r="AR6" i="2"/>
  <c r="AO6" i="2"/>
  <c r="AM6" i="2"/>
  <c r="AK6" i="2"/>
  <c r="AI6" i="2"/>
  <c r="AD6" i="2"/>
  <c r="Z6" i="2"/>
  <c r="AT3" i="2"/>
  <c r="AS3" i="2"/>
  <c r="AQ3" i="2"/>
  <c r="AR3" i="2"/>
  <c r="AO3" i="2"/>
  <c r="AM3" i="2"/>
  <c r="AK3" i="2"/>
  <c r="AI3" i="2"/>
  <c r="AD3" i="2"/>
  <c r="Z3" i="2"/>
  <c r="AT22" i="2"/>
  <c r="AS22" i="2"/>
  <c r="AQ22" i="2"/>
  <c r="AR22" i="2"/>
  <c r="AO22" i="2"/>
  <c r="AM22" i="2"/>
  <c r="AK22" i="2"/>
  <c r="AI22" i="2"/>
  <c r="AD22" i="2"/>
  <c r="Z22" i="2"/>
  <c r="AT9" i="2"/>
  <c r="AS9" i="2"/>
  <c r="AQ9" i="2"/>
  <c r="AR9" i="2"/>
  <c r="AO9" i="2"/>
  <c r="AM9" i="2"/>
  <c r="AK9" i="2"/>
  <c r="AI9" i="2"/>
  <c r="AD9" i="2"/>
  <c r="Z9" i="2"/>
  <c r="AT12" i="2"/>
  <c r="AS12" i="2"/>
  <c r="AQ12" i="2"/>
  <c r="AR12" i="2"/>
  <c r="AO12" i="2"/>
  <c r="AM12" i="2"/>
  <c r="AK12" i="2"/>
  <c r="AI12" i="2"/>
  <c r="AD12" i="2"/>
  <c r="Z12" i="2"/>
  <c r="AT4" i="2"/>
  <c r="AS4" i="2"/>
  <c r="AQ4" i="2"/>
  <c r="AR4" i="2"/>
  <c r="AO4" i="2"/>
  <c r="AM4" i="2"/>
  <c r="AK4" i="2"/>
  <c r="AI4" i="2"/>
  <c r="AD4" i="2"/>
  <c r="Z4" i="2"/>
  <c r="AT5" i="2"/>
  <c r="AS5" i="2"/>
  <c r="AQ5" i="2"/>
  <c r="AR5" i="2"/>
  <c r="AO5" i="2"/>
  <c r="AM5" i="2"/>
  <c r="AK5" i="2"/>
  <c r="AI5" i="2"/>
  <c r="AD5" i="2"/>
  <c r="Z5" i="2"/>
  <c r="AT24" i="2"/>
  <c r="AS24" i="2"/>
  <c r="AQ24" i="2"/>
  <c r="AR24" i="2"/>
  <c r="AO24" i="2"/>
  <c r="AM24" i="2"/>
  <c r="AK24" i="2"/>
  <c r="AI24" i="2"/>
  <c r="AD24" i="2"/>
  <c r="Z24" i="2"/>
  <c r="AT26" i="2"/>
  <c r="AS26" i="2"/>
  <c r="AQ26" i="2"/>
  <c r="AR26" i="2"/>
  <c r="AO26" i="2"/>
  <c r="AM26" i="2"/>
  <c r="AK26" i="2"/>
  <c r="AI26" i="2"/>
  <c r="AD26" i="2"/>
  <c r="Z26" i="2"/>
  <c r="AT28" i="2"/>
  <c r="AS28" i="2"/>
  <c r="AQ28" i="2"/>
  <c r="AR28" i="2"/>
  <c r="AO28" i="2"/>
  <c r="AM28" i="2"/>
  <c r="AK28" i="2"/>
  <c r="AI28" i="2"/>
  <c r="AD28" i="2"/>
  <c r="Z28" i="2"/>
  <c r="AT418" i="2"/>
  <c r="AS418" i="2"/>
  <c r="AO418" i="2"/>
  <c r="AP418" i="2"/>
  <c r="AM418" i="2"/>
  <c r="AK418" i="2"/>
  <c r="AI418" i="2"/>
  <c r="AB418" i="2"/>
  <c r="AT2057" i="2"/>
  <c r="AS2057" i="2"/>
  <c r="AO2057" i="2"/>
  <c r="AP2057" i="2"/>
  <c r="AM2057" i="2"/>
  <c r="AK2057" i="2"/>
  <c r="AI2057" i="2"/>
  <c r="AB2057" i="2"/>
  <c r="AT1806" i="2"/>
  <c r="AS1806" i="2"/>
  <c r="AO1806" i="2"/>
  <c r="AP1806" i="2"/>
  <c r="AM1806" i="2"/>
  <c r="AK1806" i="2"/>
  <c r="AI1806" i="2"/>
  <c r="AB1806" i="2"/>
  <c r="AT2056" i="2"/>
  <c r="AS2056" i="2"/>
  <c r="AO2056" i="2"/>
  <c r="AP2056" i="2"/>
  <c r="AM2056" i="2"/>
  <c r="AK2056" i="2"/>
  <c r="AI2056" i="2"/>
  <c r="AB2056" i="2"/>
  <c r="AT707" i="2"/>
  <c r="AS707" i="2"/>
  <c r="AO707" i="2"/>
  <c r="AP707" i="2"/>
  <c r="AM707" i="2"/>
  <c r="AK707" i="2"/>
  <c r="AI707" i="2"/>
  <c r="AB707" i="2"/>
  <c r="AT686" i="2"/>
  <c r="AS686" i="2"/>
  <c r="AO686" i="2"/>
  <c r="AP686" i="2"/>
  <c r="AM686" i="2"/>
  <c r="AK686" i="2"/>
  <c r="AI686" i="2"/>
  <c r="AB686" i="2"/>
  <c r="AT892" i="2"/>
  <c r="AS892" i="2"/>
  <c r="AO892" i="2"/>
  <c r="AP892" i="2"/>
  <c r="AM892" i="2"/>
  <c r="AK892" i="2"/>
  <c r="AI892" i="2"/>
  <c r="AB892" i="2"/>
  <c r="AT1445" i="2"/>
  <c r="AS1445" i="2"/>
  <c r="AO1445" i="2"/>
  <c r="AP1445" i="2"/>
  <c r="AM1445" i="2"/>
  <c r="AK1445" i="2"/>
  <c r="AI1445" i="2"/>
  <c r="AB1445" i="2"/>
  <c r="AT1897" i="2"/>
  <c r="AS1897" i="2"/>
  <c r="AO1897" i="2"/>
  <c r="AP1897" i="2"/>
  <c r="AM1897" i="2"/>
  <c r="AK1897" i="2"/>
  <c r="AI1897" i="2"/>
  <c r="AB1897" i="2"/>
  <c r="AT1672" i="2"/>
  <c r="AS1672" i="2"/>
  <c r="AO1672" i="2"/>
  <c r="AP1672" i="2"/>
  <c r="AM1672" i="2"/>
  <c r="AK1672" i="2"/>
  <c r="AI1672" i="2"/>
  <c r="AB1672" i="2"/>
  <c r="AT821" i="2"/>
  <c r="AS821" i="2"/>
  <c r="AO821" i="2"/>
  <c r="AP821" i="2"/>
  <c r="AM821" i="2"/>
  <c r="AK821" i="2"/>
  <c r="AI821" i="2"/>
  <c r="AB821" i="2"/>
  <c r="AT594" i="2"/>
  <c r="AS594" i="2"/>
  <c r="AO594" i="2"/>
  <c r="AP594" i="2"/>
  <c r="AM594" i="2"/>
  <c r="AK594" i="2"/>
  <c r="AI594" i="2"/>
  <c r="AB594" i="2"/>
  <c r="AT330" i="2"/>
  <c r="AS330" i="2"/>
  <c r="AO330" i="2"/>
  <c r="AP330" i="2"/>
  <c r="AM330" i="2"/>
  <c r="AK330" i="2"/>
  <c r="AI330" i="2"/>
  <c r="AB330" i="2"/>
  <c r="AT1467" i="2"/>
  <c r="AS1467" i="2"/>
  <c r="AO1467" i="2"/>
  <c r="AP1467" i="2"/>
  <c r="AM1467" i="2"/>
  <c r="AK1467" i="2"/>
  <c r="AI1467" i="2"/>
  <c r="AB1467" i="2"/>
  <c r="AT511" i="2"/>
  <c r="AS511" i="2"/>
  <c r="AO511" i="2"/>
  <c r="AP511" i="2"/>
  <c r="AM511" i="2"/>
  <c r="AK511" i="2"/>
  <c r="AI511" i="2"/>
  <c r="AB511" i="2"/>
  <c r="AT1119" i="2"/>
  <c r="AS1119" i="2"/>
  <c r="AO1119" i="2"/>
  <c r="AP1119" i="2"/>
  <c r="AM1119" i="2"/>
  <c r="AK1119" i="2"/>
  <c r="AI1119" i="2"/>
  <c r="AB1119" i="2"/>
  <c r="AT462" i="2"/>
  <c r="AS462" i="2"/>
  <c r="AO462" i="2"/>
  <c r="AP462" i="2"/>
  <c r="AM462" i="2"/>
  <c r="AK462" i="2"/>
  <c r="AI462" i="2"/>
  <c r="AB462" i="2"/>
  <c r="AT1500" i="2"/>
  <c r="AS1500" i="2"/>
  <c r="AO1500" i="2"/>
  <c r="AP1500" i="2"/>
  <c r="AM1500" i="2"/>
  <c r="AK1500" i="2"/>
  <c r="AI1500" i="2"/>
  <c r="AB1500" i="2"/>
  <c r="AT2055" i="2"/>
  <c r="AS2055" i="2"/>
  <c r="AO2055" i="2"/>
  <c r="AP2055" i="2"/>
  <c r="AM2055" i="2"/>
  <c r="AK2055" i="2"/>
  <c r="AI2055" i="2"/>
  <c r="AB2055" i="2"/>
  <c r="AT447" i="2"/>
  <c r="AS447" i="2"/>
  <c r="AO447" i="2"/>
  <c r="AP447" i="2"/>
  <c r="AM447" i="2"/>
  <c r="AK447" i="2"/>
  <c r="AI447" i="2"/>
  <c r="AB447" i="2"/>
  <c r="AT130" i="2"/>
  <c r="AS130" i="2"/>
  <c r="AO130" i="2"/>
  <c r="AP130" i="2"/>
  <c r="AM130" i="2"/>
  <c r="AK130" i="2"/>
  <c r="AI130" i="2"/>
  <c r="AB130" i="2"/>
  <c r="AT1066" i="2"/>
  <c r="AS1066" i="2"/>
  <c r="AO1066" i="2"/>
  <c r="AP1066" i="2"/>
  <c r="AM1066" i="2"/>
  <c r="AK1066" i="2"/>
  <c r="AI1066" i="2"/>
  <c r="AB1066" i="2"/>
  <c r="AT2054" i="2"/>
  <c r="AS2054" i="2"/>
  <c r="AO2054" i="2"/>
  <c r="AP2054" i="2"/>
  <c r="AM2054" i="2"/>
  <c r="AK2054" i="2"/>
  <c r="AI2054" i="2"/>
  <c r="AB2054" i="2"/>
  <c r="AT1856" i="2"/>
  <c r="AS1856" i="2"/>
  <c r="AO1856" i="2"/>
  <c r="AP1856" i="2"/>
  <c r="AM1856" i="2"/>
  <c r="AK1856" i="2"/>
  <c r="AI1856" i="2"/>
  <c r="AB1856" i="2"/>
  <c r="AT1757" i="2"/>
  <c r="AS1757" i="2"/>
  <c r="AO1757" i="2"/>
  <c r="AP1757" i="2"/>
  <c r="AM1757" i="2"/>
  <c r="AK1757" i="2"/>
  <c r="AI1757" i="2"/>
  <c r="AB1757" i="2"/>
  <c r="AT1755" i="2"/>
  <c r="AS1755" i="2"/>
  <c r="AO1755" i="2"/>
  <c r="AP1755" i="2"/>
  <c r="AM1755" i="2"/>
  <c r="AK1755" i="2"/>
  <c r="AI1755" i="2"/>
  <c r="AB1755" i="2"/>
  <c r="AT2053" i="2"/>
  <c r="AS2053" i="2"/>
  <c r="AO2053" i="2"/>
  <c r="AP2053" i="2"/>
  <c r="AM2053" i="2"/>
  <c r="AK2053" i="2"/>
  <c r="AI2053" i="2"/>
  <c r="AB2053" i="2"/>
  <c r="AT126" i="2"/>
  <c r="AS126" i="2"/>
  <c r="AO126" i="2"/>
  <c r="AP126" i="2"/>
  <c r="AM126" i="2"/>
  <c r="AK126" i="2"/>
  <c r="AI126" i="2"/>
  <c r="AB126" i="2"/>
  <c r="AT804" i="2"/>
  <c r="AS804" i="2"/>
  <c r="AO804" i="2"/>
  <c r="AP804" i="2"/>
  <c r="AM804" i="2"/>
  <c r="AK804" i="2"/>
  <c r="AI804" i="2"/>
  <c r="AB804" i="2"/>
  <c r="AT618" i="2"/>
  <c r="AS618" i="2"/>
  <c r="AO618" i="2"/>
  <c r="AP618" i="2"/>
  <c r="AM618" i="2"/>
  <c r="AK618" i="2"/>
  <c r="AI618" i="2"/>
  <c r="AB618" i="2"/>
  <c r="AT1262" i="2"/>
  <c r="AS1262" i="2"/>
  <c r="AO1262" i="2"/>
  <c r="AP1262" i="2"/>
  <c r="AM1262" i="2"/>
  <c r="AK1262" i="2"/>
  <c r="AI1262" i="2"/>
  <c r="AB1262" i="2"/>
  <c r="AT445" i="2"/>
  <c r="AS445" i="2"/>
  <c r="AO445" i="2"/>
  <c r="AP445" i="2"/>
  <c r="AM445" i="2"/>
  <c r="AK445" i="2"/>
  <c r="AI445" i="2"/>
  <c r="AB445" i="2"/>
  <c r="AT1244" i="2"/>
  <c r="AS1244" i="2"/>
  <c r="AO1244" i="2"/>
  <c r="AP1244" i="2"/>
  <c r="AM1244" i="2"/>
  <c r="AK1244" i="2"/>
  <c r="AI1244" i="2"/>
  <c r="AB1244" i="2"/>
  <c r="AT1174" i="2"/>
  <c r="AS1174" i="2"/>
  <c r="AO1174" i="2"/>
  <c r="AP1174" i="2"/>
  <c r="AM1174" i="2"/>
  <c r="AK1174" i="2"/>
  <c r="AI1174" i="2"/>
  <c r="AB1174" i="2"/>
  <c r="AT1624" i="2"/>
  <c r="AS1624" i="2"/>
  <c r="AO1624" i="2"/>
  <c r="AP1624" i="2"/>
  <c r="AM1624" i="2"/>
  <c r="AK1624" i="2"/>
  <c r="AI1624" i="2"/>
  <c r="AB1624" i="2"/>
  <c r="AT536" i="2"/>
  <c r="AS536" i="2"/>
  <c r="AO536" i="2"/>
  <c r="AP536" i="2"/>
  <c r="AM536" i="2"/>
  <c r="AK536" i="2"/>
  <c r="AI536" i="2"/>
  <c r="AB536" i="2"/>
  <c r="AT2052" i="2"/>
  <c r="AS2052" i="2"/>
  <c r="AO2052" i="2"/>
  <c r="AP2052" i="2"/>
  <c r="AM2052" i="2"/>
  <c r="AK2052" i="2"/>
  <c r="AI2052" i="2"/>
  <c r="AB2052" i="2"/>
  <c r="AT866" i="2"/>
  <c r="AS866" i="2"/>
  <c r="AO866" i="2"/>
  <c r="AP866" i="2"/>
  <c r="AM866" i="2"/>
  <c r="AK866" i="2"/>
  <c r="AI866" i="2"/>
  <c r="AB866" i="2"/>
  <c r="AO343" i="2"/>
  <c r="AP343" i="2"/>
  <c r="AM343" i="2"/>
  <c r="AK343" i="2"/>
  <c r="AI343" i="2"/>
  <c r="AB343" i="2"/>
  <c r="AT588" i="2"/>
  <c r="AS588" i="2"/>
  <c r="AO588" i="2"/>
  <c r="AP588" i="2"/>
  <c r="AM588" i="2"/>
  <c r="AK588" i="2"/>
  <c r="AI588" i="2"/>
  <c r="AB588" i="2"/>
  <c r="AT1466" i="2"/>
  <c r="AS1466" i="2"/>
  <c r="AO1466" i="2"/>
  <c r="AP1466" i="2"/>
  <c r="AM1466" i="2"/>
  <c r="AK1466" i="2"/>
  <c r="AI1466" i="2"/>
  <c r="AB1466" i="2"/>
  <c r="AT553" i="2"/>
  <c r="AS553" i="2"/>
  <c r="AO553" i="2"/>
  <c r="AP553" i="2"/>
  <c r="AM553" i="2"/>
  <c r="AK553" i="2"/>
  <c r="AI553" i="2"/>
  <c r="AB553" i="2"/>
  <c r="AT919" i="2"/>
  <c r="AS919" i="2"/>
  <c r="AO919" i="2"/>
  <c r="AP919" i="2"/>
  <c r="AM919" i="2"/>
  <c r="AK919" i="2"/>
  <c r="AI919" i="2"/>
  <c r="AB919" i="2"/>
  <c r="AT918" i="2"/>
  <c r="AS918" i="2"/>
  <c r="AO918" i="2"/>
  <c r="AP918" i="2"/>
  <c r="AM918" i="2"/>
  <c r="AK918" i="2"/>
  <c r="AI918" i="2"/>
  <c r="AB918" i="2"/>
  <c r="AT1828" i="2"/>
  <c r="AS1828" i="2"/>
  <c r="AO1828" i="2"/>
  <c r="AP1828" i="2"/>
  <c r="AM1828" i="2"/>
  <c r="AK1828" i="2"/>
  <c r="AI1828" i="2"/>
  <c r="AB1828" i="2"/>
  <c r="AT2051" i="2"/>
  <c r="AS2051" i="2"/>
  <c r="AO2051" i="2"/>
  <c r="AP2051" i="2"/>
  <c r="AM2051" i="2"/>
  <c r="AK2051" i="2"/>
  <c r="AI2051" i="2"/>
  <c r="AB2051" i="2"/>
  <c r="AT332" i="2"/>
  <c r="AS332" i="2"/>
  <c r="AO332" i="2"/>
  <c r="AP332" i="2"/>
  <c r="AM332" i="2"/>
  <c r="AK332" i="2"/>
  <c r="AI332" i="2"/>
  <c r="AB332" i="2"/>
  <c r="AT546" i="2"/>
  <c r="AS546" i="2"/>
  <c r="AO546" i="2"/>
  <c r="AP546" i="2"/>
  <c r="AM546" i="2"/>
  <c r="AK546" i="2"/>
  <c r="AI546" i="2"/>
  <c r="AB546" i="2"/>
  <c r="AT1687" i="2"/>
  <c r="AS1687" i="2"/>
  <c r="AO1687" i="2"/>
  <c r="AP1687" i="2"/>
  <c r="AM1687" i="2"/>
  <c r="AK1687" i="2"/>
  <c r="AI1687" i="2"/>
  <c r="AB1687" i="2"/>
  <c r="AT1480" i="2"/>
  <c r="AS1480" i="2"/>
  <c r="AO1480" i="2"/>
  <c r="AP1480" i="2"/>
  <c r="AM1480" i="2"/>
  <c r="AK1480" i="2"/>
  <c r="AI1480" i="2"/>
  <c r="AB1480" i="2"/>
  <c r="AT861" i="2"/>
  <c r="AS861" i="2"/>
  <c r="AO861" i="2"/>
  <c r="AP861" i="2"/>
  <c r="AM861" i="2"/>
  <c r="AK861" i="2"/>
  <c r="AI861" i="2"/>
  <c r="AB861" i="2"/>
  <c r="AT859" i="2"/>
  <c r="AS859" i="2"/>
  <c r="AO859" i="2"/>
  <c r="AP859" i="2"/>
  <c r="AM859" i="2"/>
  <c r="AK859" i="2"/>
  <c r="AI859" i="2"/>
  <c r="AB859" i="2"/>
  <c r="AT1531" i="2"/>
  <c r="AS1531" i="2"/>
  <c r="AO1531" i="2"/>
  <c r="AP1531" i="2"/>
  <c r="AM1531" i="2"/>
  <c r="AK1531" i="2"/>
  <c r="AI1531" i="2"/>
  <c r="AB1531" i="2"/>
  <c r="AR1650" i="2"/>
  <c r="AQ1650" i="2"/>
  <c r="AO1650" i="2"/>
  <c r="AM1650" i="2"/>
  <c r="AK1650" i="2"/>
  <c r="AI1650" i="2"/>
  <c r="AB1650" i="2"/>
  <c r="AR1891" i="2"/>
  <c r="AQ1891" i="2"/>
  <c r="AO1891" i="2"/>
  <c r="AM1891" i="2"/>
  <c r="AK1891" i="2"/>
  <c r="AI1891" i="2"/>
  <c r="AB1891" i="2"/>
  <c r="AR1632" i="2"/>
  <c r="AQ1632" i="2"/>
  <c r="AO1632" i="2"/>
  <c r="AM1632" i="2"/>
  <c r="AK1632" i="2"/>
  <c r="AI1632" i="2"/>
  <c r="AB1632" i="2"/>
  <c r="AR2050" i="2"/>
  <c r="AQ2050" i="2"/>
  <c r="AO2050" i="2"/>
  <c r="AM2050" i="2"/>
  <c r="AK2050" i="2"/>
  <c r="AI2050" i="2"/>
  <c r="AB2050" i="2"/>
  <c r="AR976" i="2"/>
  <c r="AQ976" i="2"/>
  <c r="AO976" i="2"/>
  <c r="AM976" i="2"/>
  <c r="AK976" i="2"/>
  <c r="AI976" i="2"/>
  <c r="AB976" i="2"/>
  <c r="AR1625" i="2"/>
  <c r="AQ1625" i="2"/>
  <c r="AO1625" i="2"/>
  <c r="AM1625" i="2"/>
  <c r="AK1625" i="2"/>
  <c r="AI1625" i="2"/>
  <c r="AB1625" i="2"/>
  <c r="AO1417" i="2"/>
  <c r="AM1417" i="2"/>
  <c r="AK1417" i="2"/>
  <c r="AI1417" i="2"/>
  <c r="AB1417" i="2"/>
  <c r="AR1557" i="2"/>
  <c r="AQ1557" i="2"/>
  <c r="AO1557" i="2"/>
  <c r="AM1557" i="2"/>
  <c r="AK1557" i="2"/>
  <c r="AI1557" i="2"/>
  <c r="AB1557" i="2"/>
  <c r="AR2049" i="2"/>
  <c r="AQ2049" i="2"/>
  <c r="AO2049" i="2"/>
  <c r="AM2049" i="2"/>
  <c r="AK2049" i="2"/>
  <c r="AI2049" i="2"/>
  <c r="AB2049" i="2"/>
  <c r="AR2048" i="2"/>
  <c r="AQ2048" i="2"/>
  <c r="AO2048" i="2"/>
  <c r="AM2048" i="2"/>
  <c r="AK2048" i="2"/>
  <c r="AI2048" i="2"/>
  <c r="AB2048" i="2"/>
  <c r="AR1309" i="2"/>
  <c r="AO1309" i="2"/>
  <c r="AM1309" i="2"/>
  <c r="AK1309" i="2"/>
  <c r="AI1309" i="2"/>
  <c r="AB1309" i="2"/>
  <c r="AR2047" i="2"/>
  <c r="AQ2047" i="2"/>
  <c r="AO2047" i="2"/>
  <c r="AM2047" i="2"/>
  <c r="AK2047" i="2"/>
  <c r="AI2047" i="2"/>
  <c r="AB2047" i="2"/>
  <c r="AR2046" i="2"/>
  <c r="AQ2046" i="2"/>
  <c r="AO2046" i="2"/>
  <c r="AM2046" i="2"/>
  <c r="AK2046" i="2"/>
  <c r="AI2046" i="2"/>
  <c r="AB2046" i="2"/>
  <c r="AR210" i="2"/>
  <c r="AQ210" i="2"/>
  <c r="AO210" i="2"/>
  <c r="AM210" i="2"/>
  <c r="AK210" i="2"/>
  <c r="AI210" i="2"/>
  <c r="AB210" i="2"/>
  <c r="AV1873" i="2"/>
  <c r="AU1873" i="2"/>
  <c r="AP1873" i="2"/>
  <c r="AQ1873" i="2"/>
  <c r="AB1873" i="2"/>
  <c r="AV2045" i="2"/>
  <c r="AU2045" i="2"/>
  <c r="AP2045" i="2"/>
  <c r="AQ2045" i="2"/>
  <c r="AB2045" i="2"/>
  <c r="AV1872" i="2"/>
  <c r="AU1872" i="2"/>
  <c r="AP1872" i="2"/>
  <c r="AQ1872" i="2"/>
  <c r="AB1872" i="2"/>
  <c r="AV2044" i="2"/>
  <c r="AU2044" i="2"/>
  <c r="AP2044" i="2"/>
  <c r="AQ2044" i="2"/>
  <c r="AB2044" i="2"/>
  <c r="AV1452" i="2"/>
  <c r="AU1452" i="2"/>
  <c r="AP1452" i="2"/>
  <c r="AQ1452" i="2"/>
  <c r="AB1452" i="2"/>
  <c r="AV62" i="2"/>
  <c r="AU62" i="2"/>
  <c r="AP62" i="2"/>
  <c r="AQ62" i="2"/>
  <c r="AB62" i="2"/>
  <c r="AV152" i="2"/>
  <c r="AU152" i="2"/>
  <c r="AP152" i="2"/>
  <c r="AQ152" i="2"/>
  <c r="AB152" i="2"/>
  <c r="AV191" i="2"/>
  <c r="AU191" i="2"/>
  <c r="AP191" i="2"/>
  <c r="AQ191" i="2"/>
  <c r="AB191" i="2"/>
  <c r="AV184" i="2"/>
  <c r="AU184" i="2"/>
  <c r="AP184" i="2"/>
  <c r="AI184" i="2"/>
  <c r="AV2043" i="2"/>
  <c r="AU2043" i="2"/>
  <c r="AP2043" i="2"/>
  <c r="AQ2043" i="2"/>
  <c r="AB2043" i="2"/>
  <c r="AV2042" i="2"/>
  <c r="AU2042" i="2"/>
  <c r="AP2042" i="2"/>
  <c r="AQ2042" i="2"/>
  <c r="AB2042" i="2"/>
  <c r="AV301" i="2"/>
  <c r="AU301" i="2"/>
  <c r="AP301" i="2"/>
  <c r="AQ301" i="2"/>
  <c r="AB301" i="2"/>
  <c r="AV226" i="2"/>
  <c r="AU226" i="2"/>
  <c r="AP226" i="2"/>
  <c r="AQ226" i="2"/>
  <c r="AB226" i="2"/>
  <c r="AV2041" i="2"/>
  <c r="AU2041" i="2"/>
  <c r="AP2041" i="2"/>
  <c r="AQ2041" i="2"/>
  <c r="AB2041" i="2"/>
  <c r="AV2040" i="2"/>
  <c r="AU2040" i="2"/>
  <c r="AP2040" i="2"/>
  <c r="AQ2040" i="2"/>
  <c r="AB2040" i="2"/>
  <c r="AV1883" i="2"/>
  <c r="AU1883" i="2"/>
  <c r="AP1883" i="2"/>
  <c r="AQ1883" i="2"/>
  <c r="AB1883" i="2"/>
  <c r="AV1338" i="2"/>
  <c r="AU1338" i="2"/>
  <c r="AP1338" i="2"/>
  <c r="AQ1338" i="2"/>
  <c r="AB1338" i="2"/>
  <c r="AV1409" i="2"/>
  <c r="AU1409" i="2"/>
  <c r="AP1409" i="2"/>
  <c r="AQ1409" i="2"/>
  <c r="AB1409" i="2"/>
  <c r="AV1713" i="2"/>
  <c r="AU1713" i="2"/>
  <c r="AP1713" i="2"/>
  <c r="AQ1713" i="2"/>
  <c r="AB1713" i="2"/>
  <c r="AV609" i="2"/>
  <c r="AU609" i="2"/>
  <c r="AP609" i="2"/>
  <c r="AQ609" i="2"/>
  <c r="AB609" i="2"/>
  <c r="AV2039" i="2"/>
  <c r="AU2039" i="2"/>
  <c r="AM2039" i="2"/>
  <c r="AK2039" i="2"/>
  <c r="AI2039" i="2"/>
  <c r="AB2039" i="2"/>
  <c r="AS534" i="2"/>
  <c r="AR534" i="2"/>
  <c r="AO534" i="2"/>
  <c r="AP534" i="2"/>
  <c r="AM534" i="2"/>
  <c r="AK534" i="2"/>
  <c r="AI534" i="2"/>
  <c r="AS735" i="2"/>
  <c r="AR735" i="2"/>
  <c r="AO735" i="2"/>
  <c r="AP735" i="2"/>
  <c r="AM735" i="2"/>
  <c r="AK735" i="2"/>
  <c r="AI735" i="2"/>
  <c r="AS2038" i="2"/>
  <c r="AR2038" i="2"/>
  <c r="AO2038" i="2"/>
  <c r="AP2038" i="2"/>
  <c r="AM2038" i="2"/>
  <c r="AK2038" i="2"/>
  <c r="AI2038" i="2"/>
  <c r="AS856" i="2"/>
  <c r="AR856" i="2"/>
  <c r="AO856" i="2"/>
  <c r="AP856" i="2"/>
  <c r="AM856" i="2"/>
  <c r="AK856" i="2"/>
  <c r="AI856" i="2"/>
  <c r="AS802" i="2"/>
  <c r="AR802" i="2"/>
  <c r="AO802" i="2"/>
  <c r="AP802" i="2"/>
  <c r="AM802" i="2"/>
  <c r="AK802" i="2"/>
  <c r="AI802" i="2"/>
  <c r="AS830" i="2"/>
  <c r="AR830" i="2"/>
  <c r="AO830" i="2"/>
  <c r="AP830" i="2"/>
  <c r="AM830" i="2"/>
  <c r="AK830" i="2"/>
  <c r="AI830" i="2"/>
  <c r="AS1518" i="2"/>
  <c r="AR1518" i="2"/>
  <c r="AO1518" i="2"/>
  <c r="AP1518" i="2"/>
  <c r="AM1518" i="2"/>
  <c r="AK1518" i="2"/>
  <c r="AI1518" i="2"/>
  <c r="AS759" i="2"/>
  <c r="AR759" i="2"/>
  <c r="AO759" i="2"/>
  <c r="AP759" i="2"/>
  <c r="AM759" i="2"/>
  <c r="AK759" i="2"/>
  <c r="AI759" i="2"/>
  <c r="AS2037" i="2"/>
  <c r="AR2037" i="2"/>
  <c r="AO2037" i="2"/>
  <c r="AP2037" i="2"/>
  <c r="AM2037" i="2"/>
  <c r="AK2037" i="2"/>
  <c r="AI2037" i="2"/>
  <c r="AS1896" i="2"/>
  <c r="AR1896" i="2"/>
  <c r="AO1896" i="2"/>
  <c r="AP1896" i="2"/>
  <c r="AM1896" i="2"/>
  <c r="AK1896" i="2"/>
  <c r="AI1896" i="2"/>
  <c r="AS2036" i="2"/>
  <c r="AR2036" i="2"/>
  <c r="AO2036" i="2"/>
  <c r="AP2036" i="2"/>
  <c r="AM2036" i="2"/>
  <c r="AK2036" i="2"/>
  <c r="AI2036" i="2"/>
  <c r="AS1580" i="2"/>
  <c r="AR1580" i="2"/>
  <c r="AO1580" i="2"/>
  <c r="AP1580" i="2"/>
  <c r="AM1580" i="2"/>
  <c r="AK1580" i="2"/>
  <c r="AI1580" i="2"/>
  <c r="AS1155" i="2"/>
  <c r="AR1155" i="2"/>
  <c r="AO1155" i="2"/>
  <c r="AP1155" i="2"/>
  <c r="AM1155" i="2"/>
  <c r="AK1155" i="2"/>
  <c r="AI1155" i="2"/>
  <c r="AS1280" i="2"/>
  <c r="AR1280" i="2"/>
  <c r="AO1280" i="2"/>
  <c r="AP1280" i="2"/>
  <c r="AM1280" i="2"/>
  <c r="AK1280" i="2"/>
  <c r="AI1280" i="2"/>
  <c r="AS2035" i="2"/>
  <c r="AR2035" i="2"/>
  <c r="AO2035" i="2"/>
  <c r="AP2035" i="2"/>
  <c r="AM2035" i="2"/>
  <c r="AK2035" i="2"/>
  <c r="AI2035" i="2"/>
  <c r="AS2034" i="2"/>
  <c r="AR2034" i="2"/>
  <c r="AO2034" i="2"/>
  <c r="AP2034" i="2"/>
  <c r="AM2034" i="2"/>
  <c r="AK2034" i="2"/>
  <c r="AI2034" i="2"/>
  <c r="AS2033" i="2"/>
  <c r="AR2033" i="2"/>
  <c r="AO2033" i="2"/>
  <c r="AP2033" i="2"/>
  <c r="AM2033" i="2"/>
  <c r="AK2033" i="2"/>
  <c r="AI2033" i="2"/>
  <c r="AS2032" i="2"/>
  <c r="AR2032" i="2"/>
  <c r="AO2032" i="2"/>
  <c r="AP2032" i="2"/>
  <c r="AM2032" i="2"/>
  <c r="AK2032" i="2"/>
  <c r="AI2032" i="2"/>
  <c r="AS474" i="2"/>
  <c r="AR474" i="2"/>
  <c r="AO474" i="2"/>
  <c r="AP474" i="2"/>
  <c r="AM474" i="2"/>
  <c r="AK474" i="2"/>
  <c r="AI474" i="2"/>
  <c r="AS2031" i="2"/>
  <c r="AR2031" i="2"/>
  <c r="AO2031" i="2"/>
  <c r="AP2031" i="2"/>
  <c r="AM2031" i="2"/>
  <c r="AK2031" i="2"/>
  <c r="AI2031" i="2"/>
  <c r="AS1497" i="2"/>
  <c r="AR1497" i="2"/>
  <c r="AO1497" i="2"/>
  <c r="AP1497" i="2"/>
  <c r="AM1497" i="2"/>
  <c r="AK1497" i="2"/>
  <c r="AI1497" i="2"/>
  <c r="AS1293" i="2"/>
  <c r="AR1293" i="2"/>
  <c r="AO1293" i="2"/>
  <c r="AP1293" i="2"/>
  <c r="AM1293" i="2"/>
  <c r="AK1293" i="2"/>
  <c r="AI1293" i="2"/>
  <c r="AS1553" i="2"/>
  <c r="AR1553" i="2"/>
  <c r="AO1553" i="2"/>
  <c r="AP1553" i="2"/>
  <c r="AM1553" i="2"/>
  <c r="AK1553" i="2"/>
  <c r="AI1553" i="2"/>
  <c r="AS688" i="2"/>
  <c r="AR688" i="2"/>
  <c r="AV688" i="2"/>
  <c r="AO688" i="2"/>
  <c r="AP688" i="2"/>
  <c r="AM688" i="2"/>
  <c r="AK688" i="2"/>
  <c r="AI688" i="2"/>
  <c r="AS293" i="2"/>
  <c r="AR293" i="2"/>
  <c r="AO293" i="2"/>
  <c r="AP293" i="2"/>
  <c r="AM293" i="2"/>
  <c r="AK293" i="2"/>
  <c r="AI293" i="2"/>
  <c r="AS1823" i="2"/>
  <c r="AR1823" i="2"/>
  <c r="AO1823" i="2"/>
  <c r="AP1823" i="2"/>
  <c r="AM1823" i="2"/>
  <c r="AK1823" i="2"/>
  <c r="AI1823" i="2"/>
  <c r="AQ1309" i="2"/>
  <c r="AU1125" i="2"/>
  <c r="AT1125" i="2"/>
  <c r="AP1125" i="2"/>
  <c r="AQ1125" i="2"/>
  <c r="AB1125" i="2"/>
  <c r="AU404" i="2"/>
  <c r="AT404" i="2"/>
  <c r="AP404" i="2"/>
  <c r="AQ404" i="2"/>
  <c r="AB404" i="2"/>
  <c r="AU1794" i="2"/>
  <c r="AT1794" i="2"/>
  <c r="AP1794" i="2"/>
  <c r="AQ1794" i="2"/>
  <c r="AB1794" i="2"/>
  <c r="AU2030" i="2"/>
  <c r="AT2030" i="2"/>
  <c r="AP2030" i="2"/>
  <c r="AQ2030" i="2"/>
  <c r="AB2030" i="2"/>
  <c r="AU2029" i="2"/>
  <c r="AT2029" i="2"/>
  <c r="AP2029" i="2"/>
  <c r="AQ2029" i="2"/>
  <c r="AB2029" i="2"/>
  <c r="AU2028" i="2"/>
  <c r="AT2028" i="2"/>
  <c r="AP2028" i="2"/>
  <c r="AQ2028" i="2"/>
  <c r="AB2028" i="2"/>
  <c r="AU2027" i="2"/>
  <c r="AT2027" i="2"/>
  <c r="AP2027" i="2"/>
  <c r="AQ2027" i="2"/>
  <c r="AB2027" i="2"/>
  <c r="AU1460" i="2"/>
  <c r="AT1460" i="2"/>
  <c r="AP1460" i="2"/>
  <c r="AQ1460" i="2"/>
  <c r="AB1460" i="2"/>
  <c r="AU2026" i="2"/>
  <c r="AT2026" i="2"/>
  <c r="AP2026" i="2"/>
  <c r="AQ2026" i="2"/>
  <c r="AB2026" i="2"/>
  <c r="AU1115" i="2"/>
  <c r="AT1115" i="2"/>
  <c r="AP1115" i="2"/>
  <c r="AQ1115" i="2"/>
  <c r="AB1115" i="2"/>
  <c r="AU973" i="2"/>
  <c r="AT973" i="2"/>
  <c r="AP973" i="2"/>
  <c r="AQ973" i="2"/>
  <c r="AB973" i="2"/>
  <c r="AU1909" i="2"/>
  <c r="AT1909" i="2"/>
  <c r="AP1909" i="2"/>
  <c r="AQ1909" i="2"/>
  <c r="AB1909" i="2"/>
  <c r="AU1907" i="2"/>
  <c r="AT1907" i="2"/>
  <c r="AP1907" i="2"/>
  <c r="AQ1907" i="2"/>
  <c r="AB1907" i="2"/>
  <c r="AU1739" i="2"/>
  <c r="AT1739" i="2"/>
  <c r="AP1739" i="2"/>
  <c r="AQ1739" i="2"/>
  <c r="AB1739" i="2"/>
  <c r="AU2025" i="2"/>
  <c r="AT2025" i="2"/>
  <c r="AP2025" i="2"/>
  <c r="AQ2025" i="2"/>
  <c r="AB2025" i="2"/>
  <c r="AU1432" i="2"/>
  <c r="AT1432" i="2"/>
  <c r="AP1432" i="2"/>
  <c r="AQ1432" i="2"/>
  <c r="AB1432" i="2"/>
  <c r="AU1021" i="2"/>
  <c r="AT1021" i="2"/>
  <c r="AP1021" i="2"/>
  <c r="AQ1021" i="2"/>
  <c r="AB1021" i="2"/>
  <c r="AU288" i="2"/>
  <c r="AT288" i="2"/>
  <c r="AP288" i="2"/>
  <c r="AQ288" i="2"/>
  <c r="AB288" i="2"/>
  <c r="AU228" i="2"/>
  <c r="AT228" i="2"/>
  <c r="AP228" i="2"/>
  <c r="AQ228" i="2"/>
  <c r="AB228" i="2"/>
  <c r="AU2024" i="2"/>
  <c r="AT2024" i="2"/>
  <c r="AP2024" i="2"/>
  <c r="AQ2024" i="2"/>
  <c r="AB2024" i="2"/>
  <c r="AT1585" i="2"/>
  <c r="AS1585" i="2"/>
  <c r="AO1585" i="2"/>
  <c r="AP1585" i="2"/>
  <c r="AB1585" i="2"/>
  <c r="AT1906" i="2"/>
  <c r="AS1906" i="2"/>
  <c r="AO1906" i="2"/>
  <c r="AP1906" i="2"/>
  <c r="AT1861" i="2"/>
  <c r="AS1861" i="2"/>
  <c r="AO1861" i="2"/>
  <c r="AP1861" i="2"/>
  <c r="AB1861" i="2"/>
  <c r="AT1615" i="2"/>
  <c r="AS1615" i="2"/>
  <c r="AO1615" i="2"/>
  <c r="AP1615" i="2"/>
  <c r="AB1615" i="2"/>
  <c r="AT509" i="2"/>
  <c r="AS509" i="2"/>
  <c r="AO509" i="2"/>
  <c r="AP509" i="2"/>
  <c r="AB509" i="2"/>
  <c r="AT1076" i="2"/>
  <c r="AS1076" i="2"/>
  <c r="AO1076" i="2"/>
  <c r="AP1076" i="2"/>
  <c r="AR1541" i="2"/>
  <c r="AQ1541" i="2"/>
  <c r="AO1541" i="2"/>
  <c r="AP1541" i="2"/>
  <c r="AB1541" i="2"/>
  <c r="AR2023" i="2"/>
  <c r="AQ2023" i="2"/>
  <c r="AO2023" i="2"/>
  <c r="AP2023" i="2"/>
  <c r="AB2023" i="2"/>
  <c r="AR316" i="2"/>
  <c r="AQ316" i="2"/>
  <c r="AO316" i="2"/>
  <c r="AP316" i="2"/>
  <c r="AB316" i="2"/>
  <c r="AR68" i="2"/>
  <c r="AQ68" i="2"/>
  <c r="AO68" i="2"/>
  <c r="AP68" i="2"/>
  <c r="AB68" i="2"/>
  <c r="AR2022" i="2"/>
  <c r="AQ2022" i="2"/>
  <c r="AO2022" i="2"/>
  <c r="AP2022" i="2"/>
  <c r="AB2022" i="2"/>
  <c r="AR1008" i="2"/>
  <c r="AQ1008" i="2"/>
  <c r="AO1008" i="2"/>
  <c r="AP1008" i="2"/>
  <c r="AB1008" i="2"/>
  <c r="AR1579" i="2"/>
  <c r="AQ1579" i="2"/>
  <c r="AO1579" i="2"/>
  <c r="AP1579" i="2"/>
  <c r="AB1579" i="2"/>
  <c r="AR989" i="2"/>
  <c r="AQ989" i="2"/>
  <c r="AO989" i="2"/>
  <c r="AP989" i="2"/>
  <c r="AB989" i="2"/>
  <c r="AR1744" i="2"/>
  <c r="AQ1744" i="2"/>
  <c r="AO1744" i="2"/>
  <c r="AP1744" i="2"/>
  <c r="AB1744" i="2"/>
  <c r="AR1700" i="2"/>
  <c r="AQ1700" i="2"/>
  <c r="AO1700" i="2"/>
  <c r="AP1700" i="2"/>
  <c r="AB1700" i="2"/>
  <c r="AR614" i="2"/>
  <c r="AQ614" i="2"/>
  <c r="AO614" i="2"/>
  <c r="AP614" i="2"/>
  <c r="AB614" i="2"/>
  <c r="AR1003" i="2"/>
  <c r="AQ1003" i="2"/>
  <c r="AO1003" i="2"/>
  <c r="AP1003" i="2"/>
  <c r="AB1003" i="2"/>
  <c r="AR2021" i="2"/>
  <c r="AQ2021" i="2"/>
  <c r="AO2021" i="2"/>
  <c r="AP2021" i="2"/>
  <c r="AB2021" i="2"/>
  <c r="AR995" i="2"/>
  <c r="AQ995" i="2"/>
  <c r="AO995" i="2"/>
  <c r="AP995" i="2"/>
  <c r="AB995" i="2"/>
  <c r="AR1548" i="2"/>
  <c r="AQ1548" i="2"/>
  <c r="AO1548" i="2"/>
  <c r="AP1548" i="2"/>
  <c r="AB1548" i="2"/>
  <c r="AR1301" i="2"/>
  <c r="AQ1301" i="2"/>
  <c r="AO1301" i="2"/>
  <c r="AP1301" i="2"/>
  <c r="AB1301" i="2"/>
  <c r="AR569" i="2"/>
  <c r="AQ569" i="2"/>
  <c r="AO569" i="2"/>
  <c r="AP569" i="2"/>
  <c r="AB569" i="2"/>
  <c r="AR1722" i="2"/>
  <c r="AQ1722" i="2"/>
  <c r="AO1722" i="2"/>
  <c r="AP1722" i="2"/>
  <c r="AB1722" i="2"/>
  <c r="AR1850" i="2"/>
  <c r="AQ1850" i="2"/>
  <c r="AO1850" i="2"/>
  <c r="AP1850" i="2"/>
  <c r="AB1850" i="2"/>
  <c r="AR350" i="2"/>
  <c r="AQ350" i="2"/>
  <c r="AO350" i="2"/>
  <c r="AP350" i="2"/>
  <c r="AB350" i="2"/>
  <c r="AR1416" i="2"/>
  <c r="AQ1416" i="2"/>
  <c r="AO1416" i="2"/>
  <c r="AP1416" i="2"/>
  <c r="AR1712" i="2"/>
  <c r="AQ1712" i="2"/>
  <c r="AO1712" i="2"/>
  <c r="AP1712" i="2"/>
  <c r="AB1712" i="2"/>
  <c r="AR529" i="2"/>
  <c r="AQ529" i="2"/>
  <c r="AO529" i="2"/>
  <c r="AP529" i="2"/>
  <c r="AB529" i="2"/>
  <c r="AR945" i="2"/>
  <c r="AQ945" i="2"/>
  <c r="AO945" i="2"/>
  <c r="AP945" i="2"/>
  <c r="AB945" i="2"/>
  <c r="AR1325" i="2"/>
  <c r="AQ1325" i="2"/>
  <c r="AO1325" i="2"/>
  <c r="AP1325" i="2"/>
  <c r="AB1325" i="2"/>
  <c r="AR1183" i="2"/>
  <c r="AQ1183" i="2"/>
  <c r="AO1183" i="2"/>
  <c r="AP1183" i="2"/>
  <c r="AB1183" i="2"/>
  <c r="AV1527" i="2"/>
  <c r="AR1527" i="2"/>
  <c r="AQ1527" i="2"/>
  <c r="AO1527" i="2"/>
  <c r="AP1527" i="2"/>
  <c r="AB1527" i="2"/>
  <c r="AR1641" i="2"/>
  <c r="AQ1641" i="2"/>
  <c r="AO1641" i="2"/>
  <c r="AP1641" i="2"/>
  <c r="AB1641" i="2"/>
  <c r="AR1171" i="2"/>
  <c r="AQ1171" i="2"/>
  <c r="AO1171" i="2"/>
  <c r="AP1171" i="2"/>
  <c r="AB1171" i="2"/>
  <c r="AR1772" i="2"/>
  <c r="AQ1772" i="2"/>
  <c r="AO1772" i="2"/>
  <c r="AP1772" i="2"/>
  <c r="AB1772" i="2"/>
  <c r="AT605" i="2"/>
  <c r="AS605" i="2"/>
  <c r="AO605" i="2"/>
  <c r="AP605" i="2"/>
  <c r="AT1169" i="2"/>
  <c r="AS1169" i="2"/>
  <c r="AO1169" i="2"/>
  <c r="AP1169" i="2"/>
  <c r="AB1169" i="2"/>
  <c r="AT466" i="2"/>
  <c r="AS466" i="2"/>
  <c r="AO466" i="2"/>
  <c r="AP466" i="2"/>
  <c r="AB466" i="2"/>
  <c r="AT732" i="2"/>
  <c r="AS732" i="2"/>
  <c r="AO732" i="2"/>
  <c r="AP732" i="2"/>
  <c r="AB732" i="2"/>
  <c r="AT262" i="2"/>
  <c r="AS262" i="2"/>
  <c r="AO262" i="2"/>
  <c r="AP262" i="2"/>
  <c r="AB262" i="2"/>
  <c r="AT1835" i="2"/>
  <c r="AS1835" i="2"/>
  <c r="AO1835" i="2"/>
  <c r="AP1835" i="2"/>
  <c r="AB1835" i="2"/>
  <c r="AT1197" i="2"/>
  <c r="AS1197" i="2"/>
  <c r="AO1197" i="2"/>
  <c r="AP1197" i="2"/>
  <c r="AB1197" i="2"/>
  <c r="AT1841" i="2"/>
  <c r="AS1841" i="2"/>
  <c r="AO1841" i="2"/>
  <c r="AP1841" i="2"/>
  <c r="AB1841" i="2"/>
  <c r="AT1459" i="2"/>
  <c r="AS1459" i="2"/>
  <c r="AO1459" i="2"/>
  <c r="AP1459" i="2"/>
  <c r="AB1459" i="2"/>
  <c r="AT304" i="2"/>
  <c r="AS304" i="2"/>
  <c r="AO304" i="2"/>
  <c r="AP304" i="2"/>
  <c r="AB304" i="2"/>
  <c r="AT1882" i="2"/>
  <c r="AS1882" i="2"/>
  <c r="AO1882" i="2"/>
  <c r="AP1882" i="2"/>
  <c r="AB1882" i="2"/>
  <c r="AT1886" i="2"/>
  <c r="AS1886" i="2"/>
  <c r="AO1886" i="2"/>
  <c r="AP1886" i="2"/>
  <c r="AB1886" i="2"/>
  <c r="AY1146" i="2"/>
  <c r="AT1146" i="2"/>
  <c r="AS1146" i="2"/>
  <c r="AO1146" i="2"/>
  <c r="AP1146" i="2"/>
  <c r="AB1146" i="2"/>
  <c r="AT2020" i="2"/>
  <c r="AS2020" i="2"/>
  <c r="AO2020" i="2"/>
  <c r="AP2020" i="2"/>
  <c r="AB2020" i="2"/>
  <c r="AR673" i="2"/>
  <c r="AQ673" i="2"/>
  <c r="AO673" i="2"/>
  <c r="AP673" i="2"/>
  <c r="AB673" i="2"/>
  <c r="AR755" i="2"/>
  <c r="AQ755" i="2"/>
  <c r="AO755" i="2"/>
  <c r="AP755" i="2"/>
  <c r="AB755" i="2"/>
  <c r="AR1311" i="2"/>
  <c r="AQ1311" i="2"/>
  <c r="AO1311" i="2"/>
  <c r="AP1311" i="2"/>
  <c r="AR498" i="2"/>
  <c r="AQ498" i="2"/>
  <c r="AO498" i="2"/>
  <c r="AP498" i="2"/>
  <c r="AB498" i="2"/>
  <c r="AR1266" i="2"/>
  <c r="AQ1266" i="2"/>
  <c r="AO1266" i="2"/>
  <c r="AP1266" i="2"/>
  <c r="AB1266" i="2"/>
  <c r="AR1516" i="2"/>
  <c r="AQ1516" i="2"/>
  <c r="AO1516" i="2"/>
  <c r="AP1516" i="2"/>
  <c r="AB1516" i="2"/>
  <c r="AR964" i="2"/>
  <c r="AQ964" i="2"/>
  <c r="AO964" i="2"/>
  <c r="AP964" i="2"/>
  <c r="AB964" i="2"/>
  <c r="AR634" i="2"/>
  <c r="AQ634" i="2"/>
  <c r="AO634" i="2"/>
  <c r="AP634" i="2"/>
  <c r="AB634" i="2"/>
  <c r="AR1631" i="2"/>
  <c r="AQ1631" i="2"/>
  <c r="AO1631" i="2"/>
  <c r="AP1631" i="2"/>
  <c r="AB1631" i="2"/>
  <c r="AR1213" i="2"/>
  <c r="AQ1213" i="2"/>
  <c r="AO1213" i="2"/>
  <c r="AP1213" i="2"/>
  <c r="AB1213" i="2"/>
  <c r="AR1004" i="2"/>
  <c r="AQ1004" i="2"/>
  <c r="AO1004" i="2"/>
  <c r="AP1004" i="2"/>
  <c r="AB1004" i="2"/>
  <c r="AR1104" i="2"/>
  <c r="AQ1104" i="2"/>
  <c r="AO1104" i="2"/>
  <c r="AP1104" i="2"/>
  <c r="AB1104" i="2"/>
  <c r="AR608" i="2"/>
  <c r="AQ608" i="2"/>
  <c r="AO608" i="2"/>
  <c r="AP608" i="2"/>
  <c r="AB608" i="2"/>
  <c r="AR1320" i="2"/>
  <c r="AQ1320" i="2"/>
  <c r="AO1320" i="2"/>
  <c r="AP1320" i="2"/>
  <c r="AB1320" i="2"/>
  <c r="AR1394" i="2"/>
  <c r="AQ1394" i="2"/>
  <c r="AO1394" i="2"/>
  <c r="AP1394" i="2"/>
  <c r="AB1394" i="2"/>
  <c r="AR1353" i="2"/>
  <c r="AQ1353" i="2"/>
  <c r="AO1353" i="2"/>
  <c r="AP1353" i="2"/>
  <c r="AB1353" i="2"/>
  <c r="AR1111" i="2"/>
  <c r="AQ1111" i="2"/>
  <c r="AO1111" i="2"/>
  <c r="AP1111" i="2"/>
  <c r="AB1111" i="2"/>
  <c r="AR1614" i="2"/>
  <c r="AQ1614" i="2"/>
  <c r="AO1614" i="2"/>
  <c r="AP1614" i="2"/>
  <c r="AB1614" i="2"/>
  <c r="AR1529" i="2"/>
  <c r="AQ1529" i="2"/>
  <c r="AO1529" i="2"/>
  <c r="AP1529" i="2"/>
  <c r="AB1529" i="2"/>
  <c r="AR846" i="2"/>
  <c r="AQ846" i="2"/>
  <c r="AO846" i="2"/>
  <c r="AP846" i="2"/>
  <c r="AR1408" i="2"/>
  <c r="AQ1408" i="2"/>
  <c r="AO1408" i="2"/>
  <c r="AP1408" i="2"/>
  <c r="AB1408" i="2"/>
  <c r="AR1556" i="2"/>
  <c r="AQ1556" i="2"/>
  <c r="AO1556" i="2"/>
  <c r="AP1556" i="2"/>
  <c r="AB1556" i="2"/>
  <c r="AR950" i="2"/>
  <c r="AQ950" i="2"/>
  <c r="AO950" i="2"/>
  <c r="AP950" i="2"/>
  <c r="AR1538" i="2"/>
  <c r="AQ1538" i="2"/>
  <c r="AO1538" i="2"/>
  <c r="AP1538" i="2"/>
  <c r="AB1538" i="2"/>
  <c r="AR1761" i="2"/>
  <c r="AQ1761" i="2"/>
  <c r="AO1761" i="2"/>
  <c r="AP1761" i="2"/>
  <c r="AB1761" i="2"/>
  <c r="AR1229" i="2"/>
  <c r="AQ1229" i="2"/>
  <c r="AO1229" i="2"/>
  <c r="AP1229" i="2"/>
  <c r="AB1229" i="2"/>
  <c r="AR1820" i="2"/>
  <c r="AQ1820" i="2"/>
  <c r="AO1820" i="2"/>
  <c r="AP1820" i="2"/>
  <c r="AB1820" i="2"/>
  <c r="AR1911" i="2"/>
  <c r="AQ1911" i="2"/>
  <c r="AO1911" i="2"/>
  <c r="AP1911" i="2"/>
  <c r="AB1911" i="2"/>
  <c r="AR1075" i="2"/>
  <c r="AQ1075" i="2"/>
  <c r="AO1075" i="2"/>
  <c r="AP1075" i="2"/>
  <c r="AB1075" i="2"/>
  <c r="AR1718" i="2"/>
  <c r="AQ1718" i="2"/>
  <c r="AO1718" i="2"/>
  <c r="AP1718" i="2"/>
  <c r="AB1718" i="2"/>
  <c r="AR1206" i="2"/>
  <c r="AQ1206" i="2"/>
  <c r="AO1206" i="2"/>
  <c r="AP1206" i="2"/>
  <c r="AI1206" i="2"/>
  <c r="AB1206" i="2"/>
  <c r="AR1087" i="2"/>
  <c r="AQ1087" i="2"/>
  <c r="AO1087" i="2"/>
  <c r="AP1087" i="2"/>
  <c r="AI1087" i="2"/>
  <c r="AB1087" i="2"/>
  <c r="AR1448" i="2"/>
  <c r="AQ1448" i="2"/>
  <c r="AO1448" i="2"/>
  <c r="AP1448" i="2"/>
  <c r="AI1448" i="2"/>
  <c r="AB1448" i="2"/>
  <c r="AR2019" i="2"/>
  <c r="AQ2019" i="2"/>
  <c r="AO2019" i="2"/>
  <c r="AP2019" i="2"/>
  <c r="AI2019" i="2"/>
  <c r="AB2019" i="2"/>
  <c r="AR464" i="2"/>
  <c r="AQ464" i="2"/>
  <c r="AO464" i="2"/>
  <c r="AP464" i="2"/>
  <c r="AI464" i="2"/>
  <c r="AB464" i="2"/>
  <c r="AR641" i="2"/>
  <c r="AQ641" i="2"/>
  <c r="AO641" i="2"/>
  <c r="AP641" i="2"/>
  <c r="AI641" i="2"/>
  <c r="AB641" i="2"/>
  <c r="AR1554" i="2"/>
  <c r="AQ1554" i="2"/>
  <c r="AO1554" i="2"/>
  <c r="AP1554" i="2"/>
  <c r="AI1554" i="2"/>
  <c r="AB1554" i="2"/>
  <c r="AR1040" i="2"/>
  <c r="AQ1040" i="2"/>
  <c r="AO1040" i="2"/>
  <c r="AP1040" i="2"/>
  <c r="AI1040" i="2"/>
  <c r="AB1040" i="2"/>
  <c r="AR2018" i="2"/>
  <c r="AQ2018" i="2"/>
  <c r="AO2018" i="2"/>
  <c r="AP2018" i="2"/>
  <c r="AR1001" i="2"/>
  <c r="AQ1001" i="2"/>
  <c r="AO1001" i="2"/>
  <c r="AP1001" i="2"/>
  <c r="AM1001" i="2"/>
  <c r="AK1001" i="2"/>
  <c r="AI1001" i="2"/>
  <c r="AB1001" i="2"/>
  <c r="AR908" i="2"/>
  <c r="AQ908" i="2"/>
  <c r="AO908" i="2"/>
  <c r="AP908" i="2"/>
  <c r="AM908" i="2"/>
  <c r="AK908" i="2"/>
  <c r="AI908" i="2"/>
  <c r="AB908" i="2"/>
  <c r="AR753" i="2"/>
  <c r="AQ753" i="2"/>
  <c r="AO753" i="2"/>
  <c r="AP753" i="2"/>
  <c r="AM753" i="2"/>
  <c r="AK753" i="2"/>
  <c r="AI753" i="2"/>
  <c r="AB753" i="2"/>
  <c r="AR721" i="2"/>
  <c r="AQ721" i="2"/>
  <c r="AO721" i="2"/>
  <c r="AP721" i="2"/>
  <c r="AM721" i="2"/>
  <c r="AK721" i="2"/>
  <c r="AI721" i="2"/>
  <c r="AB721" i="2"/>
  <c r="AR481" i="2"/>
  <c r="AQ481" i="2"/>
  <c r="AO481" i="2"/>
  <c r="AP481" i="2"/>
  <c r="AM481" i="2"/>
  <c r="AK481" i="2"/>
  <c r="AI481" i="2"/>
  <c r="AB481" i="2"/>
  <c r="AR496" i="2"/>
  <c r="AQ496" i="2"/>
  <c r="AO496" i="2"/>
  <c r="AP496" i="2"/>
  <c r="AM496" i="2"/>
  <c r="AK496" i="2"/>
  <c r="AI496" i="2"/>
  <c r="AB496" i="2"/>
  <c r="AR265" i="2"/>
  <c r="AQ265" i="2"/>
  <c r="AO265" i="2"/>
  <c r="AP265" i="2"/>
  <c r="AM265" i="2"/>
  <c r="AK265" i="2"/>
  <c r="AI265" i="2"/>
  <c r="AB265" i="2"/>
  <c r="AO1209" i="2"/>
  <c r="AP1209" i="2"/>
  <c r="AM1209" i="2"/>
  <c r="AK1209" i="2"/>
  <c r="AI1209" i="2"/>
  <c r="AB1209" i="2"/>
  <c r="AO969" i="2"/>
  <c r="AP969" i="2"/>
  <c r="AM969" i="2"/>
  <c r="AK969" i="2"/>
  <c r="AI969" i="2"/>
  <c r="AB969" i="2"/>
  <c r="AR1885" i="2"/>
  <c r="AQ1885" i="2"/>
  <c r="AO1885" i="2"/>
  <c r="AP1885" i="2"/>
  <c r="AM1885" i="2"/>
  <c r="AK1885" i="2"/>
  <c r="AI1885" i="2"/>
  <c r="AB1885" i="2"/>
  <c r="AR1871" i="2"/>
  <c r="AQ1871" i="2"/>
  <c r="AO1871" i="2"/>
  <c r="AP1871" i="2"/>
  <c r="AM1871" i="2"/>
  <c r="AK1871" i="2"/>
  <c r="AI1871" i="2"/>
  <c r="AB1871" i="2"/>
  <c r="AR2017" i="2"/>
  <c r="AQ2017" i="2"/>
  <c r="AO2017" i="2"/>
  <c r="AP2017" i="2"/>
  <c r="AM2017" i="2"/>
  <c r="AK2017" i="2"/>
  <c r="AI2017" i="2"/>
  <c r="AB2017" i="2"/>
  <c r="AR2016" i="2"/>
  <c r="AQ2016" i="2"/>
  <c r="AO2016" i="2"/>
  <c r="AP2016" i="2"/>
  <c r="AM2016" i="2"/>
  <c r="AK2016" i="2"/>
  <c r="AI2016" i="2"/>
  <c r="AB2016" i="2"/>
  <c r="AR1682" i="2"/>
  <c r="AQ1682" i="2"/>
  <c r="AO1682" i="2"/>
  <c r="AP1682" i="2"/>
  <c r="AM1682" i="2"/>
  <c r="AK1682" i="2"/>
  <c r="AI1682" i="2"/>
  <c r="AB1682" i="2"/>
  <c r="AR1706" i="2"/>
  <c r="AQ1706" i="2"/>
  <c r="AO1706" i="2"/>
  <c r="AP1706" i="2"/>
  <c r="AM1706" i="2"/>
  <c r="AK1706" i="2"/>
  <c r="AI1706" i="2"/>
  <c r="AB1706" i="2"/>
  <c r="AR2015" i="2"/>
  <c r="AQ2015" i="2"/>
  <c r="AO2015" i="2"/>
  <c r="AP2015" i="2"/>
  <c r="AR109" i="2"/>
  <c r="AQ109" i="2"/>
  <c r="AO109" i="2"/>
  <c r="AP109" i="2"/>
  <c r="AR1662" i="2"/>
  <c r="AQ1662" i="2"/>
  <c r="AO1662" i="2"/>
  <c r="AP1662" i="2"/>
  <c r="AR2014" i="2"/>
  <c r="AQ2014" i="2"/>
  <c r="AO2014" i="2"/>
  <c r="AP2014" i="2"/>
  <c r="AR772" i="2"/>
  <c r="AQ772" i="2"/>
  <c r="AO772" i="2"/>
  <c r="AP772" i="2"/>
  <c r="AR2013" i="2"/>
  <c r="AQ2013" i="2"/>
  <c r="AO2013" i="2"/>
  <c r="AP2013" i="2"/>
  <c r="AR1792" i="2"/>
  <c r="AQ1792" i="2"/>
  <c r="AO1792" i="2"/>
  <c r="AP1792" i="2"/>
  <c r="AR1281" i="2"/>
  <c r="AQ1281" i="2"/>
  <c r="AO1281" i="2"/>
  <c r="AP1281" i="2"/>
  <c r="AR1575" i="2"/>
  <c r="AQ1575" i="2"/>
  <c r="AO1575" i="2"/>
  <c r="AP1575" i="2"/>
  <c r="AR1287" i="2"/>
  <c r="AQ1287" i="2"/>
  <c r="AO1287" i="2"/>
  <c r="AP1287" i="2"/>
  <c r="AR1753" i="2"/>
  <c r="AQ1753" i="2"/>
  <c r="AO1753" i="2"/>
  <c r="AP1753" i="2"/>
  <c r="AR1833" i="2"/>
  <c r="AQ1833" i="2"/>
  <c r="AO1833" i="2"/>
  <c r="AP1833" i="2"/>
  <c r="AR1118" i="2"/>
  <c r="AQ1118" i="2"/>
  <c r="AO1118" i="2"/>
  <c r="AP1118" i="2"/>
  <c r="AR2012" i="2"/>
  <c r="AQ2012" i="2"/>
  <c r="AO2012" i="2"/>
  <c r="AP2012" i="2"/>
  <c r="AR1789" i="2"/>
  <c r="AQ1789" i="2"/>
  <c r="AO1789" i="2"/>
  <c r="AP1789" i="2"/>
  <c r="AR1049" i="2"/>
  <c r="AQ1049" i="2"/>
  <c r="AO1049" i="2"/>
  <c r="AP1049" i="2"/>
  <c r="AR789" i="2"/>
  <c r="AQ789" i="2"/>
  <c r="AO789" i="2"/>
  <c r="AP789" i="2"/>
  <c r="AR1177" i="2"/>
  <c r="AQ1177" i="2"/>
  <c r="AO1177" i="2"/>
  <c r="AP1177" i="2"/>
  <c r="AB1177" i="2"/>
  <c r="AR2011" i="2"/>
  <c r="AQ2011" i="2"/>
  <c r="AO2011" i="2"/>
  <c r="AP2011" i="2"/>
  <c r="AB2011" i="2"/>
  <c r="AR1283" i="2"/>
  <c r="AQ1283" i="2"/>
  <c r="AO1283" i="2"/>
  <c r="AP1283" i="2"/>
  <c r="AB1283" i="2"/>
  <c r="AR1616" i="2"/>
  <c r="AQ1616" i="2"/>
  <c r="AO1616" i="2"/>
  <c r="AP1616" i="2"/>
  <c r="AM1616" i="2"/>
  <c r="AK1616" i="2"/>
  <c r="AI1616" i="2"/>
  <c r="AB1616" i="2"/>
  <c r="AR1570" i="2"/>
  <c r="AQ1570" i="2"/>
  <c r="AO1570" i="2"/>
  <c r="AP1570" i="2"/>
  <c r="AM1570" i="2"/>
  <c r="AK1570" i="2"/>
  <c r="AI1570" i="2"/>
  <c r="AB1570" i="2"/>
  <c r="AR1605" i="2"/>
  <c r="AQ1605" i="2"/>
  <c r="AO1605" i="2"/>
  <c r="AP1605" i="2"/>
  <c r="AM1605" i="2"/>
  <c r="AK1605" i="2"/>
  <c r="AI1605" i="2"/>
  <c r="AB1605" i="2"/>
  <c r="AR905" i="2"/>
  <c r="AQ905" i="2"/>
  <c r="AO905" i="2"/>
  <c r="AP905" i="2"/>
  <c r="AM905" i="2"/>
  <c r="AK905" i="2"/>
  <c r="AI905" i="2"/>
  <c r="AB905" i="2"/>
  <c r="AR741" i="2"/>
  <c r="AQ741" i="2"/>
  <c r="AO741" i="2"/>
  <c r="AP741" i="2"/>
  <c r="AM741" i="2"/>
  <c r="AK741" i="2"/>
  <c r="AI741" i="2"/>
  <c r="AB741" i="2"/>
  <c r="AR428" i="2"/>
  <c r="AQ428" i="2"/>
  <c r="AO428" i="2"/>
  <c r="AP428" i="2"/>
  <c r="AM428" i="2"/>
  <c r="AK428" i="2"/>
  <c r="AI428" i="2"/>
  <c r="AB428" i="2"/>
  <c r="AR1337" i="2"/>
  <c r="AQ1337" i="2"/>
  <c r="AO1337" i="2"/>
  <c r="AP1337" i="2"/>
  <c r="AM1337" i="2"/>
  <c r="AK1337" i="2"/>
  <c r="AI1337" i="2"/>
  <c r="AB1337" i="2"/>
  <c r="AR367" i="2"/>
  <c r="AQ367" i="2"/>
  <c r="AO367" i="2"/>
  <c r="AP367" i="2"/>
  <c r="AM367" i="2"/>
  <c r="AK367" i="2"/>
  <c r="AI367" i="2"/>
  <c r="AB367" i="2"/>
  <c r="AR2010" i="2"/>
  <c r="AQ2010" i="2"/>
  <c r="AO2010" i="2"/>
  <c r="AP2010" i="2"/>
  <c r="AM2010" i="2"/>
  <c r="AK2010" i="2"/>
  <c r="AI2010" i="2"/>
  <c r="AB2010" i="2"/>
  <c r="AR2009" i="2"/>
  <c r="AQ2009" i="2"/>
  <c r="AO2009" i="2"/>
  <c r="AP2009" i="2"/>
  <c r="AM2009" i="2"/>
  <c r="AK2009" i="2"/>
  <c r="AI2009" i="2"/>
  <c r="AB2009" i="2"/>
  <c r="AR1023" i="2"/>
  <c r="AQ1023" i="2"/>
  <c r="AO1023" i="2"/>
  <c r="AP1023" i="2"/>
  <c r="AM1023" i="2"/>
  <c r="AK1023" i="2"/>
  <c r="AI1023" i="2"/>
  <c r="AB1023" i="2"/>
  <c r="AR1071" i="2"/>
  <c r="AQ1071" i="2"/>
  <c r="AO1071" i="2"/>
  <c r="AP1071" i="2"/>
  <c r="AM1071" i="2"/>
  <c r="AK1071" i="2"/>
  <c r="AI1071" i="2"/>
  <c r="AB1071" i="2"/>
  <c r="AW448" i="2"/>
  <c r="BA448" i="2"/>
  <c r="AV448" i="2"/>
  <c r="AZ448" i="2"/>
  <c r="AU448" i="2"/>
  <c r="AY448" i="2"/>
  <c r="AR448" i="2"/>
  <c r="AQ448" i="2"/>
  <c r="AO448" i="2"/>
  <c r="AP448" i="2"/>
  <c r="AM448" i="2"/>
  <c r="AK448" i="2"/>
  <c r="AI448" i="2"/>
  <c r="AW1510" i="2"/>
  <c r="BA1510" i="2"/>
  <c r="AV1510" i="2"/>
  <c r="AZ1510" i="2"/>
  <c r="AU1510" i="2"/>
  <c r="AY1510" i="2"/>
  <c r="AR1510" i="2"/>
  <c r="AQ1510" i="2"/>
  <c r="AO1510" i="2"/>
  <c r="AP1510" i="2"/>
  <c r="AM1510" i="2"/>
  <c r="AK1510" i="2"/>
  <c r="AI1510" i="2"/>
  <c r="AU1723" i="2"/>
  <c r="AY1723" i="2"/>
  <c r="AW1723" i="2"/>
  <c r="BA1723" i="2"/>
  <c r="AV1723" i="2"/>
  <c r="AZ1723" i="2"/>
  <c r="AR1723" i="2"/>
  <c r="AQ1723" i="2"/>
  <c r="AO1723" i="2"/>
  <c r="AP1723" i="2"/>
  <c r="AM1723" i="2"/>
  <c r="AK1723" i="2"/>
  <c r="AI1723" i="2"/>
  <c r="AW1626" i="2"/>
  <c r="BA1626" i="2"/>
  <c r="AV1626" i="2"/>
  <c r="AZ1626" i="2"/>
  <c r="AU1626" i="2"/>
  <c r="AY1626" i="2"/>
  <c r="AR1626" i="2"/>
  <c r="AQ1626" i="2"/>
  <c r="AO1626" i="2"/>
  <c r="AP1626" i="2"/>
  <c r="AM1626" i="2"/>
  <c r="AK1626" i="2"/>
  <c r="AI1626" i="2"/>
  <c r="AU274" i="2"/>
  <c r="AY274" i="2"/>
  <c r="AW274" i="2"/>
  <c r="BA274" i="2"/>
  <c r="AV274" i="2"/>
  <c r="AZ274" i="2"/>
  <c r="AR274" i="2"/>
  <c r="AQ274" i="2"/>
  <c r="AO274" i="2"/>
  <c r="AP274" i="2"/>
  <c r="AM274" i="2"/>
  <c r="AK274" i="2"/>
  <c r="AI274" i="2"/>
  <c r="AW2008" i="2"/>
  <c r="BA2008" i="2"/>
  <c r="AV2008" i="2"/>
  <c r="AZ2008" i="2"/>
  <c r="AU2008" i="2"/>
  <c r="AY2008" i="2"/>
  <c r="AR2008" i="2"/>
  <c r="AQ2008" i="2"/>
  <c r="AO2008" i="2"/>
  <c r="AP2008" i="2"/>
  <c r="AM2008" i="2"/>
  <c r="AK2008" i="2"/>
  <c r="AI2008" i="2"/>
  <c r="AU1399" i="2"/>
  <c r="AY1399" i="2"/>
  <c r="AW1399" i="2"/>
  <c r="BA1399" i="2"/>
  <c r="AV1399" i="2"/>
  <c r="AZ1399" i="2"/>
  <c r="AR1399" i="2"/>
  <c r="AQ1399" i="2"/>
  <c r="AO1399" i="2"/>
  <c r="AP1399" i="2"/>
  <c r="AM1399" i="2"/>
  <c r="AK1399" i="2"/>
  <c r="AI1399" i="2"/>
  <c r="AW808" i="2"/>
  <c r="BA808" i="2"/>
  <c r="AV808" i="2"/>
  <c r="AZ808" i="2"/>
  <c r="AU808" i="2"/>
  <c r="AY808" i="2"/>
  <c r="AR808" i="2"/>
  <c r="AQ808" i="2"/>
  <c r="AO808" i="2"/>
  <c r="AP808" i="2"/>
  <c r="AM808" i="2"/>
  <c r="AK808" i="2"/>
  <c r="AI808" i="2"/>
  <c r="AU1522" i="2"/>
  <c r="AY1522" i="2"/>
  <c r="AW1522" i="2"/>
  <c r="BA1522" i="2"/>
  <c r="AV1522" i="2"/>
  <c r="AZ1522" i="2"/>
  <c r="AR1522" i="2"/>
  <c r="AQ1522" i="2"/>
  <c r="AO1522" i="2"/>
  <c r="AP1522" i="2"/>
  <c r="AM1522" i="2"/>
  <c r="AK1522" i="2"/>
  <c r="AI1522" i="2"/>
  <c r="AW1438" i="2"/>
  <c r="BA1438" i="2"/>
  <c r="AV1438" i="2"/>
  <c r="AZ1438" i="2"/>
  <c r="AU1438" i="2"/>
  <c r="AY1438" i="2"/>
  <c r="AR1438" i="2"/>
  <c r="AQ1438" i="2"/>
  <c r="AO1438" i="2"/>
  <c r="AP1438" i="2"/>
  <c r="AM1438" i="2"/>
  <c r="AK1438" i="2"/>
  <c r="AI1438" i="2"/>
  <c r="AU1012" i="2"/>
  <c r="AY1012" i="2"/>
  <c r="AW1012" i="2"/>
  <c r="BA1012" i="2"/>
  <c r="AV1012" i="2"/>
  <c r="AZ1012" i="2"/>
  <c r="AR1012" i="2"/>
  <c r="AQ1012" i="2"/>
  <c r="AO1012" i="2"/>
  <c r="AP1012" i="2"/>
  <c r="AM1012" i="2"/>
  <c r="AK1012" i="2"/>
  <c r="AI1012" i="2"/>
  <c r="AW1910" i="2"/>
  <c r="BA1910" i="2"/>
  <c r="AV1910" i="2"/>
  <c r="AZ1910" i="2"/>
  <c r="AU1910" i="2"/>
  <c r="AY1910" i="2"/>
  <c r="AR1910" i="2"/>
  <c r="AQ1910" i="2"/>
  <c r="AO1910" i="2"/>
  <c r="AP1910" i="2"/>
  <c r="AM1910" i="2"/>
  <c r="AK1910" i="2"/>
  <c r="AI1910" i="2"/>
  <c r="AU1908" i="2"/>
  <c r="AY1908" i="2"/>
  <c r="AW1908" i="2"/>
  <c r="BA1908" i="2"/>
  <c r="AV1908" i="2"/>
  <c r="AZ1908" i="2"/>
  <c r="AR1908" i="2"/>
  <c r="AQ1908" i="2"/>
  <c r="AO1908" i="2"/>
  <c r="AP1908" i="2"/>
  <c r="AM1908" i="2"/>
  <c r="AK1908" i="2"/>
  <c r="AI1908" i="2"/>
  <c r="AW1647" i="2"/>
  <c r="BA1647" i="2"/>
  <c r="AV1647" i="2"/>
  <c r="AZ1647" i="2"/>
  <c r="AU1647" i="2"/>
  <c r="AY1647" i="2"/>
  <c r="AR1647" i="2"/>
  <c r="AQ1647" i="2"/>
  <c r="AO1647" i="2"/>
  <c r="AP1647" i="2"/>
  <c r="AM1647" i="2"/>
  <c r="AK1647" i="2"/>
  <c r="AI1647" i="2"/>
  <c r="AU1729" i="2"/>
  <c r="AY1729" i="2"/>
  <c r="AW1729" i="2"/>
  <c r="BA1729" i="2"/>
  <c r="AV1729" i="2"/>
  <c r="AZ1729" i="2"/>
  <c r="AO1729" i="2"/>
  <c r="AP1729" i="2"/>
  <c r="AM1729" i="2"/>
  <c r="AK1729" i="2"/>
  <c r="AI1729" i="2"/>
  <c r="AW943" i="2"/>
  <c r="BA943" i="2"/>
  <c r="AV943" i="2"/>
  <c r="AZ943" i="2"/>
  <c r="AU943" i="2"/>
  <c r="AY943" i="2"/>
  <c r="AR943" i="2"/>
  <c r="AQ943" i="2"/>
  <c r="AO943" i="2"/>
  <c r="AP943" i="2"/>
  <c r="AM943" i="2"/>
  <c r="AK943" i="2"/>
  <c r="AI943" i="2"/>
  <c r="AW895" i="2"/>
  <c r="BA895" i="2"/>
  <c r="AV895" i="2"/>
  <c r="AZ895" i="2"/>
  <c r="AU895" i="2"/>
  <c r="AY895" i="2"/>
  <c r="AR895" i="2"/>
  <c r="AQ895" i="2"/>
  <c r="AO895" i="2"/>
  <c r="AP895" i="2"/>
  <c r="AM895" i="2"/>
  <c r="AK895" i="2"/>
  <c r="AI895" i="2"/>
  <c r="AR788" i="2"/>
  <c r="AQ788" i="2"/>
  <c r="AO788" i="2"/>
  <c r="AP788" i="2"/>
  <c r="AM788" i="2"/>
  <c r="AK788" i="2"/>
  <c r="AI788" i="2"/>
  <c r="AB788" i="2"/>
  <c r="AR770" i="2"/>
  <c r="AQ770" i="2"/>
  <c r="AO770" i="2"/>
  <c r="AP770" i="2"/>
  <c r="AM770" i="2"/>
  <c r="AK770" i="2"/>
  <c r="AI770" i="2"/>
  <c r="AB770" i="2"/>
  <c r="AR2007" i="2"/>
  <c r="AQ2007" i="2"/>
  <c r="AO2007" i="2"/>
  <c r="AP2007" i="2"/>
  <c r="AM2007" i="2"/>
  <c r="AK2007" i="2"/>
  <c r="AI2007" i="2"/>
  <c r="AB2007" i="2"/>
  <c r="AR1425" i="2"/>
  <c r="AQ1425" i="2"/>
  <c r="AO1425" i="2"/>
  <c r="AP1425" i="2"/>
  <c r="AM1425" i="2"/>
  <c r="AK1425" i="2"/>
  <c r="AI1425" i="2"/>
  <c r="AB1425" i="2"/>
  <c r="AR2006" i="2"/>
  <c r="AQ2006" i="2"/>
  <c r="AO2006" i="2"/>
  <c r="AP2006" i="2"/>
  <c r="AM2006" i="2"/>
  <c r="AK2006" i="2"/>
  <c r="AI2006" i="2"/>
  <c r="AB2006" i="2"/>
  <c r="AR1881" i="2"/>
  <c r="AQ1881" i="2"/>
  <c r="AO1881" i="2"/>
  <c r="AP1881" i="2"/>
  <c r="AM1881" i="2"/>
  <c r="AK1881" i="2"/>
  <c r="AI1881" i="2"/>
  <c r="AB1881" i="2"/>
  <c r="AR1812" i="2"/>
  <c r="AQ1812" i="2"/>
  <c r="AO1812" i="2"/>
  <c r="AP1812" i="2"/>
  <c r="AM1812" i="2"/>
  <c r="AK1812" i="2"/>
  <c r="AI1812" i="2"/>
  <c r="AB1812" i="2"/>
  <c r="AR1843" i="2"/>
  <c r="AQ1843" i="2"/>
  <c r="AO1843" i="2"/>
  <c r="AP1843" i="2"/>
  <c r="AM1843" i="2"/>
  <c r="AK1843" i="2"/>
  <c r="AI1843" i="2"/>
  <c r="AB1843" i="2"/>
  <c r="AR1711" i="2"/>
  <c r="AQ1711" i="2"/>
  <c r="AO1711" i="2"/>
  <c r="AP1711" i="2"/>
  <c r="AM1711" i="2"/>
  <c r="AK1711" i="2"/>
  <c r="AI1711" i="2"/>
  <c r="AB1711" i="2"/>
  <c r="AR1895" i="2"/>
  <c r="AQ1895" i="2"/>
  <c r="AO1895" i="2"/>
  <c r="AP1895" i="2"/>
  <c r="AM1895" i="2"/>
  <c r="AK1895" i="2"/>
  <c r="AI1895" i="2"/>
  <c r="AB1895" i="2"/>
  <c r="AR1240" i="2"/>
  <c r="AQ1240" i="2"/>
  <c r="AO1240" i="2"/>
  <c r="AP1240" i="2"/>
  <c r="AM1240" i="2"/>
  <c r="AK1240" i="2"/>
  <c r="AI1240" i="2"/>
  <c r="AB1240" i="2"/>
  <c r="AR390" i="2"/>
  <c r="AQ390" i="2"/>
  <c r="AO390" i="2"/>
  <c r="AP390" i="2"/>
  <c r="AM390" i="2"/>
  <c r="AK390" i="2"/>
  <c r="AI390" i="2"/>
  <c r="AB390" i="2"/>
  <c r="AR320" i="2"/>
  <c r="AQ320" i="2"/>
  <c r="AO320" i="2"/>
  <c r="AP320" i="2"/>
  <c r="AM320" i="2"/>
  <c r="AK320" i="2"/>
  <c r="AI320" i="2"/>
  <c r="AR147" i="2"/>
  <c r="AQ147" i="2"/>
  <c r="AO147" i="2"/>
  <c r="AP147" i="2"/>
  <c r="AM147" i="2"/>
  <c r="AK147" i="2"/>
  <c r="AI147" i="2"/>
  <c r="AR1269" i="2"/>
  <c r="AQ1269" i="2"/>
  <c r="AO1269" i="2"/>
  <c r="AP1269" i="2"/>
  <c r="AM1269" i="2"/>
  <c r="AK1269" i="2"/>
  <c r="AI1269" i="2"/>
  <c r="AB1269" i="2"/>
  <c r="AR401" i="2"/>
  <c r="AQ401" i="2"/>
  <c r="AO401" i="2"/>
  <c r="AP401" i="2"/>
  <c r="AM401" i="2"/>
  <c r="AK401" i="2"/>
  <c r="AI401" i="2"/>
  <c r="AB401" i="2"/>
  <c r="AR1260" i="2"/>
  <c r="AQ1260" i="2"/>
  <c r="AO1260" i="2"/>
  <c r="AP1260" i="2"/>
  <c r="AM1260" i="2"/>
  <c r="AK1260" i="2"/>
  <c r="AI1260" i="2"/>
  <c r="AB1260" i="2"/>
  <c r="AR1902" i="2"/>
  <c r="AQ1902" i="2"/>
  <c r="AO1902" i="2"/>
  <c r="AP1902" i="2"/>
  <c r="AM1902" i="2"/>
  <c r="AK1902" i="2"/>
  <c r="AI1902" i="2"/>
  <c r="AB1902" i="2"/>
  <c r="AR1781" i="2"/>
  <c r="AQ1781" i="2"/>
  <c r="AO1781" i="2"/>
  <c r="AP1781" i="2"/>
  <c r="AB1781" i="2"/>
  <c r="AR1678" i="2"/>
  <c r="AQ1678" i="2"/>
  <c r="AO1678" i="2"/>
  <c r="AP1678" i="2"/>
  <c r="AB1678" i="2"/>
  <c r="AR2005" i="2"/>
  <c r="AQ2005" i="2"/>
  <c r="AO2005" i="2"/>
  <c r="AP2005" i="2"/>
  <c r="AB2005" i="2"/>
  <c r="AR1367" i="2"/>
  <c r="AQ1367" i="2"/>
  <c r="AO1367" i="2"/>
  <c r="AP1367" i="2"/>
  <c r="AB1367" i="2"/>
  <c r="AR359" i="2"/>
  <c r="AQ359" i="2"/>
  <c r="AO359" i="2"/>
  <c r="AP359" i="2"/>
  <c r="AB359" i="2"/>
  <c r="AR929" i="2"/>
  <c r="AQ929" i="2"/>
  <c r="AO929" i="2"/>
  <c r="AP929" i="2"/>
  <c r="AB929" i="2"/>
  <c r="AR1696" i="2"/>
  <c r="AQ1696" i="2"/>
  <c r="AO1696" i="2"/>
  <c r="AP1696" i="2"/>
  <c r="AB1696" i="2"/>
  <c r="AR1689" i="2"/>
  <c r="AQ1689" i="2"/>
  <c r="AO1689" i="2"/>
  <c r="AP1689" i="2"/>
  <c r="AB1689" i="2"/>
  <c r="AR2004" i="2"/>
  <c r="AQ2004" i="2"/>
  <c r="AO2004" i="2"/>
  <c r="AP2004" i="2"/>
  <c r="AB2004" i="2"/>
  <c r="AR1677" i="2"/>
  <c r="AQ1677" i="2"/>
  <c r="AO1677" i="2"/>
  <c r="AP1677" i="2"/>
  <c r="AB1677" i="2"/>
  <c r="AR1675" i="2"/>
  <c r="AQ1675" i="2"/>
  <c r="AO1675" i="2"/>
  <c r="AP1675" i="2"/>
  <c r="AB1675" i="2"/>
  <c r="AR1913" i="2"/>
  <c r="AQ1913" i="2"/>
  <c r="AO1913" i="2"/>
  <c r="AP1913" i="2"/>
  <c r="AM1913" i="2"/>
  <c r="AR2003" i="2"/>
  <c r="AQ2003" i="2"/>
  <c r="AO2003" i="2"/>
  <c r="AP2003" i="2"/>
  <c r="AM2003" i="2"/>
  <c r="AR2002" i="2"/>
  <c r="AQ2002" i="2"/>
  <c r="AO2002" i="2"/>
  <c r="AP2002" i="2"/>
  <c r="AM2002" i="2"/>
  <c r="AR2001" i="2"/>
  <c r="AQ2001" i="2"/>
  <c r="AO2001" i="2"/>
  <c r="AP2001" i="2"/>
  <c r="AM2001" i="2"/>
  <c r="AR1642" i="2"/>
  <c r="AQ1642" i="2"/>
  <c r="AO1642" i="2"/>
  <c r="AP1642" i="2"/>
  <c r="AM1642" i="2"/>
  <c r="AR1801" i="2"/>
  <c r="AQ1801" i="2"/>
  <c r="AO1801" i="2"/>
  <c r="AP1801" i="2"/>
  <c r="AM1801" i="2"/>
  <c r="AR1809" i="2"/>
  <c r="AQ1809" i="2"/>
  <c r="AO1809" i="2"/>
  <c r="AP1809" i="2"/>
  <c r="AM1809" i="2"/>
  <c r="AR1782" i="2"/>
  <c r="AQ1782" i="2"/>
  <c r="AO1782" i="2"/>
  <c r="AP1782" i="2"/>
  <c r="AM1782" i="2"/>
  <c r="AR459" i="2"/>
  <c r="AQ459" i="2"/>
  <c r="AO459" i="2"/>
  <c r="AP459" i="2"/>
  <c r="AM459" i="2"/>
  <c r="AR1855" i="2"/>
  <c r="AQ1855" i="2"/>
  <c r="AO1855" i="2"/>
  <c r="AP1855" i="2"/>
  <c r="AM1855" i="2"/>
  <c r="AR476" i="2"/>
  <c r="AQ476" i="2"/>
  <c r="AO476" i="2"/>
  <c r="AP476" i="2"/>
  <c r="AM476" i="2"/>
  <c r="AR2000" i="2"/>
  <c r="AQ2000" i="2"/>
  <c r="AO2000" i="2"/>
  <c r="AP2000" i="2"/>
  <c r="AM2000" i="2"/>
  <c r="AR1785" i="2"/>
  <c r="AQ1785" i="2"/>
  <c r="AO1785" i="2"/>
  <c r="AP1785" i="2"/>
  <c r="AM1785" i="2"/>
  <c r="AR1567" i="2"/>
  <c r="AQ1567" i="2"/>
  <c r="AO1567" i="2"/>
  <c r="AP1567" i="2"/>
  <c r="AM1567" i="2"/>
  <c r="AR1587" i="2"/>
  <c r="AQ1587" i="2"/>
  <c r="AO1587" i="2"/>
  <c r="AP1587" i="2"/>
  <c r="AM1587" i="2"/>
  <c r="AR1546" i="2"/>
  <c r="AO1546" i="2"/>
  <c r="AP1546" i="2"/>
  <c r="AM1546" i="2"/>
  <c r="Q1546" i="2"/>
  <c r="P1546" i="2"/>
  <c r="O1546" i="2"/>
  <c r="N1546" i="2"/>
  <c r="AQ1546" i="2"/>
  <c r="AT1546" i="2"/>
  <c r="AR1276" i="2"/>
  <c r="AO1276" i="2"/>
  <c r="AP1276" i="2"/>
  <c r="AM1276" i="2"/>
  <c r="Q1276" i="2"/>
  <c r="P1276" i="2"/>
  <c r="O1276" i="2"/>
  <c r="N1276" i="2"/>
  <c r="AQ1276" i="2"/>
  <c r="AT1276" i="2"/>
  <c r="T1235" i="2"/>
  <c r="U1235" i="2"/>
  <c r="V1235" i="2"/>
  <c r="W1235" i="2"/>
  <c r="AR1235" i="2"/>
  <c r="AU1235" i="2"/>
  <c r="AO1235" i="2"/>
  <c r="AP1235" i="2"/>
  <c r="AM1235" i="2"/>
  <c r="Q1235" i="2"/>
  <c r="P1235" i="2"/>
  <c r="O1235" i="2"/>
  <c r="N1235" i="2"/>
  <c r="AQ1235" i="2"/>
  <c r="AO1022" i="2"/>
  <c r="AP1022" i="2"/>
  <c r="AM1022" i="2"/>
  <c r="W1022" i="2"/>
  <c r="V1022" i="2"/>
  <c r="U1022" i="2"/>
  <c r="T1022" i="2"/>
  <c r="AR1022" i="2"/>
  <c r="AU1022" i="2"/>
  <c r="Q1022" i="2"/>
  <c r="P1022" i="2"/>
  <c r="O1022" i="2"/>
  <c r="N1022" i="2"/>
  <c r="AQ1022" i="2"/>
  <c r="AR787" i="2"/>
  <c r="AQ787" i="2"/>
  <c r="AO787" i="2"/>
  <c r="AP787" i="2"/>
  <c r="AM787" i="2"/>
  <c r="AK787" i="2"/>
  <c r="AI787" i="2"/>
  <c r="AB787" i="2"/>
  <c r="AR769" i="2"/>
  <c r="AQ769" i="2"/>
  <c r="AO769" i="2"/>
  <c r="AP769" i="2"/>
  <c r="AM769" i="2"/>
  <c r="AK769" i="2"/>
  <c r="AI769" i="2"/>
  <c r="AB769" i="2"/>
  <c r="AR1999" i="2"/>
  <c r="AQ1999" i="2"/>
  <c r="AO1999" i="2"/>
  <c r="AP1999" i="2"/>
  <c r="AM1999" i="2"/>
  <c r="AK1999" i="2"/>
  <c r="AI1999" i="2"/>
  <c r="AB1999" i="2"/>
  <c r="AR1424" i="2"/>
  <c r="AQ1424" i="2"/>
  <c r="AO1424" i="2"/>
  <c r="AP1424" i="2"/>
  <c r="AM1424" i="2"/>
  <c r="AK1424" i="2"/>
  <c r="AI1424" i="2"/>
  <c r="AB1424" i="2"/>
  <c r="AR1998" i="2"/>
  <c r="AQ1998" i="2"/>
  <c r="AO1998" i="2"/>
  <c r="AP1998" i="2"/>
  <c r="AM1998" i="2"/>
  <c r="AK1998" i="2"/>
  <c r="AI1998" i="2"/>
  <c r="AB1998" i="2"/>
  <c r="AR1880" i="2"/>
  <c r="AQ1880" i="2"/>
  <c r="AO1880" i="2"/>
  <c r="AP1880" i="2"/>
  <c r="AM1880" i="2"/>
  <c r="AK1880" i="2"/>
  <c r="AI1880" i="2"/>
  <c r="AB1880" i="2"/>
  <c r="AR1811" i="2"/>
  <c r="AQ1811" i="2"/>
  <c r="AO1811" i="2"/>
  <c r="AP1811" i="2"/>
  <c r="AM1811" i="2"/>
  <c r="AK1811" i="2"/>
  <c r="AI1811" i="2"/>
  <c r="AB1811" i="2"/>
  <c r="AR1842" i="2"/>
  <c r="AQ1842" i="2"/>
  <c r="AO1842" i="2"/>
  <c r="AP1842" i="2"/>
  <c r="AM1842" i="2"/>
  <c r="AK1842" i="2"/>
  <c r="AI1842" i="2"/>
  <c r="AB1842" i="2"/>
  <c r="AR1709" i="2"/>
  <c r="AQ1709" i="2"/>
  <c r="AO1709" i="2"/>
  <c r="AP1709" i="2"/>
  <c r="AM1709" i="2"/>
  <c r="AK1709" i="2"/>
  <c r="AI1709" i="2"/>
  <c r="AB1709" i="2"/>
  <c r="AR1894" i="2"/>
  <c r="AQ1894" i="2"/>
  <c r="AO1894" i="2"/>
  <c r="AP1894" i="2"/>
  <c r="AM1894" i="2"/>
  <c r="AK1894" i="2"/>
  <c r="AI1894" i="2"/>
  <c r="AB1894" i="2"/>
  <c r="AR1239" i="2"/>
  <c r="AQ1239" i="2"/>
  <c r="AO1239" i="2"/>
  <c r="AP1239" i="2"/>
  <c r="AM1239" i="2"/>
  <c r="AK1239" i="2"/>
  <c r="AI1239" i="2"/>
  <c r="AB1239" i="2"/>
  <c r="AR389" i="2"/>
  <c r="AQ389" i="2"/>
  <c r="AO389" i="2"/>
  <c r="AP389" i="2"/>
  <c r="AM389" i="2"/>
  <c r="AK389" i="2"/>
  <c r="AI389" i="2"/>
  <c r="AB389" i="2"/>
  <c r="AR319" i="2"/>
  <c r="AQ319" i="2"/>
  <c r="AO319" i="2"/>
  <c r="AP319" i="2"/>
  <c r="AM319" i="2"/>
  <c r="AK319" i="2"/>
  <c r="AI319" i="2"/>
  <c r="AR146" i="2"/>
  <c r="AQ146" i="2"/>
  <c r="AO146" i="2"/>
  <c r="AP146" i="2"/>
  <c r="AM146" i="2"/>
  <c r="AK146" i="2"/>
  <c r="AI146" i="2"/>
  <c r="AR1268" i="2"/>
  <c r="AQ1268" i="2"/>
  <c r="AO1268" i="2"/>
  <c r="AP1268" i="2"/>
  <c r="AM1268" i="2"/>
  <c r="AK1268" i="2"/>
  <c r="AI1268" i="2"/>
  <c r="AB1268" i="2"/>
  <c r="AR400" i="2"/>
  <c r="AQ400" i="2"/>
  <c r="AO400" i="2"/>
  <c r="AP400" i="2"/>
  <c r="AM400" i="2"/>
  <c r="AK400" i="2"/>
  <c r="AI400" i="2"/>
  <c r="AB400" i="2"/>
  <c r="AR1259" i="2"/>
  <c r="AQ1259" i="2"/>
  <c r="AO1259" i="2"/>
  <c r="AP1259" i="2"/>
  <c r="AM1259" i="2"/>
  <c r="AK1259" i="2"/>
  <c r="AI1259" i="2"/>
  <c r="AB1259" i="2"/>
  <c r="AR1901" i="2"/>
  <c r="AQ1901" i="2"/>
  <c r="AO1901" i="2"/>
  <c r="AP1901" i="2"/>
  <c r="AM1901" i="2"/>
  <c r="AK1901" i="2"/>
  <c r="AI1901" i="2"/>
  <c r="AB1901" i="2"/>
  <c r="AR558" i="2"/>
  <c r="AQ558" i="2"/>
  <c r="AO558" i="2"/>
  <c r="AP558" i="2"/>
  <c r="AB558" i="2"/>
  <c r="AR433" i="2"/>
  <c r="AQ433" i="2"/>
  <c r="AO433" i="2"/>
  <c r="AP433" i="2"/>
  <c r="AR456" i="2"/>
  <c r="AQ456" i="2"/>
  <c r="AO456" i="2"/>
  <c r="AP456" i="2"/>
  <c r="AB456" i="2"/>
  <c r="AR1385" i="2"/>
  <c r="AQ1385" i="2"/>
  <c r="AO1385" i="2"/>
  <c r="AP1385" i="2"/>
  <c r="AB1385" i="2"/>
  <c r="AR1507" i="2"/>
  <c r="AQ1507" i="2"/>
  <c r="AO1507" i="2"/>
  <c r="AP1507" i="2"/>
  <c r="AB1507" i="2"/>
  <c r="AR99" i="2"/>
  <c r="AQ99" i="2"/>
  <c r="AO99" i="2"/>
  <c r="AP99" i="2"/>
  <c r="AB99" i="2"/>
  <c r="AR851" i="2"/>
  <c r="AQ851" i="2"/>
  <c r="AO851" i="2"/>
  <c r="AP851" i="2"/>
  <c r="AB851" i="2"/>
  <c r="AR545" i="2"/>
  <c r="AQ545" i="2"/>
  <c r="AO545" i="2"/>
  <c r="AP545" i="2"/>
  <c r="AB545" i="2"/>
  <c r="AR251" i="2"/>
  <c r="AQ251" i="2"/>
  <c r="AO251" i="2"/>
  <c r="AP251" i="2"/>
  <c r="AB251" i="2"/>
  <c r="AR849" i="2"/>
  <c r="AQ849" i="2"/>
  <c r="AO849" i="2"/>
  <c r="AP849" i="2"/>
  <c r="AB849" i="2"/>
  <c r="AR677" i="2"/>
  <c r="AQ677" i="2"/>
  <c r="AO677" i="2"/>
  <c r="AP677" i="2"/>
  <c r="AB677" i="2"/>
  <c r="AR926" i="2"/>
  <c r="AQ926" i="2"/>
  <c r="AO926" i="2"/>
  <c r="AP926" i="2"/>
  <c r="AB926" i="2"/>
  <c r="AR203" i="2"/>
  <c r="AQ203" i="2"/>
  <c r="AO203" i="2"/>
  <c r="AP203" i="2"/>
  <c r="AB203" i="2"/>
  <c r="AR523" i="2"/>
  <c r="AQ523" i="2"/>
  <c r="AO523" i="2"/>
  <c r="AP523" i="2"/>
  <c r="AB523" i="2"/>
  <c r="AR1997" i="2"/>
  <c r="AQ1997" i="2"/>
  <c r="AO1997" i="2"/>
  <c r="AP1997" i="2"/>
  <c r="AB1997" i="2"/>
  <c r="AR453" i="2"/>
  <c r="AQ453" i="2"/>
  <c r="AO453" i="2"/>
  <c r="AP453" i="2"/>
  <c r="AB453" i="2"/>
  <c r="AR1576" i="2"/>
  <c r="AQ1576" i="2"/>
  <c r="AO1576" i="2"/>
  <c r="AP1576" i="2"/>
  <c r="AB1576" i="2"/>
  <c r="AR570" i="2"/>
  <c r="AQ570" i="2"/>
  <c r="AO570" i="2"/>
  <c r="AP570" i="2"/>
  <c r="AB570" i="2"/>
  <c r="AR996" i="2"/>
  <c r="AQ996" i="2"/>
  <c r="AO996" i="2"/>
  <c r="AP996" i="2"/>
  <c r="AB996" i="2"/>
  <c r="AR1434" i="2"/>
  <c r="AQ1434" i="2"/>
  <c r="AO1434" i="2"/>
  <c r="AP1434" i="2"/>
  <c r="AB1434" i="2"/>
  <c r="AR925" i="2"/>
  <c r="AQ925" i="2"/>
  <c r="AO925" i="2"/>
  <c r="AP925" i="2"/>
  <c r="AW1470" i="2"/>
  <c r="BA1470" i="2"/>
  <c r="AV1470" i="2"/>
  <c r="AZ1470" i="2"/>
  <c r="AU1470" i="2"/>
  <c r="AY1470" i="2"/>
  <c r="AR1470" i="2"/>
  <c r="AQ1470" i="2"/>
  <c r="AO1470" i="2"/>
  <c r="AP1470" i="2"/>
  <c r="AV635" i="2"/>
  <c r="AZ635" i="2"/>
  <c r="AW635" i="2"/>
  <c r="BA635" i="2"/>
  <c r="AU635" i="2"/>
  <c r="AY635" i="2"/>
  <c r="AR635" i="2"/>
  <c r="AQ635" i="2"/>
  <c r="AO635" i="2"/>
  <c r="AP635" i="2"/>
  <c r="AW1153" i="2"/>
  <c r="BA1153" i="2"/>
  <c r="AV1153" i="2"/>
  <c r="AZ1153" i="2"/>
  <c r="AU1153" i="2"/>
  <c r="AY1153" i="2"/>
  <c r="AR1153" i="2"/>
  <c r="AQ1153" i="2"/>
  <c r="AO1153" i="2"/>
  <c r="AP1153" i="2"/>
  <c r="AW355" i="2"/>
  <c r="BA355" i="2"/>
  <c r="AV355" i="2"/>
  <c r="AZ355" i="2"/>
  <c r="AU355" i="2"/>
  <c r="AY355" i="2"/>
  <c r="AR355" i="2"/>
  <c r="AQ355" i="2"/>
  <c r="AO355" i="2"/>
  <c r="AP355" i="2"/>
  <c r="AW358" i="2"/>
  <c r="BA358" i="2"/>
  <c r="AV358" i="2"/>
  <c r="AZ358" i="2"/>
  <c r="AU358" i="2"/>
  <c r="AY358" i="2"/>
  <c r="AR358" i="2"/>
  <c r="AQ358" i="2"/>
  <c r="AO358" i="2"/>
  <c r="AP358" i="2"/>
  <c r="AW1748" i="2"/>
  <c r="BA1748" i="2"/>
  <c r="AV1748" i="2"/>
  <c r="AZ1748" i="2"/>
  <c r="AU1748" i="2"/>
  <c r="AY1748" i="2"/>
  <c r="AR1748" i="2"/>
  <c r="AQ1748" i="2"/>
  <c r="AO1748" i="2"/>
  <c r="AP1748" i="2"/>
  <c r="AW1485" i="2"/>
  <c r="BA1485" i="2"/>
  <c r="AV1485" i="2"/>
  <c r="AZ1485" i="2"/>
  <c r="AU1485" i="2"/>
  <c r="AY1485" i="2"/>
  <c r="AR1485" i="2"/>
  <c r="AQ1485" i="2"/>
  <c r="AO1485" i="2"/>
  <c r="AP1485" i="2"/>
  <c r="AV1996" i="2"/>
  <c r="AZ1996" i="2"/>
  <c r="AW1996" i="2"/>
  <c r="BA1996" i="2"/>
  <c r="AU1996" i="2"/>
  <c r="AY1996" i="2"/>
  <c r="AR1996" i="2"/>
  <c r="AQ1996" i="2"/>
  <c r="AO1996" i="2"/>
  <c r="AP1996" i="2"/>
  <c r="AW1994" i="2"/>
  <c r="BA1994" i="2"/>
  <c r="AV1994" i="2"/>
  <c r="AZ1994" i="2"/>
  <c r="AU1994" i="2"/>
  <c r="AY1994" i="2"/>
  <c r="AR1994" i="2"/>
  <c r="AQ1994" i="2"/>
  <c r="AO1994" i="2"/>
  <c r="AP1994" i="2"/>
  <c r="AW1993" i="2"/>
  <c r="BA1993" i="2"/>
  <c r="AV1993" i="2"/>
  <c r="AZ1993" i="2"/>
  <c r="AU1993" i="2"/>
  <c r="AY1993" i="2"/>
  <c r="AR1993" i="2"/>
  <c r="AQ1993" i="2"/>
  <c r="AO1993" i="2"/>
  <c r="AP1993" i="2"/>
  <c r="AW370" i="2"/>
  <c r="BA370" i="2"/>
  <c r="AV370" i="2"/>
  <c r="AZ370" i="2"/>
  <c r="AU370" i="2"/>
  <c r="AY370" i="2"/>
  <c r="AR370" i="2"/>
  <c r="AQ370" i="2"/>
  <c r="AO370" i="2"/>
  <c r="AP370" i="2"/>
  <c r="AV1214" i="2"/>
  <c r="AZ1214" i="2"/>
  <c r="AW1214" i="2"/>
  <c r="BA1214" i="2"/>
  <c r="AU1214" i="2"/>
  <c r="AY1214" i="2"/>
  <c r="AR1214" i="2"/>
  <c r="AQ1214" i="2"/>
  <c r="AO1214" i="2"/>
  <c r="AP1214" i="2"/>
  <c r="AW617" i="2"/>
  <c r="BA617" i="2"/>
  <c r="AV617" i="2"/>
  <c r="AZ617" i="2"/>
  <c r="AU617" i="2"/>
  <c r="AY617" i="2"/>
  <c r="AR617" i="2"/>
  <c r="AQ617" i="2"/>
  <c r="AO617" i="2"/>
  <c r="AP617" i="2"/>
  <c r="AW291" i="2"/>
  <c r="BA291" i="2"/>
  <c r="AV291" i="2"/>
  <c r="AZ291" i="2"/>
  <c r="AU291" i="2"/>
  <c r="AY291" i="2"/>
  <c r="AR291" i="2"/>
  <c r="AQ291" i="2"/>
  <c r="AO291" i="2"/>
  <c r="AP291" i="2"/>
  <c r="AW1196" i="2"/>
  <c r="BA1196" i="2"/>
  <c r="AV1196" i="2"/>
  <c r="AZ1196" i="2"/>
  <c r="AU1196" i="2"/>
  <c r="AY1196" i="2"/>
  <c r="AR1196" i="2"/>
  <c r="AQ1196" i="2"/>
  <c r="AO1196" i="2"/>
  <c r="AP1196" i="2"/>
  <c r="AV1068" i="2"/>
  <c r="AZ1068" i="2"/>
  <c r="AW1068" i="2"/>
  <c r="BA1068" i="2"/>
  <c r="AU1068" i="2"/>
  <c r="AY1068" i="2"/>
  <c r="AR1068" i="2"/>
  <c r="AQ1068" i="2"/>
  <c r="AO1068" i="2"/>
  <c r="AP1068" i="2"/>
  <c r="AW1890" i="2"/>
  <c r="BA1890" i="2"/>
  <c r="AV1890" i="2"/>
  <c r="AZ1890" i="2"/>
  <c r="AU1890" i="2"/>
  <c r="AY1890" i="2"/>
  <c r="AR1890" i="2"/>
  <c r="AQ1890" i="2"/>
  <c r="AO1890" i="2"/>
  <c r="AP1890" i="2"/>
  <c r="AW658" i="2"/>
  <c r="BA658" i="2"/>
  <c r="AV658" i="2"/>
  <c r="AZ658" i="2"/>
  <c r="AU658" i="2"/>
  <c r="AY658" i="2"/>
  <c r="AW1992" i="2"/>
  <c r="BA1992" i="2"/>
  <c r="AV1992" i="2"/>
  <c r="AZ1992" i="2"/>
  <c r="AU1992" i="2"/>
  <c r="AY1992" i="2"/>
  <c r="AR1992" i="2"/>
  <c r="AQ1992" i="2"/>
  <c r="AO1992" i="2"/>
  <c r="AP1992" i="2"/>
  <c r="AO1991" i="2"/>
  <c r="AN1991" i="2"/>
  <c r="AO1990" i="2"/>
  <c r="AN1990" i="2"/>
  <c r="AO1989" i="2"/>
  <c r="AN1989" i="2"/>
  <c r="AO1988" i="2"/>
  <c r="AN1988" i="2"/>
  <c r="AO1887" i="2"/>
  <c r="AN1887" i="2"/>
  <c r="AB1887" i="2"/>
  <c r="AO1821" i="2"/>
  <c r="AN1821" i="2"/>
  <c r="AB1821" i="2"/>
  <c r="AO1903" i="2"/>
  <c r="AN1903" i="2"/>
  <c r="AO1217" i="2"/>
  <c r="AN1217" i="2"/>
  <c r="AB1217" i="2"/>
  <c r="AO737" i="2"/>
  <c r="AN737" i="2"/>
  <c r="AB737" i="2"/>
  <c r="AO1010" i="2"/>
  <c r="AN1010" i="2"/>
  <c r="AO1377" i="2"/>
  <c r="AN1377" i="2"/>
  <c r="AB1377" i="2"/>
  <c r="AO1912" i="2"/>
  <c r="AN1912" i="2"/>
  <c r="AB1912" i="2"/>
  <c r="AO1636" i="2"/>
  <c r="AN1636" i="2"/>
  <c r="AB1636" i="2"/>
  <c r="AO1471" i="2"/>
  <c r="AN1471" i="2"/>
  <c r="AB1471" i="2"/>
  <c r="AR1693" i="2"/>
  <c r="AQ1693" i="2"/>
  <c r="AO1693" i="2"/>
  <c r="AP1693" i="2"/>
  <c r="AM1693" i="2"/>
  <c r="AB1693" i="2"/>
  <c r="AR1714" i="2"/>
  <c r="AQ1714" i="2"/>
  <c r="AO1714" i="2"/>
  <c r="AP1714" i="2"/>
  <c r="AM1714" i="2"/>
  <c r="AB1714" i="2"/>
  <c r="AR1741" i="2"/>
  <c r="AQ1741" i="2"/>
  <c r="AO1741" i="2"/>
  <c r="AP1741" i="2"/>
  <c r="AM1741" i="2"/>
  <c r="AB1741" i="2"/>
  <c r="AR1699" i="2"/>
  <c r="AQ1699" i="2"/>
  <c r="AO1699" i="2"/>
  <c r="AP1699" i="2"/>
  <c r="AM1699" i="2"/>
  <c r="AB1699" i="2"/>
  <c r="AR1703" i="2"/>
  <c r="AQ1703" i="2"/>
  <c r="AO1703" i="2"/>
  <c r="AP1703" i="2"/>
  <c r="AM1703" i="2"/>
  <c r="AB1703" i="2"/>
  <c r="AR1670" i="2"/>
  <c r="AQ1670" i="2"/>
  <c r="AO1670" i="2"/>
  <c r="AP1670" i="2"/>
  <c r="AM1670" i="2"/>
  <c r="AB1670" i="2"/>
  <c r="AR1707" i="2"/>
  <c r="AQ1707" i="2"/>
  <c r="AO1707" i="2"/>
  <c r="AP1707" i="2"/>
  <c r="AM1707" i="2"/>
  <c r="AB1707" i="2"/>
  <c r="AR1656" i="2"/>
  <c r="AQ1656" i="2"/>
  <c r="AO1656" i="2"/>
  <c r="AP1656" i="2"/>
  <c r="AM1656" i="2"/>
  <c r="AB1656" i="2"/>
  <c r="AR1701" i="2"/>
  <c r="AQ1701" i="2"/>
  <c r="AO1701" i="2"/>
  <c r="AP1701" i="2"/>
  <c r="AM1701" i="2"/>
  <c r="AB1701" i="2"/>
  <c r="AR1987" i="2"/>
  <c r="AQ1987" i="2"/>
  <c r="AM1987" i="2"/>
  <c r="AK1987" i="2"/>
  <c r="AI1987" i="2"/>
  <c r="AR1986" i="2"/>
  <c r="AQ1986" i="2"/>
  <c r="AM1986" i="2"/>
  <c r="AK1986" i="2"/>
  <c r="AI1986" i="2"/>
  <c r="AR1659" i="2"/>
  <c r="AQ1659" i="2"/>
  <c r="AO1659" i="2"/>
  <c r="AP1659" i="2"/>
  <c r="AM1659" i="2"/>
  <c r="AK1659" i="2"/>
  <c r="AI1659" i="2"/>
  <c r="AB1659" i="2"/>
  <c r="AR530" i="2"/>
  <c r="AQ530" i="2"/>
  <c r="AO530" i="2"/>
  <c r="AP530" i="2"/>
  <c r="AM530" i="2"/>
  <c r="AK530" i="2"/>
  <c r="AI530" i="2"/>
  <c r="AB530" i="2"/>
  <c r="AR290" i="2"/>
  <c r="AQ290" i="2"/>
  <c r="AO290" i="2"/>
  <c r="AP290" i="2"/>
  <c r="AM290" i="2"/>
  <c r="AK290" i="2"/>
  <c r="AI290" i="2"/>
  <c r="AB290" i="2"/>
  <c r="AR1620" i="2"/>
  <c r="AQ1620" i="2"/>
  <c r="AO1620" i="2"/>
  <c r="AP1620" i="2"/>
  <c r="AM1620" i="2"/>
  <c r="AK1620" i="2"/>
  <c r="AI1620" i="2"/>
  <c r="AB1620" i="2"/>
  <c r="AR760" i="2"/>
  <c r="AQ760" i="2"/>
  <c r="AO760" i="2"/>
  <c r="AP760" i="2"/>
  <c r="AM760" i="2"/>
  <c r="AK760" i="2"/>
  <c r="AI760" i="2"/>
  <c r="AB760" i="2"/>
  <c r="AR970" i="2"/>
  <c r="AQ970" i="2"/>
  <c r="AO970" i="2"/>
  <c r="AP970" i="2"/>
  <c r="AM970" i="2"/>
  <c r="AK970" i="2"/>
  <c r="AI970" i="2"/>
  <c r="AB970" i="2"/>
  <c r="AR1251" i="2"/>
  <c r="AQ1251" i="2"/>
  <c r="AO1251" i="2"/>
  <c r="AP1251" i="2"/>
  <c r="AM1251" i="2"/>
  <c r="AK1251" i="2"/>
  <c r="AI1251" i="2"/>
  <c r="AB1251" i="2"/>
  <c r="AR1204" i="2"/>
  <c r="AQ1204" i="2"/>
  <c r="AO1204" i="2"/>
  <c r="AP1204" i="2"/>
  <c r="AM1204" i="2"/>
  <c r="AK1204" i="2"/>
  <c r="AI1204" i="2"/>
  <c r="AR827" i="2"/>
  <c r="AQ827" i="2"/>
  <c r="AO827" i="2"/>
  <c r="AP827" i="2"/>
  <c r="AM827" i="2"/>
  <c r="AK827" i="2"/>
  <c r="AI827" i="2"/>
  <c r="AB827" i="2"/>
  <c r="AR234" i="2"/>
  <c r="AQ234" i="2"/>
  <c r="AO234" i="2"/>
  <c r="AP234" i="2"/>
  <c r="AM234" i="2"/>
  <c r="AK234" i="2"/>
  <c r="AI234" i="2"/>
  <c r="AB234" i="2"/>
  <c r="AR1511" i="2"/>
  <c r="AQ1511" i="2"/>
  <c r="AO1511" i="2"/>
  <c r="AP1511" i="2"/>
  <c r="AM1511" i="2"/>
  <c r="AK1511" i="2"/>
  <c r="AI1511" i="2"/>
  <c r="AB1511" i="2"/>
  <c r="AR518" i="2"/>
  <c r="AQ518" i="2"/>
  <c r="AO518" i="2"/>
  <c r="AP518" i="2"/>
  <c r="AM518" i="2"/>
  <c r="AK518" i="2"/>
  <c r="AI518" i="2"/>
  <c r="AB518" i="2"/>
  <c r="AR189" i="2"/>
  <c r="AQ189" i="2"/>
  <c r="AO189" i="2"/>
  <c r="AP189" i="2"/>
  <c r="AM189" i="2"/>
  <c r="AK189" i="2"/>
  <c r="AI189" i="2"/>
  <c r="AB189" i="2"/>
  <c r="AR756" i="2"/>
  <c r="AQ756" i="2"/>
  <c r="AO756" i="2"/>
  <c r="AP756" i="2"/>
  <c r="AM756" i="2"/>
  <c r="AK756" i="2"/>
  <c r="AI756" i="2"/>
  <c r="AB756" i="2"/>
  <c r="AR1039" i="2"/>
  <c r="AQ1039" i="2"/>
  <c r="AO1039" i="2"/>
  <c r="AP1039" i="2"/>
  <c r="AM1039" i="2"/>
  <c r="AK1039" i="2"/>
  <c r="AI1039" i="2"/>
  <c r="AB1039" i="2"/>
  <c r="AR595" i="2"/>
  <c r="AQ595" i="2"/>
  <c r="AO595" i="2"/>
  <c r="AP595" i="2"/>
  <c r="AM595" i="2"/>
  <c r="AK595" i="2"/>
  <c r="AI595" i="2"/>
  <c r="AW823" i="2"/>
  <c r="BA823" i="2"/>
  <c r="AV823" i="2"/>
  <c r="AZ823" i="2"/>
  <c r="AU823" i="2"/>
  <c r="AY823" i="2"/>
  <c r="AR823" i="2"/>
  <c r="AQ823" i="2"/>
  <c r="AO823" i="2"/>
  <c r="AP823" i="2"/>
  <c r="AW1623" i="2"/>
  <c r="BA1623" i="2"/>
  <c r="AV1623" i="2"/>
  <c r="AZ1623" i="2"/>
  <c r="AU1623" i="2"/>
  <c r="AY1623" i="2"/>
  <c r="AR1623" i="2"/>
  <c r="AQ1623" i="2"/>
  <c r="AO1623" i="2"/>
  <c r="AP1623" i="2"/>
  <c r="AM1623" i="2"/>
  <c r="AV843" i="2"/>
  <c r="AZ843" i="2"/>
  <c r="AU843" i="2"/>
  <c r="AY843" i="2"/>
  <c r="AW843" i="2"/>
  <c r="BA843" i="2"/>
  <c r="AR843" i="2"/>
  <c r="AQ843" i="2"/>
  <c r="AO843" i="2"/>
  <c r="AP843" i="2"/>
  <c r="AM843" i="2"/>
  <c r="AV800" i="2"/>
  <c r="AZ800" i="2"/>
  <c r="AW800" i="2"/>
  <c r="BA800" i="2"/>
  <c r="AU800" i="2"/>
  <c r="AY800" i="2"/>
  <c r="AR800" i="2"/>
  <c r="AQ800" i="2"/>
  <c r="AO800" i="2"/>
  <c r="AP800" i="2"/>
  <c r="AM800" i="2"/>
  <c r="AW1442" i="2"/>
  <c r="BA1442" i="2"/>
  <c r="AV1442" i="2"/>
  <c r="AZ1442" i="2"/>
  <c r="AU1442" i="2"/>
  <c r="AY1442" i="2"/>
  <c r="AR1442" i="2"/>
  <c r="AQ1442" i="2"/>
  <c r="AO1442" i="2"/>
  <c r="AP1442" i="2"/>
  <c r="AM1442" i="2"/>
  <c r="AW1205" i="2"/>
  <c r="BA1205" i="2"/>
  <c r="AV1205" i="2"/>
  <c r="AZ1205" i="2"/>
  <c r="AU1205" i="2"/>
  <c r="AY1205" i="2"/>
  <c r="AR1205" i="2"/>
  <c r="AQ1205" i="2"/>
  <c r="AO1205" i="2"/>
  <c r="AP1205" i="2"/>
  <c r="AM1205" i="2"/>
  <c r="AW1364" i="2"/>
  <c r="BA1364" i="2"/>
  <c r="AV1364" i="2"/>
  <c r="AZ1364" i="2"/>
  <c r="AU1364" i="2"/>
  <c r="AY1364" i="2"/>
  <c r="AR1364" i="2"/>
  <c r="AQ1364" i="2"/>
  <c r="AO1364" i="2"/>
  <c r="AP1364" i="2"/>
  <c r="AM1364" i="2"/>
  <c r="AU878" i="2"/>
  <c r="AY878" i="2"/>
  <c r="AW878" i="2"/>
  <c r="BA878" i="2"/>
  <c r="AV878" i="2"/>
  <c r="AZ878" i="2"/>
  <c r="AR878" i="2"/>
  <c r="AQ878" i="2"/>
  <c r="AO878" i="2"/>
  <c r="AP878" i="2"/>
  <c r="AM878" i="2"/>
  <c r="AW1415" i="2"/>
  <c r="BA1415" i="2"/>
  <c r="AU1415" i="2"/>
  <c r="AY1415" i="2"/>
  <c r="AV1415" i="2"/>
  <c r="AZ1415" i="2"/>
  <c r="AR1415" i="2"/>
  <c r="AQ1415" i="2"/>
  <c r="AO1415" i="2"/>
  <c r="AP1415" i="2"/>
  <c r="AW904" i="2"/>
  <c r="BA904" i="2"/>
  <c r="AV904" i="2"/>
  <c r="AZ904" i="2"/>
  <c r="AU904" i="2"/>
  <c r="AY904" i="2"/>
  <c r="AR904" i="2"/>
  <c r="AQ904" i="2"/>
  <c r="AO904" i="2"/>
  <c r="AP904" i="2"/>
  <c r="AM904" i="2"/>
  <c r="AU1810" i="2"/>
  <c r="AY1810" i="2"/>
  <c r="AW1810" i="2"/>
  <c r="BA1810" i="2"/>
  <c r="AV1810" i="2"/>
  <c r="AZ1810" i="2"/>
  <c r="AR1810" i="2"/>
  <c r="AQ1810" i="2"/>
  <c r="AO1810" i="2"/>
  <c r="AP1810" i="2"/>
  <c r="AM1810" i="2"/>
  <c r="AW1862" i="2"/>
  <c r="BA1862" i="2"/>
  <c r="AU1862" i="2"/>
  <c r="AY1862" i="2"/>
  <c r="AV1862" i="2"/>
  <c r="AZ1862" i="2"/>
  <c r="AR1862" i="2"/>
  <c r="AQ1862" i="2"/>
  <c r="AO1862" i="2"/>
  <c r="AP1862" i="2"/>
  <c r="AM1862" i="2"/>
  <c r="AW183" i="2"/>
  <c r="BA183" i="2"/>
  <c r="AV183" i="2"/>
  <c r="AZ183" i="2"/>
  <c r="AU183" i="2"/>
  <c r="AY183" i="2"/>
  <c r="AR183" i="2"/>
  <c r="AQ183" i="2"/>
  <c r="AO183" i="2"/>
  <c r="AP183" i="2"/>
  <c r="AM183" i="2"/>
  <c r="AV264" i="2"/>
  <c r="AZ264" i="2"/>
  <c r="AU264" i="2"/>
  <c r="AY264" i="2"/>
  <c r="AW264" i="2"/>
  <c r="BA264" i="2"/>
  <c r="AR264" i="2"/>
  <c r="AQ264" i="2"/>
  <c r="AO264" i="2"/>
  <c r="AP264" i="2"/>
  <c r="AM264" i="2"/>
  <c r="AV1186" i="2"/>
  <c r="AZ1186" i="2"/>
  <c r="AW1186" i="2"/>
  <c r="BA1186" i="2"/>
  <c r="AU1186" i="2"/>
  <c r="AY1186" i="2"/>
  <c r="AR1186" i="2"/>
  <c r="AQ1186" i="2"/>
  <c r="AO1186" i="2"/>
  <c r="AP1186" i="2"/>
  <c r="AM1186" i="2"/>
  <c r="AW1074" i="2"/>
  <c r="BA1074" i="2"/>
  <c r="AV1074" i="2"/>
  <c r="AZ1074" i="2"/>
  <c r="AU1074" i="2"/>
  <c r="AY1074" i="2"/>
  <c r="AR1074" i="2"/>
  <c r="AQ1074" i="2"/>
  <c r="AO1074" i="2"/>
  <c r="AP1074" i="2"/>
  <c r="AM1074" i="2"/>
  <c r="AW1379" i="2"/>
  <c r="BA1379" i="2"/>
  <c r="AV1379" i="2"/>
  <c r="AZ1379" i="2"/>
  <c r="AU1379" i="2"/>
  <c r="AY1379" i="2"/>
  <c r="AR1379" i="2"/>
  <c r="AQ1379" i="2"/>
  <c r="AO1379" i="2"/>
  <c r="AP1379" i="2"/>
  <c r="AM1379" i="2"/>
  <c r="AW383" i="2"/>
  <c r="BA383" i="2"/>
  <c r="AV383" i="2"/>
  <c r="AZ383" i="2"/>
  <c r="AU383" i="2"/>
  <c r="AY383" i="2"/>
  <c r="AR383" i="2"/>
  <c r="AQ383" i="2"/>
  <c r="AO383" i="2"/>
  <c r="AP383" i="2"/>
  <c r="AM383" i="2"/>
  <c r="AU590" i="2"/>
  <c r="AY590" i="2"/>
  <c r="AW590" i="2"/>
  <c r="BA590" i="2"/>
  <c r="AV590" i="2"/>
  <c r="AZ590" i="2"/>
  <c r="AR590" i="2"/>
  <c r="AQ590" i="2"/>
  <c r="AO590" i="2"/>
  <c r="AP590" i="2"/>
  <c r="AV573" i="2"/>
  <c r="AZ573" i="2"/>
  <c r="AW573" i="2"/>
  <c r="BA573" i="2"/>
  <c r="AU573" i="2"/>
  <c r="AY573" i="2"/>
  <c r="AR573" i="2"/>
  <c r="AQ573" i="2"/>
  <c r="AO573" i="2"/>
  <c r="AP573" i="2"/>
  <c r="AM573" i="2"/>
  <c r="AW1154" i="2"/>
  <c r="BA1154" i="2"/>
  <c r="AV1154" i="2"/>
  <c r="AZ1154" i="2"/>
  <c r="AU1154" i="2"/>
  <c r="AY1154" i="2"/>
  <c r="AR1154" i="2"/>
  <c r="AQ1154" i="2"/>
  <c r="AO1154" i="2"/>
  <c r="AP1154" i="2"/>
  <c r="AM1154" i="2"/>
  <c r="AW1491" i="2"/>
  <c r="BA1491" i="2"/>
  <c r="AV1491" i="2"/>
  <c r="AZ1491" i="2"/>
  <c r="AU1491" i="2"/>
  <c r="AY1491" i="2"/>
  <c r="AR1491" i="2"/>
  <c r="AQ1491" i="2"/>
  <c r="AO1491" i="2"/>
  <c r="AP1491" i="2"/>
  <c r="AR80" i="2"/>
  <c r="AQ80" i="2"/>
  <c r="AO80" i="2"/>
  <c r="AP80" i="2"/>
  <c r="AM80" i="2"/>
  <c r="AI80" i="2"/>
  <c r="AB80" i="2"/>
  <c r="AR1215" i="2"/>
  <c r="AQ1215" i="2"/>
  <c r="AO1215" i="2"/>
  <c r="AP1215" i="2"/>
  <c r="AM1215" i="2"/>
  <c r="AK1215" i="2"/>
  <c r="AI1215" i="2"/>
  <c r="AB1215" i="2"/>
  <c r="AR1815" i="2"/>
  <c r="AQ1815" i="2"/>
  <c r="AO1815" i="2"/>
  <c r="AP1815" i="2"/>
  <c r="AM1815" i="2"/>
  <c r="AK1815" i="2"/>
  <c r="AI1815" i="2"/>
  <c r="AB1815" i="2"/>
  <c r="AR1092" i="2"/>
  <c r="AQ1092" i="2"/>
  <c r="AO1092" i="2"/>
  <c r="AP1092" i="2"/>
  <c r="AM1092" i="2"/>
  <c r="AK1092" i="2"/>
  <c r="AI1092" i="2"/>
  <c r="AB1092" i="2"/>
  <c r="AR1658" i="2"/>
  <c r="AQ1658" i="2"/>
  <c r="AO1658" i="2"/>
  <c r="AP1658" i="2"/>
  <c r="AM1658" i="2"/>
  <c r="AK1658" i="2"/>
  <c r="AI1658" i="2"/>
  <c r="AB1658" i="2"/>
  <c r="AR1583" i="2"/>
  <c r="AQ1583" i="2"/>
  <c r="AO1583" i="2"/>
  <c r="AP1583" i="2"/>
  <c r="AM1583" i="2"/>
  <c r="AK1583" i="2"/>
  <c r="AI1583" i="2"/>
  <c r="AB1583" i="2"/>
  <c r="AR600" i="2"/>
  <c r="AQ600" i="2"/>
  <c r="AO600" i="2"/>
  <c r="AP600" i="2"/>
  <c r="AM600" i="2"/>
  <c r="AK600" i="2"/>
  <c r="AI600" i="2"/>
  <c r="AB600" i="2"/>
  <c r="AR490" i="2"/>
  <c r="AQ490" i="2"/>
  <c r="AO490" i="2"/>
  <c r="AP490" i="2"/>
  <c r="AM490" i="2"/>
  <c r="AK490" i="2"/>
  <c r="AI490" i="2"/>
  <c r="AB490" i="2"/>
  <c r="AR1147" i="2"/>
  <c r="AQ1147" i="2"/>
  <c r="AO1147" i="2"/>
  <c r="AP1147" i="2"/>
  <c r="AM1147" i="2"/>
  <c r="AK1147" i="2"/>
  <c r="AI1147" i="2"/>
  <c r="AB1147" i="2"/>
  <c r="AR958" i="2"/>
  <c r="AQ958" i="2"/>
  <c r="AO958" i="2"/>
  <c r="AP958" i="2"/>
  <c r="AM958" i="2"/>
  <c r="AK958" i="2"/>
  <c r="AI958" i="2"/>
  <c r="AB958" i="2"/>
  <c r="AR1530" i="2"/>
  <c r="AQ1530" i="2"/>
  <c r="AO1530" i="2"/>
  <c r="AP1530" i="2"/>
  <c r="AM1530" i="2"/>
  <c r="AK1530" i="2"/>
  <c r="AI1530" i="2"/>
  <c r="AB1530" i="2"/>
  <c r="AR1708" i="2"/>
  <c r="AQ1708" i="2"/>
  <c r="AO1708" i="2"/>
  <c r="AP1708" i="2"/>
  <c r="AM1708" i="2"/>
  <c r="AK1708" i="2"/>
  <c r="AI1708" i="2"/>
  <c r="AB1708" i="2"/>
  <c r="AR182" i="2"/>
  <c r="AQ182" i="2"/>
  <c r="AO182" i="2"/>
  <c r="AP182" i="2"/>
  <c r="AM182" i="2"/>
  <c r="AK182" i="2"/>
  <c r="AI182" i="2"/>
  <c r="AB182" i="2"/>
  <c r="AR704" i="2"/>
  <c r="AQ704" i="2"/>
  <c r="AO704" i="2"/>
  <c r="AP704" i="2"/>
  <c r="AM704" i="2"/>
  <c r="AK704" i="2"/>
  <c r="AI704" i="2"/>
  <c r="AB704" i="2"/>
  <c r="AR520" i="2"/>
  <c r="AQ520" i="2"/>
  <c r="AO520" i="2"/>
  <c r="AP520" i="2"/>
  <c r="AM520" i="2"/>
  <c r="AK520" i="2"/>
  <c r="AI520" i="2"/>
  <c r="AB520" i="2"/>
  <c r="AR1694" i="2"/>
  <c r="AQ1694" i="2"/>
  <c r="AO1694" i="2"/>
  <c r="AP1694" i="2"/>
  <c r="AM1694" i="2"/>
  <c r="AK1694" i="2"/>
  <c r="AI1694" i="2"/>
  <c r="AB1694" i="2"/>
  <c r="AR611" i="2"/>
  <c r="AQ611" i="2"/>
  <c r="AO611" i="2"/>
  <c r="AP611" i="2"/>
  <c r="AM611" i="2"/>
  <c r="AK611" i="2"/>
  <c r="AI611" i="2"/>
  <c r="AR714" i="2"/>
  <c r="AQ714" i="2"/>
  <c r="AO714" i="2"/>
  <c r="AP714" i="2"/>
  <c r="AM714" i="2"/>
  <c r="AK714" i="2"/>
  <c r="AI714" i="2"/>
  <c r="AU1985" i="2"/>
  <c r="AR1985" i="2"/>
  <c r="AQ1985" i="2"/>
  <c r="AP1985" i="2"/>
  <c r="AM1985" i="2"/>
  <c r="AU216" i="2"/>
  <c r="AY216" i="2"/>
  <c r="AV216" i="2"/>
  <c r="AZ216" i="2"/>
  <c r="AR216" i="2"/>
  <c r="AQ216" i="2"/>
  <c r="AO216" i="2"/>
  <c r="AP216" i="2"/>
  <c r="AM216" i="2"/>
  <c r="AB216" i="2"/>
  <c r="AW216" i="2"/>
  <c r="BA216" i="2"/>
  <c r="AU1456" i="2"/>
  <c r="AY1456" i="2"/>
  <c r="AV1456" i="2"/>
  <c r="AZ1456" i="2"/>
  <c r="AR1456" i="2"/>
  <c r="AQ1456" i="2"/>
  <c r="AO1456" i="2"/>
  <c r="AP1456" i="2"/>
  <c r="AM1456" i="2"/>
  <c r="AK1456" i="2"/>
  <c r="AI1456" i="2"/>
  <c r="AB1456" i="2"/>
  <c r="AW1456" i="2"/>
  <c r="BA1456" i="2"/>
  <c r="AV703" i="2"/>
  <c r="AZ703" i="2"/>
  <c r="AU703" i="2"/>
  <c r="AY703" i="2"/>
  <c r="AR703" i="2"/>
  <c r="AQ703" i="2"/>
  <c r="AO703" i="2"/>
  <c r="AP703" i="2"/>
  <c r="AM703" i="2"/>
  <c r="AK703" i="2"/>
  <c r="AI703" i="2"/>
  <c r="AB703" i="2"/>
  <c r="AW703" i="2"/>
  <c r="BA703" i="2"/>
  <c r="AV260" i="2"/>
  <c r="AZ260" i="2"/>
  <c r="AU260" i="2"/>
  <c r="AY260" i="2"/>
  <c r="AR260" i="2"/>
  <c r="AQ260" i="2"/>
  <c r="AO260" i="2"/>
  <c r="AP260" i="2"/>
  <c r="AM260" i="2"/>
  <c r="AK260" i="2"/>
  <c r="AI260" i="2"/>
  <c r="AB260" i="2"/>
  <c r="AW260" i="2"/>
  <c r="BA260" i="2"/>
  <c r="AV101" i="2"/>
  <c r="AZ101" i="2"/>
  <c r="AU101" i="2"/>
  <c r="AY101" i="2"/>
  <c r="AR101" i="2"/>
  <c r="AQ101" i="2"/>
  <c r="AO101" i="2"/>
  <c r="AP101" i="2"/>
  <c r="AM101" i="2"/>
  <c r="AK101" i="2"/>
  <c r="AI101" i="2"/>
  <c r="AB101" i="2"/>
  <c r="AW101" i="2"/>
  <c r="BA101" i="2"/>
  <c r="AU845" i="2"/>
  <c r="AY845" i="2"/>
  <c r="AV845" i="2"/>
  <c r="AZ845" i="2"/>
  <c r="AR845" i="2"/>
  <c r="AQ845" i="2"/>
  <c r="AO845" i="2"/>
  <c r="AP845" i="2"/>
  <c r="AM845" i="2"/>
  <c r="AK845" i="2"/>
  <c r="AI845" i="2"/>
  <c r="AB845" i="2"/>
  <c r="AW845" i="2"/>
  <c r="BA845" i="2"/>
  <c r="AB670" i="2"/>
  <c r="AW670" i="2"/>
  <c r="BA670" i="2"/>
  <c r="AV670" i="2"/>
  <c r="AZ670" i="2"/>
  <c r="AU670" i="2"/>
  <c r="AY670" i="2"/>
  <c r="AR670" i="2"/>
  <c r="AQ670" i="2"/>
  <c r="AO670" i="2"/>
  <c r="AP670" i="2"/>
  <c r="AM670" i="2"/>
  <c r="AK670" i="2"/>
  <c r="AI670" i="2"/>
  <c r="AV321" i="2"/>
  <c r="AZ321" i="2"/>
  <c r="AU321" i="2"/>
  <c r="AY321" i="2"/>
  <c r="AR321" i="2"/>
  <c r="AQ321" i="2"/>
  <c r="AO321" i="2"/>
  <c r="AP321" i="2"/>
  <c r="AM321" i="2"/>
  <c r="AK321" i="2"/>
  <c r="AI321" i="2"/>
  <c r="AB321" i="2"/>
  <c r="AW321" i="2"/>
  <c r="BA321" i="2"/>
  <c r="AV1515" i="2"/>
  <c r="AZ1515" i="2"/>
  <c r="AU1515" i="2"/>
  <c r="AY1515" i="2"/>
  <c r="AR1515" i="2"/>
  <c r="AQ1515" i="2"/>
  <c r="AO1515" i="2"/>
  <c r="AP1515" i="2"/>
  <c r="AM1515" i="2"/>
  <c r="AK1515" i="2"/>
  <c r="AI1515" i="2"/>
  <c r="AB1515" i="2"/>
  <c r="AW1515" i="2"/>
  <c r="BA1515" i="2"/>
  <c r="AV745" i="2"/>
  <c r="AZ745" i="2"/>
  <c r="AU745" i="2"/>
  <c r="AY745" i="2"/>
  <c r="AR745" i="2"/>
  <c r="AQ745" i="2"/>
  <c r="AO745" i="2"/>
  <c r="AP745" i="2"/>
  <c r="AM745" i="2"/>
  <c r="AK745" i="2"/>
  <c r="AI745" i="2"/>
  <c r="AB745" i="2"/>
  <c r="AW745" i="2"/>
  <c r="BA745" i="2"/>
  <c r="AV138" i="2"/>
  <c r="AZ138" i="2"/>
  <c r="AU138" i="2"/>
  <c r="AY138" i="2"/>
  <c r="AR138" i="2"/>
  <c r="AQ138" i="2"/>
  <c r="AO138" i="2"/>
  <c r="AP138" i="2"/>
  <c r="AM138" i="2"/>
  <c r="AK138" i="2"/>
  <c r="AI138" i="2"/>
  <c r="AB138" i="2"/>
  <c r="AW138" i="2"/>
  <c r="BA138" i="2"/>
  <c r="AV267" i="2"/>
  <c r="AZ267" i="2"/>
  <c r="AU267" i="2"/>
  <c r="AY267" i="2"/>
  <c r="AR267" i="2"/>
  <c r="AQ267" i="2"/>
  <c r="AO267" i="2"/>
  <c r="AP267" i="2"/>
  <c r="AM267" i="2"/>
  <c r="AK267" i="2"/>
  <c r="AI267" i="2"/>
  <c r="AB267" i="2"/>
  <c r="AW267" i="2"/>
  <c r="BA267" i="2"/>
  <c r="AV763" i="2"/>
  <c r="AZ763" i="2"/>
  <c r="AU763" i="2"/>
  <c r="AY763" i="2"/>
  <c r="AR763" i="2"/>
  <c r="AQ763" i="2"/>
  <c r="AO763" i="2"/>
  <c r="AP763" i="2"/>
  <c r="AM763" i="2"/>
  <c r="AK763" i="2"/>
  <c r="AI763" i="2"/>
  <c r="AB763" i="2"/>
  <c r="AW763" i="2"/>
  <c r="BA763" i="2"/>
  <c r="AU283" i="2"/>
  <c r="AY283" i="2"/>
  <c r="AW283" i="2"/>
  <c r="BA283" i="2"/>
  <c r="AV283" i="2"/>
  <c r="AZ283" i="2"/>
  <c r="AR283" i="2"/>
  <c r="AQ283" i="2"/>
  <c r="AO283" i="2"/>
  <c r="AP283" i="2"/>
  <c r="AM283" i="2"/>
  <c r="AK283" i="2"/>
  <c r="AI283" i="2"/>
  <c r="AV1085" i="2"/>
  <c r="AZ1085" i="2"/>
  <c r="AU1085" i="2"/>
  <c r="AY1085" i="2"/>
  <c r="AR1085" i="2"/>
  <c r="AQ1085" i="2"/>
  <c r="AO1085" i="2"/>
  <c r="AP1085" i="2"/>
  <c r="AM1085" i="2"/>
  <c r="AK1085" i="2"/>
  <c r="AI1085" i="2"/>
  <c r="AB1085" i="2"/>
  <c r="AW1085" i="2"/>
  <c r="BA1085" i="2"/>
  <c r="AW1429" i="2"/>
  <c r="BA1429" i="2"/>
  <c r="AV1429" i="2"/>
  <c r="AZ1429" i="2"/>
  <c r="AU1429" i="2"/>
  <c r="AY1429" i="2"/>
  <c r="AR1429" i="2"/>
  <c r="AQ1429" i="2"/>
  <c r="AO1429" i="2"/>
  <c r="AP1429" i="2"/>
  <c r="AM1429" i="2"/>
  <c r="AK1429" i="2"/>
  <c r="AI1429" i="2"/>
  <c r="AV1088" i="2"/>
  <c r="AZ1088" i="2"/>
  <c r="AU1088" i="2"/>
  <c r="AY1088" i="2"/>
  <c r="AR1088" i="2"/>
  <c r="AQ1088" i="2"/>
  <c r="AO1088" i="2"/>
  <c r="AP1088" i="2"/>
  <c r="AM1088" i="2"/>
  <c r="AK1088" i="2"/>
  <c r="AI1088" i="2"/>
  <c r="AB1088" i="2"/>
  <c r="AW1088" i="2"/>
  <c r="BA1088" i="2"/>
  <c r="AV1187" i="2"/>
  <c r="AZ1187" i="2"/>
  <c r="AU1187" i="2"/>
  <c r="AY1187" i="2"/>
  <c r="AR1187" i="2"/>
  <c r="AQ1187" i="2"/>
  <c r="AO1187" i="2"/>
  <c r="AP1187" i="2"/>
  <c r="AM1187" i="2"/>
  <c r="AK1187" i="2"/>
  <c r="AI1187" i="2"/>
  <c r="AB1187" i="2"/>
  <c r="AW1187" i="2"/>
  <c r="BA1187" i="2"/>
  <c r="AV921" i="2"/>
  <c r="AZ921" i="2"/>
  <c r="AU921" i="2"/>
  <c r="AY921" i="2"/>
  <c r="AR921" i="2"/>
  <c r="AQ921" i="2"/>
  <c r="AO921" i="2"/>
  <c r="AP921" i="2"/>
  <c r="AM921" i="2"/>
  <c r="AK921" i="2"/>
  <c r="AI921" i="2"/>
  <c r="AB921" i="2"/>
  <c r="AW921" i="2"/>
  <c r="BA921" i="2"/>
  <c r="AU1778" i="2"/>
  <c r="AY1778" i="2"/>
  <c r="AW1778" i="2"/>
  <c r="BA1778" i="2"/>
  <c r="AV1778" i="2"/>
  <c r="AZ1778" i="2"/>
  <c r="AR1778" i="2"/>
  <c r="AQ1778" i="2"/>
  <c r="AO1778" i="2"/>
  <c r="AP1778" i="2"/>
  <c r="AM1778" i="2"/>
  <c r="AK1778" i="2"/>
  <c r="AI1778" i="2"/>
  <c r="AV94" i="2"/>
  <c r="AZ94" i="2"/>
  <c r="AU94" i="2"/>
  <c r="AY94" i="2"/>
  <c r="AR94" i="2"/>
  <c r="AQ94" i="2"/>
  <c r="AO94" i="2"/>
  <c r="AP94" i="2"/>
  <c r="AM94" i="2"/>
  <c r="AK94" i="2"/>
  <c r="AI94" i="2"/>
  <c r="AB94" i="2"/>
  <c r="AW94" i="2"/>
  <c r="BA94" i="2"/>
  <c r="AV1984" i="2"/>
  <c r="AZ1984" i="2"/>
  <c r="AU1984" i="2"/>
  <c r="AY1984" i="2"/>
  <c r="AR1984" i="2"/>
  <c r="AQ1984" i="2"/>
  <c r="AO1984" i="2"/>
  <c r="AP1984" i="2"/>
  <c r="AM1984" i="2"/>
  <c r="AK1984" i="2"/>
  <c r="AI1984" i="2"/>
  <c r="AB1984" i="2"/>
  <c r="AW1984" i="2"/>
  <c r="BA1984" i="2"/>
  <c r="AU388" i="2"/>
  <c r="AY388" i="2"/>
  <c r="AV388" i="2"/>
  <c r="AZ388" i="2"/>
  <c r="AR388" i="2"/>
  <c r="AQ388" i="2"/>
  <c r="AO388" i="2"/>
  <c r="AP388" i="2"/>
  <c r="AM388" i="2"/>
  <c r="AK388" i="2"/>
  <c r="AI388" i="2"/>
  <c r="AB388" i="2"/>
  <c r="AW388" i="2"/>
  <c r="BA388" i="2"/>
  <c r="AB962" i="2"/>
  <c r="AW962" i="2"/>
  <c r="BA962" i="2"/>
  <c r="AV962" i="2"/>
  <c r="AZ962" i="2"/>
  <c r="AU962" i="2"/>
  <c r="AY962" i="2"/>
  <c r="AR962" i="2"/>
  <c r="AQ962" i="2"/>
  <c r="AO962" i="2"/>
  <c r="AP962" i="2"/>
  <c r="AM962" i="2"/>
  <c r="AK962" i="2"/>
  <c r="AI962" i="2"/>
  <c r="AV1732" i="2"/>
  <c r="AZ1732" i="2"/>
  <c r="AU1732" i="2"/>
  <c r="AY1732" i="2"/>
  <c r="AR1732" i="2"/>
  <c r="AQ1732" i="2"/>
  <c r="AO1732" i="2"/>
  <c r="AP1732" i="2"/>
  <c r="AM1732" i="2"/>
  <c r="AK1732" i="2"/>
  <c r="AI1732" i="2"/>
  <c r="AB1732" i="2"/>
  <c r="AW1732" i="2"/>
  <c r="BA1732" i="2"/>
  <c r="AV1848" i="2"/>
  <c r="AZ1848" i="2"/>
  <c r="AU1848" i="2"/>
  <c r="AY1848" i="2"/>
  <c r="AR1848" i="2"/>
  <c r="AQ1848" i="2"/>
  <c r="AO1848" i="2"/>
  <c r="AP1848" i="2"/>
  <c r="AM1848" i="2"/>
  <c r="AK1848" i="2"/>
  <c r="AI1848" i="2"/>
  <c r="AB1848" i="2"/>
  <c r="AW1848" i="2"/>
  <c r="BA1848" i="2"/>
  <c r="AV1216" i="2"/>
  <c r="AZ1216" i="2"/>
  <c r="AU1216" i="2"/>
  <c r="AY1216" i="2"/>
  <c r="AR1216" i="2"/>
  <c r="AQ1216" i="2"/>
  <c r="AO1216" i="2"/>
  <c r="AP1216" i="2"/>
  <c r="AM1216" i="2"/>
  <c r="AK1216" i="2"/>
  <c r="AI1216" i="2"/>
  <c r="AB1216" i="2"/>
  <c r="AW1216" i="2"/>
  <c r="BA1216" i="2"/>
  <c r="W1355" i="2"/>
  <c r="V1355" i="2"/>
  <c r="U766" i="2"/>
  <c r="AS92" i="2"/>
  <c r="AW92" i="2"/>
  <c r="AR92" i="2"/>
  <c r="AV92" i="2"/>
  <c r="AQ92" i="2"/>
  <c r="AU92" i="2"/>
  <c r="AR96" i="2"/>
  <c r="AV96" i="2"/>
  <c r="AS96" i="2"/>
  <c r="AW96" i="2"/>
  <c r="AQ96" i="2"/>
  <c r="AU96" i="2"/>
  <c r="AS181" i="2"/>
  <c r="AW181" i="2"/>
  <c r="AR181" i="2"/>
  <c r="AV181" i="2"/>
  <c r="AQ181" i="2"/>
  <c r="AU181" i="2"/>
  <c r="AS1084" i="2"/>
  <c r="AW1084" i="2"/>
  <c r="AR1084" i="2"/>
  <c r="AV1084" i="2"/>
  <c r="AQ1084" i="2"/>
  <c r="AU1084" i="2"/>
  <c r="AS951" i="2"/>
  <c r="AW951" i="2"/>
  <c r="AR951" i="2"/>
  <c r="AV951" i="2"/>
  <c r="AQ951" i="2"/>
  <c r="AU951" i="2"/>
  <c r="AS792" i="2"/>
  <c r="AW792" i="2"/>
  <c r="AR792" i="2"/>
  <c r="AV792" i="2"/>
  <c r="AQ792" i="2"/>
  <c r="AU792" i="2"/>
  <c r="AS912" i="2"/>
  <c r="AW912" i="2"/>
  <c r="AR912" i="2"/>
  <c r="AV912" i="2"/>
  <c r="AQ912" i="2"/>
  <c r="AU912" i="2"/>
  <c r="AS1058" i="2"/>
  <c r="AW1058" i="2"/>
  <c r="AR1058" i="2"/>
  <c r="AV1058" i="2"/>
  <c r="AQ1058" i="2"/>
  <c r="AU1058" i="2"/>
  <c r="AS1983" i="2"/>
  <c r="AW1983" i="2"/>
  <c r="AR1983" i="2"/>
  <c r="AV1983" i="2"/>
  <c r="AQ1983" i="2"/>
  <c r="AU1983" i="2"/>
  <c r="AS468" i="2"/>
  <c r="AW468" i="2"/>
  <c r="AR468" i="2"/>
  <c r="AV468" i="2"/>
  <c r="AQ468" i="2"/>
  <c r="AU468" i="2"/>
  <c r="AS693" i="2"/>
  <c r="AW693" i="2"/>
  <c r="AR693" i="2"/>
  <c r="AV693" i="2"/>
  <c r="AQ693" i="2"/>
  <c r="AU693" i="2"/>
  <c r="AS848" i="2"/>
  <c r="AW848" i="2"/>
  <c r="AR848" i="2"/>
  <c r="AV848" i="2"/>
  <c r="AQ848" i="2"/>
  <c r="AU848" i="2"/>
  <c r="AS1236" i="2"/>
  <c r="AW1236" i="2"/>
  <c r="AR1236" i="2"/>
  <c r="AV1236" i="2"/>
  <c r="AQ1236" i="2"/>
  <c r="AU1236" i="2"/>
  <c r="AS576" i="2"/>
  <c r="AW576" i="2"/>
  <c r="AR576" i="2"/>
  <c r="AV576" i="2"/>
  <c r="AQ576" i="2"/>
  <c r="AU576" i="2"/>
  <c r="AS1106" i="2"/>
  <c r="AW1106" i="2"/>
  <c r="AR1106" i="2"/>
  <c r="AV1106" i="2"/>
  <c r="AQ1106" i="2"/>
  <c r="AU1106" i="2"/>
  <c r="AS1316" i="2"/>
  <c r="AW1316" i="2"/>
  <c r="AR1316" i="2"/>
  <c r="AV1316" i="2"/>
  <c r="AQ1316" i="2"/>
  <c r="AU1316" i="2"/>
  <c r="AS444" i="2"/>
  <c r="AW444" i="2"/>
  <c r="AR444" i="2"/>
  <c r="AV444" i="2"/>
  <c r="AQ444" i="2"/>
  <c r="AU444" i="2"/>
  <c r="AS1368" i="2"/>
  <c r="AW1368" i="2"/>
  <c r="AR1368" i="2"/>
  <c r="AV1368" i="2"/>
  <c r="AQ1368" i="2"/>
  <c r="AU1368" i="2"/>
  <c r="AS1275" i="2"/>
  <c r="AW1275" i="2"/>
  <c r="AR1275" i="2"/>
  <c r="AV1275" i="2"/>
  <c r="AQ1275" i="2"/>
  <c r="AU1275" i="2"/>
  <c r="AS1207" i="2"/>
  <c r="AW1207" i="2"/>
  <c r="AR1207" i="2"/>
  <c r="AV1207" i="2"/>
  <c r="AQ1207" i="2"/>
  <c r="AU1207" i="2"/>
  <c r="AS1168" i="2"/>
  <c r="AW1168" i="2"/>
  <c r="AR1168" i="2"/>
  <c r="AV1168" i="2"/>
  <c r="AQ1168" i="2"/>
  <c r="AU1168" i="2"/>
  <c r="AS1982" i="2"/>
  <c r="AW1982" i="2"/>
  <c r="AR1982" i="2"/>
  <c r="AV1982" i="2"/>
  <c r="AQ1982" i="2"/>
  <c r="AU1982" i="2"/>
  <c r="AS1936" i="2"/>
  <c r="AW1936" i="2"/>
  <c r="AR1936" i="2"/>
  <c r="AV1936" i="2"/>
  <c r="AQ1936" i="2"/>
  <c r="AU1936" i="2"/>
  <c r="AI1936" i="2"/>
  <c r="AR990" i="2"/>
  <c r="AV990" i="2"/>
  <c r="AS990" i="2"/>
  <c r="AW990" i="2"/>
  <c r="AQ990" i="2"/>
  <c r="AU990" i="2"/>
  <c r="AR1220" i="2"/>
  <c r="AV1220" i="2"/>
  <c r="AS1220" i="2"/>
  <c r="AW1220" i="2"/>
  <c r="AQ1220" i="2"/>
  <c r="AU1220" i="2"/>
  <c r="AR874" i="2"/>
  <c r="AV874" i="2"/>
  <c r="AS874" i="2"/>
  <c r="AW874" i="2"/>
  <c r="AQ874" i="2"/>
  <c r="AU874" i="2"/>
  <c r="AR684" i="2"/>
  <c r="AV684" i="2"/>
  <c r="AS684" i="2"/>
  <c r="AW684" i="2"/>
  <c r="AQ684" i="2"/>
  <c r="AU684" i="2"/>
  <c r="AR1295" i="2"/>
  <c r="AV1295" i="2"/>
  <c r="AS1295" i="2"/>
  <c r="AW1295" i="2"/>
  <c r="AQ1295" i="2"/>
  <c r="AU1295" i="2"/>
  <c r="AR1307" i="2"/>
  <c r="AV1307" i="2"/>
  <c r="AS1307" i="2"/>
  <c r="AW1307" i="2"/>
  <c r="AQ1307" i="2"/>
  <c r="AU1307" i="2"/>
  <c r="AR519" i="2"/>
  <c r="AV519" i="2"/>
  <c r="AS519" i="2"/>
  <c r="AW519" i="2"/>
  <c r="AQ519" i="2"/>
  <c r="AU519" i="2"/>
  <c r="AR644" i="2"/>
  <c r="AV644" i="2"/>
  <c r="AS644" i="2"/>
  <c r="AW644" i="2"/>
  <c r="AQ644" i="2"/>
  <c r="AU644" i="2"/>
  <c r="AR643" i="2"/>
  <c r="AV643" i="2"/>
  <c r="AS643" i="2"/>
  <c r="AW643" i="2"/>
  <c r="AQ643" i="2"/>
  <c r="AU643" i="2"/>
  <c r="AM250" i="2"/>
  <c r="AK250" i="2"/>
  <c r="AI250" i="2"/>
  <c r="AM58" i="2"/>
  <c r="AK58" i="2"/>
  <c r="AI58" i="2"/>
  <c r="AM74" i="2"/>
  <c r="AK74" i="2"/>
  <c r="AI74" i="2"/>
  <c r="AM1450" i="2"/>
  <c r="AK1450" i="2"/>
  <c r="AI1450" i="2"/>
  <c r="AM1474" i="2"/>
  <c r="AK1474" i="2"/>
  <c r="AI1474" i="2"/>
  <c r="AM1140" i="2"/>
  <c r="AK1140" i="2"/>
  <c r="AI1140" i="2"/>
  <c r="AM1182" i="2"/>
  <c r="AK1182" i="2"/>
  <c r="AI1182" i="2"/>
  <c r="AM810" i="2"/>
  <c r="AK810" i="2"/>
  <c r="AI810" i="2"/>
  <c r="AM840" i="2"/>
  <c r="AK840" i="2"/>
  <c r="AI840" i="2"/>
  <c r="AM1440" i="2"/>
  <c r="AK1440" i="2"/>
  <c r="AI1440" i="2"/>
  <c r="AM1160" i="2"/>
  <c r="AK1160" i="2"/>
  <c r="AI1160" i="2"/>
  <c r="AM1499" i="2"/>
  <c r="AK1499" i="2"/>
  <c r="AI1499" i="2"/>
  <c r="AM1374" i="2"/>
  <c r="AK1374" i="2"/>
  <c r="AI1374" i="2"/>
  <c r="AM1224" i="2"/>
  <c r="AK1224" i="2"/>
  <c r="AI1224" i="2"/>
  <c r="AM214" i="2"/>
  <c r="AK214" i="2"/>
  <c r="AI214" i="2"/>
  <c r="AM1080" i="2"/>
  <c r="AK1080" i="2"/>
  <c r="AI1080" i="2"/>
  <c r="AM1050" i="2"/>
  <c r="AK1050" i="2"/>
  <c r="AI1050" i="2"/>
  <c r="AM423" i="2"/>
  <c r="AK423" i="2"/>
  <c r="AI423" i="2"/>
  <c r="AM157" i="2"/>
  <c r="AK157" i="2"/>
  <c r="AI157" i="2"/>
  <c r="AM172" i="2"/>
  <c r="AK172" i="2"/>
  <c r="AI172" i="2"/>
  <c r="AM1865" i="2"/>
  <c r="AK1865" i="2"/>
  <c r="AI1865" i="2"/>
  <c r="AR967" i="2"/>
  <c r="AV967" i="2"/>
  <c r="AS967" i="2"/>
  <c r="AW967" i="2"/>
  <c r="AQ967" i="2"/>
  <c r="AU967" i="2"/>
  <c r="AM967" i="2"/>
  <c r="AK967" i="2"/>
  <c r="AI967" i="2"/>
  <c r="AS829" i="2"/>
  <c r="AW829" i="2"/>
  <c r="AR829" i="2"/>
  <c r="AV829" i="2"/>
  <c r="AQ829" i="2"/>
  <c r="AU829" i="2"/>
  <c r="AM829" i="2"/>
  <c r="AK829" i="2"/>
  <c r="AI829" i="2"/>
  <c r="AQ457" i="2"/>
  <c r="AU457" i="2"/>
  <c r="AS457" i="2"/>
  <c r="AW457" i="2"/>
  <c r="AR457" i="2"/>
  <c r="AV457" i="2"/>
  <c r="AM457" i="2"/>
  <c r="AK457" i="2"/>
  <c r="AI457" i="2"/>
  <c r="AS446" i="2"/>
  <c r="AW446" i="2"/>
  <c r="AR446" i="2"/>
  <c r="AV446" i="2"/>
  <c r="AQ446" i="2"/>
  <c r="AU446" i="2"/>
  <c r="AM446" i="2"/>
  <c r="AK446" i="2"/>
  <c r="AI446" i="2"/>
  <c r="AR173" i="2"/>
  <c r="AV173" i="2"/>
  <c r="AS173" i="2"/>
  <c r="AW173" i="2"/>
  <c r="AQ173" i="2"/>
  <c r="AU173" i="2"/>
  <c r="AM173" i="2"/>
  <c r="AK173" i="2"/>
  <c r="AI173" i="2"/>
  <c r="AS479" i="2"/>
  <c r="AW479" i="2"/>
  <c r="AR479" i="2"/>
  <c r="AV479" i="2"/>
  <c r="AQ479" i="2"/>
  <c r="AU479" i="2"/>
  <c r="AM479" i="2"/>
  <c r="AK479" i="2"/>
  <c r="AI479" i="2"/>
  <c r="AQ858" i="2"/>
  <c r="AU858" i="2"/>
  <c r="AS858" i="2"/>
  <c r="AW858" i="2"/>
  <c r="AR858" i="2"/>
  <c r="AV858" i="2"/>
  <c r="AM858" i="2"/>
  <c r="AK858" i="2"/>
  <c r="AI858" i="2"/>
  <c r="AS1150" i="2"/>
  <c r="AW1150" i="2"/>
  <c r="AR1150" i="2"/>
  <c r="AV1150" i="2"/>
  <c r="AQ1150" i="2"/>
  <c r="AU1150" i="2"/>
  <c r="AM1150" i="2"/>
  <c r="AK1150" i="2"/>
  <c r="AI1150" i="2"/>
  <c r="AR1042" i="2"/>
  <c r="AV1042" i="2"/>
  <c r="AS1042" i="2"/>
  <c r="AW1042" i="2"/>
  <c r="AQ1042" i="2"/>
  <c r="AU1042" i="2"/>
  <c r="AM1042" i="2"/>
  <c r="AK1042" i="2"/>
  <c r="AI1042" i="2"/>
  <c r="AS417" i="2"/>
  <c r="AW417" i="2"/>
  <c r="AR417" i="2"/>
  <c r="AV417" i="2"/>
  <c r="AQ417" i="2"/>
  <c r="AU417" i="2"/>
  <c r="AM417" i="2"/>
  <c r="AK417" i="2"/>
  <c r="AI417" i="2"/>
  <c r="AQ1002" i="2"/>
  <c r="AU1002" i="2"/>
  <c r="AS1002" i="2"/>
  <c r="AW1002" i="2"/>
  <c r="AR1002" i="2"/>
  <c r="AV1002" i="2"/>
  <c r="AM1002" i="2"/>
  <c r="AK1002" i="2"/>
  <c r="AI1002" i="2"/>
  <c r="AS933" i="2"/>
  <c r="AW933" i="2"/>
  <c r="AR933" i="2"/>
  <c r="AV933" i="2"/>
  <c r="AQ933" i="2"/>
  <c r="AU933" i="2"/>
  <c r="AM933" i="2"/>
  <c r="AK933" i="2"/>
  <c r="AI933" i="2"/>
  <c r="AR1122" i="2"/>
  <c r="AV1122" i="2"/>
  <c r="AS1122" i="2"/>
  <c r="AW1122" i="2"/>
  <c r="AQ1122" i="2"/>
  <c r="AU1122" i="2"/>
  <c r="AM1122" i="2"/>
  <c r="AK1122" i="2"/>
  <c r="AI1122" i="2"/>
  <c r="AS578" i="2"/>
  <c r="AW578" i="2"/>
  <c r="AR578" i="2"/>
  <c r="AV578" i="2"/>
  <c r="AQ578" i="2"/>
  <c r="AU578" i="2"/>
  <c r="AM578" i="2"/>
  <c r="AK578" i="2"/>
  <c r="AI578" i="2"/>
  <c r="AQ1411" i="2"/>
  <c r="AU1411" i="2"/>
  <c r="AS1411" i="2"/>
  <c r="AW1411" i="2"/>
  <c r="AR1411" i="2"/>
  <c r="AV1411" i="2"/>
  <c r="AM1411" i="2"/>
  <c r="AK1411" i="2"/>
  <c r="AI1411" i="2"/>
  <c r="AS1326" i="2"/>
  <c r="AW1326" i="2"/>
  <c r="AR1326" i="2"/>
  <c r="AV1326" i="2"/>
  <c r="AQ1326" i="2"/>
  <c r="AU1326" i="2"/>
  <c r="AM1326" i="2"/>
  <c r="AK1326" i="2"/>
  <c r="AI1326" i="2"/>
  <c r="AR356" i="2"/>
  <c r="AV356" i="2"/>
  <c r="AS356" i="2"/>
  <c r="AW356" i="2"/>
  <c r="AQ356" i="2"/>
  <c r="AU356" i="2"/>
  <c r="AM356" i="2"/>
  <c r="AK356" i="2"/>
  <c r="AI356" i="2"/>
  <c r="AS1101" i="2"/>
  <c r="AW1101" i="2"/>
  <c r="AR1101" i="2"/>
  <c r="AV1101" i="2"/>
  <c r="AQ1101" i="2"/>
  <c r="AU1101" i="2"/>
  <c r="AM1101" i="2"/>
  <c r="AK1101" i="2"/>
  <c r="AI1101" i="2"/>
  <c r="AQ1096" i="2"/>
  <c r="AU1096" i="2"/>
  <c r="AS1096" i="2"/>
  <c r="AW1096" i="2"/>
  <c r="AR1096" i="2"/>
  <c r="AV1096" i="2"/>
  <c r="AM1096" i="2"/>
  <c r="AK1096" i="2"/>
  <c r="AI1096" i="2"/>
  <c r="AS452" i="2"/>
  <c r="AW452" i="2"/>
  <c r="AR452" i="2"/>
  <c r="AV452" i="2"/>
  <c r="AQ452" i="2"/>
  <c r="AU452" i="2"/>
  <c r="AM452" i="2"/>
  <c r="AK452" i="2"/>
  <c r="AI452" i="2"/>
  <c r="AR150" i="2"/>
  <c r="AV150" i="2"/>
  <c r="AS150" i="2"/>
  <c r="AW150" i="2"/>
  <c r="AQ150" i="2"/>
  <c r="AU150" i="2"/>
  <c r="AM150" i="2"/>
  <c r="AK150" i="2"/>
  <c r="AI150" i="2"/>
  <c r="AS1404" i="2"/>
  <c r="AW1404" i="2"/>
  <c r="AR1404" i="2"/>
  <c r="AV1404" i="2"/>
  <c r="AQ1404" i="2"/>
  <c r="AU1404" i="2"/>
  <c r="AM1404" i="2"/>
  <c r="AK1404" i="2"/>
  <c r="AI1404" i="2"/>
  <c r="AQ1498" i="2"/>
  <c r="AU1498" i="2"/>
  <c r="AS1498" i="2"/>
  <c r="AW1498" i="2"/>
  <c r="AR1498" i="2"/>
  <c r="AV1498" i="2"/>
  <c r="AM1498" i="2"/>
  <c r="AK1498" i="2"/>
  <c r="AI1498" i="2"/>
  <c r="AS1103" i="2"/>
  <c r="AW1103" i="2"/>
  <c r="AR1103" i="2"/>
  <c r="AV1103" i="2"/>
  <c r="AQ1103" i="2"/>
  <c r="AU1103" i="2"/>
  <c r="AM1103" i="2"/>
  <c r="AK1103" i="2"/>
  <c r="AI1103" i="2"/>
  <c r="AR1226" i="2"/>
  <c r="AV1226" i="2"/>
  <c r="AS1226" i="2"/>
  <c r="AW1226" i="2"/>
  <c r="AQ1226" i="2"/>
  <c r="AU1226" i="2"/>
  <c r="AM1226" i="2"/>
  <c r="AK1226" i="2"/>
  <c r="AI1226" i="2"/>
  <c r="AS627" i="2"/>
  <c r="AW627" i="2"/>
  <c r="AR627" i="2"/>
  <c r="AV627" i="2"/>
  <c r="AQ627" i="2"/>
  <c r="AU627" i="2"/>
  <c r="AM627" i="2"/>
  <c r="AK627" i="2"/>
  <c r="AI627" i="2"/>
  <c r="AQ751" i="2"/>
  <c r="AU751" i="2"/>
  <c r="AS751" i="2"/>
  <c r="AW751" i="2"/>
  <c r="AR751" i="2"/>
  <c r="AV751" i="2"/>
  <c r="AM751" i="2"/>
  <c r="AK751" i="2"/>
  <c r="AI751" i="2"/>
  <c r="AS1277" i="2"/>
  <c r="AW1277" i="2"/>
  <c r="AR1277" i="2"/>
  <c r="AV1277" i="2"/>
  <c r="AQ1277" i="2"/>
  <c r="AU1277" i="2"/>
  <c r="AM1277" i="2"/>
  <c r="AK1277" i="2"/>
  <c r="AI1277" i="2"/>
  <c r="AR1212" i="2"/>
  <c r="AV1212" i="2"/>
  <c r="AS1212" i="2"/>
  <c r="AW1212" i="2"/>
  <c r="AQ1212" i="2"/>
  <c r="AU1212" i="2"/>
  <c r="AM1212" i="2"/>
  <c r="AK1212" i="2"/>
  <c r="AI1212" i="2"/>
  <c r="AS413" i="2"/>
  <c r="AW413" i="2"/>
  <c r="AR413" i="2"/>
  <c r="AV413" i="2"/>
  <c r="AQ413" i="2"/>
  <c r="AU413" i="2"/>
  <c r="AM413" i="2"/>
  <c r="AK413" i="2"/>
  <c r="AI413" i="2"/>
  <c r="AQ1143" i="2"/>
  <c r="AU1143" i="2"/>
  <c r="AS1143" i="2"/>
  <c r="AW1143" i="2"/>
  <c r="AR1143" i="2"/>
  <c r="AV1143" i="2"/>
  <c r="AM1143" i="2"/>
  <c r="AK1143" i="2"/>
  <c r="AI1143" i="2"/>
  <c r="AS1981" i="2"/>
  <c r="AW1981" i="2"/>
  <c r="AR1981" i="2"/>
  <c r="AV1981" i="2"/>
  <c r="AQ1981" i="2"/>
  <c r="AU1981" i="2"/>
  <c r="AM1981" i="2"/>
  <c r="AK1981" i="2"/>
  <c r="AI1981" i="2"/>
  <c r="AR1980" i="2"/>
  <c r="AV1980" i="2"/>
  <c r="AS1980" i="2"/>
  <c r="AW1980" i="2"/>
  <c r="AQ1980" i="2"/>
  <c r="AU1980" i="2"/>
  <c r="AM1980" i="2"/>
  <c r="AK1980" i="2"/>
  <c r="AI1980" i="2"/>
  <c r="AS1979" i="2"/>
  <c r="AW1979" i="2"/>
  <c r="AR1979" i="2"/>
  <c r="AV1979" i="2"/>
  <c r="AQ1979" i="2"/>
  <c r="AU1979" i="2"/>
  <c r="AM1979" i="2"/>
  <c r="AK1979" i="2"/>
  <c r="AI1979" i="2"/>
  <c r="AQ1978" i="2"/>
  <c r="AU1978" i="2"/>
  <c r="AS1978" i="2"/>
  <c r="AW1978" i="2"/>
  <c r="AR1978" i="2"/>
  <c r="AV1978" i="2"/>
  <c r="AM1978" i="2"/>
  <c r="AK1978" i="2"/>
  <c r="AI1978" i="2"/>
  <c r="AS1977" i="2"/>
  <c r="AW1977" i="2"/>
  <c r="AR1977" i="2"/>
  <c r="AV1977" i="2"/>
  <c r="AQ1977" i="2"/>
  <c r="AU1977" i="2"/>
  <c r="AM1977" i="2"/>
  <c r="AK1977" i="2"/>
  <c r="AI1977" i="2"/>
  <c r="AR1421" i="2"/>
  <c r="AV1421" i="2"/>
  <c r="AS1421" i="2"/>
  <c r="AW1421" i="2"/>
  <c r="AQ1421" i="2"/>
  <c r="AU1421" i="2"/>
  <c r="AM1421" i="2"/>
  <c r="AK1421" i="2"/>
  <c r="AI1421" i="2"/>
  <c r="AS1195" i="2"/>
  <c r="AW1195" i="2"/>
  <c r="AR1195" i="2"/>
  <c r="AV1195" i="2"/>
  <c r="AQ1195" i="2"/>
  <c r="AU1195" i="2"/>
  <c r="AM1195" i="2"/>
  <c r="AK1195" i="2"/>
  <c r="AI1195" i="2"/>
  <c r="AQ1238" i="2"/>
  <c r="AU1238" i="2"/>
  <c r="AS1238" i="2"/>
  <c r="AW1238" i="2"/>
  <c r="AR1238" i="2"/>
  <c r="AV1238" i="2"/>
  <c r="AM1238" i="2"/>
  <c r="AK1238" i="2"/>
  <c r="AI1238" i="2"/>
  <c r="AR1407" i="2"/>
  <c r="AV1407" i="2"/>
  <c r="AS1407" i="2"/>
  <c r="AW1407" i="2"/>
  <c r="AQ1407" i="2"/>
  <c r="AU1407" i="2"/>
  <c r="AM1407" i="2"/>
  <c r="AK1407" i="2"/>
  <c r="AI1407" i="2"/>
  <c r="AR1091" i="2"/>
  <c r="AV1091" i="2"/>
  <c r="AS1091" i="2"/>
  <c r="AW1091" i="2"/>
  <c r="AQ1091" i="2"/>
  <c r="AU1091" i="2"/>
  <c r="AM1091" i="2"/>
  <c r="AK1091" i="2"/>
  <c r="AI1091" i="2"/>
  <c r="AS1057" i="2"/>
  <c r="AW1057" i="2"/>
  <c r="AR1057" i="2"/>
  <c r="AV1057" i="2"/>
  <c r="AQ1057" i="2"/>
  <c r="AU1057" i="2"/>
  <c r="AM1057" i="2"/>
  <c r="AK1057" i="2"/>
  <c r="AI1057" i="2"/>
  <c r="AQ771" i="2"/>
  <c r="AU771" i="2"/>
  <c r="AS771" i="2"/>
  <c r="AW771" i="2"/>
  <c r="AR771" i="2"/>
  <c r="AV771" i="2"/>
  <c r="AM771" i="2"/>
  <c r="AK771" i="2"/>
  <c r="AI771" i="2"/>
  <c r="AQ1249" i="2"/>
  <c r="AU1249" i="2"/>
  <c r="AS1249" i="2"/>
  <c r="AW1249" i="2"/>
  <c r="AR1249" i="2"/>
  <c r="AV1249" i="2"/>
  <c r="AS1163" i="2"/>
  <c r="AW1163" i="2"/>
  <c r="AR1163" i="2"/>
  <c r="AV1163" i="2"/>
  <c r="AQ1163" i="2"/>
  <c r="AU1163" i="2"/>
  <c r="AS913" i="2"/>
  <c r="AW913" i="2"/>
  <c r="AR913" i="2"/>
  <c r="AV913" i="2"/>
  <c r="AQ913" i="2"/>
  <c r="AU913" i="2"/>
  <c r="AS1652" i="2"/>
  <c r="AW1652" i="2"/>
  <c r="AR1652" i="2"/>
  <c r="AV1652" i="2"/>
  <c r="AQ1652" i="2"/>
  <c r="AU1652" i="2"/>
  <c r="AQ640" i="2"/>
  <c r="AU640" i="2"/>
  <c r="AS640" i="2"/>
  <c r="AW640" i="2"/>
  <c r="AR640" i="2"/>
  <c r="AV640" i="2"/>
  <c r="AS1139" i="2"/>
  <c r="AW1139" i="2"/>
  <c r="AR1139" i="2"/>
  <c r="AV1139" i="2"/>
  <c r="AQ1139" i="2"/>
  <c r="AU1139" i="2"/>
  <c r="AS1231" i="2"/>
  <c r="AW1231" i="2"/>
  <c r="AR1231" i="2"/>
  <c r="AV1231" i="2"/>
  <c r="AQ1231" i="2"/>
  <c r="AU1231" i="2"/>
  <c r="AS563" i="2"/>
  <c r="AW563" i="2"/>
  <c r="AR563" i="2"/>
  <c r="AV563" i="2"/>
  <c r="AQ563" i="2"/>
  <c r="AU563" i="2"/>
  <c r="AQ1161" i="2"/>
  <c r="AU1161" i="2"/>
  <c r="AS1161" i="2"/>
  <c r="AW1161" i="2"/>
  <c r="AR1161" i="2"/>
  <c r="AV1161" i="2"/>
  <c r="AS1027" i="2"/>
  <c r="AW1027" i="2"/>
  <c r="AR1027" i="2"/>
  <c r="AV1027" i="2"/>
  <c r="AQ1027" i="2"/>
  <c r="AU1027" i="2"/>
  <c r="AS880" i="2"/>
  <c r="AW880" i="2"/>
  <c r="AR880" i="2"/>
  <c r="AV880" i="2"/>
  <c r="AQ880" i="2"/>
  <c r="AU880" i="2"/>
  <c r="AS1121" i="2"/>
  <c r="AW1121" i="2"/>
  <c r="AR1121" i="2"/>
  <c r="AV1121" i="2"/>
  <c r="AQ1121" i="2"/>
  <c r="AU1121" i="2"/>
  <c r="AQ297" i="2"/>
  <c r="AU297" i="2"/>
  <c r="AS297" i="2"/>
  <c r="AW297" i="2"/>
  <c r="AR297" i="2"/>
  <c r="AV297" i="2"/>
  <c r="AS212" i="2"/>
  <c r="AW212" i="2"/>
  <c r="AR212" i="2"/>
  <c r="AV212" i="2"/>
  <c r="AQ212" i="2"/>
  <c r="AU212" i="2"/>
  <c r="AS613" i="2"/>
  <c r="AW613" i="2"/>
  <c r="AR613" i="2"/>
  <c r="AV613" i="2"/>
  <c r="AQ613" i="2"/>
  <c r="AU613" i="2"/>
  <c r="AS922" i="2"/>
  <c r="AW922" i="2"/>
  <c r="AR922" i="2"/>
  <c r="AV922" i="2"/>
  <c r="AQ922" i="2"/>
  <c r="AU922" i="2"/>
  <c r="AQ1526" i="2"/>
  <c r="AU1526" i="2"/>
  <c r="AS1526" i="2"/>
  <c r="AW1526" i="2"/>
  <c r="AR1526" i="2"/>
  <c r="AV1526" i="2"/>
  <c r="AS1098" i="2"/>
  <c r="AW1098" i="2"/>
  <c r="AR1098" i="2"/>
  <c r="AV1098" i="2"/>
  <c r="AQ1098" i="2"/>
  <c r="AU1098" i="2"/>
  <c r="AS1403" i="2"/>
  <c r="AW1403" i="2"/>
  <c r="AR1403" i="2"/>
  <c r="AV1403" i="2"/>
  <c r="AQ1403" i="2"/>
  <c r="AU1403" i="2"/>
  <c r="AS1256" i="2"/>
  <c r="AW1256" i="2"/>
  <c r="AR1256" i="2"/>
  <c r="AV1256" i="2"/>
  <c r="AQ1256" i="2"/>
  <c r="AU1256" i="2"/>
  <c r="AQ1159" i="2"/>
  <c r="AU1159" i="2"/>
  <c r="AS1159" i="2"/>
  <c r="AW1159" i="2"/>
  <c r="AR1159" i="2"/>
  <c r="AV1159" i="2"/>
  <c r="AS1572" i="2"/>
  <c r="AW1572" i="2"/>
  <c r="AR1572" i="2"/>
  <c r="AV1572" i="2"/>
  <c r="AQ1572" i="2"/>
  <c r="AU1572" i="2"/>
  <c r="AM1572" i="2"/>
  <c r="AK1572" i="2"/>
  <c r="AI1572" i="2"/>
  <c r="AR1838" i="2"/>
  <c r="AV1838" i="2"/>
  <c r="AS1838" i="2"/>
  <c r="AW1838" i="2"/>
  <c r="AQ1838" i="2"/>
  <c r="AU1838" i="2"/>
  <c r="AM1838" i="2"/>
  <c r="AK1838" i="2"/>
  <c r="AI1838" i="2"/>
  <c r="AQ1889" i="2"/>
  <c r="AU1889" i="2"/>
  <c r="AS1889" i="2"/>
  <c r="AW1889" i="2"/>
  <c r="AR1889" i="2"/>
  <c r="AV1889" i="2"/>
  <c r="AM1889" i="2"/>
  <c r="AK1889" i="2"/>
  <c r="AI1889" i="2"/>
  <c r="AS1539" i="2"/>
  <c r="AW1539" i="2"/>
  <c r="AR1539" i="2"/>
  <c r="AV1539" i="2"/>
  <c r="AQ1539" i="2"/>
  <c r="AU1539" i="2"/>
  <c r="AM1539" i="2"/>
  <c r="AK1539" i="2"/>
  <c r="AI1539" i="2"/>
  <c r="AS1877" i="2"/>
  <c r="AW1877" i="2"/>
  <c r="AR1877" i="2"/>
  <c r="AV1877" i="2"/>
  <c r="AQ1877" i="2"/>
  <c r="AU1877" i="2"/>
  <c r="AM1877" i="2"/>
  <c r="AK1877" i="2"/>
  <c r="AI1877" i="2"/>
  <c r="AS1242" i="2"/>
  <c r="AW1242" i="2"/>
  <c r="AR1242" i="2"/>
  <c r="AV1242" i="2"/>
  <c r="AQ1242" i="2"/>
  <c r="AU1242" i="2"/>
  <c r="AM1242" i="2"/>
  <c r="AK1242" i="2"/>
  <c r="AI1242" i="2"/>
  <c r="AS1924" i="2"/>
  <c r="AW1924" i="2"/>
  <c r="AR1924" i="2"/>
  <c r="AV1924" i="2"/>
  <c r="AQ1924" i="2"/>
  <c r="AU1924" i="2"/>
  <c r="AM1924" i="2"/>
  <c r="AK1924" i="2"/>
  <c r="AI1924" i="2"/>
  <c r="AS1742" i="2"/>
  <c r="AW1742" i="2"/>
  <c r="AR1742" i="2"/>
  <c r="AV1742" i="2"/>
  <c r="AQ1742" i="2"/>
  <c r="AU1742" i="2"/>
  <c r="AM1742" i="2"/>
  <c r="AK1742" i="2"/>
  <c r="AI1742" i="2"/>
  <c r="AS1829" i="2"/>
  <c r="AW1829" i="2"/>
  <c r="AR1829" i="2"/>
  <c r="AV1829" i="2"/>
  <c r="AQ1829" i="2"/>
  <c r="AU1829" i="2"/>
  <c r="AM1829" i="2"/>
  <c r="AK1829" i="2"/>
  <c r="AI1829" i="2"/>
  <c r="AR1854" i="2"/>
  <c r="AV1854" i="2"/>
  <c r="AS1854" i="2"/>
  <c r="AW1854" i="2"/>
  <c r="AQ1854" i="2"/>
  <c r="AU1854" i="2"/>
  <c r="AM1854" i="2"/>
  <c r="AK1854" i="2"/>
  <c r="AI1854" i="2"/>
  <c r="AQ1884" i="2"/>
  <c r="AU1884" i="2"/>
  <c r="AS1884" i="2"/>
  <c r="AW1884" i="2"/>
  <c r="AR1884" i="2"/>
  <c r="AV1884" i="2"/>
  <c r="AM1884" i="2"/>
  <c r="AK1884" i="2"/>
  <c r="AI1884" i="2"/>
  <c r="AS1669" i="2"/>
  <c r="AW1669" i="2"/>
  <c r="AR1669" i="2"/>
  <c r="AV1669" i="2"/>
  <c r="AQ1669" i="2"/>
  <c r="AU1669" i="2"/>
  <c r="AM1669" i="2"/>
  <c r="AK1669" i="2"/>
  <c r="AI1669" i="2"/>
  <c r="AS1832" i="2"/>
  <c r="AW1832" i="2"/>
  <c r="AR1832" i="2"/>
  <c r="AV1832" i="2"/>
  <c r="AQ1832" i="2"/>
  <c r="AU1832" i="2"/>
  <c r="AM1832" i="2"/>
  <c r="AK1832" i="2"/>
  <c r="AI1832" i="2"/>
  <c r="AS1976" i="2"/>
  <c r="AW1976" i="2"/>
  <c r="AR1976" i="2"/>
  <c r="AV1976" i="2"/>
  <c r="AQ1976" i="2"/>
  <c r="AU1976" i="2"/>
  <c r="AM1976" i="2"/>
  <c r="AK1976" i="2"/>
  <c r="AI1976" i="2"/>
  <c r="AS1975" i="2"/>
  <c r="AW1975" i="2"/>
  <c r="AR1975" i="2"/>
  <c r="AV1975" i="2"/>
  <c r="AQ1975" i="2"/>
  <c r="AU1975" i="2"/>
  <c r="AM1975" i="2"/>
  <c r="AK1975" i="2"/>
  <c r="AI1975" i="2"/>
  <c r="AS1869" i="2"/>
  <c r="AW1869" i="2"/>
  <c r="AR1869" i="2"/>
  <c r="AV1869" i="2"/>
  <c r="AQ1869" i="2"/>
  <c r="AU1869" i="2"/>
  <c r="AM1869" i="2"/>
  <c r="AK1869" i="2"/>
  <c r="AI1869" i="2"/>
  <c r="AM1619" i="2"/>
  <c r="AK1619" i="2"/>
  <c r="AI1619" i="2"/>
  <c r="AM1859" i="2"/>
  <c r="AK1859" i="2"/>
  <c r="AI1859" i="2"/>
  <c r="AM1371" i="2"/>
  <c r="AK1371" i="2"/>
  <c r="AI1371" i="2"/>
  <c r="AM1051" i="2"/>
  <c r="AK1051" i="2"/>
  <c r="AI1051" i="2"/>
  <c r="AM1805" i="2"/>
  <c r="AK1805" i="2"/>
  <c r="AI1805" i="2"/>
  <c r="AM678" i="2"/>
  <c r="AK678" i="2"/>
  <c r="AI678" i="2"/>
  <c r="AM1067" i="2"/>
  <c r="AK1067" i="2"/>
  <c r="AI1067" i="2"/>
  <c r="AM924" i="2"/>
  <c r="AK924" i="2"/>
  <c r="AI924" i="2"/>
  <c r="AM1790" i="2"/>
  <c r="AK1790" i="2"/>
  <c r="AI1790" i="2"/>
  <c r="AM1097" i="2"/>
  <c r="AK1097" i="2"/>
  <c r="AI1097" i="2"/>
  <c r="AM1462" i="2"/>
  <c r="AK1462" i="2"/>
  <c r="AI1462" i="2"/>
  <c r="AM1444" i="2"/>
  <c r="AK1444" i="2"/>
  <c r="AI1444" i="2"/>
  <c r="AM1443" i="2"/>
  <c r="AK1443" i="2"/>
  <c r="AI1443" i="2"/>
  <c r="AM1329" i="2"/>
  <c r="AK1329" i="2"/>
  <c r="AI1329" i="2"/>
  <c r="AM1577" i="2"/>
  <c r="AK1577" i="2"/>
  <c r="AI1577" i="2"/>
  <c r="AM1361" i="2"/>
  <c r="AK1361" i="2"/>
  <c r="AI1361" i="2"/>
  <c r="AM1974" i="2"/>
  <c r="AK1974" i="2"/>
  <c r="AI1974" i="2"/>
  <c r="AM502" i="2"/>
  <c r="AK502" i="2"/>
  <c r="AI502" i="2"/>
  <c r="AM1817" i="2"/>
  <c r="AK1817" i="2"/>
  <c r="AI1817" i="2"/>
  <c r="AM652" i="2"/>
  <c r="AK652" i="2"/>
  <c r="AI652" i="2"/>
  <c r="AM1684" i="2"/>
  <c r="AK1684" i="2"/>
  <c r="AI1684" i="2"/>
  <c r="AM1857" i="2"/>
  <c r="AK1857" i="2"/>
  <c r="AI1857" i="2"/>
  <c r="AM1876" i="2"/>
  <c r="AK1876" i="2"/>
  <c r="AI1876" i="2"/>
  <c r="W1876" i="2"/>
  <c r="V1876" i="2"/>
  <c r="U1876" i="2"/>
  <c r="T1876" i="2"/>
  <c r="Q1876" i="2"/>
  <c r="P1876" i="2"/>
  <c r="O1876" i="2"/>
  <c r="N1876" i="2"/>
  <c r="AM857" i="2"/>
  <c r="AK857" i="2"/>
  <c r="AI857" i="2"/>
  <c r="AM1253" i="2"/>
  <c r="AK1253" i="2"/>
  <c r="AI1253" i="2"/>
  <c r="AM1849" i="2"/>
  <c r="AK1849" i="2"/>
  <c r="AI1849" i="2"/>
  <c r="AM1808" i="2"/>
  <c r="AK1808" i="2"/>
  <c r="AI1808" i="2"/>
  <c r="AM1899" i="2"/>
  <c r="AK1899" i="2"/>
  <c r="AI1899" i="2"/>
  <c r="Q1899" i="2"/>
  <c r="P1899" i="2"/>
  <c r="O1899" i="2"/>
  <c r="N1899" i="2"/>
  <c r="AM774" i="2"/>
  <c r="AK774" i="2"/>
  <c r="AI774" i="2"/>
  <c r="U774" i="2"/>
  <c r="T774" i="2"/>
  <c r="AM1788" i="2"/>
  <c r="AK1788" i="2"/>
  <c r="AI1788" i="2"/>
  <c r="AM1973" i="2"/>
  <c r="AK1973" i="2"/>
  <c r="AI1973" i="2"/>
  <c r="AV1783" i="2"/>
  <c r="AZ1783" i="2"/>
  <c r="AU1783" i="2"/>
  <c r="AY1783" i="2"/>
  <c r="AS1783" i="2"/>
  <c r="AO1783" i="2"/>
  <c r="AP1783" i="2"/>
  <c r="AI1783" i="2"/>
  <c r="AB1783" i="2"/>
  <c r="AW1783" i="2"/>
  <c r="BA1783" i="2"/>
  <c r="AV205" i="2"/>
  <c r="AZ205" i="2"/>
  <c r="AU205" i="2"/>
  <c r="AY205" i="2"/>
  <c r="AS205" i="2"/>
  <c r="AO205" i="2"/>
  <c r="AP205" i="2"/>
  <c r="AI205" i="2"/>
  <c r="AB205" i="2"/>
  <c r="AW205" i="2"/>
  <c r="BA205" i="2"/>
  <c r="AV948" i="2"/>
  <c r="AZ948" i="2"/>
  <c r="AU948" i="2"/>
  <c r="AY948" i="2"/>
  <c r="AS948" i="2"/>
  <c r="AO948" i="2"/>
  <c r="AP948" i="2"/>
  <c r="AI948" i="2"/>
  <c r="AB948" i="2"/>
  <c r="AW948" i="2"/>
  <c r="BA948" i="2"/>
  <c r="AV559" i="2"/>
  <c r="AZ559" i="2"/>
  <c r="AU559" i="2"/>
  <c r="AY559" i="2"/>
  <c r="AS559" i="2"/>
  <c r="AO559" i="2"/>
  <c r="AP559" i="2"/>
  <c r="AI559" i="2"/>
  <c r="AB559" i="2"/>
  <c r="AW559" i="2"/>
  <c r="BA559" i="2"/>
  <c r="AV716" i="2"/>
  <c r="AZ716" i="2"/>
  <c r="AU716" i="2"/>
  <c r="AY716" i="2"/>
  <c r="AS716" i="2"/>
  <c r="AO716" i="2"/>
  <c r="AP716" i="2"/>
  <c r="AI716" i="2"/>
  <c r="AB716" i="2"/>
  <c r="AW716" i="2"/>
  <c r="BA716" i="2"/>
  <c r="AV1635" i="2"/>
  <c r="AZ1635" i="2"/>
  <c r="AU1635" i="2"/>
  <c r="AY1635" i="2"/>
  <c r="AS1635" i="2"/>
  <c r="AO1635" i="2"/>
  <c r="AP1635" i="2"/>
  <c r="AI1635" i="2"/>
  <c r="AB1635" i="2"/>
  <c r="AW1635" i="2"/>
  <c r="BA1635" i="2"/>
  <c r="AV1795" i="2"/>
  <c r="AZ1795" i="2"/>
  <c r="AU1795" i="2"/>
  <c r="AY1795" i="2"/>
  <c r="AS1795" i="2"/>
  <c r="AO1795" i="2"/>
  <c r="AP1795" i="2"/>
  <c r="AI1795" i="2"/>
  <c r="AB1795" i="2"/>
  <c r="AW1795" i="2"/>
  <c r="BA1795" i="2"/>
  <c r="AB1495" i="2"/>
  <c r="AW1495" i="2"/>
  <c r="BA1495" i="2"/>
  <c r="AV1495" i="2"/>
  <c r="AZ1495" i="2"/>
  <c r="AU1495" i="2"/>
  <c r="AY1495" i="2"/>
  <c r="AS1495" i="2"/>
  <c r="AO1495" i="2"/>
  <c r="AP1495" i="2"/>
  <c r="AV1564" i="2"/>
  <c r="AZ1564" i="2"/>
  <c r="AU1564" i="2"/>
  <c r="AY1564" i="2"/>
  <c r="AS1564" i="2"/>
  <c r="AO1564" i="2"/>
  <c r="AP1564" i="2"/>
  <c r="AI1564" i="2"/>
  <c r="AB1564" i="2"/>
  <c r="AW1564" i="2"/>
  <c r="BA1564" i="2"/>
  <c r="AB1597" i="2"/>
  <c r="AW1597" i="2"/>
  <c r="BA1597" i="2"/>
  <c r="AV1597" i="2"/>
  <c r="AZ1597" i="2"/>
  <c r="AU1597" i="2"/>
  <c r="AY1597" i="2"/>
  <c r="AR1597" i="2"/>
  <c r="AQ1597" i="2"/>
  <c r="AO1597" i="2"/>
  <c r="AP1597" i="2"/>
  <c r="AV1116" i="2"/>
  <c r="AZ1116" i="2"/>
  <c r="AU1116" i="2"/>
  <c r="AY1116" i="2"/>
  <c r="AR1116" i="2"/>
  <c r="AQ1116" i="2"/>
  <c r="AO1116" i="2"/>
  <c r="AP1116" i="2"/>
  <c r="AB1116" i="2"/>
  <c r="AW1116" i="2"/>
  <c r="BA1116" i="2"/>
  <c r="AV560" i="2"/>
  <c r="AZ560" i="2"/>
  <c r="AU560" i="2"/>
  <c r="AY560" i="2"/>
  <c r="AR560" i="2"/>
  <c r="AQ560" i="2"/>
  <c r="AO560" i="2"/>
  <c r="AP560" i="2"/>
  <c r="AB560" i="2"/>
  <c r="AW560" i="2"/>
  <c r="BA560" i="2"/>
  <c r="AU1170" i="2"/>
  <c r="AY1170" i="2"/>
  <c r="AV1170" i="2"/>
  <c r="AZ1170" i="2"/>
  <c r="AR1170" i="2"/>
  <c r="AQ1170" i="2"/>
  <c r="AO1170" i="2"/>
  <c r="AP1170" i="2"/>
  <c r="AB1170" i="2"/>
  <c r="AW1170" i="2"/>
  <c r="BA1170" i="2"/>
  <c r="AV1054" i="2"/>
  <c r="AZ1054" i="2"/>
  <c r="AU1054" i="2"/>
  <c r="AY1054" i="2"/>
  <c r="AR1054" i="2"/>
  <c r="AQ1054" i="2"/>
  <c r="AO1054" i="2"/>
  <c r="AP1054" i="2"/>
  <c r="AB1054" i="2"/>
  <c r="AW1054" i="2"/>
  <c r="BA1054" i="2"/>
  <c r="AU333" i="2"/>
  <c r="AY333" i="2"/>
  <c r="AV333" i="2"/>
  <c r="AZ333" i="2"/>
  <c r="AR333" i="2"/>
  <c r="AQ333" i="2"/>
  <c r="AO333" i="2"/>
  <c r="AP333" i="2"/>
  <c r="AK333" i="2"/>
  <c r="AB333" i="2"/>
  <c r="AW333" i="2"/>
  <c r="BA333" i="2"/>
  <c r="AB1234" i="2"/>
  <c r="AW1234" i="2"/>
  <c r="BA1234" i="2"/>
  <c r="AV1234" i="2"/>
  <c r="AZ1234" i="2"/>
  <c r="AU1234" i="2"/>
  <c r="AY1234" i="2"/>
  <c r="AR1234" i="2"/>
  <c r="AQ1234" i="2"/>
  <c r="AO1234" i="2"/>
  <c r="AP1234" i="2"/>
  <c r="AM1234" i="2"/>
  <c r="AK1234" i="2"/>
  <c r="AI1234" i="2"/>
  <c r="AV495" i="2"/>
  <c r="AZ495" i="2"/>
  <c r="AU495" i="2"/>
  <c r="AY495" i="2"/>
  <c r="AR495" i="2"/>
  <c r="AQ495" i="2"/>
  <c r="AO495" i="2"/>
  <c r="AP495" i="2"/>
  <c r="AM495" i="2"/>
  <c r="AK495" i="2"/>
  <c r="AI495" i="2"/>
  <c r="AB495" i="2"/>
  <c r="AW495" i="2"/>
  <c r="BA495" i="2"/>
  <c r="AB814" i="2"/>
  <c r="AW814" i="2"/>
  <c r="BA814" i="2"/>
  <c r="AV814" i="2"/>
  <c r="AZ814" i="2"/>
  <c r="AU814" i="2"/>
  <c r="AY814" i="2"/>
  <c r="AR814" i="2"/>
  <c r="AQ814" i="2"/>
  <c r="AO814" i="2"/>
  <c r="AP814" i="2"/>
  <c r="AM814" i="2"/>
  <c r="AK814" i="2"/>
  <c r="AI814" i="2"/>
  <c r="AV1702" i="2"/>
  <c r="AZ1702" i="2"/>
  <c r="AU1702" i="2"/>
  <c r="AY1702" i="2"/>
  <c r="AR1702" i="2"/>
  <c r="AQ1702" i="2"/>
  <c r="AO1702" i="2"/>
  <c r="AP1702" i="2"/>
  <c r="AM1702" i="2"/>
  <c r="AK1702" i="2"/>
  <c r="AI1702" i="2"/>
  <c r="AB1702" i="2"/>
  <c r="AW1702" i="2"/>
  <c r="BA1702" i="2"/>
  <c r="AB1972" i="2"/>
  <c r="AW1972" i="2"/>
  <c r="BA1972" i="2"/>
  <c r="AV1972" i="2"/>
  <c r="AZ1972" i="2"/>
  <c r="AU1972" i="2"/>
  <c r="AY1972" i="2"/>
  <c r="AR1972" i="2"/>
  <c r="AQ1972" i="2"/>
  <c r="AO1972" i="2"/>
  <c r="AP1972" i="2"/>
  <c r="AM1972" i="2"/>
  <c r="AK1972" i="2"/>
  <c r="AI1972" i="2"/>
  <c r="AV1917" i="2"/>
  <c r="AZ1917" i="2"/>
  <c r="AU1917" i="2"/>
  <c r="AY1917" i="2"/>
  <c r="AR1917" i="2"/>
  <c r="AQ1917" i="2"/>
  <c r="AO1917" i="2"/>
  <c r="AP1917" i="2"/>
  <c r="AM1917" i="2"/>
  <c r="AK1917" i="2"/>
  <c r="AI1917" i="2"/>
  <c r="AB1917" i="2"/>
  <c r="AW1917" i="2"/>
  <c r="BA1917" i="2"/>
  <c r="AB1916" i="2"/>
  <c r="AW1916" i="2"/>
  <c r="BA1916" i="2"/>
  <c r="AV1916" i="2"/>
  <c r="AZ1916" i="2"/>
  <c r="AU1916" i="2"/>
  <c r="AY1916" i="2"/>
  <c r="AR1916" i="2"/>
  <c r="AQ1916" i="2"/>
  <c r="AO1916" i="2"/>
  <c r="AP1916" i="2"/>
  <c r="AM1916" i="2"/>
  <c r="AK1916" i="2"/>
  <c r="AI1916" i="2"/>
  <c r="AW1294" i="2"/>
  <c r="BA1294" i="2"/>
  <c r="AV1294" i="2"/>
  <c r="AZ1294" i="2"/>
  <c r="AU1294" i="2"/>
  <c r="AY1294" i="2"/>
  <c r="AR1294" i="2"/>
  <c r="AQ1294" i="2"/>
  <c r="AO1294" i="2"/>
  <c r="AP1294" i="2"/>
  <c r="AW1542" i="2"/>
  <c r="BA1542" i="2"/>
  <c r="AV1542" i="2"/>
  <c r="AZ1542" i="2"/>
  <c r="AU1542" i="2"/>
  <c r="AY1542" i="2"/>
  <c r="AR1542" i="2"/>
  <c r="AQ1542" i="2"/>
  <c r="AO1542" i="2"/>
  <c r="AP1542" i="2"/>
  <c r="AW750" i="2"/>
  <c r="BA750" i="2"/>
  <c r="AV750" i="2"/>
  <c r="AZ750" i="2"/>
  <c r="AU750" i="2"/>
  <c r="AY750" i="2"/>
  <c r="AR750" i="2"/>
  <c r="AQ750" i="2"/>
  <c r="AO750" i="2"/>
  <c r="AP750" i="2"/>
  <c r="AW773" i="2"/>
  <c r="BA773" i="2"/>
  <c r="AV773" i="2"/>
  <c r="AZ773" i="2"/>
  <c r="AU773" i="2"/>
  <c r="AY773" i="2"/>
  <c r="AR773" i="2"/>
  <c r="AQ773" i="2"/>
  <c r="AO773" i="2"/>
  <c r="AP773" i="2"/>
  <c r="AW493" i="2"/>
  <c r="BA493" i="2"/>
  <c r="AV493" i="2"/>
  <c r="AZ493" i="2"/>
  <c r="AU493" i="2"/>
  <c r="AY493" i="2"/>
  <c r="AR493" i="2"/>
  <c r="AQ493" i="2"/>
  <c r="AO493" i="2"/>
  <c r="AP493" i="2"/>
  <c r="AW882" i="2"/>
  <c r="BA882" i="2"/>
  <c r="AV882" i="2"/>
  <c r="AZ882" i="2"/>
  <c r="AU882" i="2"/>
  <c r="AY882" i="2"/>
  <c r="AR882" i="2"/>
  <c r="AQ882" i="2"/>
  <c r="AO882" i="2"/>
  <c r="AP882" i="2"/>
  <c r="AW435" i="2"/>
  <c r="BA435" i="2"/>
  <c r="AV435" i="2"/>
  <c r="AZ435" i="2"/>
  <c r="AU435" i="2"/>
  <c r="AY435" i="2"/>
  <c r="AR435" i="2"/>
  <c r="AQ435" i="2"/>
  <c r="AO435" i="2"/>
  <c r="AP435" i="2"/>
  <c r="AW1971" i="2"/>
  <c r="BA1971" i="2"/>
  <c r="AV1971" i="2"/>
  <c r="AZ1971" i="2"/>
  <c r="AU1971" i="2"/>
  <c r="AY1971" i="2"/>
  <c r="AR1971" i="2"/>
  <c r="AQ1971" i="2"/>
  <c r="AO1971" i="2"/>
  <c r="AP1971" i="2"/>
  <c r="AW1056" i="2"/>
  <c r="BA1056" i="2"/>
  <c r="AV1056" i="2"/>
  <c r="AZ1056" i="2"/>
  <c r="AU1056" i="2"/>
  <c r="AY1056" i="2"/>
  <c r="AR1056" i="2"/>
  <c r="AQ1056" i="2"/>
  <c r="AO1056" i="2"/>
  <c r="AP1056" i="2"/>
  <c r="AW1970" i="2"/>
  <c r="BA1970" i="2"/>
  <c r="AV1970" i="2"/>
  <c r="AZ1970" i="2"/>
  <c r="AU1970" i="2"/>
  <c r="AY1970" i="2"/>
  <c r="AR1970" i="2"/>
  <c r="AQ1970" i="2"/>
  <c r="AO1970" i="2"/>
  <c r="AP1970" i="2"/>
  <c r="AW1793" i="2"/>
  <c r="BA1793" i="2"/>
  <c r="AV1793" i="2"/>
  <c r="AZ1793" i="2"/>
  <c r="AU1793" i="2"/>
  <c r="AY1793" i="2"/>
  <c r="AR1793" i="2"/>
  <c r="AQ1793" i="2"/>
  <c r="AO1793" i="2"/>
  <c r="AP1793" i="2"/>
  <c r="AW527" i="2"/>
  <c r="BA527" i="2"/>
  <c r="AV527" i="2"/>
  <c r="AZ527" i="2"/>
  <c r="AU527" i="2"/>
  <c r="AY527" i="2"/>
  <c r="AR527" i="2"/>
  <c r="AQ527" i="2"/>
  <c r="AO527" i="2"/>
  <c r="AP527" i="2"/>
  <c r="AW340" i="2"/>
  <c r="BA340" i="2"/>
  <c r="AV340" i="2"/>
  <c r="AZ340" i="2"/>
  <c r="AU340" i="2"/>
  <c r="AY340" i="2"/>
  <c r="AR340" i="2"/>
  <c r="AQ340" i="2"/>
  <c r="AO340" i="2"/>
  <c r="AP340" i="2"/>
  <c r="AW1314" i="2"/>
  <c r="BA1314" i="2"/>
  <c r="AV1314" i="2"/>
  <c r="AZ1314" i="2"/>
  <c r="AU1314" i="2"/>
  <c r="AY1314" i="2"/>
  <c r="AR1314" i="2"/>
  <c r="AQ1314" i="2"/>
  <c r="AO1314" i="2"/>
  <c r="AP1314" i="2"/>
  <c r="AW1350" i="2"/>
  <c r="BA1350" i="2"/>
  <c r="AV1350" i="2"/>
  <c r="AZ1350" i="2"/>
  <c r="AU1350" i="2"/>
  <c r="AY1350" i="2"/>
  <c r="AR1350" i="2"/>
  <c r="AQ1350" i="2"/>
  <c r="AO1350" i="2"/>
  <c r="AP1350" i="2"/>
  <c r="AW1114" i="2"/>
  <c r="BA1114" i="2"/>
  <c r="AV1114" i="2"/>
  <c r="AZ1114" i="2"/>
  <c r="AU1114" i="2"/>
  <c r="AY1114" i="2"/>
  <c r="AR1114" i="2"/>
  <c r="AQ1114" i="2"/>
  <c r="AO1114" i="2"/>
  <c r="AP1114" i="2"/>
  <c r="AB175" i="2"/>
  <c r="AW175" i="2"/>
  <c r="BA175" i="2"/>
  <c r="AV175" i="2"/>
  <c r="AZ175" i="2"/>
  <c r="AU175" i="2"/>
  <c r="AY175" i="2"/>
  <c r="AS175" i="2"/>
  <c r="AR175" i="2"/>
  <c r="AP175" i="2"/>
  <c r="AQ175" i="2"/>
  <c r="AV91" i="2"/>
  <c r="AZ91" i="2"/>
  <c r="AU91" i="2"/>
  <c r="AY91" i="2"/>
  <c r="AS91" i="2"/>
  <c r="AR91" i="2"/>
  <c r="AP91" i="2"/>
  <c r="AQ91" i="2"/>
  <c r="AB91" i="2"/>
  <c r="AW91" i="2"/>
  <c r="BA91" i="2"/>
  <c r="AV420" i="2"/>
  <c r="AZ420" i="2"/>
  <c r="AU420" i="2"/>
  <c r="AY420" i="2"/>
  <c r="AS420" i="2"/>
  <c r="AR420" i="2"/>
  <c r="AP420" i="2"/>
  <c r="AQ420" i="2"/>
  <c r="AB420" i="2"/>
  <c r="AW420" i="2"/>
  <c r="BA420" i="2"/>
  <c r="AU51" i="2"/>
  <c r="AY51" i="2"/>
  <c r="AV51" i="2"/>
  <c r="AZ51" i="2"/>
  <c r="AS51" i="2"/>
  <c r="AR51" i="2"/>
  <c r="AP51" i="2"/>
  <c r="AQ51" i="2"/>
  <c r="AB51" i="2"/>
  <c r="AW51" i="2"/>
  <c r="BA51" i="2"/>
  <c r="AV140" i="2"/>
  <c r="AZ140" i="2"/>
  <c r="AU140" i="2"/>
  <c r="AY140" i="2"/>
  <c r="AS140" i="2"/>
  <c r="AR140" i="2"/>
  <c r="AP140" i="2"/>
  <c r="AQ140" i="2"/>
  <c r="AB140" i="2"/>
  <c r="AW140" i="2"/>
  <c r="BA140" i="2"/>
  <c r="AW284" i="2"/>
  <c r="BA284" i="2"/>
  <c r="AV284" i="2"/>
  <c r="AZ284" i="2"/>
  <c r="AU284" i="2"/>
  <c r="AY284" i="2"/>
  <c r="AS284" i="2"/>
  <c r="AR284" i="2"/>
  <c r="AP284" i="2"/>
  <c r="AQ284" i="2"/>
  <c r="AV1595" i="2"/>
  <c r="AZ1595" i="2"/>
  <c r="AU1595" i="2"/>
  <c r="AY1595" i="2"/>
  <c r="AS1595" i="2"/>
  <c r="AR1595" i="2"/>
  <c r="AP1595" i="2"/>
  <c r="AQ1595" i="2"/>
  <c r="AB1595" i="2"/>
  <c r="AW1595" i="2"/>
  <c r="BA1595" i="2"/>
  <c r="AV1692" i="2"/>
  <c r="AZ1692" i="2"/>
  <c r="AU1692" i="2"/>
  <c r="AY1692" i="2"/>
  <c r="AS1692" i="2"/>
  <c r="AR1692" i="2"/>
  <c r="AP1692" i="2"/>
  <c r="AQ1692" i="2"/>
  <c r="AB1692" i="2"/>
  <c r="AW1692" i="2"/>
  <c r="BA1692" i="2"/>
  <c r="AV1969" i="2"/>
  <c r="AZ1969" i="2"/>
  <c r="AU1969" i="2"/>
  <c r="AY1969" i="2"/>
  <c r="AS1969" i="2"/>
  <c r="AP1969" i="2"/>
  <c r="AQ1969" i="2"/>
  <c r="AB1969" i="2"/>
  <c r="AW1969" i="2"/>
  <c r="BA1969" i="2"/>
  <c r="AV1875" i="2"/>
  <c r="AZ1875" i="2"/>
  <c r="AU1875" i="2"/>
  <c r="AY1875" i="2"/>
  <c r="AS1875" i="2"/>
  <c r="AP1875" i="2"/>
  <c r="AQ1875" i="2"/>
  <c r="AB1875" i="2"/>
  <c r="AW1875" i="2"/>
  <c r="BA1875" i="2"/>
  <c r="AV261" i="2"/>
  <c r="AZ261" i="2"/>
  <c r="AB261" i="2"/>
  <c r="AW261" i="2"/>
  <c r="BA261" i="2"/>
  <c r="AU261" i="2"/>
  <c r="AY261" i="2"/>
  <c r="AS261" i="2"/>
  <c r="AP261" i="2"/>
  <c r="AQ261" i="2"/>
  <c r="AV1800" i="2"/>
  <c r="AZ1800" i="2"/>
  <c r="AU1800" i="2"/>
  <c r="AY1800" i="2"/>
  <c r="AS1800" i="2"/>
  <c r="AP1800" i="2"/>
  <c r="AQ1800" i="2"/>
  <c r="AB1800" i="2"/>
  <c r="AW1800" i="2"/>
  <c r="BA1800" i="2"/>
  <c r="AB1720" i="2"/>
  <c r="AW1720" i="2"/>
  <c r="BA1720" i="2"/>
  <c r="AV1720" i="2"/>
  <c r="AZ1720" i="2"/>
  <c r="AU1720" i="2"/>
  <c r="AY1720" i="2"/>
  <c r="AS1720" i="2"/>
  <c r="AP1720" i="2"/>
  <c r="AQ1720" i="2"/>
  <c r="AV328" i="2"/>
  <c r="AZ328" i="2"/>
  <c r="AU328" i="2"/>
  <c r="AY328" i="2"/>
  <c r="AS328" i="2"/>
  <c r="AP328" i="2"/>
  <c r="AQ328" i="2"/>
  <c r="AB328" i="2"/>
  <c r="AW328" i="2"/>
  <c r="BA328" i="2"/>
  <c r="AV504" i="2"/>
  <c r="AZ504" i="2"/>
  <c r="AU504" i="2"/>
  <c r="AY504" i="2"/>
  <c r="AS504" i="2"/>
  <c r="AP504" i="2"/>
  <c r="AQ504" i="2"/>
  <c r="AB504" i="2"/>
  <c r="AW504" i="2"/>
  <c r="BA504" i="2"/>
  <c r="AW121" i="2"/>
  <c r="BA121" i="2"/>
  <c r="AV121" i="2"/>
  <c r="AZ121" i="2"/>
  <c r="AU121" i="2"/>
  <c r="AY121" i="2"/>
  <c r="AS121" i="2"/>
  <c r="AP121" i="2"/>
  <c r="AQ121" i="2"/>
  <c r="AU1968" i="2"/>
  <c r="AY1968" i="2"/>
  <c r="AV1968" i="2"/>
  <c r="AZ1968" i="2"/>
  <c r="AS1968" i="2"/>
  <c r="AP1968" i="2"/>
  <c r="AQ1968" i="2"/>
  <c r="AB1968" i="2"/>
  <c r="AW1968" i="2"/>
  <c r="BA1968" i="2"/>
  <c r="AU844" i="2"/>
  <c r="AY844" i="2"/>
  <c r="AB844" i="2"/>
  <c r="AW844" i="2"/>
  <c r="BA844" i="2"/>
  <c r="AV844" i="2"/>
  <c r="AZ844" i="2"/>
  <c r="AS844" i="2"/>
  <c r="AP844" i="2"/>
  <c r="AQ844" i="2"/>
  <c r="AV1243" i="2"/>
  <c r="AZ1243" i="2"/>
  <c r="AU1243" i="2"/>
  <c r="AY1243" i="2"/>
  <c r="AS1243" i="2"/>
  <c r="AP1243" i="2"/>
  <c r="AQ1243" i="2"/>
  <c r="AB1243" i="2"/>
  <c r="AW1243" i="2"/>
  <c r="BA1243" i="2"/>
  <c r="AV1967" i="2"/>
  <c r="AZ1967" i="2"/>
  <c r="AU1967" i="2"/>
  <c r="AY1967" i="2"/>
  <c r="AS1967" i="2"/>
  <c r="AP1967" i="2"/>
  <c r="AQ1967" i="2"/>
  <c r="AB1967" i="2"/>
  <c r="AW1967" i="2"/>
  <c r="BA1967" i="2"/>
  <c r="AU63" i="2"/>
  <c r="AY63" i="2"/>
  <c r="AV63" i="2"/>
  <c r="AZ63" i="2"/>
  <c r="AS63" i="2"/>
  <c r="AP63" i="2"/>
  <c r="AQ63" i="2"/>
  <c r="AB63" i="2"/>
  <c r="AW63" i="2"/>
  <c r="BA63" i="2"/>
  <c r="AU82" i="2"/>
  <c r="AY82" i="2"/>
  <c r="AW82" i="2"/>
  <c r="BA82" i="2"/>
  <c r="AV82" i="2"/>
  <c r="AZ82" i="2"/>
  <c r="AS82" i="2"/>
  <c r="AP82" i="2"/>
  <c r="AQ82" i="2"/>
  <c r="AV1921" i="2"/>
  <c r="AZ1921" i="2"/>
  <c r="AU1921" i="2"/>
  <c r="AY1921" i="2"/>
  <c r="AS1921" i="2"/>
  <c r="AP1921" i="2"/>
  <c r="AQ1921" i="2"/>
  <c r="AB1921" i="2"/>
  <c r="AW1921" i="2"/>
  <c r="BA1921" i="2"/>
  <c r="AV1925" i="2"/>
  <c r="AZ1925" i="2"/>
  <c r="AU1925" i="2"/>
  <c r="AY1925" i="2"/>
  <c r="AS1925" i="2"/>
  <c r="AP1925" i="2"/>
  <c r="AQ1925" i="2"/>
  <c r="AB1925" i="2"/>
  <c r="AW1925" i="2"/>
  <c r="BA1925" i="2"/>
  <c r="AV273" i="2"/>
  <c r="AZ273" i="2"/>
  <c r="AU273" i="2"/>
  <c r="AY273" i="2"/>
  <c r="AR273" i="2"/>
  <c r="AQ273" i="2"/>
  <c r="AO273" i="2"/>
  <c r="AP273" i="2"/>
  <c r="AM273" i="2"/>
  <c r="AB273" i="2"/>
  <c r="AW273" i="2"/>
  <c r="BA273" i="2"/>
  <c r="AU87" i="2"/>
  <c r="AY87" i="2"/>
  <c r="AV87" i="2"/>
  <c r="AZ87" i="2"/>
  <c r="AR87" i="2"/>
  <c r="AQ87" i="2"/>
  <c r="AO87" i="2"/>
  <c r="AP87" i="2"/>
  <c r="AM87" i="2"/>
  <c r="AI87" i="2"/>
  <c r="AB87" i="2"/>
  <c r="AW87" i="2"/>
  <c r="BA87" i="2"/>
  <c r="AV438" i="2"/>
  <c r="AZ438" i="2"/>
  <c r="AU438" i="2"/>
  <c r="AY438" i="2"/>
  <c r="AR438" i="2"/>
  <c r="AQ438" i="2"/>
  <c r="AO438" i="2"/>
  <c r="AP438" i="2"/>
  <c r="AM438" i="2"/>
  <c r="AI438" i="2"/>
  <c r="AB438" i="2"/>
  <c r="AW438" i="2"/>
  <c r="BA438" i="2"/>
  <c r="AV879" i="2"/>
  <c r="AZ879" i="2"/>
  <c r="AU879" i="2"/>
  <c r="AY879" i="2"/>
  <c r="AR879" i="2"/>
  <c r="AQ879" i="2"/>
  <c r="AO879" i="2"/>
  <c r="AP879" i="2"/>
  <c r="AM879" i="2"/>
  <c r="AI879" i="2"/>
  <c r="AB879" i="2"/>
  <c r="AW879" i="2"/>
  <c r="BA879" i="2"/>
  <c r="AW368" i="2"/>
  <c r="BA368" i="2"/>
  <c r="AV368" i="2"/>
  <c r="AZ368" i="2"/>
  <c r="AU368" i="2"/>
  <c r="AY368" i="2"/>
  <c r="AR368" i="2"/>
  <c r="AQ368" i="2"/>
  <c r="AO368" i="2"/>
  <c r="AP368" i="2"/>
  <c r="AM368" i="2"/>
  <c r="AI368" i="2"/>
  <c r="AU353" i="2"/>
  <c r="AY353" i="2"/>
  <c r="AB353" i="2"/>
  <c r="AW353" i="2"/>
  <c r="BA353" i="2"/>
  <c r="AV353" i="2"/>
  <c r="AZ353" i="2"/>
  <c r="AR353" i="2"/>
  <c r="AQ353" i="2"/>
  <c r="AO353" i="2"/>
  <c r="AP353" i="2"/>
  <c r="AM353" i="2"/>
  <c r="AI353" i="2"/>
  <c r="AV311" i="2"/>
  <c r="AZ311" i="2"/>
  <c r="AU311" i="2"/>
  <c r="AY311" i="2"/>
  <c r="AR311" i="2"/>
  <c r="AQ311" i="2"/>
  <c r="AO311" i="2"/>
  <c r="AP311" i="2"/>
  <c r="AM311" i="2"/>
  <c r="AI311" i="2"/>
  <c r="AB311" i="2"/>
  <c r="AW311" i="2"/>
  <c r="BA311" i="2"/>
  <c r="AV44" i="2"/>
  <c r="AZ44" i="2"/>
  <c r="AU44" i="2"/>
  <c r="AY44" i="2"/>
  <c r="AR44" i="2"/>
  <c r="AQ44" i="2"/>
  <c r="AO44" i="2"/>
  <c r="AP44" i="2"/>
  <c r="AM44" i="2"/>
  <c r="AI44" i="2"/>
  <c r="AB44" i="2"/>
  <c r="AW44" i="2"/>
  <c r="BA44" i="2"/>
  <c r="AV411" i="2"/>
  <c r="AZ411" i="2"/>
  <c r="AU411" i="2"/>
  <c r="AY411" i="2"/>
  <c r="AR411" i="2"/>
  <c r="AQ411" i="2"/>
  <c r="AO411" i="2"/>
  <c r="AP411" i="2"/>
  <c r="AM411" i="2"/>
  <c r="AI411" i="2"/>
  <c r="AB411" i="2"/>
  <c r="AW411" i="2"/>
  <c r="BA411" i="2"/>
  <c r="AU870" i="2"/>
  <c r="AY870" i="2"/>
  <c r="AB870" i="2"/>
  <c r="AW870" i="2"/>
  <c r="BA870" i="2"/>
  <c r="AV870" i="2"/>
  <c r="AZ870" i="2"/>
  <c r="AR870" i="2"/>
  <c r="AQ870" i="2"/>
  <c r="AO870" i="2"/>
  <c r="AP870" i="2"/>
  <c r="AM870" i="2"/>
  <c r="AI870" i="2"/>
  <c r="AV1803" i="2"/>
  <c r="AZ1803" i="2"/>
  <c r="AU1803" i="2"/>
  <c r="AY1803" i="2"/>
  <c r="AR1803" i="2"/>
  <c r="AQ1803" i="2"/>
  <c r="AO1803" i="2"/>
  <c r="AP1803" i="2"/>
  <c r="AM1803" i="2"/>
  <c r="AI1803" i="2"/>
  <c r="AB1803" i="2"/>
  <c r="AW1803" i="2"/>
  <c r="BA1803" i="2"/>
  <c r="AV1622" i="2"/>
  <c r="AZ1622" i="2"/>
  <c r="AU1622" i="2"/>
  <c r="AY1622" i="2"/>
  <c r="AR1622" i="2"/>
  <c r="AQ1622" i="2"/>
  <c r="AO1622" i="2"/>
  <c r="AP1622" i="2"/>
  <c r="AM1622" i="2"/>
  <c r="AI1622" i="2"/>
  <c r="AB1622" i="2"/>
  <c r="AW1622" i="2"/>
  <c r="BA1622" i="2"/>
  <c r="AV160" i="2"/>
  <c r="AZ160" i="2"/>
  <c r="AU160" i="2"/>
  <c r="AY160" i="2"/>
  <c r="AR160" i="2"/>
  <c r="AQ160" i="2"/>
  <c r="AO160" i="2"/>
  <c r="AP160" i="2"/>
  <c r="AM160" i="2"/>
  <c r="AI160" i="2"/>
  <c r="AB160" i="2"/>
  <c r="AW160" i="2"/>
  <c r="BA160" i="2"/>
  <c r="AB272" i="2"/>
  <c r="AW272" i="2"/>
  <c r="BA272" i="2"/>
  <c r="AV272" i="2"/>
  <c r="AZ272" i="2"/>
  <c r="AU272" i="2"/>
  <c r="AY272" i="2"/>
  <c r="AR272" i="2"/>
  <c r="AQ272" i="2"/>
  <c r="AO272" i="2"/>
  <c r="AP272" i="2"/>
  <c r="AM272" i="2"/>
  <c r="AI272" i="2"/>
  <c r="AV271" i="2"/>
  <c r="AZ271" i="2"/>
  <c r="AU271" i="2"/>
  <c r="AY271" i="2"/>
  <c r="AR271" i="2"/>
  <c r="AQ271" i="2"/>
  <c r="AO271" i="2"/>
  <c r="AP271" i="2"/>
  <c r="AM271" i="2"/>
  <c r="AI271" i="2"/>
  <c r="AB271" i="2"/>
  <c r="AW271" i="2"/>
  <c r="BA271" i="2"/>
  <c r="AU270" i="2"/>
  <c r="AY270" i="2"/>
  <c r="AV270" i="2"/>
  <c r="AZ270" i="2"/>
  <c r="AO270" i="2"/>
  <c r="AP270" i="2"/>
  <c r="AM270" i="2"/>
  <c r="AI270" i="2"/>
  <c r="AB270" i="2"/>
  <c r="AW270" i="2"/>
  <c r="BA270" i="2"/>
  <c r="AW1453" i="2"/>
  <c r="BA1453" i="2"/>
  <c r="AV1453" i="2"/>
  <c r="AZ1453" i="2"/>
  <c r="AU1453" i="2"/>
  <c r="AY1453" i="2"/>
  <c r="AR1453" i="2"/>
  <c r="AQ1453" i="2"/>
  <c r="AO1453" i="2"/>
  <c r="AP1453" i="2"/>
  <c r="AM1453" i="2"/>
  <c r="AI1453" i="2"/>
  <c r="AV268" i="2"/>
  <c r="AZ268" i="2"/>
  <c r="AW268" i="2"/>
  <c r="BA268" i="2"/>
  <c r="AU268" i="2"/>
  <c r="AY268" i="2"/>
  <c r="AO268" i="2"/>
  <c r="AP268" i="2"/>
  <c r="AM268" i="2"/>
  <c r="AI268" i="2"/>
  <c r="AW83" i="2"/>
  <c r="BA83" i="2"/>
  <c r="AV83" i="2"/>
  <c r="AZ83" i="2"/>
  <c r="AU83" i="2"/>
  <c r="AY83" i="2"/>
  <c r="AR83" i="2"/>
  <c r="AQ83" i="2"/>
  <c r="AO83" i="2"/>
  <c r="AP83" i="2"/>
  <c r="AM83" i="2"/>
  <c r="AI83" i="2"/>
  <c r="AW116" i="2"/>
  <c r="BA116" i="2"/>
  <c r="AV116" i="2"/>
  <c r="AZ116" i="2"/>
  <c r="AU116" i="2"/>
  <c r="AY116" i="2"/>
  <c r="AR116" i="2"/>
  <c r="AQ116" i="2"/>
  <c r="AO116" i="2"/>
  <c r="AP116" i="2"/>
  <c r="AM116" i="2"/>
  <c r="AI116" i="2"/>
  <c r="AX1038" i="2"/>
  <c r="BB1038" i="2"/>
  <c r="AW1038" i="2"/>
  <c r="BA1038" i="2"/>
  <c r="AV1038" i="2"/>
  <c r="AZ1038" i="2"/>
  <c r="AQ1038" i="2"/>
  <c r="AP1038" i="2"/>
  <c r="AX1065" i="2"/>
  <c r="BB1065" i="2"/>
  <c r="AW1065" i="2"/>
  <c r="BA1065" i="2"/>
  <c r="AV1065" i="2"/>
  <c r="AZ1065" i="2"/>
  <c r="AQ1065" i="2"/>
  <c r="AP1065" i="2"/>
  <c r="AX1369" i="2"/>
  <c r="BB1369" i="2"/>
  <c r="AW1369" i="2"/>
  <c r="BA1369" i="2"/>
  <c r="AV1369" i="2"/>
  <c r="AZ1369" i="2"/>
  <c r="AQ1369" i="2"/>
  <c r="AP1369" i="2"/>
  <c r="AX254" i="2"/>
  <c r="BB254" i="2"/>
  <c r="AW254" i="2"/>
  <c r="BA254" i="2"/>
  <c r="AV254" i="2"/>
  <c r="AZ254" i="2"/>
  <c r="AQ254" i="2"/>
  <c r="AP254" i="2"/>
  <c r="AX1747" i="2"/>
  <c r="BB1747" i="2"/>
  <c r="AW1747" i="2"/>
  <c r="BA1747" i="2"/>
  <c r="AV1747" i="2"/>
  <c r="AZ1747" i="2"/>
  <c r="AQ1747" i="2"/>
  <c r="AP1747" i="2"/>
  <c r="AX1834" i="2"/>
  <c r="BB1834" i="2"/>
  <c r="AW1834" i="2"/>
  <c r="BA1834" i="2"/>
  <c r="AV1834" i="2"/>
  <c r="AZ1834" i="2"/>
  <c r="AQ1834" i="2"/>
  <c r="AP1834" i="2"/>
  <c r="AX492" i="2"/>
  <c r="BB492" i="2"/>
  <c r="AW492" i="2"/>
  <c r="BA492" i="2"/>
  <c r="AV492" i="2"/>
  <c r="AZ492" i="2"/>
  <c r="AQ492" i="2"/>
  <c r="AP492" i="2"/>
  <c r="AX178" i="2"/>
  <c r="BB178" i="2"/>
  <c r="AW178" i="2"/>
  <c r="BA178" i="2"/>
  <c r="AV178" i="2"/>
  <c r="AZ178" i="2"/>
  <c r="AQ178" i="2"/>
  <c r="AP178" i="2"/>
  <c r="AX805" i="2"/>
  <c r="BB805" i="2"/>
  <c r="AW805" i="2"/>
  <c r="BA805" i="2"/>
  <c r="AV805" i="2"/>
  <c r="AZ805" i="2"/>
  <c r="AQ805" i="2"/>
  <c r="AP805" i="2"/>
  <c r="AX910" i="2"/>
  <c r="BB910" i="2"/>
  <c r="AW910" i="2"/>
  <c r="BA910" i="2"/>
  <c r="AV910" i="2"/>
  <c r="AZ910" i="2"/>
  <c r="AQ910" i="2"/>
  <c r="AP910" i="2"/>
  <c r="AX1136" i="2"/>
  <c r="BB1136" i="2"/>
  <c r="AW1136" i="2"/>
  <c r="BA1136" i="2"/>
  <c r="AV1136" i="2"/>
  <c r="AZ1136" i="2"/>
  <c r="AQ1136" i="2"/>
  <c r="AP1136" i="2"/>
  <c r="AW376" i="2"/>
  <c r="BA376" i="2"/>
  <c r="AV376" i="2"/>
  <c r="AZ376" i="2"/>
  <c r="AU376" i="2"/>
  <c r="AY376" i="2"/>
  <c r="AP376" i="2"/>
  <c r="AO376" i="2"/>
  <c r="AW1028" i="2"/>
  <c r="BA1028" i="2"/>
  <c r="AV1028" i="2"/>
  <c r="AZ1028" i="2"/>
  <c r="AU1028" i="2"/>
  <c r="AY1028" i="2"/>
  <c r="AP1028" i="2"/>
  <c r="AO1028" i="2"/>
  <c r="AW1966" i="2"/>
  <c r="BA1966" i="2"/>
  <c r="AV1966" i="2"/>
  <c r="AZ1966" i="2"/>
  <c r="AU1966" i="2"/>
  <c r="AY1966" i="2"/>
  <c r="AP1966" i="2"/>
  <c r="AO1966" i="2"/>
  <c r="AW1965" i="2"/>
  <c r="BA1965" i="2"/>
  <c r="AV1965" i="2"/>
  <c r="AZ1965" i="2"/>
  <c r="AU1965" i="2"/>
  <c r="AY1965" i="2"/>
  <c r="AP1965" i="2"/>
  <c r="AO1965" i="2"/>
  <c r="AW1964" i="2"/>
  <c r="BA1964" i="2"/>
  <c r="AV1964" i="2"/>
  <c r="AZ1964" i="2"/>
  <c r="AU1964" i="2"/>
  <c r="AY1964" i="2"/>
  <c r="AP1964" i="2"/>
  <c r="AO1964" i="2"/>
  <c r="AW195" i="2"/>
  <c r="BA195" i="2"/>
  <c r="AV195" i="2"/>
  <c r="AZ195" i="2"/>
  <c r="AU195" i="2"/>
  <c r="AY195" i="2"/>
  <c r="AP195" i="2"/>
  <c r="AO195" i="2"/>
  <c r="AW1963" i="2"/>
  <c r="BA1963" i="2"/>
  <c r="AV1963" i="2"/>
  <c r="AZ1963" i="2"/>
  <c r="AU1963" i="2"/>
  <c r="AY1963" i="2"/>
  <c r="AP1963" i="2"/>
  <c r="AO1963" i="2"/>
  <c r="AW1081" i="2"/>
  <c r="BA1081" i="2"/>
  <c r="AV1081" i="2"/>
  <c r="AZ1081" i="2"/>
  <c r="AU1081" i="2"/>
  <c r="AY1081" i="2"/>
  <c r="AP1081" i="2"/>
  <c r="AO1081" i="2"/>
  <c r="AW1900" i="2"/>
  <c r="BA1900" i="2"/>
  <c r="AV1900" i="2"/>
  <c r="AZ1900" i="2"/>
  <c r="AU1900" i="2"/>
  <c r="AY1900" i="2"/>
  <c r="AP1900" i="2"/>
  <c r="AO1900" i="2"/>
  <c r="AW1962" i="2"/>
  <c r="BA1962" i="2"/>
  <c r="AV1962" i="2"/>
  <c r="AZ1962" i="2"/>
  <c r="AU1962" i="2"/>
  <c r="AY1962" i="2"/>
  <c r="AP1962" i="2"/>
  <c r="AO1962" i="2"/>
  <c r="AW1961" i="2"/>
  <c r="BA1961" i="2"/>
  <c r="AV1961" i="2"/>
  <c r="AZ1961" i="2"/>
  <c r="AU1961" i="2"/>
  <c r="AY1961" i="2"/>
  <c r="AP1961" i="2"/>
  <c r="AO1961" i="2"/>
  <c r="AW1406" i="2"/>
  <c r="BA1406" i="2"/>
  <c r="AV1406" i="2"/>
  <c r="AZ1406" i="2"/>
  <c r="AU1406" i="2"/>
  <c r="AY1406" i="2"/>
  <c r="AP1406" i="2"/>
  <c r="AO1406" i="2"/>
  <c r="AW887" i="2"/>
  <c r="BA887" i="2"/>
  <c r="AV887" i="2"/>
  <c r="AZ887" i="2"/>
  <c r="AU887" i="2"/>
  <c r="AY887" i="2"/>
  <c r="AP887" i="2"/>
  <c r="AO887" i="2"/>
  <c r="AW1893" i="2"/>
  <c r="BA1893" i="2"/>
  <c r="AV1893" i="2"/>
  <c r="AZ1893" i="2"/>
  <c r="AU1893" i="2"/>
  <c r="AY1893" i="2"/>
  <c r="AV1156" i="2"/>
  <c r="AZ1156" i="2"/>
  <c r="AW1156" i="2"/>
  <c r="BA1156" i="2"/>
  <c r="AU1156" i="2"/>
  <c r="AY1156" i="2"/>
  <c r="AP1156" i="2"/>
  <c r="AO1156" i="2"/>
  <c r="AW1405" i="2"/>
  <c r="BA1405" i="2"/>
  <c r="AV1405" i="2"/>
  <c r="AZ1405" i="2"/>
  <c r="AU1405" i="2"/>
  <c r="AY1405" i="2"/>
  <c r="AP1405" i="2"/>
  <c r="AO1405" i="2"/>
  <c r="AV144" i="2"/>
  <c r="AZ144" i="2"/>
  <c r="AW144" i="2"/>
  <c r="BA144" i="2"/>
  <c r="AU144" i="2"/>
  <c r="AY144" i="2"/>
  <c r="AP144" i="2"/>
  <c r="AO144" i="2"/>
  <c r="AW1960" i="2"/>
  <c r="BA1960" i="2"/>
  <c r="AV1960" i="2"/>
  <c r="AZ1960" i="2"/>
  <c r="AU1960" i="2"/>
  <c r="AY1960" i="2"/>
  <c r="AP1960" i="2"/>
  <c r="AO1960" i="2"/>
  <c r="AV107" i="2"/>
  <c r="AZ107" i="2"/>
  <c r="AW107" i="2"/>
  <c r="BA107" i="2"/>
  <c r="AU107" i="2"/>
  <c r="AY107" i="2"/>
  <c r="AP107" i="2"/>
  <c r="AO107" i="2"/>
  <c r="AW1340" i="2"/>
  <c r="BA1340" i="2"/>
  <c r="AV1340" i="2"/>
  <c r="AZ1340" i="2"/>
  <c r="AU1340" i="2"/>
  <c r="AY1340" i="2"/>
  <c r="AP1340" i="2"/>
  <c r="AO1340" i="2"/>
  <c r="AV1506" i="2"/>
  <c r="AZ1506" i="2"/>
  <c r="AW1506" i="2"/>
  <c r="BA1506" i="2"/>
  <c r="AU1506" i="2"/>
  <c r="AY1506" i="2"/>
  <c r="AP1506" i="2"/>
  <c r="AO1506" i="2"/>
  <c r="AW1959" i="2"/>
  <c r="BA1959" i="2"/>
  <c r="AV1959" i="2"/>
  <c r="AZ1959" i="2"/>
  <c r="AU1959" i="2"/>
  <c r="AY1959" i="2"/>
  <c r="AP1959" i="2"/>
  <c r="AO1959" i="2"/>
  <c r="AV1958" i="2"/>
  <c r="AZ1958" i="2"/>
  <c r="AW1958" i="2"/>
  <c r="BA1958" i="2"/>
  <c r="AU1958" i="2"/>
  <c r="AY1958" i="2"/>
  <c r="AP1958" i="2"/>
  <c r="AO1958" i="2"/>
  <c r="AW1920" i="2"/>
  <c r="BA1920" i="2"/>
  <c r="AV1920" i="2"/>
  <c r="AZ1920" i="2"/>
  <c r="AU1920" i="2"/>
  <c r="AY1920" i="2"/>
  <c r="AP1920" i="2"/>
  <c r="AO1920" i="2"/>
  <c r="AV1668" i="2"/>
  <c r="AZ1668" i="2"/>
  <c r="AW1668" i="2"/>
  <c r="BA1668" i="2"/>
  <c r="AU1668" i="2"/>
  <c r="AY1668" i="2"/>
  <c r="AP1668" i="2"/>
  <c r="AO1668" i="2"/>
  <c r="AW1727" i="2"/>
  <c r="BA1727" i="2"/>
  <c r="AV1727" i="2"/>
  <c r="AZ1727" i="2"/>
  <c r="AU1727" i="2"/>
  <c r="AY1727" i="2"/>
  <c r="AP1727" i="2"/>
  <c r="AO1727" i="2"/>
  <c r="AV1638" i="2"/>
  <c r="AZ1638" i="2"/>
  <c r="AW1638" i="2"/>
  <c r="BA1638" i="2"/>
  <c r="AU1638" i="2"/>
  <c r="AY1638" i="2"/>
  <c r="AP1638" i="2"/>
  <c r="AO1638" i="2"/>
  <c r="AW1019" i="2"/>
  <c r="BA1019" i="2"/>
  <c r="AV1019" i="2"/>
  <c r="AZ1019" i="2"/>
  <c r="AU1019" i="2"/>
  <c r="AY1019" i="2"/>
  <c r="AO1019" i="2"/>
  <c r="AP1019" i="2"/>
  <c r="AM1019" i="2"/>
  <c r="AK1019" i="2"/>
  <c r="AI1019" i="2"/>
  <c r="AW127" i="2"/>
  <c r="BA127" i="2"/>
  <c r="AV127" i="2"/>
  <c r="AZ127" i="2"/>
  <c r="AU127" i="2"/>
  <c r="AY127" i="2"/>
  <c r="AR127" i="2"/>
  <c r="AQ127" i="2"/>
  <c r="AO127" i="2"/>
  <c r="AP127" i="2"/>
  <c r="AM127" i="2"/>
  <c r="AK127" i="2"/>
  <c r="AI127" i="2"/>
  <c r="AW168" i="2"/>
  <c r="BA168" i="2"/>
  <c r="AV168" i="2"/>
  <c r="AZ168" i="2"/>
  <c r="AU168" i="2"/>
  <c r="AY168" i="2"/>
  <c r="AR168" i="2"/>
  <c r="AQ168" i="2"/>
  <c r="AO168" i="2"/>
  <c r="AP168" i="2"/>
  <c r="AM168" i="2"/>
  <c r="AK168" i="2"/>
  <c r="AI168" i="2"/>
  <c r="AW661" i="2"/>
  <c r="BA661" i="2"/>
  <c r="AV661" i="2"/>
  <c r="AZ661" i="2"/>
  <c r="AU661" i="2"/>
  <c r="AY661" i="2"/>
  <c r="AR661" i="2"/>
  <c r="AQ661" i="2"/>
  <c r="AO661" i="2"/>
  <c r="AP661" i="2"/>
  <c r="AM661" i="2"/>
  <c r="AK661" i="2"/>
  <c r="AI661" i="2"/>
  <c r="AV440" i="2"/>
  <c r="AZ440" i="2"/>
  <c r="AW440" i="2"/>
  <c r="BA440" i="2"/>
  <c r="AU440" i="2"/>
  <c r="AY440" i="2"/>
  <c r="AR440" i="2"/>
  <c r="AQ440" i="2"/>
  <c r="AO440" i="2"/>
  <c r="AP440" i="2"/>
  <c r="AM440" i="2"/>
  <c r="AK440" i="2"/>
  <c r="AI440" i="2"/>
  <c r="AW363" i="2"/>
  <c r="BA363" i="2"/>
  <c r="AV363" i="2"/>
  <c r="AZ363" i="2"/>
  <c r="AU363" i="2"/>
  <c r="AY363" i="2"/>
  <c r="AR363" i="2"/>
  <c r="AQ363" i="2"/>
  <c r="AO363" i="2"/>
  <c r="AP363" i="2"/>
  <c r="AM363" i="2"/>
  <c r="AK363" i="2"/>
  <c r="AI363" i="2"/>
  <c r="AW345" i="2"/>
  <c r="BA345" i="2"/>
  <c r="AV345" i="2"/>
  <c r="AZ345" i="2"/>
  <c r="AU345" i="2"/>
  <c r="AY345" i="2"/>
  <c r="AR345" i="2"/>
  <c r="AQ345" i="2"/>
  <c r="AO345" i="2"/>
  <c r="AP345" i="2"/>
  <c r="AM345" i="2"/>
  <c r="AK345" i="2"/>
  <c r="AI345" i="2"/>
  <c r="AW1733" i="2"/>
  <c r="BA1733" i="2"/>
  <c r="AV1733" i="2"/>
  <c r="AZ1733" i="2"/>
  <c r="AU1733" i="2"/>
  <c r="AY1733" i="2"/>
  <c r="AR1733" i="2"/>
  <c r="AQ1733" i="2"/>
  <c r="AO1733" i="2"/>
  <c r="AP1733" i="2"/>
  <c r="AM1733" i="2"/>
  <c r="AK1733" i="2"/>
  <c r="AI1733" i="2"/>
  <c r="AV1345" i="2"/>
  <c r="AZ1345" i="2"/>
  <c r="AW1345" i="2"/>
  <c r="BA1345" i="2"/>
  <c r="AU1345" i="2"/>
  <c r="AY1345" i="2"/>
  <c r="AR1345" i="2"/>
  <c r="AQ1345" i="2"/>
  <c r="AO1345" i="2"/>
  <c r="AP1345" i="2"/>
  <c r="AM1345" i="2"/>
  <c r="AK1345" i="2"/>
  <c r="AI1345" i="2"/>
  <c r="AW1422" i="2"/>
  <c r="BA1422" i="2"/>
  <c r="AV1422" i="2"/>
  <c r="AZ1422" i="2"/>
  <c r="AU1422" i="2"/>
  <c r="AY1422" i="2"/>
  <c r="AR1422" i="2"/>
  <c r="AQ1422" i="2"/>
  <c r="AO1422" i="2"/>
  <c r="AP1422" i="2"/>
  <c r="AM1422" i="2"/>
  <c r="AK1422" i="2"/>
  <c r="AI1422" i="2"/>
  <c r="AW1297" i="2"/>
  <c r="BA1297" i="2"/>
  <c r="AV1297" i="2"/>
  <c r="AZ1297" i="2"/>
  <c r="AU1297" i="2"/>
  <c r="AY1297" i="2"/>
  <c r="AR1297" i="2"/>
  <c r="AQ1297" i="2"/>
  <c r="AO1297" i="2"/>
  <c r="AP1297" i="2"/>
  <c r="AM1297" i="2"/>
  <c r="AK1297" i="2"/>
  <c r="AI1297" i="2"/>
  <c r="AW491" i="2"/>
  <c r="BA491" i="2"/>
  <c r="AV491" i="2"/>
  <c r="AZ491" i="2"/>
  <c r="AU491" i="2"/>
  <c r="AY491" i="2"/>
  <c r="AR491" i="2"/>
  <c r="AQ491" i="2"/>
  <c r="AO491" i="2"/>
  <c r="AP491" i="2"/>
  <c r="AM491" i="2"/>
  <c r="AK491" i="2"/>
  <c r="AI491" i="2"/>
  <c r="AV412" i="2"/>
  <c r="AZ412" i="2"/>
  <c r="AW412" i="2"/>
  <c r="BA412" i="2"/>
  <c r="AU412" i="2"/>
  <c r="AY412" i="2"/>
  <c r="AR412" i="2"/>
  <c r="AQ412" i="2"/>
  <c r="AO412" i="2"/>
  <c r="AP412" i="2"/>
  <c r="AM412" i="2"/>
  <c r="AK412" i="2"/>
  <c r="AI412" i="2"/>
  <c r="AW1634" i="2"/>
  <c r="BA1634" i="2"/>
  <c r="AV1634" i="2"/>
  <c r="AZ1634" i="2"/>
  <c r="AU1634" i="2"/>
  <c r="AY1634" i="2"/>
  <c r="AP1634" i="2"/>
  <c r="AQ1634" i="2"/>
  <c r="AM1634" i="2"/>
  <c r="AK1634" i="2"/>
  <c r="AI1634" i="2"/>
  <c r="AW1661" i="2"/>
  <c r="BA1661" i="2"/>
  <c r="AV1661" i="2"/>
  <c r="AZ1661" i="2"/>
  <c r="AU1661" i="2"/>
  <c r="AY1661" i="2"/>
  <c r="AP1661" i="2"/>
  <c r="AQ1661" i="2"/>
  <c r="AM1661" i="2"/>
  <c r="AK1661" i="2"/>
  <c r="AI1661" i="2"/>
  <c r="AW1799" i="2"/>
  <c r="BA1799" i="2"/>
  <c r="AV1799" i="2"/>
  <c r="AZ1799" i="2"/>
  <c r="AU1799" i="2"/>
  <c r="AY1799" i="2"/>
  <c r="AP1799" i="2"/>
  <c r="AQ1799" i="2"/>
  <c r="AM1799" i="2"/>
  <c r="AK1799" i="2"/>
  <c r="AI1799" i="2"/>
  <c r="AW246" i="2"/>
  <c r="BA246" i="2"/>
  <c r="AV246" i="2"/>
  <c r="AZ246" i="2"/>
  <c r="AU246" i="2"/>
  <c r="AY246" i="2"/>
  <c r="AP246" i="2"/>
  <c r="AQ246" i="2"/>
  <c r="AM246" i="2"/>
  <c r="AK246" i="2"/>
  <c r="AI246" i="2"/>
  <c r="AW42" i="2"/>
  <c r="BA42" i="2"/>
  <c r="AV42" i="2"/>
  <c r="AZ42" i="2"/>
  <c r="AU42" i="2"/>
  <c r="AY42" i="2"/>
  <c r="AP42" i="2"/>
  <c r="AQ42" i="2"/>
  <c r="AM42" i="2"/>
  <c r="AK42" i="2"/>
  <c r="AI42" i="2"/>
  <c r="AW561" i="2"/>
  <c r="BA561" i="2"/>
  <c r="AV561" i="2"/>
  <c r="AZ561" i="2"/>
  <c r="AU561" i="2"/>
  <c r="AY561" i="2"/>
  <c r="AP561" i="2"/>
  <c r="AQ561" i="2"/>
  <c r="AM561" i="2"/>
  <c r="AK561" i="2"/>
  <c r="AI561" i="2"/>
  <c r="AW776" i="2"/>
  <c r="BA776" i="2"/>
  <c r="AV776" i="2"/>
  <c r="AZ776" i="2"/>
  <c r="AU776" i="2"/>
  <c r="AY776" i="2"/>
  <c r="AP776" i="2"/>
  <c r="AQ776" i="2"/>
  <c r="AM776" i="2"/>
  <c r="AK776" i="2"/>
  <c r="AI776" i="2"/>
  <c r="AW516" i="2"/>
  <c r="BA516" i="2"/>
  <c r="AV516" i="2"/>
  <c r="AZ516" i="2"/>
  <c r="AU516" i="2"/>
  <c r="AY516" i="2"/>
  <c r="AP516" i="2"/>
  <c r="AQ516" i="2"/>
  <c r="AM516" i="2"/>
  <c r="AK516" i="2"/>
  <c r="AI516" i="2"/>
  <c r="AW1860" i="2"/>
  <c r="BA1860" i="2"/>
  <c r="AV1860" i="2"/>
  <c r="AZ1860" i="2"/>
  <c r="AU1860" i="2"/>
  <c r="AY1860" i="2"/>
  <c r="AP1860" i="2"/>
  <c r="AQ1860" i="2"/>
  <c r="AM1860" i="2"/>
  <c r="AK1860" i="2"/>
  <c r="AI1860" i="2"/>
  <c r="AW1879" i="2"/>
  <c r="BA1879" i="2"/>
  <c r="AV1879" i="2"/>
  <c r="AZ1879" i="2"/>
  <c r="AU1879" i="2"/>
  <c r="AY1879" i="2"/>
  <c r="AP1879" i="2"/>
  <c r="AQ1879" i="2"/>
  <c r="AM1879" i="2"/>
  <c r="AK1879" i="2"/>
  <c r="AI1879" i="2"/>
  <c r="AW154" i="2"/>
  <c r="BA154" i="2"/>
  <c r="AV154" i="2"/>
  <c r="AZ154" i="2"/>
  <c r="AU154" i="2"/>
  <c r="AY154" i="2"/>
  <c r="AP154" i="2"/>
  <c r="AQ154" i="2"/>
  <c r="AM154" i="2"/>
  <c r="AK154" i="2"/>
  <c r="AI154" i="2"/>
  <c r="AW348" i="2"/>
  <c r="BA348" i="2"/>
  <c r="AV348" i="2"/>
  <c r="AZ348" i="2"/>
  <c r="AU348" i="2"/>
  <c r="AY348" i="2"/>
  <c r="AP348" i="2"/>
  <c r="AQ348" i="2"/>
  <c r="AM348" i="2"/>
  <c r="AK348" i="2"/>
  <c r="AI348" i="2"/>
  <c r="AW1870" i="2"/>
  <c r="BA1870" i="2"/>
  <c r="AV1870" i="2"/>
  <c r="AZ1870" i="2"/>
  <c r="AU1870" i="2"/>
  <c r="AY1870" i="2"/>
  <c r="AP1870" i="2"/>
  <c r="AQ1870" i="2"/>
  <c r="AM1870" i="2"/>
  <c r="AK1870" i="2"/>
  <c r="AI1870" i="2"/>
  <c r="AW1198" i="2"/>
  <c r="BA1198" i="2"/>
  <c r="AV1198" i="2"/>
  <c r="AZ1198" i="2"/>
  <c r="AU1198" i="2"/>
  <c r="AY1198" i="2"/>
  <c r="AP1198" i="2"/>
  <c r="AQ1198" i="2"/>
  <c r="AM1198" i="2"/>
  <c r="AK1198" i="2"/>
  <c r="AI1198" i="2"/>
  <c r="AW574" i="2"/>
  <c r="BA574" i="2"/>
  <c r="AV574" i="2"/>
  <c r="AZ574" i="2"/>
  <c r="AU574" i="2"/>
  <c r="AY574" i="2"/>
  <c r="AP574" i="2"/>
  <c r="AQ574" i="2"/>
  <c r="AM574" i="2"/>
  <c r="AK574" i="2"/>
  <c r="AI574" i="2"/>
  <c r="AW1126" i="2"/>
  <c r="BA1126" i="2"/>
  <c r="AV1126" i="2"/>
  <c r="AZ1126" i="2"/>
  <c r="AU1126" i="2"/>
  <c r="AY1126" i="2"/>
  <c r="AP1126" i="2"/>
  <c r="AQ1126" i="2"/>
  <c r="AM1126" i="2"/>
  <c r="AK1126" i="2"/>
  <c r="AI1126" i="2"/>
  <c r="AW782" i="2"/>
  <c r="BA782" i="2"/>
  <c r="AV782" i="2"/>
  <c r="AZ782" i="2"/>
  <c r="AU782" i="2"/>
  <c r="AY782" i="2"/>
  <c r="AP782" i="2"/>
  <c r="AQ782" i="2"/>
  <c r="AM782" i="2"/>
  <c r="AK782" i="2"/>
  <c r="AI782" i="2"/>
  <c r="AW593" i="2"/>
  <c r="BA593" i="2"/>
  <c r="AV593" i="2"/>
  <c r="AZ593" i="2"/>
  <c r="AU593" i="2"/>
  <c r="AY593" i="2"/>
  <c r="AP593" i="2"/>
  <c r="AQ593" i="2"/>
  <c r="AM593" i="2"/>
  <c r="AK593" i="2"/>
  <c r="AI593" i="2"/>
  <c r="AW1957" i="2"/>
  <c r="BA1957" i="2"/>
  <c r="AV1957" i="2"/>
  <c r="AZ1957" i="2"/>
  <c r="AU1957" i="2"/>
  <c r="AY1957" i="2"/>
  <c r="AP1957" i="2"/>
  <c r="AQ1957" i="2"/>
  <c r="AM1957" i="2"/>
  <c r="AK1957" i="2"/>
  <c r="AI1957" i="2"/>
  <c r="AW606" i="2"/>
  <c r="BA606" i="2"/>
  <c r="AV606" i="2"/>
  <c r="AZ606" i="2"/>
  <c r="AU606" i="2"/>
  <c r="AY606" i="2"/>
  <c r="AM606" i="2"/>
  <c r="AK606" i="2"/>
  <c r="AI606" i="2"/>
  <c r="AW369" i="2"/>
  <c r="BA369" i="2"/>
  <c r="AV369" i="2"/>
  <c r="AZ369" i="2"/>
  <c r="AU369" i="2"/>
  <c r="AY369" i="2"/>
  <c r="AP369" i="2"/>
  <c r="AQ369" i="2"/>
  <c r="AM369" i="2"/>
  <c r="AK369" i="2"/>
  <c r="AI369" i="2"/>
  <c r="AW818" i="2"/>
  <c r="BA818" i="2"/>
  <c r="AV818" i="2"/>
  <c r="AZ818" i="2"/>
  <c r="AU818" i="2"/>
  <c r="AY818" i="2"/>
  <c r="AP818" i="2"/>
  <c r="AQ818" i="2"/>
  <c r="AM818" i="2"/>
  <c r="AK818" i="2"/>
  <c r="AI818" i="2"/>
  <c r="AW1026" i="2"/>
  <c r="BA1026" i="2"/>
  <c r="AV1026" i="2"/>
  <c r="AZ1026" i="2"/>
  <c r="AU1026" i="2"/>
  <c r="AY1026" i="2"/>
  <c r="AS1026" i="2"/>
  <c r="AR1026" i="2"/>
  <c r="AO1026" i="2"/>
  <c r="AP1026" i="2"/>
  <c r="AM1026" i="2"/>
  <c r="AK1026" i="2"/>
  <c r="AI1026" i="2"/>
  <c r="AW1223" i="2"/>
  <c r="BA1223" i="2"/>
  <c r="AV1223" i="2"/>
  <c r="AZ1223" i="2"/>
  <c r="AU1223" i="2"/>
  <c r="AY1223" i="2"/>
  <c r="AR1223" i="2"/>
  <c r="AO1223" i="2"/>
  <c r="AP1223" i="2"/>
  <c r="AM1223" i="2"/>
  <c r="AK1223" i="2"/>
  <c r="AI1223" i="2"/>
  <c r="AU708" i="2"/>
  <c r="AY708" i="2"/>
  <c r="AW708" i="2"/>
  <c r="BA708" i="2"/>
  <c r="AV708" i="2"/>
  <c r="AZ708" i="2"/>
  <c r="AS708" i="2"/>
  <c r="AR708" i="2"/>
  <c r="AO708" i="2"/>
  <c r="AP708" i="2"/>
  <c r="AM708" i="2"/>
  <c r="AK708" i="2"/>
  <c r="AI708" i="2"/>
  <c r="AW143" i="2"/>
  <c r="BA143" i="2"/>
  <c r="AV143" i="2"/>
  <c r="AZ143" i="2"/>
  <c r="AU143" i="2"/>
  <c r="AY143" i="2"/>
  <c r="AS143" i="2"/>
  <c r="AR143" i="2"/>
  <c r="AO143" i="2"/>
  <c r="AP143" i="2"/>
  <c r="AM143" i="2"/>
  <c r="AK143" i="2"/>
  <c r="AI143" i="2"/>
  <c r="AW1956" i="2"/>
  <c r="BA1956" i="2"/>
  <c r="AV1956" i="2"/>
  <c r="AZ1956" i="2"/>
  <c r="AU1956" i="2"/>
  <c r="AY1956" i="2"/>
  <c r="AS1956" i="2"/>
  <c r="AR1956" i="2"/>
  <c r="AO1956" i="2"/>
  <c r="AP1956" i="2"/>
  <c r="AM1956" i="2"/>
  <c r="AK1956" i="2"/>
  <c r="AI1956" i="2"/>
  <c r="AW1955" i="2"/>
  <c r="BA1955" i="2"/>
  <c r="AV1955" i="2"/>
  <c r="AZ1955" i="2"/>
  <c r="AU1955" i="2"/>
  <c r="AY1955" i="2"/>
  <c r="AS1955" i="2"/>
  <c r="AR1955" i="2"/>
  <c r="AO1955" i="2"/>
  <c r="AP1955" i="2"/>
  <c r="AM1955" i="2"/>
  <c r="AK1955" i="2"/>
  <c r="AI1955" i="2"/>
  <c r="AU915" i="2"/>
  <c r="AY915" i="2"/>
  <c r="AW915" i="2"/>
  <c r="BA915" i="2"/>
  <c r="AV915" i="2"/>
  <c r="AZ915" i="2"/>
  <c r="AS915" i="2"/>
  <c r="AR915" i="2"/>
  <c r="AO915" i="2"/>
  <c r="AP915" i="2"/>
  <c r="AM915" i="2"/>
  <c r="AK915" i="2"/>
  <c r="AI915" i="2"/>
  <c r="AW113" i="2"/>
  <c r="BA113" i="2"/>
  <c r="AV113" i="2"/>
  <c r="AZ113" i="2"/>
  <c r="AU113" i="2"/>
  <c r="AY113" i="2"/>
  <c r="AS113" i="2"/>
  <c r="AR113" i="2"/>
  <c r="AO113" i="2"/>
  <c r="AP113" i="2"/>
  <c r="AM113" i="2"/>
  <c r="AK113" i="2"/>
  <c r="AI113" i="2"/>
  <c r="AW206" i="2"/>
  <c r="BA206" i="2"/>
  <c r="AV206" i="2"/>
  <c r="AZ206" i="2"/>
  <c r="AU206" i="2"/>
  <c r="AY206" i="2"/>
  <c r="AS206" i="2"/>
  <c r="AR206" i="2"/>
  <c r="AO206" i="2"/>
  <c r="AP206" i="2"/>
  <c r="AM206" i="2"/>
  <c r="AK206" i="2"/>
  <c r="AI206" i="2"/>
  <c r="AW1265" i="2"/>
  <c r="BA1265" i="2"/>
  <c r="AV1265" i="2"/>
  <c r="AZ1265" i="2"/>
  <c r="AU1265" i="2"/>
  <c r="AY1265" i="2"/>
  <c r="AS1265" i="2"/>
  <c r="AR1265" i="2"/>
  <c r="AO1265" i="2"/>
  <c r="AP1265" i="2"/>
  <c r="AM1265" i="2"/>
  <c r="AK1265" i="2"/>
  <c r="AI1265" i="2"/>
  <c r="AU1375" i="2"/>
  <c r="AY1375" i="2"/>
  <c r="AW1375" i="2"/>
  <c r="BA1375" i="2"/>
  <c r="AV1375" i="2"/>
  <c r="AZ1375" i="2"/>
  <c r="AS1375" i="2"/>
  <c r="AR1375" i="2"/>
  <c r="AO1375" i="2"/>
  <c r="AP1375" i="2"/>
  <c r="AM1375" i="2"/>
  <c r="AK1375" i="2"/>
  <c r="AI1375" i="2"/>
  <c r="AW1543" i="2"/>
  <c r="BA1543" i="2"/>
  <c r="AV1543" i="2"/>
  <c r="AZ1543" i="2"/>
  <c r="AU1543" i="2"/>
  <c r="AY1543" i="2"/>
  <c r="AS1543" i="2"/>
  <c r="AR1543" i="2"/>
  <c r="AO1543" i="2"/>
  <c r="AP1543" i="2"/>
  <c r="AM1543" i="2"/>
  <c r="AK1543" i="2"/>
  <c r="AI1543" i="2"/>
  <c r="AW754" i="2"/>
  <c r="BA754" i="2"/>
  <c r="AV754" i="2"/>
  <c r="AZ754" i="2"/>
  <c r="AU754" i="2"/>
  <c r="AY754" i="2"/>
  <c r="AS754" i="2"/>
  <c r="AR754" i="2"/>
  <c r="AO754" i="2"/>
  <c r="AP754" i="2"/>
  <c r="AM754" i="2"/>
  <c r="AK754" i="2"/>
  <c r="AI754" i="2"/>
  <c r="AW1082" i="2"/>
  <c r="BA1082" i="2"/>
  <c r="AV1082" i="2"/>
  <c r="AZ1082" i="2"/>
  <c r="AU1082" i="2"/>
  <c r="AY1082" i="2"/>
  <c r="AS1082" i="2"/>
  <c r="AR1082" i="2"/>
  <c r="AO1082" i="2"/>
  <c r="AP1082" i="2"/>
  <c r="AM1082" i="2"/>
  <c r="AK1082" i="2"/>
  <c r="AI1082" i="2"/>
  <c r="AW547" i="2"/>
  <c r="BA547" i="2"/>
  <c r="AV547" i="2"/>
  <c r="AZ547" i="2"/>
  <c r="AU547" i="2"/>
  <c r="AY547" i="2"/>
  <c r="AS547" i="2"/>
  <c r="AR547" i="2"/>
  <c r="AO547" i="2"/>
  <c r="AP547" i="2"/>
  <c r="AM547" i="2"/>
  <c r="AK547" i="2"/>
  <c r="AI547" i="2"/>
  <c r="AW936" i="2"/>
  <c r="BA936" i="2"/>
  <c r="AV936" i="2"/>
  <c r="AZ936" i="2"/>
  <c r="AU936" i="2"/>
  <c r="AY936" i="2"/>
  <c r="AS936" i="2"/>
  <c r="AR936" i="2"/>
  <c r="AO936" i="2"/>
  <c r="AP936" i="2"/>
  <c r="AM936" i="2"/>
  <c r="AK936" i="2"/>
  <c r="AI936" i="2"/>
  <c r="AW500" i="2"/>
  <c r="BA500" i="2"/>
  <c r="AV500" i="2"/>
  <c r="AZ500" i="2"/>
  <c r="AU500" i="2"/>
  <c r="AY500" i="2"/>
  <c r="AS500" i="2"/>
  <c r="AR500" i="2"/>
  <c r="AO500" i="2"/>
  <c r="AP500" i="2"/>
  <c r="AM500" i="2"/>
  <c r="AK500" i="2"/>
  <c r="AI500" i="2"/>
  <c r="AW454" i="2"/>
  <c r="BA454" i="2"/>
  <c r="AV454" i="2"/>
  <c r="AZ454" i="2"/>
  <c r="AU454" i="2"/>
  <c r="AY454" i="2"/>
  <c r="AS454" i="2"/>
  <c r="AR454" i="2"/>
  <c r="AO454" i="2"/>
  <c r="AP454" i="2"/>
  <c r="AM454" i="2"/>
  <c r="AK454" i="2"/>
  <c r="AI454" i="2"/>
  <c r="AU736" i="2"/>
  <c r="AY736" i="2"/>
  <c r="AW736" i="2"/>
  <c r="BA736" i="2"/>
  <c r="AV736" i="2"/>
  <c r="AZ736" i="2"/>
  <c r="AS736" i="2"/>
  <c r="AR736" i="2"/>
  <c r="AO736" i="2"/>
  <c r="AP736" i="2"/>
  <c r="AM736" i="2"/>
  <c r="AK736" i="2"/>
  <c r="AI736" i="2"/>
  <c r="AW1246" i="2"/>
  <c r="BA1246" i="2"/>
  <c r="AV1246" i="2"/>
  <c r="AZ1246" i="2"/>
  <c r="AU1246" i="2"/>
  <c r="AY1246" i="2"/>
  <c r="AS1246" i="2"/>
  <c r="AR1246" i="2"/>
  <c r="AO1246" i="2"/>
  <c r="AP1246" i="2"/>
  <c r="AM1246" i="2"/>
  <c r="AK1246" i="2"/>
  <c r="AI1246" i="2"/>
  <c r="AU170" i="2"/>
  <c r="AY170" i="2"/>
  <c r="AW170" i="2"/>
  <c r="BA170" i="2"/>
  <c r="AV170" i="2"/>
  <c r="AZ170" i="2"/>
  <c r="AS170" i="2"/>
  <c r="AR170" i="2"/>
  <c r="AO170" i="2"/>
  <c r="AP170" i="2"/>
  <c r="AM170" i="2"/>
  <c r="AK170" i="2"/>
  <c r="AI170" i="2"/>
  <c r="AW543" i="2"/>
  <c r="BA543" i="2"/>
  <c r="AV543" i="2"/>
  <c r="AZ543" i="2"/>
  <c r="AU543" i="2"/>
  <c r="AY543" i="2"/>
  <c r="AS543" i="2"/>
  <c r="AR543" i="2"/>
  <c r="AO543" i="2"/>
  <c r="AP543" i="2"/>
  <c r="AM543" i="2"/>
  <c r="AK543" i="2"/>
  <c r="AI543" i="2"/>
  <c r="AW213" i="2"/>
  <c r="BA213" i="2"/>
  <c r="AV213" i="2"/>
  <c r="AZ213" i="2"/>
  <c r="AU213" i="2"/>
  <c r="AY213" i="2"/>
  <c r="AS213" i="2"/>
  <c r="AR213" i="2"/>
  <c r="AO213" i="2"/>
  <c r="AP213" i="2"/>
  <c r="AM213" i="2"/>
  <c r="AK213" i="2"/>
  <c r="AI213" i="2"/>
  <c r="AW114" i="2"/>
  <c r="BA114" i="2"/>
  <c r="AV114" i="2"/>
  <c r="AZ114" i="2"/>
  <c r="AU114" i="2"/>
  <c r="AY114" i="2"/>
  <c r="AS114" i="2"/>
  <c r="AR114" i="2"/>
  <c r="AO114" i="2"/>
  <c r="AP114" i="2"/>
  <c r="AM114" i="2"/>
  <c r="AK114" i="2"/>
  <c r="AI114" i="2"/>
  <c r="AW163" i="2"/>
  <c r="BA163" i="2"/>
  <c r="AV163" i="2"/>
  <c r="AZ163" i="2"/>
  <c r="AU163" i="2"/>
  <c r="AY163" i="2"/>
  <c r="AS163" i="2"/>
  <c r="AR163" i="2"/>
  <c r="AO163" i="2"/>
  <c r="AP163" i="2"/>
  <c r="AM163" i="2"/>
  <c r="AK163" i="2"/>
  <c r="AI163" i="2"/>
  <c r="AW960" i="2"/>
  <c r="BA960" i="2"/>
  <c r="AV960" i="2"/>
  <c r="AZ960" i="2"/>
  <c r="AU960" i="2"/>
  <c r="AY960" i="2"/>
  <c r="AS960" i="2"/>
  <c r="AR960" i="2"/>
  <c r="AO960" i="2"/>
  <c r="AP960" i="2"/>
  <c r="AM960" i="2"/>
  <c r="AK960" i="2"/>
  <c r="AI960" i="2"/>
  <c r="AU477" i="2"/>
  <c r="AY477" i="2"/>
  <c r="AW477" i="2"/>
  <c r="BA477" i="2"/>
  <c r="AV477" i="2"/>
  <c r="AZ477" i="2"/>
  <c r="AS477" i="2"/>
  <c r="AR477" i="2"/>
  <c r="AO477" i="2"/>
  <c r="AP477" i="2"/>
  <c r="AM477" i="2"/>
  <c r="AK477" i="2"/>
  <c r="AI477" i="2"/>
  <c r="AW341" i="2"/>
  <c r="BA341" i="2"/>
  <c r="AV341" i="2"/>
  <c r="AZ341" i="2"/>
  <c r="AU341" i="2"/>
  <c r="AY341" i="2"/>
  <c r="AS341" i="2"/>
  <c r="AR341" i="2"/>
  <c r="AO341" i="2"/>
  <c r="AP341" i="2"/>
  <c r="AM341" i="2"/>
  <c r="AK341" i="2"/>
  <c r="AI341" i="2"/>
  <c r="AU242" i="2"/>
  <c r="AY242" i="2"/>
  <c r="AW242" i="2"/>
  <c r="BA242" i="2"/>
  <c r="AV242" i="2"/>
  <c r="AZ242" i="2"/>
  <c r="AS242" i="2"/>
  <c r="AR242" i="2"/>
  <c r="AO242" i="2"/>
  <c r="AP242" i="2"/>
  <c r="AM242" i="2"/>
  <c r="AK242" i="2"/>
  <c r="AI242" i="2"/>
  <c r="AW337" i="2"/>
  <c r="BA337" i="2"/>
  <c r="AV337" i="2"/>
  <c r="AZ337" i="2"/>
  <c r="AU337" i="2"/>
  <c r="AY337" i="2"/>
  <c r="AS337" i="2"/>
  <c r="AR337" i="2"/>
  <c r="AO337" i="2"/>
  <c r="AP337" i="2"/>
  <c r="AM337" i="2"/>
  <c r="AK337" i="2"/>
  <c r="AI337" i="2"/>
  <c r="AW1504" i="2"/>
  <c r="BA1504" i="2"/>
  <c r="AV1504" i="2"/>
  <c r="AZ1504" i="2"/>
  <c r="AU1504" i="2"/>
  <c r="AY1504" i="2"/>
  <c r="AS1504" i="2"/>
  <c r="AR1504" i="2"/>
  <c r="AO1504" i="2"/>
  <c r="AP1504" i="2"/>
  <c r="AM1504" i="2"/>
  <c r="AK1504" i="2"/>
  <c r="AI1504" i="2"/>
  <c r="AV972" i="2"/>
  <c r="AZ972" i="2"/>
  <c r="AW972" i="2"/>
  <c r="BA972" i="2"/>
  <c r="AU972" i="2"/>
  <c r="AY972" i="2"/>
  <c r="AS972" i="2"/>
  <c r="AR972" i="2"/>
  <c r="AO972" i="2"/>
  <c r="AP972" i="2"/>
  <c r="AM972" i="2"/>
  <c r="AK972" i="2"/>
  <c r="AI972" i="2"/>
  <c r="AW475" i="2"/>
  <c r="BA475" i="2"/>
  <c r="AV475" i="2"/>
  <c r="AZ475" i="2"/>
  <c r="AU475" i="2"/>
  <c r="AY475" i="2"/>
  <c r="AS475" i="2"/>
  <c r="AR475" i="2"/>
  <c r="AO475" i="2"/>
  <c r="AP475" i="2"/>
  <c r="AM475" i="2"/>
  <c r="AK475" i="2"/>
  <c r="AI475" i="2"/>
  <c r="AW1954" i="2"/>
  <c r="BA1954" i="2"/>
  <c r="AV1954" i="2"/>
  <c r="AZ1954" i="2"/>
  <c r="AU1954" i="2"/>
  <c r="AY1954" i="2"/>
  <c r="AR1954" i="2"/>
  <c r="AQ1954" i="2"/>
  <c r="AO1954" i="2"/>
  <c r="AP1954" i="2"/>
  <c r="AM1954" i="2"/>
  <c r="AK1954" i="2"/>
  <c r="AI1954" i="2"/>
  <c r="AW669" i="2"/>
  <c r="BA669" i="2"/>
  <c r="AV669" i="2"/>
  <c r="AZ669" i="2"/>
  <c r="AU669" i="2"/>
  <c r="AY669" i="2"/>
  <c r="AR669" i="2"/>
  <c r="AQ669" i="2"/>
  <c r="AO669" i="2"/>
  <c r="AP669" i="2"/>
  <c r="AM669" i="2"/>
  <c r="AK669" i="2"/>
  <c r="AI669" i="2"/>
  <c r="AU485" i="2"/>
  <c r="AY485" i="2"/>
  <c r="AW485" i="2"/>
  <c r="BA485" i="2"/>
  <c r="AV485" i="2"/>
  <c r="AZ485" i="2"/>
  <c r="AR485" i="2"/>
  <c r="AQ485" i="2"/>
  <c r="AO485" i="2"/>
  <c r="AP485" i="2"/>
  <c r="AM485" i="2"/>
  <c r="AK485" i="2"/>
  <c r="AI485" i="2"/>
  <c r="AW1278" i="2"/>
  <c r="BA1278" i="2"/>
  <c r="AV1278" i="2"/>
  <c r="AZ1278" i="2"/>
  <c r="AU1278" i="2"/>
  <c r="AY1278" i="2"/>
  <c r="AR1278" i="2"/>
  <c r="AQ1278" i="2"/>
  <c r="AO1278" i="2"/>
  <c r="AP1278" i="2"/>
  <c r="AM1278" i="2"/>
  <c r="AK1278" i="2"/>
  <c r="AI1278" i="2"/>
  <c r="AU1918" i="2"/>
  <c r="AY1918" i="2"/>
  <c r="AW1918" i="2"/>
  <c r="BA1918" i="2"/>
  <c r="AV1918" i="2"/>
  <c r="AZ1918" i="2"/>
  <c r="AR1918" i="2"/>
  <c r="AQ1918" i="2"/>
  <c r="AO1918" i="2"/>
  <c r="AP1918" i="2"/>
  <c r="AM1918" i="2"/>
  <c r="AK1918" i="2"/>
  <c r="AI1918" i="2"/>
  <c r="AV224" i="2"/>
  <c r="AZ224" i="2"/>
  <c r="AW224" i="2"/>
  <c r="BA224" i="2"/>
  <c r="AU224" i="2"/>
  <c r="AY224" i="2"/>
  <c r="AR224" i="2"/>
  <c r="AQ224" i="2"/>
  <c r="AO224" i="2"/>
  <c r="AP224" i="2"/>
  <c r="AM224" i="2"/>
  <c r="AK224" i="2"/>
  <c r="AI224" i="2"/>
  <c r="AW867" i="2"/>
  <c r="BA867" i="2"/>
  <c r="AV867" i="2"/>
  <c r="AZ867" i="2"/>
  <c r="AU867" i="2"/>
  <c r="AY867" i="2"/>
  <c r="AO867" i="2"/>
  <c r="AP867" i="2"/>
  <c r="AM867" i="2"/>
  <c r="AK867" i="2"/>
  <c r="AI867" i="2"/>
  <c r="AU1157" i="2"/>
  <c r="AY1157" i="2"/>
  <c r="AW1157" i="2"/>
  <c r="BA1157" i="2"/>
  <c r="AV1157" i="2"/>
  <c r="AZ1157" i="2"/>
  <c r="AR1157" i="2"/>
  <c r="AQ1157" i="2"/>
  <c r="AO1157" i="2"/>
  <c r="AP1157" i="2"/>
  <c r="AM1157" i="2"/>
  <c r="AK1157" i="2"/>
  <c r="AI1157" i="2"/>
  <c r="AV489" i="2"/>
  <c r="AZ489" i="2"/>
  <c r="AW489" i="2"/>
  <c r="BA489" i="2"/>
  <c r="AU489" i="2"/>
  <c r="AY489" i="2"/>
  <c r="AR489" i="2"/>
  <c r="AQ489" i="2"/>
  <c r="AO489" i="2"/>
  <c r="AP489" i="2"/>
  <c r="AM489" i="2"/>
  <c r="AK489" i="2"/>
  <c r="AI489" i="2"/>
  <c r="AW1648" i="2"/>
  <c r="BA1648" i="2"/>
  <c r="AV1648" i="2"/>
  <c r="AZ1648" i="2"/>
  <c r="AU1648" i="2"/>
  <c r="AY1648" i="2"/>
  <c r="AR1648" i="2"/>
  <c r="AQ1648" i="2"/>
  <c r="AO1648" i="2"/>
  <c r="AP1648" i="2"/>
  <c r="AM1648" i="2"/>
  <c r="AK1648" i="2"/>
  <c r="AI1648" i="2"/>
  <c r="AW1473" i="2"/>
  <c r="BA1473" i="2"/>
  <c r="AV1473" i="2"/>
  <c r="AZ1473" i="2"/>
  <c r="AU1473" i="2"/>
  <c r="AY1473" i="2"/>
  <c r="AR1473" i="2"/>
  <c r="AQ1473" i="2"/>
  <c r="AO1473" i="2"/>
  <c r="AP1473" i="2"/>
  <c r="AM1473" i="2"/>
  <c r="AK1473" i="2"/>
  <c r="AI1473" i="2"/>
  <c r="AW1535" i="2"/>
  <c r="BA1535" i="2"/>
  <c r="AV1535" i="2"/>
  <c r="AZ1535" i="2"/>
  <c r="AU1535" i="2"/>
  <c r="AY1535" i="2"/>
  <c r="AR1535" i="2"/>
  <c r="AQ1535" i="2"/>
  <c r="AO1535" i="2"/>
  <c r="AP1535" i="2"/>
  <c r="AM1535" i="2"/>
  <c r="AK1535" i="2"/>
  <c r="AI1535" i="2"/>
  <c r="AW1953" i="2"/>
  <c r="BA1953" i="2"/>
  <c r="AV1953" i="2"/>
  <c r="AZ1953" i="2"/>
  <c r="AU1953" i="2"/>
  <c r="AY1953" i="2"/>
  <c r="AR1953" i="2"/>
  <c r="AQ1953" i="2"/>
  <c r="AO1953" i="2"/>
  <c r="AP1953" i="2"/>
  <c r="AM1953" i="2"/>
  <c r="AK1953" i="2"/>
  <c r="AI1953" i="2"/>
  <c r="AU1190" i="2"/>
  <c r="AY1190" i="2"/>
  <c r="AW1190" i="2"/>
  <c r="BA1190" i="2"/>
  <c r="AV1190" i="2"/>
  <c r="AZ1190" i="2"/>
  <c r="AR1190" i="2"/>
  <c r="AQ1190" i="2"/>
  <c r="AO1190" i="2"/>
  <c r="AP1190" i="2"/>
  <c r="AM1190" i="2"/>
  <c r="AK1190" i="2"/>
  <c r="AI1190" i="2"/>
  <c r="AW1475" i="2"/>
  <c r="BA1475" i="2"/>
  <c r="AV1475" i="2"/>
  <c r="AZ1475" i="2"/>
  <c r="AU1475" i="2"/>
  <c r="AY1475" i="2"/>
  <c r="AR1475" i="2"/>
  <c r="AQ1475" i="2"/>
  <c r="AO1475" i="2"/>
  <c r="AP1475" i="2"/>
  <c r="AM1475" i="2"/>
  <c r="AK1475" i="2"/>
  <c r="AI1475" i="2"/>
  <c r="AU1318" i="2"/>
  <c r="AY1318" i="2"/>
  <c r="AW1318" i="2"/>
  <c r="BA1318" i="2"/>
  <c r="AV1318" i="2"/>
  <c r="AZ1318" i="2"/>
  <c r="AR1318" i="2"/>
  <c r="AQ1318" i="2"/>
  <c r="AO1318" i="2"/>
  <c r="AP1318" i="2"/>
  <c r="AM1318" i="2"/>
  <c r="AK1318" i="2"/>
  <c r="AI1318" i="2"/>
  <c r="AV185" i="2"/>
  <c r="AZ185" i="2"/>
  <c r="AW185" i="2"/>
  <c r="BA185" i="2"/>
  <c r="AU185" i="2"/>
  <c r="AY185" i="2"/>
  <c r="AR185" i="2"/>
  <c r="AQ185" i="2"/>
  <c r="AO185" i="2"/>
  <c r="AP185" i="2"/>
  <c r="AM185" i="2"/>
  <c r="AK185" i="2"/>
  <c r="AI185" i="2"/>
  <c r="AW998" i="2"/>
  <c r="BA998" i="2"/>
  <c r="AV998" i="2"/>
  <c r="AZ998" i="2"/>
  <c r="AU998" i="2"/>
  <c r="AY998" i="2"/>
  <c r="AR998" i="2"/>
  <c r="AQ998" i="2"/>
  <c r="AO998" i="2"/>
  <c r="AP998" i="2"/>
  <c r="AM998" i="2"/>
  <c r="AK998" i="2"/>
  <c r="AI998" i="2"/>
  <c r="AV1952" i="2"/>
  <c r="AZ1952" i="2"/>
  <c r="AW1952" i="2"/>
  <c r="BA1952" i="2"/>
  <c r="AU1952" i="2"/>
  <c r="AY1952" i="2"/>
  <c r="AR1952" i="2"/>
  <c r="AQ1952" i="2"/>
  <c r="AO1952" i="2"/>
  <c r="AP1952" i="2"/>
  <c r="AM1952" i="2"/>
  <c r="AK1952" i="2"/>
  <c r="AI1952" i="2"/>
  <c r="AW1951" i="2"/>
  <c r="BA1951" i="2"/>
  <c r="AV1951" i="2"/>
  <c r="AZ1951" i="2"/>
  <c r="AU1951" i="2"/>
  <c r="AY1951" i="2"/>
  <c r="AR1951" i="2"/>
  <c r="AQ1951" i="2"/>
  <c r="AO1951" i="2"/>
  <c r="AP1951" i="2"/>
  <c r="AM1951" i="2"/>
  <c r="AK1951" i="2"/>
  <c r="AI1951" i="2"/>
  <c r="AV533" i="2"/>
  <c r="AZ533" i="2"/>
  <c r="AW533" i="2"/>
  <c r="BA533" i="2"/>
  <c r="AU533" i="2"/>
  <c r="AY533" i="2"/>
  <c r="AR533" i="2"/>
  <c r="AQ533" i="2"/>
  <c r="AO533" i="2"/>
  <c r="AP533" i="2"/>
  <c r="AM533" i="2"/>
  <c r="AK533" i="2"/>
  <c r="AI533" i="2"/>
  <c r="AM351" i="2"/>
  <c r="AK351" i="2"/>
  <c r="AI351" i="2"/>
  <c r="AM632" i="2"/>
  <c r="AK632" i="2"/>
  <c r="AI632" i="2"/>
  <c r="AM1628" i="2"/>
  <c r="AK1628" i="2"/>
  <c r="AI1628" i="2"/>
  <c r="AM1609" i="2"/>
  <c r="AK1609" i="2"/>
  <c r="AI1609" i="2"/>
  <c r="AM1802" i="2"/>
  <c r="AK1802" i="2"/>
  <c r="AI1802" i="2"/>
  <c r="AM1787" i="2"/>
  <c r="AK1787" i="2"/>
  <c r="AI1787" i="2"/>
  <c r="AM1312" i="2"/>
  <c r="AK1312" i="2"/>
  <c r="AI1312" i="2"/>
  <c r="AM1950" i="2"/>
  <c r="AK1950" i="2"/>
  <c r="AI1950" i="2"/>
  <c r="AM1179" i="2"/>
  <c r="AK1179" i="2"/>
  <c r="AI1179" i="2"/>
  <c r="AM1308" i="2"/>
  <c r="AK1308" i="2"/>
  <c r="AI1308" i="2"/>
  <c r="AM1770" i="2"/>
  <c r="AK1770" i="2"/>
  <c r="AI1770" i="2"/>
  <c r="AM1922" i="2"/>
  <c r="AK1922" i="2"/>
  <c r="AI1922" i="2"/>
  <c r="AM662" i="2"/>
  <c r="AK662" i="2"/>
  <c r="AI662" i="2"/>
  <c r="AR486" i="2"/>
  <c r="AV486" i="2"/>
  <c r="AQ486" i="2"/>
  <c r="AU486" i="2"/>
  <c r="AP486" i="2"/>
  <c r="AT486" i="2"/>
  <c r="AM486" i="2"/>
  <c r="AK486" i="2"/>
  <c r="AI486" i="2"/>
  <c r="AQ102" i="2"/>
  <c r="AU102" i="2"/>
  <c r="AR102" i="2"/>
  <c r="AV102" i="2"/>
  <c r="AP102" i="2"/>
  <c r="AT102" i="2"/>
  <c r="AM102" i="2"/>
  <c r="AK102" i="2"/>
  <c r="AI102" i="2"/>
  <c r="AQ726" i="2"/>
  <c r="AU726" i="2"/>
  <c r="AR726" i="2"/>
  <c r="AV726" i="2"/>
  <c r="AP726" i="2"/>
  <c r="AT726" i="2"/>
  <c r="AM726" i="2"/>
  <c r="AK726" i="2"/>
  <c r="AI726" i="2"/>
  <c r="AQ1185" i="2"/>
  <c r="AU1185" i="2"/>
  <c r="AR1185" i="2"/>
  <c r="AV1185" i="2"/>
  <c r="AP1185" i="2"/>
  <c r="AT1185" i="2"/>
  <c r="AM1185" i="2"/>
  <c r="AK1185" i="2"/>
  <c r="AI1185" i="2"/>
  <c r="AQ1273" i="2"/>
  <c r="AU1273" i="2"/>
  <c r="AR1273" i="2"/>
  <c r="AV1273" i="2"/>
  <c r="AP1273" i="2"/>
  <c r="AT1273" i="2"/>
  <c r="AM1273" i="2"/>
  <c r="AK1273" i="2"/>
  <c r="AI1273" i="2"/>
  <c r="AQ854" i="2"/>
  <c r="AU854" i="2"/>
  <c r="AR854" i="2"/>
  <c r="AV854" i="2"/>
  <c r="AP854" i="2"/>
  <c r="AT854" i="2"/>
  <c r="AM854" i="2"/>
  <c r="AK854" i="2"/>
  <c r="AI854" i="2"/>
  <c r="AQ1929" i="2"/>
  <c r="AU1929" i="2"/>
  <c r="AR1929" i="2"/>
  <c r="AV1929" i="2"/>
  <c r="AP1929" i="2"/>
  <c r="AT1929" i="2"/>
  <c r="AM1929" i="2"/>
  <c r="AK1929" i="2"/>
  <c r="AI1929" i="2"/>
  <c r="AQ1436" i="2"/>
  <c r="AU1436" i="2"/>
  <c r="AR1436" i="2"/>
  <c r="AV1436" i="2"/>
  <c r="AP1436" i="2"/>
  <c r="AT1436" i="2"/>
  <c r="AM1436" i="2"/>
  <c r="AK1436" i="2"/>
  <c r="AI1436" i="2"/>
  <c r="AQ1055" i="2"/>
  <c r="AU1055" i="2"/>
  <c r="AR1055" i="2"/>
  <c r="AV1055" i="2"/>
  <c r="AP1055" i="2"/>
  <c r="AT1055" i="2"/>
  <c r="AM1055" i="2"/>
  <c r="AK1055" i="2"/>
  <c r="AI1055" i="2"/>
  <c r="AQ1062" i="2"/>
  <c r="AU1062" i="2"/>
  <c r="AR1062" i="2"/>
  <c r="AV1062" i="2"/>
  <c r="AP1062" i="2"/>
  <c r="AT1062" i="2"/>
  <c r="AM1062" i="2"/>
  <c r="AK1062" i="2"/>
  <c r="AI1062" i="2"/>
  <c r="AQ1349" i="2"/>
  <c r="AU1349" i="2"/>
  <c r="AR1349" i="2"/>
  <c r="AV1349" i="2"/>
  <c r="AP1349" i="2"/>
  <c r="AT1349" i="2"/>
  <c r="AM1349" i="2"/>
  <c r="AK1349" i="2"/>
  <c r="AI1349" i="2"/>
  <c r="AQ1517" i="2"/>
  <c r="AU1517" i="2"/>
  <c r="AR1517" i="2"/>
  <c r="AV1517" i="2"/>
  <c r="AP1517" i="2"/>
  <c r="AT1517" i="2"/>
  <c r="AM1517" i="2"/>
  <c r="AK1517" i="2"/>
  <c r="AI1517" i="2"/>
  <c r="AQ1830" i="2"/>
  <c r="AU1830" i="2"/>
  <c r="AR1830" i="2"/>
  <c r="AV1830" i="2"/>
  <c r="AP1830" i="2"/>
  <c r="AT1830" i="2"/>
  <c r="AM1830" i="2"/>
  <c r="AK1830" i="2"/>
  <c r="AI1830" i="2"/>
  <c r="AQ1189" i="2"/>
  <c r="AU1189" i="2"/>
  <c r="AR1189" i="2"/>
  <c r="AV1189" i="2"/>
  <c r="AP1189" i="2"/>
  <c r="AT1189" i="2"/>
  <c r="AM1189" i="2"/>
  <c r="AK1189" i="2"/>
  <c r="AI1189" i="2"/>
  <c r="AQ889" i="2"/>
  <c r="AU889" i="2"/>
  <c r="AR889" i="2"/>
  <c r="AV889" i="2"/>
  <c r="AP889" i="2"/>
  <c r="AT889" i="2"/>
  <c r="AM889" i="2"/>
  <c r="AK889" i="2"/>
  <c r="AI889" i="2"/>
  <c r="AQ1261" i="2"/>
  <c r="AU1261" i="2"/>
  <c r="AR1261" i="2"/>
  <c r="AV1261" i="2"/>
  <c r="AP1261" i="2"/>
  <c r="AT1261" i="2"/>
  <c r="AM1261" i="2"/>
  <c r="AK1261" i="2"/>
  <c r="AI1261" i="2"/>
  <c r="AQ1601" i="2"/>
  <c r="AU1601" i="2"/>
  <c r="AR1601" i="2"/>
  <c r="AV1601" i="2"/>
  <c r="AP1601" i="2"/>
  <c r="AT1601" i="2"/>
  <c r="AM1601" i="2"/>
  <c r="AK1601" i="2"/>
  <c r="AI1601" i="2"/>
  <c r="AQ1413" i="2"/>
  <c r="AU1413" i="2"/>
  <c r="AR1413" i="2"/>
  <c r="AV1413" i="2"/>
  <c r="AP1413" i="2"/>
  <c r="AT1413" i="2"/>
  <c r="AM1413" i="2"/>
  <c r="AK1413" i="2"/>
  <c r="AI1413" i="2"/>
  <c r="AQ1013" i="2"/>
  <c r="AU1013" i="2"/>
  <c r="AR1013" i="2"/>
  <c r="AV1013" i="2"/>
  <c r="AP1013" i="2"/>
  <c r="AT1013" i="2"/>
  <c r="AM1013" i="2"/>
  <c r="AK1013" i="2"/>
  <c r="AI1013" i="2"/>
  <c r="AQ580" i="2"/>
  <c r="AU580" i="2"/>
  <c r="AR580" i="2"/>
  <c r="AV580" i="2"/>
  <c r="AP580" i="2"/>
  <c r="AT580" i="2"/>
  <c r="AM580" i="2"/>
  <c r="AK580" i="2"/>
  <c r="AI580" i="2"/>
  <c r="AR1468" i="2"/>
  <c r="AV1468" i="2"/>
  <c r="AQ1468" i="2"/>
  <c r="AU1468" i="2"/>
  <c r="AP1468" i="2"/>
  <c r="AT1468" i="2"/>
  <c r="AM1468" i="2"/>
  <c r="AK1468" i="2"/>
  <c r="AI1468" i="2"/>
  <c r="AQ105" i="2"/>
  <c r="AU105" i="2"/>
  <c r="AR105" i="2"/>
  <c r="AV105" i="2"/>
  <c r="AP105" i="2"/>
  <c r="AT105" i="2"/>
  <c r="AM105" i="2"/>
  <c r="AK105" i="2"/>
  <c r="AI105" i="2"/>
  <c r="AR762" i="2"/>
  <c r="AV762" i="2"/>
  <c r="AQ762" i="2"/>
  <c r="AU762" i="2"/>
  <c r="AP762" i="2"/>
  <c r="AT762" i="2"/>
  <c r="AM762" i="2"/>
  <c r="AK762" i="2"/>
  <c r="AI762" i="2"/>
  <c r="AR137" i="2"/>
  <c r="AV137" i="2"/>
  <c r="AQ137" i="2"/>
  <c r="AU137" i="2"/>
  <c r="AP137" i="2"/>
  <c r="AT137" i="2"/>
  <c r="AM137" i="2"/>
  <c r="AK137" i="2"/>
  <c r="AI137" i="2"/>
  <c r="AR1218" i="2"/>
  <c r="AV1218" i="2"/>
  <c r="AQ1218" i="2"/>
  <c r="AU1218" i="2"/>
  <c r="AP1218" i="2"/>
  <c r="AT1218" i="2"/>
  <c r="AM1218" i="2"/>
  <c r="AK1218" i="2"/>
  <c r="AI1218" i="2"/>
  <c r="AR1589" i="2"/>
  <c r="AV1589" i="2"/>
  <c r="AQ1589" i="2"/>
  <c r="AU1589" i="2"/>
  <c r="AP1589" i="2"/>
  <c r="AT1589" i="2"/>
  <c r="AM1589" i="2"/>
  <c r="AK1589" i="2"/>
  <c r="AI1589" i="2"/>
  <c r="AR1036" i="2"/>
  <c r="AV1036" i="2"/>
  <c r="AQ1036" i="2"/>
  <c r="AU1036" i="2"/>
  <c r="AP1036" i="2"/>
  <c r="AT1036" i="2"/>
  <c r="AM1036" i="2"/>
  <c r="AK1036" i="2"/>
  <c r="AI1036" i="2"/>
  <c r="AQ1502" i="2"/>
  <c r="AU1502" i="2"/>
  <c r="AR1502" i="2"/>
  <c r="AV1502" i="2"/>
  <c r="AP1502" i="2"/>
  <c r="AT1502" i="2"/>
  <c r="AM1502" i="2"/>
  <c r="AK1502" i="2"/>
  <c r="AI1502" i="2"/>
  <c r="AR1005" i="2"/>
  <c r="AV1005" i="2"/>
  <c r="AQ1005" i="2"/>
  <c r="AU1005" i="2"/>
  <c r="AP1005" i="2"/>
  <c r="AT1005" i="2"/>
  <c r="AM1005" i="2"/>
  <c r="AK1005" i="2"/>
  <c r="AI1005" i="2"/>
  <c r="AQ230" i="2"/>
  <c r="AU230" i="2"/>
  <c r="AR230" i="2"/>
  <c r="AV230" i="2"/>
  <c r="AP230" i="2"/>
  <c r="AT230" i="2"/>
  <c r="AM230" i="2"/>
  <c r="AK230" i="2"/>
  <c r="AI230" i="2"/>
  <c r="AR1760" i="2"/>
  <c r="AV1760" i="2"/>
  <c r="AQ1760" i="2"/>
  <c r="AU1760" i="2"/>
  <c r="AP1760" i="2"/>
  <c r="AT1760" i="2"/>
  <c r="AM1760" i="2"/>
  <c r="AK1760" i="2"/>
  <c r="AI1760" i="2"/>
  <c r="AR1107" i="2"/>
  <c r="AV1107" i="2"/>
  <c r="AQ1107" i="2"/>
  <c r="AU1107" i="2"/>
  <c r="AP1107" i="2"/>
  <c r="AT1107" i="2"/>
  <c r="AM1107" i="2"/>
  <c r="AK1107" i="2"/>
  <c r="AI1107" i="2"/>
  <c r="AR1237" i="2"/>
  <c r="AV1237" i="2"/>
  <c r="AQ1237" i="2"/>
  <c r="AU1237" i="2"/>
  <c r="AP1237" i="2"/>
  <c r="AT1237" i="2"/>
  <c r="AM1237" i="2"/>
  <c r="AK1237" i="2"/>
  <c r="AI1237" i="2"/>
  <c r="AR1479" i="2"/>
  <c r="AV1479" i="2"/>
  <c r="AQ1479" i="2"/>
  <c r="AU1479" i="2"/>
  <c r="AP1479" i="2"/>
  <c r="AT1479" i="2"/>
  <c r="AM1479" i="2"/>
  <c r="AK1479" i="2"/>
  <c r="AI1479" i="2"/>
  <c r="AR1366" i="2"/>
  <c r="AV1366" i="2"/>
  <c r="AQ1366" i="2"/>
  <c r="AU1366" i="2"/>
  <c r="AP1366" i="2"/>
  <c r="AT1366" i="2"/>
  <c r="AM1366" i="2"/>
  <c r="AK1366" i="2"/>
  <c r="AI1366" i="2"/>
  <c r="AQ1172" i="2"/>
  <c r="AU1172" i="2"/>
  <c r="AR1172" i="2"/>
  <c r="AV1172" i="2"/>
  <c r="AP1172" i="2"/>
  <c r="AT1172" i="2"/>
  <c r="AM1172" i="2"/>
  <c r="AK1172" i="2"/>
  <c r="AI1172" i="2"/>
  <c r="AR1559" i="2"/>
  <c r="AV1559" i="2"/>
  <c r="AQ1559" i="2"/>
  <c r="AU1559" i="2"/>
  <c r="AP1559" i="2"/>
  <c r="AT1559" i="2"/>
  <c r="AM1559" i="2"/>
  <c r="AK1559" i="2"/>
  <c r="AI1559" i="2"/>
  <c r="AQ725" i="2"/>
  <c r="AU725" i="2"/>
  <c r="AR725" i="2"/>
  <c r="AV725" i="2"/>
  <c r="AP725" i="2"/>
  <c r="AT725" i="2"/>
  <c r="AM725" i="2"/>
  <c r="AK725" i="2"/>
  <c r="AI725" i="2"/>
  <c r="AR1949" i="2"/>
  <c r="AV1949" i="2"/>
  <c r="AQ1949" i="2"/>
  <c r="AU1949" i="2"/>
  <c r="AP1949" i="2"/>
  <c r="AT1949" i="2"/>
  <c r="AM1949" i="2"/>
  <c r="AK1949" i="2"/>
  <c r="AI1949" i="2"/>
  <c r="AR1386" i="2"/>
  <c r="AV1386" i="2"/>
  <c r="AQ1386" i="2"/>
  <c r="AU1386" i="2"/>
  <c r="AP1386" i="2"/>
  <c r="AT1386" i="2"/>
  <c r="AM1386" i="2"/>
  <c r="AK1386" i="2"/>
  <c r="AI1386" i="2"/>
  <c r="AR1743" i="2"/>
  <c r="AV1743" i="2"/>
  <c r="AQ1743" i="2"/>
  <c r="AU1743" i="2"/>
  <c r="AP1743" i="2"/>
  <c r="AT1743" i="2"/>
  <c r="AM1743" i="2"/>
  <c r="AK1743" i="2"/>
  <c r="AI1743" i="2"/>
  <c r="AM1878" i="2"/>
  <c r="AK1878" i="2"/>
  <c r="AI1878" i="2"/>
  <c r="AM855" i="2"/>
  <c r="AK855" i="2"/>
  <c r="AI855" i="2"/>
  <c r="AM730" i="2"/>
  <c r="AK730" i="2"/>
  <c r="AI730" i="2"/>
  <c r="AM1509" i="2"/>
  <c r="AK1509" i="2"/>
  <c r="AI1509" i="2"/>
  <c r="AM824" i="2"/>
  <c r="AK824" i="2"/>
  <c r="AI824" i="2"/>
  <c r="AM1105" i="2"/>
  <c r="AK1105" i="2"/>
  <c r="AI1105" i="2"/>
  <c r="AM526" i="2"/>
  <c r="AK526" i="2"/>
  <c r="AI526" i="2"/>
  <c r="AM215" i="2"/>
  <c r="AK215" i="2"/>
  <c r="AI215" i="2"/>
  <c r="AM1751" i="2"/>
  <c r="AK1751" i="2"/>
  <c r="AI1751" i="2"/>
  <c r="AM1948" i="2"/>
  <c r="AK1948" i="2"/>
  <c r="AI1948" i="2"/>
  <c r="AM378" i="2"/>
  <c r="AK378" i="2"/>
  <c r="AI378" i="2"/>
  <c r="AM710" i="2"/>
  <c r="AK710" i="2"/>
  <c r="AI710" i="2"/>
  <c r="AM436" i="2"/>
  <c r="AK436" i="2"/>
  <c r="AI436" i="2"/>
  <c r="AM1487" i="2"/>
  <c r="AK1487" i="2"/>
  <c r="AI1487" i="2"/>
  <c r="AM1070" i="2"/>
  <c r="AK1070" i="2"/>
  <c r="AI1070" i="2"/>
  <c r="AM873" i="2"/>
  <c r="AK873" i="2"/>
  <c r="AI873" i="2"/>
  <c r="AM883" i="2"/>
  <c r="AK883" i="2"/>
  <c r="AI883" i="2"/>
  <c r="AM1252" i="2"/>
  <c r="AK1252" i="2"/>
  <c r="AI1252" i="2"/>
  <c r="AM1354" i="2"/>
  <c r="AK1354" i="2"/>
  <c r="AI1354" i="2"/>
  <c r="AM1395" i="2"/>
  <c r="AK1395" i="2"/>
  <c r="AI1395" i="2"/>
  <c r="AM965" i="2"/>
  <c r="AK965" i="2"/>
  <c r="AI965" i="2"/>
  <c r="AM165" i="2"/>
  <c r="AK165" i="2"/>
  <c r="AI165" i="2"/>
  <c r="AM542" i="2"/>
  <c r="AK542" i="2"/>
  <c r="AI542" i="2"/>
  <c r="AB542" i="2"/>
  <c r="AM1947" i="2"/>
  <c r="AK1947" i="2"/>
  <c r="AI1947" i="2"/>
  <c r="AB1947" i="2"/>
  <c r="AM903" i="2"/>
  <c r="AK903" i="2"/>
  <c r="AI903" i="2"/>
  <c r="AB903" i="2"/>
  <c r="AM1402" i="2"/>
  <c r="AK1402" i="2"/>
  <c r="AI1402" i="2"/>
  <c r="AB1402" i="2"/>
  <c r="AM1653" i="2"/>
  <c r="AK1653" i="2"/>
  <c r="AI1653" i="2"/>
  <c r="AB1653" i="2"/>
  <c r="AM1657" i="2"/>
  <c r="AK1657" i="2"/>
  <c r="AI1657" i="2"/>
  <c r="AB1657" i="2"/>
  <c r="AM1679" i="2"/>
  <c r="AK1679" i="2"/>
  <c r="AI1679" i="2"/>
  <c r="AB1679" i="2"/>
  <c r="AM596" i="2"/>
  <c r="AK596" i="2"/>
  <c r="AI596" i="2"/>
  <c r="AB596" i="2"/>
  <c r="AM697" i="2"/>
  <c r="AK697" i="2"/>
  <c r="AI697" i="2"/>
  <c r="AB697" i="2"/>
  <c r="AM1655" i="2"/>
  <c r="AK1655" i="2"/>
  <c r="AI1655" i="2"/>
  <c r="AB1655" i="2"/>
  <c r="AM1914" i="2"/>
  <c r="AK1914" i="2"/>
  <c r="AI1914" i="2"/>
  <c r="AB1914" i="2"/>
  <c r="AM1946" i="2"/>
  <c r="AK1946" i="2"/>
  <c r="AI1946" i="2"/>
  <c r="AB1946" i="2"/>
  <c r="AM1289" i="2"/>
  <c r="AK1289" i="2"/>
  <c r="AI1289" i="2"/>
  <c r="AB1289" i="2"/>
  <c r="AM1173" i="2"/>
  <c r="AK1173" i="2"/>
  <c r="AI1173" i="2"/>
  <c r="AB1173" i="2"/>
  <c r="AM1945" i="2"/>
  <c r="AK1945" i="2"/>
  <c r="AI1945" i="2"/>
  <c r="AB1945" i="2"/>
  <c r="AM424" i="2"/>
  <c r="AK424" i="2"/>
  <c r="AI424" i="2"/>
  <c r="AB424" i="2"/>
  <c r="AM1562" i="2"/>
  <c r="AK1562" i="2"/>
  <c r="AI1562" i="2"/>
  <c r="AB1562" i="2"/>
  <c r="AM1025" i="2"/>
  <c r="AK1025" i="2"/>
  <c r="AI1025" i="2"/>
  <c r="AB1025" i="2"/>
  <c r="AM1344" i="2"/>
  <c r="AK1344" i="2"/>
  <c r="AI1344" i="2"/>
  <c r="AB1344" i="2"/>
  <c r="AM1426" i="2"/>
  <c r="AK1426" i="2"/>
  <c r="AI1426" i="2"/>
  <c r="AB1426" i="2"/>
  <c r="AM1944" i="2"/>
  <c r="AK1944" i="2"/>
  <c r="AI1944" i="2"/>
  <c r="AB1944" i="2"/>
  <c r="AM651" i="2"/>
  <c r="AK651" i="2"/>
  <c r="AI651" i="2"/>
  <c r="AB651" i="2"/>
  <c r="AM1391" i="2"/>
  <c r="AK1391" i="2"/>
  <c r="AI1391" i="2"/>
  <c r="AB1391" i="2"/>
  <c r="AM514" i="2"/>
  <c r="AK514" i="2"/>
  <c r="AI514" i="2"/>
  <c r="AB514" i="2"/>
  <c r="AM781" i="2"/>
  <c r="AK781" i="2"/>
  <c r="AI781" i="2"/>
  <c r="AB781" i="2"/>
  <c r="AM1797" i="2"/>
  <c r="AK1797" i="2"/>
  <c r="AI1797" i="2"/>
  <c r="AB1797" i="2"/>
  <c r="AM629" i="2"/>
  <c r="AK629" i="2"/>
  <c r="AI629" i="2"/>
  <c r="AB629" i="2"/>
  <c r="AM683" i="2"/>
  <c r="AK683" i="2"/>
  <c r="AI683" i="2"/>
  <c r="AB683" i="2"/>
  <c r="AM620" i="2"/>
  <c r="AK620" i="2"/>
  <c r="AI620" i="2"/>
  <c r="AB620" i="2"/>
  <c r="AM1756" i="2"/>
  <c r="AK1756" i="2"/>
  <c r="AI1756" i="2"/>
  <c r="AB1756" i="2"/>
  <c r="AM1343" i="2"/>
  <c r="AK1343" i="2"/>
  <c r="AI1343" i="2"/>
  <c r="AB1343" i="2"/>
  <c r="AM1323" i="2"/>
  <c r="AK1323" i="2"/>
  <c r="AI1323" i="2"/>
  <c r="AB1323" i="2"/>
  <c r="AM952" i="2"/>
  <c r="AK952" i="2"/>
  <c r="AI952" i="2"/>
  <c r="AB952" i="2"/>
  <c r="AM645" i="2"/>
  <c r="AK645" i="2"/>
  <c r="AI645" i="2"/>
  <c r="AB645" i="2"/>
  <c r="AM729" i="2"/>
  <c r="AK729" i="2"/>
  <c r="AI729" i="2"/>
  <c r="AB729" i="2"/>
  <c r="AM1014" i="2"/>
  <c r="AK1014" i="2"/>
  <c r="AI1014" i="2"/>
  <c r="AB1014" i="2"/>
  <c r="AM204" i="2"/>
  <c r="AK204" i="2"/>
  <c r="AI204" i="2"/>
  <c r="AB204" i="2"/>
  <c r="AM604" i="2"/>
  <c r="AK604" i="2"/>
  <c r="AI604" i="2"/>
  <c r="AB604" i="2"/>
  <c r="AM779" i="2"/>
  <c r="AK779" i="2"/>
  <c r="AI779" i="2"/>
  <c r="AB779" i="2"/>
  <c r="AM981" i="2"/>
  <c r="AM931" i="2"/>
  <c r="AM1943" i="2"/>
  <c r="AM1227" i="2"/>
  <c r="AM1463" i="2"/>
  <c r="AM834" i="2"/>
  <c r="AM1315" i="2"/>
  <c r="AM1284" i="2"/>
  <c r="AM171" i="2"/>
  <c r="AM258" i="2"/>
  <c r="AM890" i="2"/>
  <c r="AM1660" i="2"/>
  <c r="AM1015" i="2"/>
  <c r="AM554" i="2"/>
  <c r="AM372" i="2"/>
  <c r="AM277" i="2"/>
  <c r="AM442" i="2"/>
  <c r="AM966" i="2"/>
  <c r="AM186" i="2"/>
  <c r="AM1735" i="2"/>
  <c r="AM300" i="2"/>
  <c r="AM1132" i="2"/>
  <c r="AK981" i="2"/>
  <c r="AK931" i="2"/>
  <c r="AK1943" i="2"/>
  <c r="AK1227" i="2"/>
  <c r="AK1463" i="2"/>
  <c r="AK834" i="2"/>
  <c r="AK1315" i="2"/>
  <c r="AK1284" i="2"/>
  <c r="AK171" i="2"/>
  <c r="AK258" i="2"/>
  <c r="AK890" i="2"/>
  <c r="AK1660" i="2"/>
  <c r="AK1015" i="2"/>
  <c r="AK554" i="2"/>
  <c r="AK372" i="2"/>
  <c r="AK277" i="2"/>
  <c r="AK442" i="2"/>
  <c r="AK966" i="2"/>
  <c r="AK186" i="2"/>
  <c r="AK1735" i="2"/>
  <c r="AK300" i="2"/>
  <c r="AK1132" i="2"/>
  <c r="AI981" i="2"/>
  <c r="AI931" i="2"/>
  <c r="AI1943" i="2"/>
  <c r="AI1227" i="2"/>
  <c r="AI1463" i="2"/>
  <c r="AI834" i="2"/>
  <c r="AI1315" i="2"/>
  <c r="AI1284" i="2"/>
  <c r="AI171" i="2"/>
  <c r="AI258" i="2"/>
  <c r="AI890" i="2"/>
  <c r="AI1660" i="2"/>
  <c r="AI1015" i="2"/>
  <c r="AI554" i="2"/>
  <c r="AI372" i="2"/>
  <c r="AI277" i="2"/>
  <c r="AI442" i="2"/>
  <c r="AI966" i="2"/>
  <c r="AI186" i="2"/>
  <c r="AI1735" i="2"/>
  <c r="AI300" i="2"/>
  <c r="AI1132" i="2"/>
  <c r="AQ1132" i="2"/>
  <c r="AQ981" i="2"/>
  <c r="AR981" i="2"/>
  <c r="AS981" i="2"/>
  <c r="AQ931" i="2"/>
  <c r="AR931" i="2"/>
  <c r="AS931" i="2"/>
  <c r="AQ1943" i="2"/>
  <c r="AR1943" i="2"/>
  <c r="AS1943" i="2"/>
  <c r="AQ1227" i="2"/>
  <c r="AR1227" i="2"/>
  <c r="AS1227" i="2"/>
  <c r="AQ1463" i="2"/>
  <c r="AR1463" i="2"/>
  <c r="AS1463" i="2"/>
  <c r="AQ834" i="2"/>
  <c r="AR834" i="2"/>
  <c r="AS834" i="2"/>
  <c r="AQ1315" i="2"/>
  <c r="AR1315" i="2"/>
  <c r="AS1315" i="2"/>
  <c r="AQ1284" i="2"/>
  <c r="AR1284" i="2"/>
  <c r="AS1284" i="2"/>
  <c r="AQ171" i="2"/>
  <c r="AR171" i="2"/>
  <c r="AS171" i="2"/>
  <c r="AQ258" i="2"/>
  <c r="AR258" i="2"/>
  <c r="AS258" i="2"/>
  <c r="AQ890" i="2"/>
  <c r="AR890" i="2"/>
  <c r="AS890" i="2"/>
  <c r="AQ1660" i="2"/>
  <c r="AR1660" i="2"/>
  <c r="AS1660" i="2"/>
  <c r="AQ1015" i="2"/>
  <c r="AR1015" i="2"/>
  <c r="AS1015" i="2"/>
  <c r="AQ554" i="2"/>
  <c r="AR554" i="2"/>
  <c r="AS554" i="2"/>
  <c r="AQ372" i="2"/>
  <c r="AR372" i="2"/>
  <c r="AS372" i="2"/>
  <c r="AQ277" i="2"/>
  <c r="AR277" i="2"/>
  <c r="AS277" i="2"/>
  <c r="AQ442" i="2"/>
  <c r="AR442" i="2"/>
  <c r="AS442" i="2"/>
  <c r="AQ966" i="2"/>
  <c r="AR966" i="2"/>
  <c r="AS966" i="2"/>
  <c r="AQ186" i="2"/>
  <c r="AR186" i="2"/>
  <c r="AS186" i="2"/>
  <c r="AQ1735" i="2"/>
  <c r="AR1735" i="2"/>
  <c r="AS1735" i="2"/>
  <c r="AQ300" i="2"/>
  <c r="AR300" i="2"/>
  <c r="AS300" i="2"/>
  <c r="AS1132" i="2"/>
  <c r="AR1132" i="2"/>
</calcChain>
</file>

<file path=xl/comments1.xml><?xml version="1.0" encoding="utf-8"?>
<comments xmlns="http://schemas.openxmlformats.org/spreadsheetml/2006/main">
  <authors>
    <author>TRINIT17A</author>
  </authors>
  <commentList>
    <comment ref="I1565" authorId="0" shapeId="0">
      <text>
        <r>
          <rPr>
            <b/>
            <sz val="9"/>
            <color indexed="81"/>
            <rFont val="Tahoma"/>
            <family val="2"/>
          </rPr>
          <t xml:space="preserve">ซ้ำ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591" authorId="0" shapeId="0">
      <text>
        <r>
          <rPr>
            <sz val="9"/>
            <color indexed="81"/>
            <rFont val="Tahoma"/>
            <family val="2"/>
          </rPr>
          <t xml:space="preserve">ซ้ำ
</t>
        </r>
      </text>
    </comment>
  </commentList>
</comments>
</file>

<file path=xl/sharedStrings.xml><?xml version="1.0" encoding="utf-8"?>
<sst xmlns="http://schemas.openxmlformats.org/spreadsheetml/2006/main" count="10873" uniqueCount="2892">
  <si>
    <t>รหัสแขวง</t>
  </si>
  <si>
    <t>หมายเลขทางหลวง</t>
  </si>
  <si>
    <t>หมายเลขควบคุม</t>
  </si>
  <si>
    <t>ชื่อสายทาง</t>
  </si>
  <si>
    <t>จำนวนช่องจราจร</t>
  </si>
  <si>
    <t>ทิศทางสำรวจ</t>
  </si>
  <si>
    <t>วันที่สำรวจ</t>
  </si>
  <si>
    <t>ประเภท
ผิวทาง</t>
  </si>
  <si>
    <t>แขวงทางหลวงเชียงใหม่ที่ 1</t>
  </si>
  <si>
    <t>ปากทางท่าลี่ - สะพานแม่กลาง</t>
  </si>
  <si>
    <t>สะพานแม่กลาง  - บ่อหลวง</t>
  </si>
  <si>
    <t>จอมทอง - ดอยอินทนนท์</t>
  </si>
  <si>
    <t>R1</t>
  </si>
  <si>
    <t>ปากทางท่าลี่  -  ร้องธาร</t>
  </si>
  <si>
    <t>ฮอด  -  วังลุง</t>
  </si>
  <si>
    <t>สันป่าตอง - บ้านกาด</t>
  </si>
  <si>
    <t>สะพานศรีวิชัย  -  สันป่าตอง</t>
  </si>
  <si>
    <t>บ่อหลวง - แม่ตื่น</t>
  </si>
  <si>
    <t>พระบาทตะเมาะ  - ฮอด</t>
  </si>
  <si>
    <t>ปางอุ๋ง  -  แม่นาจร</t>
  </si>
  <si>
    <t>นิคมดอยเต่า  -  ท่าน้ำ</t>
  </si>
  <si>
    <t>แขวงทางหลวงเชียงใหม่ที่ 2</t>
  </si>
  <si>
    <t>เหมืองกุง - ต้นเปา</t>
  </si>
  <si>
    <t>ต้นเปา - ดอนแก้ว</t>
  </si>
  <si>
    <t>ต้นพยอม - เหมืองกุง</t>
  </si>
  <si>
    <t>เชียงใหม่ - บ้านโป่ง</t>
  </si>
  <si>
    <t>ห้วยแก้ว - พระตำหนักภูพิงคราชนิเวศน์</t>
  </si>
  <si>
    <t>ดอยสะเก็ด - สันป่าค่า</t>
  </si>
  <si>
    <t>แม่ริม -ปางดะ</t>
  </si>
  <si>
    <t>ห้วยไซ - สันกำแพง</t>
  </si>
  <si>
    <t>ป่าแดด - ช่างเพี้ยน</t>
  </si>
  <si>
    <t>บ้านใหม่ - เปาสามขา</t>
  </si>
  <si>
    <t>บ้านใหม่ - ห้วยแก้ว</t>
  </si>
  <si>
    <t>ปางแฟน - แม่ตอนหลวง</t>
  </si>
  <si>
    <t>สะเมิง - แม่ขนิน</t>
  </si>
  <si>
    <t>โรงเรียนนวมินทราชูทิศ - กองพันพัฒนาที่3</t>
  </si>
  <si>
    <t>สันทรายน้อย - มหาวิทยาลัยแม่โจ้</t>
  </si>
  <si>
    <t>แขวงทางหลวงลำปางที่ 1</t>
  </si>
  <si>
    <t>แขวงทางหลวงลำปางที่ 2</t>
  </si>
  <si>
    <t>แม่ตีบ - งาว</t>
  </si>
  <si>
    <t>สำเภาทอง -  สันติสุข</t>
  </si>
  <si>
    <t>ท่าล้อ - เมืองปาน</t>
  </si>
  <si>
    <t>นาป้อใต้ - บ้านเอื้อม</t>
  </si>
  <si>
    <t>สวนดอกคำ - ม่วงงาม</t>
  </si>
  <si>
    <t>แขวงทางหลวงลำพูน</t>
  </si>
  <si>
    <t>ห้วยหญ้าไทร - ลี้</t>
  </si>
  <si>
    <t>ลี้ - ม่วงโตน</t>
  </si>
  <si>
    <t>ม่วงโตน - ท่าจักร</t>
  </si>
  <si>
    <t>ป่าสัก - สะปุ๋ง</t>
  </si>
  <si>
    <t>สะปุ๋ง - บ้านเรือน</t>
  </si>
  <si>
    <t>ร้องธาร - ม่วงโตน</t>
  </si>
  <si>
    <t>ป่าเห็ว - ริมปิง</t>
  </si>
  <si>
    <t>แม่ทา - ท่าจักร</t>
  </si>
  <si>
    <t>ลี้ - ก้อทุ่ง</t>
  </si>
  <si>
    <t>ลี้ - พระบาทตะเมาะ</t>
  </si>
  <si>
    <t>เหมืองง่า - ลำพูน</t>
  </si>
  <si>
    <t>สันป่าฝ้าย - ห้วยไซ</t>
  </si>
  <si>
    <t>สบทา - ท่าลี่</t>
  </si>
  <si>
    <t>แม่อาว - ดอนมูล</t>
  </si>
  <si>
    <t>ช่างเพี้ยน - บ้านธิ</t>
  </si>
  <si>
    <t>แม่เทย - ทุ่งหัวช้าง</t>
  </si>
  <si>
    <t>แขวงทางหลวงแม่ฮ่องสอน</t>
  </si>
  <si>
    <t>แม่เงา - แม่สะเรียง</t>
  </si>
  <si>
    <t>สะพานแม่ริด - ห้วยงู</t>
  </si>
  <si>
    <t>ห้วยงู - หนองแห้ง</t>
  </si>
  <si>
    <t>หนองแห้ง - แม่สุริน</t>
  </si>
  <si>
    <t>แม่สุริน - ปางหมู</t>
  </si>
  <si>
    <t>ทางเลี่ยงเมืองแม่ฮ่องสอน</t>
  </si>
  <si>
    <t>กิ่วคอหมา - แม่นะ</t>
  </si>
  <si>
    <t>ท่าไคร้ - แม่ฮ่องสอน</t>
  </si>
  <si>
    <t>ไม้แงะ - ท่าโป่งแดง</t>
  </si>
  <si>
    <t>ปาย - วัดจันทร์</t>
  </si>
  <si>
    <t>แม่ลาน้อย - ละอุบ</t>
  </si>
  <si>
    <t>ทุ่งมะส้าน - ห้วยผึ้ง</t>
  </si>
  <si>
    <t>หางปอน - ประตูเมือง</t>
  </si>
  <si>
    <t>ทางเข้าแม่ละนา</t>
  </si>
  <si>
    <t>ทางเข้าปาย</t>
  </si>
  <si>
    <t>ทางเข้าผาบ่อง</t>
  </si>
  <si>
    <t>แขวงทางหลวงเชียงใหม่ที่ 3</t>
  </si>
  <si>
    <t>ล้องอ้อ - เมืองงาม</t>
  </si>
  <si>
    <t>ห้วยป่าไร่ - ฝาง</t>
  </si>
  <si>
    <t>บ้านโป่ง - พร้าว</t>
  </si>
  <si>
    <t>หนองโค้ง - กิ๋วคอหมา</t>
  </si>
  <si>
    <t>ปิงโค้ง - กิ่วไฮ</t>
  </si>
  <si>
    <t>แม่งอน - หนองเต่า</t>
  </si>
  <si>
    <t>พร้าว - แดนดิน</t>
  </si>
  <si>
    <t>แดนดิน - ไชยปราการ</t>
  </si>
  <si>
    <t>ทางเข้าดอยอ่างขาง</t>
  </si>
  <si>
    <t>ทางเข้าเชียงดาว</t>
  </si>
  <si>
    <t>49+615</t>
  </si>
  <si>
    <t>62+395</t>
  </si>
  <si>
    <t>109+900</t>
  </si>
  <si>
    <t>0+000</t>
  </si>
  <si>
    <t>49+899</t>
  </si>
  <si>
    <t>20+525</t>
  </si>
  <si>
    <t>34+140</t>
  </si>
  <si>
    <t>R2</t>
  </si>
  <si>
    <t>28+507</t>
  </si>
  <si>
    <t>8+523</t>
  </si>
  <si>
    <t>16+579</t>
  </si>
  <si>
    <t>0+400</t>
  </si>
  <si>
    <t>29+003</t>
  </si>
  <si>
    <t>17+410</t>
  </si>
  <si>
    <t>0+559</t>
  </si>
  <si>
    <t>53+217</t>
  </si>
  <si>
    <t>27+221</t>
  </si>
  <si>
    <t>16+707</t>
  </si>
  <si>
    <t>29+225</t>
  </si>
  <si>
    <t>50+267</t>
  </si>
  <si>
    <t>53+687</t>
  </si>
  <si>
    <t>65+780</t>
  </si>
  <si>
    <t>17+213</t>
  </si>
  <si>
    <t>2+175</t>
  </si>
  <si>
    <t>2+713</t>
  </si>
  <si>
    <t>1+513</t>
  </si>
  <si>
    <t>ทางเลี่ยงเมืองลำปาง</t>
  </si>
  <si>
    <t>เกาะคา - ห้างฉัตร</t>
  </si>
  <si>
    <t>บ้านฟ่อน - ศูนย์สร้างทางลำปาง</t>
  </si>
  <si>
    <t>ศรีชุม - แม่ทะ</t>
  </si>
  <si>
    <t>ดอนไชย - หอรบ</t>
  </si>
  <si>
    <t>พระบาท - บ้านเหล่า</t>
  </si>
  <si>
    <t>ท่าผา - ปางกุ่ม</t>
  </si>
  <si>
    <t>แม่บอน - สบเสริม</t>
  </si>
  <si>
    <t>นาบอน - นาแก้ว</t>
  </si>
  <si>
    <t>ทางเข้าโรงไฟฟ้าแม่เมาะ</t>
  </si>
  <si>
    <t>ทางเข้าดอนไชย</t>
  </si>
  <si>
    <t>แม่ทะ - สถานีรถไฟแม่ทะ</t>
  </si>
  <si>
    <t>บ้านจว๊าก - แม่ทะ</t>
  </si>
  <si>
    <t>แม่พริก - ห้วยขี้นก</t>
  </si>
  <si>
    <t>52+000</t>
  </si>
  <si>
    <t>118+533</t>
  </si>
  <si>
    <t>149+556</t>
  </si>
  <si>
    <t>16+348</t>
  </si>
  <si>
    <t>23+651</t>
  </si>
  <si>
    <t>19+638</t>
  </si>
  <si>
    <t>2+140</t>
  </si>
  <si>
    <t>12+516</t>
  </si>
  <si>
    <t>33+237</t>
  </si>
  <si>
    <t>37+100</t>
  </si>
  <si>
    <t>6+000</t>
  </si>
  <si>
    <t>2+040</t>
  </si>
  <si>
    <t>22+300</t>
  </si>
  <si>
    <t>25+321</t>
  </si>
  <si>
    <t>73+300</t>
  </si>
  <si>
    <t>5+041</t>
  </si>
  <si>
    <t>10+641</t>
  </si>
  <si>
    <t>16+645</t>
  </si>
  <si>
    <t>230+497</t>
  </si>
  <si>
    <t>190+318</t>
  </si>
  <si>
    <t>206+975</t>
  </si>
  <si>
    <t>156+600</t>
  </si>
  <si>
    <t>258+100</t>
  </si>
  <si>
    <t>245+951</t>
  </si>
  <si>
    <t>271+100</t>
  </si>
  <si>
    <t>307+900</t>
  </si>
  <si>
    <t>353+508</t>
  </si>
  <si>
    <t>8+363</t>
  </si>
  <si>
    <t>148+873</t>
  </si>
  <si>
    <t>204+023</t>
  </si>
  <si>
    <t>2+300</t>
  </si>
  <si>
    <t>43+619</t>
  </si>
  <si>
    <t>28+113</t>
  </si>
  <si>
    <t>15+000</t>
  </si>
  <si>
    <t>17+465</t>
  </si>
  <si>
    <t>1+231</t>
  </si>
  <si>
    <t>1+625</t>
  </si>
  <si>
    <t>3+643</t>
  </si>
  <si>
    <t>4+300</t>
  </si>
  <si>
    <t>1+507</t>
  </si>
  <si>
    <t>เชียงใหม่ - ขี้เหล็กหลวง</t>
  </si>
  <si>
    <t>แม่ขนิน - ต้นเกว๋น</t>
  </si>
  <si>
    <t>ปากบอก - แม่เฮียว</t>
  </si>
  <si>
    <t>วังหม้อพัฒนา - สำเภาทอง</t>
  </si>
  <si>
    <t>แก่งเสือเต้น - ดอนไชย</t>
  </si>
  <si>
    <t>แม่ตอนหลวง  - ข่วงกอม</t>
  </si>
  <si>
    <t>40+554</t>
  </si>
  <si>
    <t>64+345</t>
  </si>
  <si>
    <t>20+200</t>
  </si>
  <si>
    <t>55+950</t>
  </si>
  <si>
    <t>30+000</t>
  </si>
  <si>
    <t>55+291</t>
  </si>
  <si>
    <t>57+769</t>
  </si>
  <si>
    <t>30+788</t>
  </si>
  <si>
    <t>55+109</t>
  </si>
  <si>
    <t>61+701</t>
  </si>
  <si>
    <t>23+532</t>
  </si>
  <si>
    <t>14+491</t>
  </si>
  <si>
    <t>1+095</t>
  </si>
  <si>
    <t>1+970</t>
  </si>
  <si>
    <t>5+595</t>
  </si>
  <si>
    <t>แขวงทางหลวง</t>
  </si>
  <si>
    <t>A.C.</t>
  </si>
  <si>
    <t>20+000</t>
  </si>
  <si>
    <t>3+000</t>
  </si>
  <si>
    <t>16+000</t>
  </si>
  <si>
    <t>ออบหลวง - สะพานแม่ริด</t>
  </si>
  <si>
    <t>126+910</t>
  </si>
  <si>
    <t>46+700</t>
  </si>
  <si>
    <t>11+000</t>
  </si>
  <si>
    <t>20+734</t>
  </si>
  <si>
    <t>6+983</t>
  </si>
  <si>
    <t>36+319</t>
  </si>
  <si>
    <t>0+971</t>
  </si>
  <si>
    <t>13+123</t>
  </si>
  <si>
    <t>31+657</t>
  </si>
  <si>
    <t>ห้วยเดื่อ - หัวทุ่ง</t>
  </si>
  <si>
    <t>ลี้ - แม่บอน</t>
  </si>
  <si>
    <t>ขุนยวม - ปางอุ๋ง</t>
  </si>
  <si>
    <t>สวนสน - ปิงโค้ง</t>
  </si>
  <si>
    <t>ปิงโค้ง - ล้องอ้อ</t>
  </si>
  <si>
    <t>ขี้เหล็กหลวง - สวนสน</t>
  </si>
  <si>
    <t>43+300</t>
  </si>
  <si>
    <t>84+738</t>
  </si>
  <si>
    <t>138+993</t>
  </si>
  <si>
    <t>30+893</t>
  </si>
  <si>
    <t>93+657</t>
  </si>
  <si>
    <t>ท่าตอน - แม่แหลง</t>
  </si>
  <si>
    <t>26+505</t>
  </si>
  <si>
    <t>C.C.</t>
  </si>
  <si>
    <t>เชียงใหม่ - ปากทางท่าลี่</t>
  </si>
  <si>
    <t>ดอนไชย - ห้วยหญ้าไทร</t>
  </si>
  <si>
    <t>สันมะเกลือ - เมืองปาน</t>
  </si>
  <si>
    <t>10+623</t>
  </si>
  <si>
    <t>0+695</t>
  </si>
  <si>
    <t>1+385</t>
  </si>
  <si>
    <t>ออบหลวง - สะพานแม่กิ๊ดหลวง</t>
  </si>
  <si>
    <t>สะพานแม่กิ้ดหลวง - แม่ซา</t>
  </si>
  <si>
    <t>อินทนนท์ - แม่แจ่ม</t>
  </si>
  <si>
    <t>เชียงใหม่ - ออนหลวย</t>
  </si>
  <si>
    <t>สนามกีฬาสมโภชเชียงใหม่ 700 ปี - ศาลจังหวัดเชียงใหม่</t>
  </si>
  <si>
    <t>หนองฮ่อ -ศูนย์พัฒนาปิโตรเลียมภาคเหนือ</t>
  </si>
  <si>
    <t>กิ่วไฮ - ขุนแจ๋</t>
  </si>
  <si>
    <t>แม่ข้อน - นาหวาย</t>
  </si>
  <si>
    <t>นาหวาย - สินไชย</t>
  </si>
  <si>
    <t>สินไชย - บ้านหลวง</t>
  </si>
  <si>
    <t>แม่จา - รินหลวง</t>
  </si>
  <si>
    <t>แม่นะ - ท่าไคร้</t>
  </si>
  <si>
    <t>L2</t>
  </si>
  <si>
    <t>L1</t>
  </si>
  <si>
    <t>IRI &lt; 2.5</t>
  </si>
  <si>
    <t>2.5 ≤ IRI &lt; 3.5</t>
  </si>
  <si>
    <t>3.5 ≤ IRI &lt; 5</t>
  </si>
  <si>
    <t>IRI ≥ 5</t>
  </si>
  <si>
    <t>Rut &lt; 10</t>
  </si>
  <si>
    <t>10 ≤ Rut &lt; 15</t>
  </si>
  <si>
    <t>15 ≤ Rut &lt; 20</t>
  </si>
  <si>
    <t>Rut ≥ 20</t>
  </si>
  <si>
    <t>MPD &lt; 0.25</t>
  </si>
  <si>
    <t>0.25 ≤ MPD &lt; 0.5</t>
  </si>
  <si>
    <t>MPD ≥ 0.5</t>
  </si>
  <si>
    <t>ร้อยละรอยแตก</t>
  </si>
  <si>
    <t>ร้อยละหลุดร่อน</t>
  </si>
  <si>
    <t>ร้อยละรอยปะซ่อม</t>
  </si>
  <si>
    <t xml:space="preserve"> ร้อยละหลุมบ่อ </t>
  </si>
  <si>
    <t>กิโลเมตรเริ่มต้น</t>
  </si>
  <si>
    <t>กิโลเมตรสิ้นสุด</t>
  </si>
  <si>
    <t>ระยะทาง
(กิโลเมตร)</t>
  </si>
  <si>
    <t>IRI เฉลี่ย
(เมตร/กิโลเมตร)</t>
  </si>
  <si>
    <t>Rutting เฉลี่ย (มิลลิเมตร)</t>
  </si>
  <si>
    <t>MPD
(มิลลิเมตร)</t>
  </si>
  <si>
    <t>รอยแตก  ต่อเนื่อง(ตารางเมตร)</t>
  </si>
  <si>
    <t>รอยแตก 
ไม่ต่อเนื่อง(เมตร)</t>
  </si>
  <si>
    <t>หลุดร่อน (ตารางเมตร)</t>
  </si>
  <si>
    <t xml:space="preserve"> รอยปะซ่อม (ตารางเมตร)</t>
  </si>
  <si>
    <t>หลุมบ่อ (ตารางเมตร)</t>
  </si>
  <si>
    <t>แขวงทางหลวงน่านที่ 2</t>
  </si>
  <si>
    <t>สี่แยกช้างเผือก - ท่าวังผา</t>
  </si>
  <si>
    <t>368+730</t>
  </si>
  <si>
    <t>411+134</t>
  </si>
  <si>
    <t>F1</t>
  </si>
  <si>
    <t>ท่าวังผา - ปางหก</t>
  </si>
  <si>
    <t>413+434</t>
  </si>
  <si>
    <t>471+649</t>
  </si>
  <si>
    <t>ปางหก - จุดผ่านแดนถาวรห้วยโก๋น/น้ำเงิน(เขตแดนไทย/ลาว)</t>
  </si>
  <si>
    <t>494+499</t>
  </si>
  <si>
    <t>499+958</t>
  </si>
  <si>
    <t>ปัว - ดอนมูล</t>
  </si>
  <si>
    <t>13+000</t>
  </si>
  <si>
    <t>ปัวดอย - สิบสองพัฒนา</t>
  </si>
  <si>
    <t>10+000</t>
  </si>
  <si>
    <t>33+203</t>
  </si>
  <si>
    <t>ท่าวังผา - สะเกิน</t>
  </si>
  <si>
    <t>65+177</t>
  </si>
  <si>
    <t>สะเกิน - สบทุ</t>
  </si>
  <si>
    <t>98+495</t>
  </si>
  <si>
    <t>ท่าวังผา - ดอนมูล</t>
  </si>
  <si>
    <t>14+620</t>
  </si>
  <si>
    <t>ห้วยกอก - ห้วยอ่วม</t>
  </si>
  <si>
    <t>45+364</t>
  </si>
  <si>
    <t>40+685</t>
  </si>
  <si>
    <t>ปัว - อุทยานแห่งชาติดอยภูคา</t>
  </si>
  <si>
    <t>25+000</t>
  </si>
  <si>
    <t>อุทยานแห่งชาติดอยภูคา - บ่อเกลือ</t>
  </si>
  <si>
    <t>46+596</t>
  </si>
  <si>
    <t>แขวงทางหลวงแพร่</t>
  </si>
  <si>
    <t>แม่สิน - ปางเคาะ</t>
  </si>
  <si>
    <t>แยกแม่จั๊วะ - แยกบ้านฝ้าย</t>
  </si>
  <si>
    <t>228+272</t>
  </si>
  <si>
    <t>227+118</t>
  </si>
  <si>
    <t>ร้องกวาง - ห้วยแก๊ต</t>
  </si>
  <si>
    <t>300+299</t>
  </si>
  <si>
    <t>274+429</t>
  </si>
  <si>
    <t>ร้องกวาง - แม่ตีบ</t>
  </si>
  <si>
    <t>ทางเลี่ยงเมืองแพร่</t>
  </si>
  <si>
    <t>10+418</t>
  </si>
  <si>
    <t>แพร่ - น้ำกาย</t>
  </si>
  <si>
    <t>0+772</t>
  </si>
  <si>
    <t>23+753</t>
  </si>
  <si>
    <t>แพร่ - แยกแม่แขม</t>
  </si>
  <si>
    <t>56+627</t>
  </si>
  <si>
    <t>1+660</t>
  </si>
  <si>
    <t>แยกแม่แขม - วังชิ้น</t>
  </si>
  <si>
    <t>77+349</t>
  </si>
  <si>
    <t>สวนเขื่อน - ปากห้วยอ้อย</t>
  </si>
  <si>
    <t>38+685</t>
  </si>
  <si>
    <t>ทุ่งโฮ้ง - ป่าแดง</t>
  </si>
  <si>
    <t>9+789</t>
  </si>
  <si>
    <t>สอง - ป่าเลา</t>
  </si>
  <si>
    <t>โจโก้ - ร้องเข็ม</t>
  </si>
  <si>
    <t>9+735</t>
  </si>
  <si>
    <t>22+425</t>
  </si>
  <si>
    <t>11+136</t>
  </si>
  <si>
    <t>สอง - แก่งเสือเต้น</t>
  </si>
  <si>
    <t>ห้วยแก๊ต - บ้านส้าน</t>
  </si>
  <si>
    <t>37+468</t>
  </si>
  <si>
    <t>ปากห้วยอ้อย - วังปึ้ง</t>
  </si>
  <si>
    <t>ห้วยขึม - ปากห้วยอ้อย</t>
  </si>
  <si>
    <t>18+725</t>
  </si>
  <si>
    <t>บุญเริง - ต้นหนุน</t>
  </si>
  <si>
    <t>10+725</t>
  </si>
  <si>
    <t>ทางเลี่ยงสนามบินแพร่</t>
  </si>
  <si>
    <t>0+930</t>
  </si>
  <si>
    <t>แขวงทางหลวงเชียงรายที่ 1</t>
  </si>
  <si>
    <t>พาน - สบห้วย</t>
  </si>
  <si>
    <t>890+370</t>
  </si>
  <si>
    <t>912+300</t>
  </si>
  <si>
    <t>สบห้วย - เชียงราย</t>
  </si>
  <si>
    <t>928+817</t>
  </si>
  <si>
    <t>เชียงราย - บ้านเด่น</t>
  </si>
  <si>
    <t>929+117</t>
  </si>
  <si>
    <t>944+000</t>
  </si>
  <si>
    <t>บ้านเด่น - แม่คำ</t>
  </si>
  <si>
    <t>970+000</t>
  </si>
  <si>
    <t>ดอยนางแก้ว - แม่สรวย</t>
  </si>
  <si>
    <t>52+750</t>
  </si>
  <si>
    <t>113+000</t>
  </si>
  <si>
    <t>แม่สรวย - ห้วยป่าไร่</t>
  </si>
  <si>
    <t>31+425</t>
  </si>
  <si>
    <t>แม่เฮียว - แม่ขะจาน</t>
  </si>
  <si>
    <t>แม่จัน - กิ่วพร้าว</t>
  </si>
  <si>
    <t>ผาเดื่อ - ห้วยหินฝน</t>
  </si>
  <si>
    <t>11+916</t>
  </si>
  <si>
    <t>ป่าซาง - กิ่วสะไต</t>
  </si>
  <si>
    <t>50+553</t>
  </si>
  <si>
    <t>ห้วยไคร้ - ห้วยน้ำริน</t>
  </si>
  <si>
    <t>43+726</t>
  </si>
  <si>
    <t>หัวดอย - บ้านดอน</t>
  </si>
  <si>
    <t>แม่แก้วเหนือ - ใหม่ใน</t>
  </si>
  <si>
    <t>ร่องขุ่น - สวนดอก</t>
  </si>
  <si>
    <t>0+078</t>
  </si>
  <si>
    <t>4+767</t>
  </si>
  <si>
    <t>บ้านเด่น - ท่าข้าวเปลือก</t>
  </si>
  <si>
    <t>29+322</t>
  </si>
  <si>
    <t>หนองเหียง - ดงมะดะ</t>
  </si>
  <si>
    <t>0+800</t>
  </si>
  <si>
    <t>30+509</t>
  </si>
  <si>
    <t>อนุสาวรีย์พ่อขุนเม็งราย - เวียงชัย</t>
  </si>
  <si>
    <t>12+467</t>
  </si>
  <si>
    <t>ศรีทรายมูล - บ้านด้าย</t>
  </si>
  <si>
    <t>ห้วยสัก - บ้านดอน</t>
  </si>
  <si>
    <t>ผาบือ - ดอยช้างมูบ</t>
  </si>
  <si>
    <t>33+247</t>
  </si>
  <si>
    <t>ขาแหย่ง - ป่าเมี่ยง</t>
  </si>
  <si>
    <t>19+440</t>
  </si>
  <si>
    <t>ทางเข้าพาน</t>
  </si>
  <si>
    <t>2+480</t>
  </si>
  <si>
    <t>สามัคคีใหม่ - ห้วยปู</t>
  </si>
  <si>
    <t>12+925</t>
  </si>
  <si>
    <t>บ้านใหม่ - น้ำตกขุนกรณ์</t>
  </si>
  <si>
    <t>11+350</t>
  </si>
  <si>
    <t>ห้วยน้ำขุ่น - พระตำหนักดอยตุง</t>
  </si>
  <si>
    <t>2+114</t>
  </si>
  <si>
    <t>8+444</t>
  </si>
  <si>
    <t>แขวงทางหลวงพะเยา</t>
  </si>
  <si>
    <t>พะเยา - ปากบอก</t>
  </si>
  <si>
    <t>แม่ต๋ำ - บ้านใหม่</t>
  </si>
  <si>
    <t>บ้านใหม่ - น้ำแวน</t>
  </si>
  <si>
    <t>น้ำแวน - สะแล่ง</t>
  </si>
  <si>
    <t>จุน - ห้วยคอกหมู</t>
  </si>
  <si>
    <t>22+000</t>
  </si>
  <si>
    <t>ห้วยคอกหมู - ป่าแดง</t>
  </si>
  <si>
    <t>37+000</t>
  </si>
  <si>
    <t>ป่าแดง - ปงสนุก</t>
  </si>
  <si>
    <t>ปง - ปัวดอย</t>
  </si>
  <si>
    <t>สบบง - ขุนห้วยไคร้</t>
  </si>
  <si>
    <t>40+427</t>
  </si>
  <si>
    <t>ป่าเลา - เชียงม่วน</t>
  </si>
  <si>
    <t>สบทุ - บ้านหย่วน</t>
  </si>
  <si>
    <t>ฝายกวาง - ดอนเงิน</t>
  </si>
  <si>
    <t>น้ำแวน - ทุ่งหล่ม</t>
  </si>
  <si>
    <t>ปง - ห้วยกอก</t>
  </si>
  <si>
    <t>แม่ต๋ำ - แม่ใจ</t>
  </si>
  <si>
    <t>พะเยา - สันต้นแหน</t>
  </si>
  <si>
    <t>สบสา - ก๊อหลวง</t>
  </si>
  <si>
    <t>ดอกคำใต้ - บ้านปิน</t>
  </si>
  <si>
    <t>ห้วยข้าวก่ำ - น้ำจุน</t>
  </si>
  <si>
    <t>0+867</t>
  </si>
  <si>
    <t>13+658</t>
  </si>
  <si>
    <t>บ้านใหม่ - หนองลาว</t>
  </si>
  <si>
    <t>3+971</t>
  </si>
  <si>
    <t>ทุ่งบานเย็น - ผาแดงบน</t>
  </si>
  <si>
    <t>0+750</t>
  </si>
  <si>
    <t>24+918</t>
  </si>
  <si>
    <t>แขวงทางหลวงน่านที่ 1</t>
  </si>
  <si>
    <t>ห้วยเเก๊ต - สะพานพญาวัด</t>
  </si>
  <si>
    <t>365+490</t>
  </si>
  <si>
    <t>ดอนมูล - หลักลาย</t>
  </si>
  <si>
    <t>เด่นชาติ - นาน้อย</t>
  </si>
  <si>
    <t>32+724</t>
  </si>
  <si>
    <t>77+524</t>
  </si>
  <si>
    <t>ปงสนุก - น่าน</t>
  </si>
  <si>
    <t>69+827</t>
  </si>
  <si>
    <t>134+652</t>
  </si>
  <si>
    <t>ไผ่งาม - น้ำมวบ</t>
  </si>
  <si>
    <t>26+369</t>
  </si>
  <si>
    <t>น่าน - น้ำใส</t>
  </si>
  <si>
    <t>ท่าล้อ - เมืองหลวง</t>
  </si>
  <si>
    <t>เมืองหลวง - น้ำยาว</t>
  </si>
  <si>
    <t>ภูแยง - ปางช้าง</t>
  </si>
  <si>
    <t>ปางช้าง - นาบัว</t>
  </si>
  <si>
    <t>ห้วยไผ่ - หาดไร่</t>
  </si>
  <si>
    <t>96+433</t>
  </si>
  <si>
    <t>49+708</t>
  </si>
  <si>
    <t>หาดไร่ - นาเซีย</t>
  </si>
  <si>
    <t>ศรีบุญเรือง - หลักลาย</t>
  </si>
  <si>
    <t>32+388</t>
  </si>
  <si>
    <t>แขวงทางหลวงเชียงรายที่ 2</t>
  </si>
  <si>
    <t>กิ่วพร้าว - เชียงแสน</t>
  </si>
  <si>
    <t>30+434</t>
  </si>
  <si>
    <t>บ้านปล้อง - ขุนตาล</t>
  </si>
  <si>
    <t>ขุนตาล - เชียงของ</t>
  </si>
  <si>
    <t>99+052</t>
  </si>
  <si>
    <t>124+600</t>
  </si>
  <si>
    <t>85+170</t>
  </si>
  <si>
    <t>136+971</t>
  </si>
  <si>
    <t>สะแล่ง - เทิง</t>
  </si>
  <si>
    <t>100+157</t>
  </si>
  <si>
    <t>87+538</t>
  </si>
  <si>
    <t>ขุนห้วยไคร้ - ผาตั้ง</t>
  </si>
  <si>
    <t>พาน - บ้านวัง</t>
  </si>
  <si>
    <t>เชียงเคี่ยน - ป่าแงะ</t>
  </si>
  <si>
    <t>ทางเข้าเชียงแสน</t>
  </si>
  <si>
    <t>3+313</t>
  </si>
  <si>
    <t>บ้านดอน - พญาเม็งราย</t>
  </si>
  <si>
    <t>พญาเม็งราย - ต้าตลาด</t>
  </si>
  <si>
    <t>บ้านปี้ - ทรายกาด</t>
  </si>
  <si>
    <t>ศรีเวียง - แม่เลียบ</t>
  </si>
  <si>
    <t>47+133</t>
  </si>
  <si>
    <t>แม่ต๋ำน้อย - ทุ่งงิ้ว</t>
  </si>
  <si>
    <t>สันต้นแหน - ป่าแดด</t>
  </si>
  <si>
    <t>บ้านหงาว - บ้านเหล่า</t>
  </si>
  <si>
    <t>ปงน้อย - สันทราย</t>
  </si>
  <si>
    <t>แม่สาย - กิ่วกาญน์</t>
  </si>
  <si>
    <t>กิ่วกาญจน์- เชียงของ</t>
  </si>
  <si>
    <t>เวียงชัย - บ้านปง</t>
  </si>
  <si>
    <t>ร่องบัวทอง - สบเปา</t>
  </si>
  <si>
    <t>ทางเข้าสะพานข้ามแม่น้ำโขงที่เชียงของ</t>
  </si>
  <si>
    <t>แม่ต๋ำน้อย -ชมภู</t>
  </si>
  <si>
    <t>ทางเข้าสะพานมิตรภาพแม่สายแห่งที่2(ไทย/พม่า)</t>
  </si>
  <si>
    <t>ไชยเจริญ - บ้านด้าย</t>
  </si>
  <si>
    <t>แขวงทางหลวงมุกดาหาร</t>
  </si>
  <si>
    <t>นาสีนวน - บุ่งเขียว</t>
  </si>
  <si>
    <t>กุดโจด - กุดแห่</t>
  </si>
  <si>
    <t>ห้วยคล้อ - เลิงนกทา</t>
  </si>
  <si>
    <t>141+878</t>
  </si>
  <si>
    <t>115+078</t>
  </si>
  <si>
    <t>เลิงนกทา - ดอนตาล</t>
  </si>
  <si>
    <t>191+700</t>
  </si>
  <si>
    <t>142+075</t>
  </si>
  <si>
    <t>กุดชุม - เลิงนกทา</t>
  </si>
  <si>
    <t>ดงหลวง - สานแว้</t>
  </si>
  <si>
    <t>ก้านเหลืองดง - สงเปือย</t>
  </si>
  <si>
    <t>กวนบุ่น - สามแยกกวนบุ่น</t>
  </si>
  <si>
    <t>นิคมคำสร้อย - หนองสูง</t>
  </si>
  <si>
    <t>แขวงทางหลวงสกลนครที่ 1</t>
  </si>
  <si>
    <t>นาคำ - สกลนคร</t>
  </si>
  <si>
    <t>ทางเข้าพระตำหนักภูพานราชนิเวศน์</t>
  </si>
  <si>
    <t>1+630</t>
  </si>
  <si>
    <t>ทางเข้าตำหนักฟ้าชาย, ตำหนักปีกไม้</t>
  </si>
  <si>
    <t>ทางเข้าอ่างเก็บน้ำตาดโตน</t>
  </si>
  <si>
    <t>0+873</t>
  </si>
  <si>
    <t>ทางเข้าสำนักสงฆ์</t>
  </si>
  <si>
    <t>ทางรอบสนามเฮริคอปเตอร์</t>
  </si>
  <si>
    <t>สกลนคร - นาแก</t>
  </si>
  <si>
    <t>กุสุมาลย์ - โพนจาน</t>
  </si>
  <si>
    <t>ลำน้ำยัง - กุฉินารายณ์</t>
  </si>
  <si>
    <t>47+299</t>
  </si>
  <si>
    <t>58+457</t>
  </si>
  <si>
    <t>ห้วยผึ้ง - น้ำปุ้น</t>
  </si>
  <si>
    <t>20+500</t>
  </si>
  <si>
    <t>ท่าแร่ - นาเพียง</t>
  </si>
  <si>
    <t>สานแว้ - กุดปลาค้าว</t>
  </si>
  <si>
    <t>กุฉินารายณ์ - เขาวง</t>
  </si>
  <si>
    <t>49+283</t>
  </si>
  <si>
    <t>สร้างค้อ - ห้วยหวด</t>
  </si>
  <si>
    <t>ศรีวิชา - กวนบุ่น</t>
  </si>
  <si>
    <t>ดอนเชียงบาน - นาหว้า</t>
  </si>
  <si>
    <t>ธาตุนาเวง - สกลนคร</t>
  </si>
  <si>
    <t>โนนหอม - เต่างอย</t>
  </si>
  <si>
    <t>แขวงทางหลวงสกลนครที่ 2 (สว่างแดนดิน)</t>
  </si>
  <si>
    <t>สว่างแดนดิน-สูงเนิน</t>
  </si>
  <si>
    <t>130+930</t>
  </si>
  <si>
    <t>80+071</t>
  </si>
  <si>
    <t>บ้านผาสุก - วาริชภูมิ</t>
  </si>
  <si>
    <t>120+850</t>
  </si>
  <si>
    <t>162+667</t>
  </si>
  <si>
    <t>157+695</t>
  </si>
  <si>
    <t>พรรณานิคม - ผาอินทร์</t>
  </si>
  <si>
    <t>ผาอินทร์ - ท่าก้อน</t>
  </si>
  <si>
    <t>นาน้อย - อากาศอำนวย</t>
  </si>
  <si>
    <t>บ้านเซือม - โคกสะอาด</t>
  </si>
  <si>
    <t>คำเพิ่ม - ห้วยบาง</t>
  </si>
  <si>
    <t>สนามชัย - เจริญศิลป์</t>
  </si>
  <si>
    <t>โคกคอน - ชัยยานนท์</t>
  </si>
  <si>
    <t>วานรนิวาส - บ้านเซือม</t>
  </si>
  <si>
    <t>บ้านขาม - บ้านเซือม</t>
  </si>
  <si>
    <t>สว่างแดนดิน - ส่องดาว</t>
  </si>
  <si>
    <t>สูงเนิน - สี่แยก</t>
  </si>
  <si>
    <t>เจริญศิลป์ - กุดนาขาม</t>
  </si>
  <si>
    <t>แขวงทางหลวงบึงกาฬ</t>
  </si>
  <si>
    <t>ห้วยก้านเหลือง - ดงบัง</t>
  </si>
  <si>
    <t>209+032</t>
  </si>
  <si>
    <t>96+885</t>
  </si>
  <si>
    <t>ดงบัง - นาพระชัย</t>
  </si>
  <si>
    <t>หนองหิ้ง - เหล่าหลวง</t>
  </si>
  <si>
    <t>ท่าก้อน - เซกา</t>
  </si>
  <si>
    <t>81+243</t>
  </si>
  <si>
    <t>63+644</t>
  </si>
  <si>
    <t>บ้านโพธิ์ - โคกโขง</t>
  </si>
  <si>
    <t>หนองยาง - บ้านซาง</t>
  </si>
  <si>
    <t>กุดเรือคำ - บ้านม่วง</t>
  </si>
  <si>
    <t>ชัยยานนท์ - ท่าห้วยหลัว</t>
  </si>
  <si>
    <t>แขวงทางหลวงนครพนม</t>
  </si>
  <si>
    <t>ทางเข้าท่าอุเทน</t>
  </si>
  <si>
    <t>โพนจาน - โนนศิวิลัย</t>
  </si>
  <si>
    <t>ทางเลี่ยงองค์พระธาตุ</t>
  </si>
  <si>
    <t>ธาตุน้อย - นาเหนือ</t>
  </si>
  <si>
    <t>ท่าดอกแก้ว - ศรีสงคราม</t>
  </si>
  <si>
    <t>จอมมณี - ดอนพัฒนา</t>
  </si>
  <si>
    <t>โสกแมว - ดอนสวรรค์</t>
  </si>
  <si>
    <t>นาเพียง - ศรีสงคราม</t>
  </si>
  <si>
    <t>ศรีสงคราม - นาน้อย</t>
  </si>
  <si>
    <t>โคกสะอาด - นาหว้า</t>
  </si>
  <si>
    <t>กุรุคุ - เรณูนคร</t>
  </si>
  <si>
    <t>นาหว้า - ดงขวาง</t>
  </si>
  <si>
    <t>ปฏิรูป - โนนสมบูรณ์</t>
  </si>
  <si>
    <t>นาพระชัย -  เซกา</t>
  </si>
  <si>
    <t>แขวงทางหลวงหนองคาย</t>
  </si>
  <si>
    <t>หนองสองห้อง - ศรีเชียงใหม่</t>
  </si>
  <si>
    <t>ศรีเชียงใหม่ - ห้วยเชียงดา</t>
  </si>
  <si>
    <t>44+000</t>
  </si>
  <si>
    <t>112+000</t>
  </si>
  <si>
    <t>หนองคาย - ปากสวย</t>
  </si>
  <si>
    <t>ปากสวย - น้ำเป</t>
  </si>
  <si>
    <t>น้ำเป - ห้วยก้านเหลือง</t>
  </si>
  <si>
    <t>ท่าบ่อ - บ้านว่าน</t>
  </si>
  <si>
    <t>โซ่พิสัย - ปากคาด</t>
  </si>
  <si>
    <t>บ้านปัก - เฝ้าไร่</t>
  </si>
  <si>
    <t>ทางเข้าหนองปลาปาก</t>
  </si>
  <si>
    <t>โพนพิสัย - โนนต้อง</t>
  </si>
  <si>
    <t>โนนต้อง -โซ่พิสัย</t>
  </si>
  <si>
    <t>แขวงทางหลวงตากที่ 1</t>
  </si>
  <si>
    <t>น้ำดิบ - คุยประดู่</t>
  </si>
  <si>
    <t>41+451</t>
  </si>
  <si>
    <t>16+163</t>
  </si>
  <si>
    <t>ตาก - สะพานวุฒิกุล</t>
  </si>
  <si>
    <t>26+015</t>
  </si>
  <si>
    <t>เชิงสะพานกิตติขจร - หนองบัวเหนือ</t>
  </si>
  <si>
    <t>12+000</t>
  </si>
  <si>
    <t>หนองบัวเหนือ - ท่าปุย</t>
  </si>
  <si>
    <t>54+277</t>
  </si>
  <si>
    <t>ค่ายพระเจ้าตาก - นาโบสถ์</t>
  </si>
  <si>
    <t>18+628</t>
  </si>
  <si>
    <t>ประดาง - วังเจ้า</t>
  </si>
  <si>
    <t>25+974</t>
  </si>
  <si>
    <t>ลานมะคร้อ - โป่งแดง</t>
  </si>
  <si>
    <t>17+363</t>
  </si>
  <si>
    <t>วังประจบ - ลานทอง</t>
  </si>
  <si>
    <t>12+133</t>
  </si>
  <si>
    <t>ห้วยส้มป่อย - เจดีย์ยุทธหัตถี</t>
  </si>
  <si>
    <t>83+606</t>
  </si>
  <si>
    <t>23+606</t>
  </si>
  <si>
    <t>บ้านด่านลานหอย - ทุ่งเสลี่ยม</t>
  </si>
  <si>
    <t>44+730</t>
  </si>
  <si>
    <t>พรานกระต่าย - ลานไผ่</t>
  </si>
  <si>
    <t>26+723</t>
  </si>
  <si>
    <t>หนองบัวใต้ - ห้วยนึ่ง</t>
  </si>
  <si>
    <t>3+335</t>
  </si>
  <si>
    <t>ทางเข้าเขื่อนภูมิพล</t>
  </si>
  <si>
    <t>15+015</t>
  </si>
  <si>
    <t>แยกทางหลวง - ป่ามะม่วง</t>
  </si>
  <si>
    <t>1+316</t>
  </si>
  <si>
    <t>แขวงทางหลวงตากที่ 2 (แม่สอด)</t>
  </si>
  <si>
    <t>แม่สอด - ห้วยบง</t>
  </si>
  <si>
    <t>18+215</t>
  </si>
  <si>
    <t>ห้วยบง - แม่สลิดหลวง</t>
  </si>
  <si>
    <t>แม่สลิดหลวง - แม่เงา</t>
  </si>
  <si>
    <t>แม่สอด - ห้วยน้ำริน</t>
  </si>
  <si>
    <t>ห้วยน้ำริน - อุ้มผาง</t>
  </si>
  <si>
    <t>อุ้มผาง - กะแง่คี</t>
  </si>
  <si>
    <t>154+839</t>
  </si>
  <si>
    <t>167+299</t>
  </si>
  <si>
    <t>แม่กลองใหม่ - เขตแดนไทย/พม่า</t>
  </si>
  <si>
    <t>แม่ระมาด - ห้วยส้มป่อย</t>
  </si>
  <si>
    <t>16+100</t>
  </si>
  <si>
    <t>ซอโอ - วะเล่ย์</t>
  </si>
  <si>
    <t>12+779</t>
  </si>
  <si>
    <t>16+357</t>
  </si>
  <si>
    <t>26+227</t>
  </si>
  <si>
    <t>ห้วยบง - วังผา</t>
  </si>
  <si>
    <t>แม่สลิดหลวง - แม่ระเมิง</t>
  </si>
  <si>
    <t>35+000</t>
  </si>
  <si>
    <t>หนองหลวง - เปิ่งเคลิ่ง</t>
  </si>
  <si>
    <t>39+100</t>
  </si>
  <si>
    <t>ทางเดิมม่อนหินเหล็กไฟ</t>
  </si>
  <si>
    <t>4+003</t>
  </si>
  <si>
    <t>แขวงทางหลวงกำแพงเพชร</t>
  </si>
  <si>
    <t>นครชุม-น้ำดิบ</t>
  </si>
  <si>
    <t>กำแพงเพชร - แก้วสุวรรณ</t>
  </si>
  <si>
    <t>3+600</t>
  </si>
  <si>
    <t>35+680</t>
  </si>
  <si>
    <t>เขาชนกัน - คลองลาน</t>
  </si>
  <si>
    <t>97+309</t>
  </si>
  <si>
    <t>65+000</t>
  </si>
  <si>
    <t>สลกบาตร - ทุ่งสนุ่น</t>
  </si>
  <si>
    <t>23+094</t>
  </si>
  <si>
    <t>ทุ่งสนุ่น - บึงบ้าน</t>
  </si>
  <si>
    <t>44+515</t>
  </si>
  <si>
    <t>หาดชะอม - กำแพงเพชร</t>
  </si>
  <si>
    <t>115+516</t>
  </si>
  <si>
    <t>48+188</t>
  </si>
  <si>
    <t>วังเจ้า - โละโคะ</t>
  </si>
  <si>
    <t>27+500</t>
  </si>
  <si>
    <t>สลกบาตร - วังปลาอ้าว</t>
  </si>
  <si>
    <t>38+973</t>
  </si>
  <si>
    <t>นครชุม - มอเจริญ</t>
  </si>
  <si>
    <t>มอเจริญ - หนองแดน</t>
  </si>
  <si>
    <t>38+881</t>
  </si>
  <si>
    <t>คลองแม่ลาย - อุ้มผาง</t>
  </si>
  <si>
    <t>โค้งวิไล - เขาน้ำอุ่น</t>
  </si>
  <si>
    <t>35+693</t>
  </si>
  <si>
    <t>ทุ่งมหาชัย-ระหาน</t>
  </si>
  <si>
    <t>42+469</t>
  </si>
  <si>
    <t>หนองกระทุ่ม - ดงเย็น</t>
  </si>
  <si>
    <t>11+050</t>
  </si>
  <si>
    <t>แขวงทางหลวงพิษณุโลกที่ 1</t>
  </si>
  <si>
    <t>แก้วสุวรรณ - บึงบัว</t>
  </si>
  <si>
    <t>56+215</t>
  </si>
  <si>
    <t>คลองเมน - พญาแมน</t>
  </si>
  <si>
    <t>185+232</t>
  </si>
  <si>
    <t>149+053</t>
  </si>
  <si>
    <t>ถนนวงแหวนรอบเมืองพิษณุโลกด้านทิศเหนือ</t>
  </si>
  <si>
    <t>21+297</t>
  </si>
  <si>
    <t>ถนนวงแหวนรอบเมืองพิษณุโลกด้านทิศใต้</t>
  </si>
  <si>
    <t>30+203</t>
  </si>
  <si>
    <t>51+054</t>
  </si>
  <si>
    <t>กงไกรลาศ - หนองตูม</t>
  </si>
  <si>
    <t>12+098</t>
  </si>
  <si>
    <t>1+825</t>
  </si>
  <si>
    <t>แยกเรือนแพ - พิษณุโลก</t>
  </si>
  <si>
    <t>2+376</t>
  </si>
  <si>
    <t>L4</t>
  </si>
  <si>
    <t>R4</t>
  </si>
  <si>
    <t>พิษณุโลก - บางกระทุ่ม</t>
  </si>
  <si>
    <t>3+250</t>
  </si>
  <si>
    <t>38+522</t>
  </si>
  <si>
    <t>พิษณุโลก - บึงพระ</t>
  </si>
  <si>
    <t>5+650</t>
  </si>
  <si>
    <t>พิษณุโลก - มะขามสูง</t>
  </si>
  <si>
    <t>13+320</t>
  </si>
  <si>
    <t>ท่านา - ท่ามะขาม</t>
  </si>
  <si>
    <t>13+949</t>
  </si>
  <si>
    <t>8+865</t>
  </si>
  <si>
    <t>มะขามสูง - พญาแมน</t>
  </si>
  <si>
    <t>38+981</t>
  </si>
  <si>
    <t>วังพิกุล - ลานกระบือ</t>
  </si>
  <si>
    <t>13+161</t>
  </si>
  <si>
    <t>บางระกำ - บ่อทอง</t>
  </si>
  <si>
    <t>15+043</t>
  </si>
  <si>
    <t>ท่าฉนวน - บางระกำ</t>
  </si>
  <si>
    <t>25+025</t>
  </si>
  <si>
    <t>57+087</t>
  </si>
  <si>
    <t>ปลายนา - หนองตูม</t>
  </si>
  <si>
    <t>21+118</t>
  </si>
  <si>
    <t>กำแพงดิน - สามแยกกำแพงดิน</t>
  </si>
  <si>
    <t>13+332</t>
  </si>
  <si>
    <t>10+827</t>
  </si>
  <si>
    <t>หนองบัว - ไร่สีทอง</t>
  </si>
  <si>
    <t>6+381</t>
  </si>
  <si>
    <t>แขวงทางหลวงสุโขทัย</t>
  </si>
  <si>
    <t>คุยประดู่ - คลองโพธิ์</t>
  </si>
  <si>
    <t>79+969</t>
  </si>
  <si>
    <t>คลองโพธิ์ - ท่าช้าง</t>
  </si>
  <si>
    <t>89+348</t>
  </si>
  <si>
    <t>ท่าช้าง - สวรรคโลก</t>
  </si>
  <si>
    <t>114+044</t>
  </si>
  <si>
    <t>สวรรคโลก - ศรีสัชนาลัย</t>
  </si>
  <si>
    <t>149+519</t>
  </si>
  <si>
    <t>ศรีสัชนาลัย - แม่สิน</t>
  </si>
  <si>
    <t>190+947</t>
  </si>
  <si>
    <t>ห้วยช้าง - ศรีสัชนาลัย</t>
  </si>
  <si>
    <t>39+907</t>
  </si>
  <si>
    <t>22+214</t>
  </si>
  <si>
    <t>วังวน - แจกัน</t>
  </si>
  <si>
    <t>7+000</t>
  </si>
  <si>
    <t>แจกัน - บ้านสวน</t>
  </si>
  <si>
    <t>23+000</t>
  </si>
  <si>
    <t>บ้านสวน - โค้งตานก</t>
  </si>
  <si>
    <t>34+789</t>
  </si>
  <si>
    <t>หอรบ - สวรรคโลก</t>
  </si>
  <si>
    <t>92+319</t>
  </si>
  <si>
    <t>ทางเข้าบ้านหลุม</t>
  </si>
  <si>
    <t>4+000</t>
  </si>
  <si>
    <t>ตาลเตี้ย - ศรีสำโรง</t>
  </si>
  <si>
    <t>4+887</t>
  </si>
  <si>
    <t>17+408</t>
  </si>
  <si>
    <t>ศรีสำโรง - ดอนโก</t>
  </si>
  <si>
    <t>0+403</t>
  </si>
  <si>
    <t>ดอนโก - เขาดิน</t>
  </si>
  <si>
    <t>29+633</t>
  </si>
  <si>
    <t>เมืองเก่า - แยกวังกระจาย</t>
  </si>
  <si>
    <t>4+500</t>
  </si>
  <si>
    <t>แยกวังกระจาย - ดอนโก</t>
  </si>
  <si>
    <t>34+000</t>
  </si>
  <si>
    <t>ดอนโก - ชะเลียง</t>
  </si>
  <si>
    <t>47+150</t>
  </si>
  <si>
    <t>ดอนระเบียง - ป่าไร่หลวง</t>
  </si>
  <si>
    <t>35+482</t>
  </si>
  <si>
    <t>สวรรคโลก - ปลายราง</t>
  </si>
  <si>
    <t>30+650</t>
  </si>
  <si>
    <t>ศรีสัชนาลัย - ข้ามแม่น้ำยม</t>
  </si>
  <si>
    <t>0+568</t>
  </si>
  <si>
    <t>สุโขทัย - เตว็ดใน</t>
  </si>
  <si>
    <t>6+086</t>
  </si>
  <si>
    <t>เตว็ดใน - วังไม้ขอน</t>
  </si>
  <si>
    <t>35+386</t>
  </si>
  <si>
    <t>สวรรคโลก - ป่ากล้วย</t>
  </si>
  <si>
    <t>16+059</t>
  </si>
  <si>
    <t>คลองกล้วย - ศรีนคร</t>
  </si>
  <si>
    <t>8+751</t>
  </si>
  <si>
    <t>6+640</t>
  </si>
  <si>
    <t>สุโขทัย - ท่าฉนวน</t>
  </si>
  <si>
    <t>เมืองเก่า - อุทยานแห่งชาติศรีสัชนาลัย</t>
  </si>
  <si>
    <t>51+772</t>
  </si>
  <si>
    <t>หนองอ้อ - สารจิตร</t>
  </si>
  <si>
    <t>7+693</t>
  </si>
  <si>
    <t>เตว็ดใน - วังทองแดง</t>
  </si>
  <si>
    <t>12+569</t>
  </si>
  <si>
    <t>คีรีมาศ - หนองบัว</t>
  </si>
  <si>
    <t>11+839</t>
  </si>
  <si>
    <t>ศรีสำโรง - ปากน้ำ</t>
  </si>
  <si>
    <t>13+790</t>
  </si>
  <si>
    <t>ศรีสำโรง - ทุ่งป่ากระถิน</t>
  </si>
  <si>
    <t>หัวฝาย - แม่ทุเลา</t>
  </si>
  <si>
    <t>แม่ทุเลา - ท่าแพ</t>
  </si>
  <si>
    <t>27+807</t>
  </si>
  <si>
    <t>นาไผ่ล้อม - ถ้ำแม่ย่า</t>
  </si>
  <si>
    <t>15+319</t>
  </si>
  <si>
    <t>บ้านกล้วย - คลองยาง</t>
  </si>
  <si>
    <t>2+913</t>
  </si>
  <si>
    <t>ชุมชนแม่ย่า - หรรษา</t>
  </si>
  <si>
    <t>0+950</t>
  </si>
  <si>
    <t>ทางเข้าสวรรคโลก</t>
  </si>
  <si>
    <t>3+280</t>
  </si>
  <si>
    <t>5+563</t>
  </si>
  <si>
    <t>9+583</t>
  </si>
  <si>
    <t>คลองยาง - บ้านเหมือง</t>
  </si>
  <si>
    <t>10+298</t>
  </si>
  <si>
    <t>หนองช้าง - ศรีสัชนาลัย</t>
  </si>
  <si>
    <t>13+858</t>
  </si>
  <si>
    <t>แขวงทางหลวงพิษณุโลกที่ 2 (วังทอง)</t>
  </si>
  <si>
    <t>วังทอง - เข็กน้อย</t>
  </si>
  <si>
    <t>251+355</t>
  </si>
  <si>
    <t>321+612</t>
  </si>
  <si>
    <t>29+203</t>
  </si>
  <si>
    <t>25+297</t>
  </si>
  <si>
    <t>มะขามสูง - วัดโบสถ์</t>
  </si>
  <si>
    <t>27+300</t>
  </si>
  <si>
    <t>13+764</t>
  </si>
  <si>
    <t>น้อยซุ้มขี้เหล็ก - บ้านมุง</t>
  </si>
  <si>
    <t>27+000</t>
  </si>
  <si>
    <t>11+761</t>
  </si>
  <si>
    <t>วัดโบสถ์ - แม่น้ำแควน้อย</t>
  </si>
  <si>
    <t>0+806</t>
  </si>
  <si>
    <t>นครไทย - น้ำคลาด</t>
  </si>
  <si>
    <t>28+300</t>
  </si>
  <si>
    <t>น้ำคลาด - ปางหมิ่น</t>
  </si>
  <si>
    <t>71+000</t>
  </si>
  <si>
    <t>ชาติตระการ - ชำนาญจุ้ย</t>
  </si>
  <si>
    <t>59+026</t>
  </si>
  <si>
    <t>กกไม้แดง - เนินมะปราง</t>
  </si>
  <si>
    <t>36+033</t>
  </si>
  <si>
    <t>ท่างาม - โป่งแค</t>
  </si>
  <si>
    <t>45+741</t>
  </si>
  <si>
    <t>ป่าแดง - หนองตม</t>
  </si>
  <si>
    <t>15+450</t>
  </si>
  <si>
    <t>ทับยายเชียง - พรหมพิราม</t>
  </si>
  <si>
    <t>15+593</t>
  </si>
  <si>
    <t>น้อยซุ้มขี้เหล็ก - คลองตาลัด</t>
  </si>
  <si>
    <t>26+970</t>
  </si>
  <si>
    <t>บ้านแยง - น้ำเทิน</t>
  </si>
  <si>
    <t>20+236</t>
  </si>
  <si>
    <t>น้ำเทิน - บ่อโพธิ์</t>
  </si>
  <si>
    <t>62+782</t>
  </si>
  <si>
    <t>อุทยานแห่งชาติภูหินร่องกล้า - นครไทย</t>
  </si>
  <si>
    <t>71+947</t>
  </si>
  <si>
    <t>35+100</t>
  </si>
  <si>
    <t>ทางเข้านครไทย</t>
  </si>
  <si>
    <t>0+067</t>
  </si>
  <si>
    <t>ทางเข้าร่องกล้า</t>
  </si>
  <si>
    <t>1+683</t>
  </si>
  <si>
    <t>แขวงทางหลวงพิจิตร</t>
  </si>
  <si>
    <t>ทางเลี่ยงเมืองพิจิตร</t>
  </si>
  <si>
    <t>12+575</t>
  </si>
  <si>
    <t>ดงขุย - เขาทราย</t>
  </si>
  <si>
    <t>54+253</t>
  </si>
  <si>
    <t>57+803</t>
  </si>
  <si>
    <t>เขาทราย - ฆะมัง</t>
  </si>
  <si>
    <t>96+209</t>
  </si>
  <si>
    <t>ฆะมัง - พิจิตร</t>
  </si>
  <si>
    <t>107+209</t>
  </si>
  <si>
    <t>บึงบัว - คลองโนน</t>
  </si>
  <si>
    <t>80+000</t>
  </si>
  <si>
    <t>คลองโนน - เนินสมอ</t>
  </si>
  <si>
    <t>95+950</t>
  </si>
  <si>
    <t>เนินสมอ - สี่แยกสากเหล็ก</t>
  </si>
  <si>
    <t>106+950</t>
  </si>
  <si>
    <t>คลองพลังด้านใต้ - เนินสว่าง</t>
  </si>
  <si>
    <t>38+628</t>
  </si>
  <si>
    <t>70+000</t>
  </si>
  <si>
    <t>เนินสว่าง - หนองนา</t>
  </si>
  <si>
    <t>88+900</t>
  </si>
  <si>
    <t>บางมูลนาก - หอไกร</t>
  </si>
  <si>
    <t>3+750</t>
  </si>
  <si>
    <t>หอไกร - สี่แยกโพธิ์ไทรงาม</t>
  </si>
  <si>
    <t>29+874</t>
  </si>
  <si>
    <t>คลองคะเชนทร์ - โพธิ์ประทับช้าง</t>
  </si>
  <si>
    <t>19+800</t>
  </si>
  <si>
    <t>โพธิ์ประทับช้าง - ไผ่ท่าโพ</t>
  </si>
  <si>
    <t>25+178</t>
  </si>
  <si>
    <t>ตะพานหิน -  ไผ่ท่าโพ</t>
  </si>
  <si>
    <t>ไผ่ท่าโพ - ดงเสือเหลือง</t>
  </si>
  <si>
    <t>33+451</t>
  </si>
  <si>
    <t>สากเหล็ก - น้อยซุ้มขี้เหล็ก</t>
  </si>
  <si>
    <t>หนองขนาก - ท้ายดง</t>
  </si>
  <si>
    <t>2+860</t>
  </si>
  <si>
    <t>พิจิตร -ท่านา</t>
  </si>
  <si>
    <t>วังสำโรง - บางลาย</t>
  </si>
  <si>
    <t>9+400</t>
  </si>
  <si>
    <t>บางลาย - บึงนาราง</t>
  </si>
  <si>
    <t>23+728</t>
  </si>
  <si>
    <t>หนองขนาก - หนองระมาน</t>
  </si>
  <si>
    <t>6+255</t>
  </si>
  <si>
    <t>สามง่าม - กำแพงดิน</t>
  </si>
  <si>
    <t>9+150</t>
  </si>
  <si>
    <t>คลองคูณ - สี่แยกบางมูลนาก</t>
  </si>
  <si>
    <t>7+200</t>
  </si>
  <si>
    <t>22+655</t>
  </si>
  <si>
    <t>ทางเข้าอนามัยทับหมัน</t>
  </si>
  <si>
    <t>ทางเข้าสถานีรถไฟตะพานหิน</t>
  </si>
  <si>
    <t>0+487</t>
  </si>
  <si>
    <t>แขวงทางหลวงอุตรดิตถ์ที่ 1</t>
  </si>
  <si>
    <t>ห้วยไผ่ - ห้วยช้าง</t>
  </si>
  <si>
    <t>4+414</t>
  </si>
  <si>
    <t>พญาแมน - ไร่อ้อย</t>
  </si>
  <si>
    <t>208+053</t>
  </si>
  <si>
    <t>ไร่อ้อย - อุตรดิตถ์</t>
  </si>
  <si>
    <t>239+926</t>
  </si>
  <si>
    <t>ป่าขนุน - วังผาชัน</t>
  </si>
  <si>
    <t>248+700</t>
  </si>
  <si>
    <t>294+700</t>
  </si>
  <si>
    <t>ท่าทอง - หาดกรวด</t>
  </si>
  <si>
    <t>2+061</t>
  </si>
  <si>
    <t>ทุ่งยั้ง - ดงสระแก้ว</t>
  </si>
  <si>
    <t>14+596</t>
  </si>
  <si>
    <t>ทางเข้าวังกะพี้</t>
  </si>
  <si>
    <t>0+946</t>
  </si>
  <si>
    <t>วังโป่ง - ดารา</t>
  </si>
  <si>
    <t>18+463</t>
  </si>
  <si>
    <t>ทางเข้าปลายราง</t>
  </si>
  <si>
    <t>31+530</t>
  </si>
  <si>
    <t>วังโป่ง - ด่านแม่คำมัน</t>
  </si>
  <si>
    <t>25+850</t>
  </si>
  <si>
    <t>บึงหลัก - ฟากคลองตรอน</t>
  </si>
  <si>
    <t>21+741</t>
  </si>
  <si>
    <t>ฟากคลองตรอน - พิชัย</t>
  </si>
  <si>
    <t>41+250</t>
  </si>
  <si>
    <t>บ้านแก่ง - น้ำอ่าง</t>
  </si>
  <si>
    <t>12+682</t>
  </si>
  <si>
    <t>น้ำอ่าง - วังผาชัน</t>
  </si>
  <si>
    <t>50+600</t>
  </si>
  <si>
    <t>12+380</t>
  </si>
  <si>
    <t>น้ำอ่าง - น้ำพี้</t>
  </si>
  <si>
    <t>10+850</t>
  </si>
  <si>
    <t>หนองกวาง - แสนขัน</t>
  </si>
  <si>
    <t>17+881</t>
  </si>
  <si>
    <t>ทางเข้าดารา</t>
  </si>
  <si>
    <t>2+401</t>
  </si>
  <si>
    <t>ฟ้าเรือง - คลองกล้วย</t>
  </si>
  <si>
    <t>ทุ่งป่ากระถิน - พญาแมน</t>
  </si>
  <si>
    <t>12+142</t>
  </si>
  <si>
    <t>ทางเข้าบึงหลัก</t>
  </si>
  <si>
    <t>0+302</t>
  </si>
  <si>
    <t>ทางเข้าน้ำอ่าง</t>
  </si>
  <si>
    <t>0+446</t>
  </si>
  <si>
    <t>แขวงทางหลวงอุตรดิตถ์ที่ 2</t>
  </si>
  <si>
    <t>วังผาชัน - น้ำปาด</t>
  </si>
  <si>
    <t>320+216</t>
  </si>
  <si>
    <t>น้ำปาด - นาไพร</t>
  </si>
  <si>
    <t>320+192</t>
  </si>
  <si>
    <t>373+915</t>
  </si>
  <si>
    <t>นาไพร - ม่วงเจ็ดต้น</t>
  </si>
  <si>
    <t>396+784</t>
  </si>
  <si>
    <t>ห้วยน้อยกา - เด่นชาติ</t>
  </si>
  <si>
    <t>ไฮ้ฮ้า - งิ้วงาม</t>
  </si>
  <si>
    <t>12+065</t>
  </si>
  <si>
    <t>วังสีสูบ - ผาเลือด</t>
  </si>
  <si>
    <t>27+037</t>
  </si>
  <si>
    <t>ทางเข้าบ่อเบี้ย</t>
  </si>
  <si>
    <t>6+053</t>
  </si>
  <si>
    <t>ร่วมจิต - น้ำพร้า</t>
  </si>
  <si>
    <t>40+837</t>
  </si>
  <si>
    <t>ท่าโพธิ์ - บ้านสวน</t>
  </si>
  <si>
    <t>11+347</t>
  </si>
  <si>
    <t>ปางไฮ - ห้วยไผ่</t>
  </si>
  <si>
    <t>34+036</t>
  </si>
  <si>
    <t>นาเจริญ - ปางไฮ</t>
  </si>
  <si>
    <t>133+857</t>
  </si>
  <si>
    <t>40+200</t>
  </si>
  <si>
    <t>ห้วยมุ่น - น้ำปาด</t>
  </si>
  <si>
    <t>46+862</t>
  </si>
  <si>
    <t>น้ำปาด - ปากนาย</t>
  </si>
  <si>
    <t>48+793</t>
  </si>
  <si>
    <t>101+376</t>
  </si>
  <si>
    <t>ทางเข้าเขื่อนดิน</t>
  </si>
  <si>
    <t>1+659</t>
  </si>
  <si>
    <t>ทางเข้าสองคอน</t>
  </si>
  <si>
    <t>0+484</t>
  </si>
  <si>
    <t>แขวงทางหลวงเพชรบูรณ์ที่ 1</t>
  </si>
  <si>
    <t>เข็กน้อย - แยกอนุสาวรีย์พ่อขุนผาเมือง</t>
  </si>
  <si>
    <t>ทางเลี่ยงเมืองเพชรบูรณ์</t>
  </si>
  <si>
    <t>นายม - ถ้ำน้ำบัง</t>
  </si>
  <si>
    <t>หล่มสัก - น้ำก้อ</t>
  </si>
  <si>
    <t>ปากห้วยขอนแก่น - หล่มสัก</t>
  </si>
  <si>
    <t>นางั่ว - ทุ่งสมอ</t>
  </si>
  <si>
    <t>37+707</t>
  </si>
  <si>
    <t>บุ่งน้ำเต้า - โนนสว่าง</t>
  </si>
  <si>
    <t>ห้วยสนามทราย - โคกมน</t>
  </si>
  <si>
    <t>อีเลิศ - กกกะทอน</t>
  </si>
  <si>
    <t>สะเดาะพง - เสลี่ยงแห้ง2</t>
  </si>
  <si>
    <t>ปากน้ำ - เฉลียงลับ</t>
  </si>
  <si>
    <t>ห้วยไร่ - บ้านกลาง</t>
  </si>
  <si>
    <t>บ้านกลาง - น้ำดุก</t>
  </si>
  <si>
    <t>หัวนา - กกโอ</t>
  </si>
  <si>
    <t>กอไผ่ - แก้วงอย</t>
  </si>
  <si>
    <t>แก้วงอย - บุ่งน้ำเต้า</t>
  </si>
  <si>
    <t>ทางเข้าอนุสรณ์ผู้เสียสละเขาค้อ</t>
  </si>
  <si>
    <t>เขาค้อ - หนองแม่นา</t>
  </si>
  <si>
    <t>เพชรบูรณ์ - ห้วยใหญ่</t>
  </si>
  <si>
    <t>โจ๊ะโหวะ - อุทยานแห่งชาติภูหินร่องกล้า</t>
  </si>
  <si>
    <t>วังบาล - กกโอ</t>
  </si>
  <si>
    <t>นายม - เพชรบูรณ์</t>
  </si>
  <si>
    <t>จางวาง - ดงมูลเหล็ก</t>
  </si>
  <si>
    <t>ทางเข้าพระตำหนักเขาค้อ</t>
  </si>
  <si>
    <t>ดงขวาง - ห้วยลาน</t>
  </si>
  <si>
    <t>ปากน้ำ - น้ำร้อน</t>
  </si>
  <si>
    <t>แขวงทางหลวงเพชรบูรณ์ที่ 2 (บึงสามพัน)</t>
  </si>
  <si>
    <t>สามแยกวังชมภู - ดงขุย</t>
  </si>
  <si>
    <t>ศรีมงคล - น้ำอ้อม</t>
  </si>
  <si>
    <t>ตลิ่งชัน - ดงขุย</t>
  </si>
  <si>
    <t>ท้ายดง - วังหิน</t>
  </si>
  <si>
    <t>ชนแดน - วังโป่ง</t>
  </si>
  <si>
    <t>หนองระมาน - วังโป่ง</t>
  </si>
  <si>
    <t>บ้านสามแยก - วิเชียรบุรี</t>
  </si>
  <si>
    <t>มอดินแดง - ศรีเทพน้อย</t>
  </si>
  <si>
    <t>นาตะกรุด - หนองบัวเริง</t>
  </si>
  <si>
    <t>ซับลังกา - แยกศรีเทพ</t>
  </si>
  <si>
    <t>แยกศรีเทพ - ซับบอน</t>
  </si>
  <si>
    <t>หนองแดง - ห้วยไร่</t>
  </si>
  <si>
    <t>เนินสง่า - น้ำร้อน</t>
  </si>
  <si>
    <t>นาเฉลียง - ซับพุทรา</t>
  </si>
  <si>
    <t>ซับพุทรา - ชนแดน</t>
  </si>
  <si>
    <t>หนองไผ่ - ซับพุทรา</t>
  </si>
  <si>
    <t>วังพิกุล - ซับสมอทอด</t>
  </si>
  <si>
    <t>แขวงทางหลวงเลยที่ 1</t>
  </si>
  <si>
    <t>ผานกเค้า - หลักร้อยหกสิบ</t>
  </si>
  <si>
    <t>หลักร้อยหกสิบ - โนนสว่าง</t>
  </si>
  <si>
    <t>โนนสว่าง - ปากปวน</t>
  </si>
  <si>
    <t>322+036</t>
  </si>
  <si>
    <t>308+986</t>
  </si>
  <si>
    <t>ปากปวน - ปากภู</t>
  </si>
  <si>
    <t>341+241</t>
  </si>
  <si>
    <t>ปากภู - เชียงคาน</t>
  </si>
  <si>
    <t>ห้วยเชียงดา - ปากชม</t>
  </si>
  <si>
    <t>ปากชม - เชียงคาน</t>
  </si>
  <si>
    <t>วังสะพุง - ตาวตาด</t>
  </si>
  <si>
    <t>โป่งวัว - อุทยานแห่งชาติภูกระดึง</t>
  </si>
  <si>
    <t>ชมเจริญ - ปากชม</t>
  </si>
  <si>
    <t>บ้านใหม่ - นาด้วง</t>
  </si>
  <si>
    <t>วังสะพุง - นาหลวง</t>
  </si>
  <si>
    <t>ตาดข่า - ภูป่าไผ่</t>
  </si>
  <si>
    <t>วังแคน - สงเปือย</t>
  </si>
  <si>
    <t>ห้วยทรายคำ - หนองคัน</t>
  </si>
  <si>
    <t>คีรีวงกต - ปากมั่ง</t>
  </si>
  <si>
    <t>นาเมืองไทย - บ้านกลาง</t>
  </si>
  <si>
    <t>หนองอีเก้ง - โนนสว่าง</t>
  </si>
  <si>
    <t>ศรีศักดิ์ดา - ซำบ่าง</t>
  </si>
  <si>
    <t>แขวงทางหลวงเลยที่ 2 (ด่านซ้าย)</t>
  </si>
  <si>
    <t>เหมืองแพร่ - นาเจริญ</t>
  </si>
  <si>
    <t>แสงภา - นาปอ</t>
  </si>
  <si>
    <t>บ่อโพธิ์ - โคกงาม</t>
  </si>
  <si>
    <t>อาฮี - ท่าลี่</t>
  </si>
  <si>
    <t>ด่านซ้าย - ปากหมัน</t>
  </si>
  <si>
    <t>ปากภู - โคกใหญ่</t>
  </si>
  <si>
    <t>โคกใหญ่ - ปากห้วย</t>
  </si>
  <si>
    <t>เชียงคาน - ปากคาน</t>
  </si>
  <si>
    <t>ปากคาน - อาฮี</t>
  </si>
  <si>
    <t>อาฮี - เหมืองแพร่</t>
  </si>
  <si>
    <t>แก่งไฮ - ห้วยติ้ว</t>
  </si>
  <si>
    <t>สานตม - โคกใหญ่</t>
  </si>
  <si>
    <t>โคกใหญ่ - วังยาว</t>
  </si>
  <si>
    <t>วังขาม - ห้วยไคร้</t>
  </si>
  <si>
    <t>นาจาน - น้ำแคม</t>
  </si>
  <si>
    <t>น้ำแคม - ปากคาน</t>
  </si>
  <si>
    <t>25+836</t>
  </si>
  <si>
    <t>7+950</t>
  </si>
  <si>
    <t>ปากคาน - หนองผือ</t>
  </si>
  <si>
    <t>29+612</t>
  </si>
  <si>
    <t>24+836</t>
  </si>
  <si>
    <t>ทางเข้าสะพานข้ามแม่น้ำเหือง</t>
  </si>
  <si>
    <t>แขวงทางหลวงหนองบัวลำภู</t>
  </si>
  <si>
    <t>ห้วยสายหนัง - ศรีบุญเรือง</t>
  </si>
  <si>
    <t>ศรีบุญเรือง - ภูเวียง</t>
  </si>
  <si>
    <t>บ้านเพีย - ทุ่งตาลเลียน</t>
  </si>
  <si>
    <t>ทุ่งตาลเลียน - หนองแวง</t>
  </si>
  <si>
    <t>หนองวัวซอ - กุดจับ</t>
  </si>
  <si>
    <t>หนองวัวซอ - อูบมุง</t>
  </si>
  <si>
    <t>นาด่าน - สุวรรณคูหา</t>
  </si>
  <si>
    <t>ศรีบุญเรือง - นากลาง</t>
  </si>
  <si>
    <t>ทางเข้าโนนสัง</t>
  </si>
  <si>
    <t>แขวงทางหลวงขอนแก่นที่ 1</t>
  </si>
  <si>
    <t>ขอนแก่น - พรหมนิมิตร</t>
  </si>
  <si>
    <t>น้ำพอง - น้ำอ้อม</t>
  </si>
  <si>
    <t>คำแก่นคูน -  เขื่อนอุบลรัตน์</t>
  </si>
  <si>
    <t>น้ำพอง - โคกท่า</t>
  </si>
  <si>
    <t>โคกท่า - ท่าหิน</t>
  </si>
  <si>
    <t>เชียงยืน - คำใหญ่</t>
  </si>
  <si>
    <t>โคกสูง -  หนองกุงใหญ่</t>
  </si>
  <si>
    <t>หนองกุงใหญ่ - กระนวน</t>
  </si>
  <si>
    <t>กระนวน - กุดจิก</t>
  </si>
  <si>
    <t>กุดกว้าง - เมืองเก่า</t>
  </si>
  <si>
    <t>ทางเข้าเขื่อนอุบลรัตน์</t>
  </si>
  <si>
    <t>แขวงทางหลวงอุดรธานีที่ 1</t>
  </si>
  <si>
    <t>โนนสะอาด - น้ำฆ้อง</t>
  </si>
  <si>
    <t>402+374</t>
  </si>
  <si>
    <t>417+569</t>
  </si>
  <si>
    <t>แขวงทางหลวงอุดรธานีที่1</t>
  </si>
  <si>
    <t>น้ำฆ้อง - อุดรธานี</t>
  </si>
  <si>
    <t>ถนนวงแหวนรอบเมืองอุดรธานีด้านทิศใต้</t>
  </si>
  <si>
    <t>บ้านว่าน - บ้านผือ</t>
  </si>
  <si>
    <t>ดงไร่ - หนองหัวคู</t>
  </si>
  <si>
    <t>หนองหัวคู - บ้านผือ</t>
  </si>
  <si>
    <t>หนองแวง - ข้าวสาร</t>
  </si>
  <si>
    <t>อุดรธานี  -  บ้านเพีย</t>
  </si>
  <si>
    <t>ทางเข้ากลางใหญ่</t>
  </si>
  <si>
    <t>ห้วยทอน -  กลางใหญ่</t>
  </si>
  <si>
    <t>ทางเข้าท่ายม</t>
  </si>
  <si>
    <t>โคกผักหวาน - ท่ายม</t>
  </si>
  <si>
    <t>ท่ายม - บ้านเหล่า</t>
  </si>
  <si>
    <t>บ้านผือ - น้ำซึม</t>
  </si>
  <si>
    <t>น้ำซึม -   คีรีวงกต</t>
  </si>
  <si>
    <t>น้ำซึม  -  โสกกล้า</t>
  </si>
  <si>
    <t>บ้านพลับ  -  หนองนกเขียน</t>
  </si>
  <si>
    <t>โคกน้อย  -  นาเมืองไทย</t>
  </si>
  <si>
    <t>แขวงทางหลวงอุดรธานีที่ 2</t>
  </si>
  <si>
    <t>ลำพันชาด - บ้านผาสุก</t>
  </si>
  <si>
    <t>นิคม - บ้านดุง</t>
  </si>
  <si>
    <t>น้ำฆ้อง - ศรีธาตุ</t>
  </si>
  <si>
    <t>ศรีธาตุ - วังสามหมอ</t>
  </si>
  <si>
    <t>ห้วยเกิ้ง - กุมภวาปี</t>
  </si>
  <si>
    <t>เหล่าอุดม  - ท่าห้วยหลัว</t>
  </si>
  <si>
    <t>หนองเม็ก - บ้านดุง</t>
  </si>
  <si>
    <t>บ้านดุง - หนองกา</t>
  </si>
  <si>
    <t>เหล่าอุดม - บ้านปัก</t>
  </si>
  <si>
    <t>โนนสวรรค์  - ท่าไฮ</t>
  </si>
  <si>
    <t>บ้านต้อง - ศรีธาตุ</t>
  </si>
  <si>
    <t>นาข่า - สุมเส้า</t>
  </si>
  <si>
    <t>มีชัย - ลำน้ำสงคราม</t>
  </si>
  <si>
    <t>ลำพันชาด - วังสามหมอ</t>
  </si>
  <si>
    <t>หนองหาน - สุมเส้า</t>
  </si>
  <si>
    <t>ทุ่งใหญ่ - ทุ่งฝน</t>
  </si>
  <si>
    <t>เพ็ญ - สร้างคอม</t>
  </si>
  <si>
    <t>หนองหาน - กุมภวาปี</t>
  </si>
  <si>
    <t>โนนเห็น-คำกุ่ง</t>
  </si>
  <si>
    <t>คำกุ่ง-หนองกุงทับม้า</t>
  </si>
  <si>
    <t>บ้านเหล่า-ดอนกลอย</t>
  </si>
  <si>
    <t>แขวงทางหลวงชัยภูมิ</t>
  </si>
  <si>
    <t>สี่แยกโรงต้ม  - แก้งสนามนาง</t>
  </si>
  <si>
    <t>ช่องสำราญ - คำปิง</t>
  </si>
  <si>
    <t>คำปิง - หนองบัวโคก</t>
  </si>
  <si>
    <t>น้ำอ้อม - หนองบัวระเหว</t>
  </si>
  <si>
    <t>หนองบัวระเหว - ชัยภูมิ</t>
  </si>
  <si>
    <t>ชัยภูมิ - ตาดโตน</t>
  </si>
  <si>
    <t>ลาดใหญ่ - ช่องสามหมอ</t>
  </si>
  <si>
    <t>ลำชี - คอนสวรรค์</t>
  </si>
  <si>
    <t>บำเหน็จณรงค์ - ซับใหญ่</t>
  </si>
  <si>
    <t>หนองบัวใหญ่ - หนองจาน</t>
  </si>
  <si>
    <t>จัตุรัส - บำเหน็จณรงค์</t>
  </si>
  <si>
    <t>หนองกราด  -  คำปิง</t>
  </si>
  <si>
    <t>วะตะแบก - ซับใหญ่</t>
  </si>
  <si>
    <t>ซับใหญ่ - หนองบัวระเหว</t>
  </si>
  <si>
    <t>หนองบัวแดง - บ้านเจียง</t>
  </si>
  <si>
    <t>บ้านเจียง - วังใหญ่</t>
  </si>
  <si>
    <t>แขวงทางหลวงขอนแก่นที่ 2 (ชุมแพ)</t>
  </si>
  <si>
    <t>ช่องสามหมอ - ภูเขียว</t>
  </si>
  <si>
    <t>ภูเขียว - ชุมแพ</t>
  </si>
  <si>
    <t>โนนหัน  -  ผานกเค้า</t>
  </si>
  <si>
    <t>ชุมแพ - ห้วยสายหนัง</t>
  </si>
  <si>
    <t>ห้วยสามหมอ - ช่องสามหมอ</t>
  </si>
  <si>
    <t>ภูเขียว - เกษตรสมบูรณ์</t>
  </si>
  <si>
    <t>กุดฉิม - ห้วยน้ำเงิน</t>
  </si>
  <si>
    <t>โคกสะอาด - หนองสองห้อง</t>
  </si>
  <si>
    <t>ห้วยยางคำ  -  เกษตรสมบูรณ์</t>
  </si>
  <si>
    <t>เกษตรสมบูรณ์ - คอนสาร</t>
  </si>
  <si>
    <t>หนองเรือ -  นายม</t>
  </si>
  <si>
    <t>นายม -  หนองแวง</t>
  </si>
  <si>
    <t>หนองเขียด - ภูผาม่าน</t>
  </si>
  <si>
    <t>แก้งคร้อ - สระพัง</t>
  </si>
  <si>
    <t>แขวงทางหลวงขอนแก่นที่ 3 (บ้านไผ่)</t>
  </si>
  <si>
    <t>ท่าพระ  -  หนองสะพัง</t>
  </si>
  <si>
    <t>ทางพาด - ห้วยตะกั่ว</t>
  </si>
  <si>
    <t>บ้านสะอาด - เหล่านางาม</t>
  </si>
  <si>
    <t>ชนบท - กุดรู</t>
  </si>
  <si>
    <t>พล - ใหม่นาเพียง</t>
  </si>
  <si>
    <t>บ่อตะครอง  -  โคกสำราญ</t>
  </si>
  <si>
    <t>บ้านลาน - เปือยน้อย</t>
  </si>
  <si>
    <t>หินตั้ง - หนองสองห้อง</t>
  </si>
  <si>
    <t>ทางพาด - หนองสองห้อง</t>
  </si>
  <si>
    <t>หนองสองห้อง - พล</t>
  </si>
  <si>
    <t>แขวงทางหลวงมหาสารคาม</t>
  </si>
  <si>
    <t>ลำพังชู - ห้วยลำเตา</t>
  </si>
  <si>
    <t>บรบือ -  ยางสีสุราช</t>
  </si>
  <si>
    <t>1+412</t>
  </si>
  <si>
    <t>49+202</t>
  </si>
  <si>
    <t>49+262</t>
  </si>
  <si>
    <t>ยางสีสุราช - พยัคฆภูมิพิสัย</t>
  </si>
  <si>
    <t>79+889</t>
  </si>
  <si>
    <t>มหาสารคาม - วาปีปทุม</t>
  </si>
  <si>
    <t>วาปีปทุม - พยัคฆภูมิพิสัย</t>
  </si>
  <si>
    <t>หนองคูโคก - วาปีปทุม</t>
  </si>
  <si>
    <t>36+473</t>
  </si>
  <si>
    <t>บรบือ - วาปีปทุม</t>
  </si>
  <si>
    <t>กันทรวิชัย - บ้านขี</t>
  </si>
  <si>
    <t>หนองคู - ดงบัง</t>
  </si>
  <si>
    <t>หนองแหน - หนองเขื่อน</t>
  </si>
  <si>
    <t>โสกขุ่น - โกสุมพิสัย</t>
  </si>
  <si>
    <t>โกสุมพิสัย - โคกสูง</t>
  </si>
  <si>
    <t>มหาสารคาม - บ้านม่วง</t>
  </si>
  <si>
    <t>หนองปลิง - บ้านสนาม</t>
  </si>
  <si>
    <t>นาเชือก - นาดูน</t>
  </si>
  <si>
    <t>กู่ทอง - บ้านเขื่อน</t>
  </si>
  <si>
    <t>แขวงทางหลวงยโสธร</t>
  </si>
  <si>
    <t>ยโสธร - บ้านย่อ</t>
  </si>
  <si>
    <t>บ้านย่อ - บ้านสวน</t>
  </si>
  <si>
    <t>ยโสธร - สะพานคลองลำเซ</t>
  </si>
  <si>
    <t>ชื่อสายที่ถูกคือ 2020603</t>
  </si>
  <si>
    <t>สุวรรณภูมิ - สาหร่าย</t>
  </si>
  <si>
    <t>ทางเลี่ยงเมืองยโสธร</t>
  </si>
  <si>
    <t>ยางเฌอ - พนมไพร</t>
  </si>
  <si>
    <t>24+500</t>
  </si>
  <si>
    <t>64+565</t>
  </si>
  <si>
    <t>กู่พระโกนา - บ้านด่าน</t>
  </si>
  <si>
    <t>ยโสธร - กุดชุม</t>
  </si>
  <si>
    <t>เสลภูมิ - คำโพนสูง</t>
  </si>
  <si>
    <t>พลไว - แข้โพนเมือง</t>
  </si>
  <si>
    <t>โรงพยาบาลยโสธร - ดอนมะยาง</t>
  </si>
  <si>
    <t>แขวงทางหลวงร้อยเอ็ด</t>
  </si>
  <si>
    <t>ห้วยลำเตา - เกษตรวิสัย</t>
  </si>
  <si>
    <t>162+395</t>
  </si>
  <si>
    <t>จตุรพักตรพิมาน - ห้วยพลับพลา</t>
  </si>
  <si>
    <t>ร้อยเอ็ด - สุวรรณภูมิ</t>
  </si>
  <si>
    <t>ร้อยเอ็ด - ยางเฌอ</t>
  </si>
  <si>
    <t>ร้อยเอ็ด - หนองดง</t>
  </si>
  <si>
    <t>หนองดง - โพนทอง</t>
  </si>
  <si>
    <t>ร้อยเอ็ด - หนองคูโคก</t>
  </si>
  <si>
    <t>เสลภูมิ - บ้านงิ้ว</t>
  </si>
  <si>
    <t>บ้านงิ้ว - ลำน้ำยัง</t>
  </si>
  <si>
    <t>ร่องคำ - โพนทอง</t>
  </si>
  <si>
    <t>บัวคำ - โพธิ์ชัย</t>
  </si>
  <si>
    <t>พิมพิสารน้อย - หนองห่าง</t>
  </si>
  <si>
    <t>โพนทอง -  หนองพอก</t>
  </si>
  <si>
    <t>26 พ.ค 58</t>
  </si>
  <si>
    <t>ทางเข้าท่าอากาศยานร้อยเอ็ด</t>
  </si>
  <si>
    <t>ทางเข้าบ้านขามเปี้ย</t>
  </si>
  <si>
    <t>แขวงทางหลวงกาฬสินธุ์</t>
  </si>
  <si>
    <t>ปากทางเขื่อนลำปาว - หนองผ้าอ้อม</t>
  </si>
  <si>
    <t>ห้วยปลาหลด - สี่แยกยางตลาด</t>
  </si>
  <si>
    <t>กาฬสินธุ์ - ลำชี</t>
  </si>
  <si>
    <t>1+000</t>
  </si>
  <si>
    <t>12+500</t>
  </si>
  <si>
    <t>14+500</t>
  </si>
  <si>
    <t>28+000</t>
  </si>
  <si>
    <t>ห้วยเม็ก - ท่าคันโท</t>
  </si>
  <si>
    <t>ห้วยเม็ก - ไทยเจริญ</t>
  </si>
  <si>
    <t>สี่แยกสมเด็จ - แยกดงแหลม</t>
  </si>
  <si>
    <t>สี่แยกยางตลาด - ร่องคำ</t>
  </si>
  <si>
    <t>ยางตลาด - บ้านเสียว</t>
  </si>
  <si>
    <t>ท่าไฮ - กุงเก่า</t>
  </si>
  <si>
    <t>คำพิมูล - คำม่วง</t>
  </si>
  <si>
    <t>บ้านโพน - ลำพันชาด</t>
  </si>
  <si>
    <t>กุดจิก - ท่าคันโท</t>
  </si>
  <si>
    <t>หนองผ้าอ้อม - กุฉินารายณ์</t>
  </si>
  <si>
    <t>บ้านม่วง - กมลาไสย</t>
  </si>
  <si>
    <t>18+473</t>
  </si>
  <si>
    <t>38+394</t>
  </si>
  <si>
    <t>ทางเข้าสำนักงานแขวงการทางกาฬสินธุ์</t>
  </si>
  <si>
    <t>ทางเข้าเขื่อนลำปาว</t>
  </si>
  <si>
    <t>ขวัญเมือง - คำลือชา</t>
  </si>
  <si>
    <t>5+150</t>
  </si>
  <si>
    <t>7+127</t>
  </si>
  <si>
    <t>ห้วยสีทน - มอดินแดง</t>
  </si>
  <si>
    <t>แขวงทางหลวงสุรินทร์</t>
  </si>
  <si>
    <t>จรอกใหญ่ - ปราสาท</t>
  </si>
  <si>
    <t>ปราสาท - สังขะ</t>
  </si>
  <si>
    <t>สังขะ - ห้วยสำราญ</t>
  </si>
  <si>
    <t>ปราสาท - ช่องจอม</t>
  </si>
  <si>
    <t>ห้วยพลับพลา - โคกปูน</t>
  </si>
  <si>
    <t>สาหร่าย - ตาฮะ</t>
  </si>
  <si>
    <t>พยัคฆภูมิพิสัย - สตึก</t>
  </si>
  <si>
    <t>97+604</t>
  </si>
  <si>
    <t>ตาเมียง - หินโคน</t>
  </si>
  <si>
    <t>สุรินทร์ - ศีขรภูมิ</t>
  </si>
  <si>
    <t>203+646</t>
  </si>
  <si>
    <t>ทางเลี่ยงเมืองสุรินทร์</t>
  </si>
  <si>
    <t>รัตนบุรี - หนองฮู</t>
  </si>
  <si>
    <t>สุรินทร์ - สังขะ</t>
  </si>
  <si>
    <t>ตาฮะ -  ลำพังชู</t>
  </si>
  <si>
    <t>บักจรัง - มะโน</t>
  </si>
  <si>
    <t>ท่าด่าน - สำโรงทาบ</t>
  </si>
  <si>
    <t>สำโรงทาบ - ม่วงหมาก</t>
  </si>
  <si>
    <t>สังขะ - บ้านด่าน</t>
  </si>
  <si>
    <t>หนองยาว - ลำดวน</t>
  </si>
  <si>
    <t>ปวงตึก - นาตำบล</t>
  </si>
  <si>
    <t>หนองสนิท - สนม</t>
  </si>
  <si>
    <t>สนม - ศรีสำโรง</t>
  </si>
  <si>
    <t>บักดอก - พนมดิน</t>
  </si>
  <si>
    <t>จอมพระ - สะพานบุรีรินทร์</t>
  </si>
  <si>
    <t>นิคมสร้างตนเองปราสาท - ช้างหมอบพัฒนา</t>
  </si>
  <si>
    <t>โคกไทร - ปวงตึก</t>
  </si>
  <si>
    <t>แขวงทางหลวงอุบลราชธานีที่ 1</t>
  </si>
  <si>
    <t>ลืออำนาจ - หนองยอ</t>
  </si>
  <si>
    <t>หนองยอ - อุบลราชธานี</t>
  </si>
  <si>
    <t>ห้วยขะยุง - วารินชำราบ</t>
  </si>
  <si>
    <t>ม่วงสามสิบ - พนา</t>
  </si>
  <si>
    <t>เขื่องใน - ธาตุน้อย</t>
  </si>
  <si>
    <t>ม่วงสามสิบ - ดู่น้อย</t>
  </si>
  <si>
    <t>บ้านโคก - ธาตุกลาง</t>
  </si>
  <si>
    <t>นาคำใหญ่ - โพนเมือง</t>
  </si>
  <si>
    <t>ท่าวารี - ท่าศาลา</t>
  </si>
  <si>
    <t>หนองบ่อ - หนองยอ</t>
  </si>
  <si>
    <t>หนองยอ - หนองช้างใหญ่</t>
  </si>
  <si>
    <t>แขวงทางหลวงอุบลราชธานีที่ 2 (หนองหาน)</t>
  </si>
  <si>
    <t>หนามแท่ง - โขงเจียม</t>
  </si>
  <si>
    <t>ดอนใหญ่ - โขงเจียม</t>
  </si>
  <si>
    <t>ดอนจิก - อ่างศิลา</t>
  </si>
  <si>
    <t>อ่างศิลา - โนนเรียง</t>
  </si>
  <si>
    <t>นิคมลำโดมน้อย - โขงเจียม</t>
  </si>
  <si>
    <t>เดชอุดม - โนนเรียง</t>
  </si>
  <si>
    <t>โนนเรียง - หนองแสง</t>
  </si>
  <si>
    <t>นาส่วง - นาเยีย</t>
  </si>
  <si>
    <t>ซำหวาย - บุญฑริก</t>
  </si>
  <si>
    <t>ทางเข้าแก่งตะนะ</t>
  </si>
  <si>
    <t>ทางเข้าผาแต้ม</t>
  </si>
  <si>
    <t>ป่าไม้ - หนองแสง</t>
  </si>
  <si>
    <t>ทางออกผาแต้ม</t>
  </si>
  <si>
    <t>แขวงทางหลวงอำนาจเจริญ</t>
  </si>
  <si>
    <t>ปทุมราชวงศา - หนองผือ</t>
  </si>
  <si>
    <t>ตระการพืชผล - ห้วยยาง</t>
  </si>
  <si>
    <t>ห้วยยาง - เขมราฐ</t>
  </si>
  <si>
    <t>เขมราฐ - ปากแซง</t>
  </si>
  <si>
    <t>ปากแซง - หนามแท่ง</t>
  </si>
  <si>
    <t>ตระการพืชผล - ดอนใหญ่</t>
  </si>
  <si>
    <t>พนา - ตระการพืชผล</t>
  </si>
  <si>
    <t>ลืออำนาจ - พนา</t>
  </si>
  <si>
    <t>ดอนใหญ่ - หนามแท่ง</t>
  </si>
  <si>
    <t>กุดข้าวปุ้น - โคกเลาะ</t>
  </si>
  <si>
    <t>ขมิ้น - น้ำปลีก</t>
  </si>
  <si>
    <t>ห้วยยาง - สองคอน</t>
  </si>
  <si>
    <t>นาไร่ใหญ่ - เสนางคนิคม</t>
  </si>
  <si>
    <t>ทางเข้าพนา - ดอนขวัญ</t>
  </si>
  <si>
    <t>ทางเข้าฟ้าห่วน</t>
  </si>
  <si>
    <t>ทางเข้าโพธิ์ไทร</t>
  </si>
  <si>
    <t>แขวงทางหลวงศรีสะเกษที่ 2</t>
  </si>
  <si>
    <t>กันทรลักษ์ - กันทรารมย์</t>
  </si>
  <si>
    <t>ผือใหม่ - โดนเอาว์</t>
  </si>
  <si>
    <t>ศิวาลัย - สำโรงเกียรติ</t>
  </si>
  <si>
    <t>สำโรงเกียรติ - ช่องพระพลัย</t>
  </si>
  <si>
    <t>ภูมิซรอล  - สำโรงเกียรติ</t>
  </si>
  <si>
    <t>หนองบาง - น้ำเกลี้ยง</t>
  </si>
  <si>
    <t>แขวงทางหลวงศรีสะเกษที่ 1</t>
  </si>
  <si>
    <t>วังหิน - ขุขันธ์</t>
  </si>
  <si>
    <t>ศรีสะเกษ - ห้วยขะยุง</t>
  </si>
  <si>
    <t>ห้วยทับทัน - ศรีสะเกษ</t>
  </si>
  <si>
    <t>หนองฮู - ส้มป่อยน้อย</t>
  </si>
  <si>
    <t>ส้มป่อยน้อย - หัวช้าง</t>
  </si>
  <si>
    <t>หัวช้าง - สะเดา</t>
  </si>
  <si>
    <t>บ้านด่าน - เมืองน้อย</t>
  </si>
  <si>
    <t>เมืองน้อย - กันทรารมย์</t>
  </si>
  <si>
    <t>ขุขันธ์ - แยกโคกตาล</t>
  </si>
  <si>
    <t>แยกโคกตาล - โคกตาล</t>
  </si>
  <si>
    <t>ตรางสวาย – ท่าด่าน</t>
  </si>
  <si>
    <t>ขุขันธ์ - แยกนาเจริญ</t>
  </si>
  <si>
    <t>แยกนาเจริญ - ช่องสะงำ</t>
  </si>
  <si>
    <t>ไพรพัฒนา-หนองบัวเรณ</t>
  </si>
  <si>
    <t>หัวช้าง - บึงบูรพ์</t>
  </si>
  <si>
    <t>แข้โพนเมือง - ยางชุมน้อย</t>
  </si>
  <si>
    <t>โนนสำนัก - ดอนไม้งาม</t>
  </si>
  <si>
    <t>ธาตุน้อย -  ยางชุมน้อย</t>
  </si>
  <si>
    <t>ท่าศาลา - ละทาย</t>
  </si>
  <si>
    <t>แขวงทางหลวงนครราชสีมาที่ 1</t>
  </si>
  <si>
    <t>แก้งสนามนาง - ดอนตะหนิน</t>
  </si>
  <si>
    <t>ดอนตะหนิน - ตลาดไทร</t>
  </si>
  <si>
    <t>74+394</t>
  </si>
  <si>
    <t>94+878</t>
  </si>
  <si>
    <t>หนองบัวโคก - โคกสวาย</t>
  </si>
  <si>
    <t>169+172</t>
  </si>
  <si>
    <t>195+197</t>
  </si>
  <si>
    <t>โคกสวาย - แขวงการทางนครราชสีมาที่ 1</t>
  </si>
  <si>
    <t>223+859</t>
  </si>
  <si>
    <t>ตลาดแค - วังหิน</t>
  </si>
  <si>
    <t>บ้านวัด - ประทาย</t>
  </si>
  <si>
    <t>36+379</t>
  </si>
  <si>
    <t>0+172</t>
  </si>
  <si>
    <t>ดอนหวาย - โนนสูง</t>
  </si>
  <si>
    <t>โนนสูง - ขามสะแกแสง</t>
  </si>
  <si>
    <t>หนองโดนน้อย - ชุมพวง</t>
  </si>
  <si>
    <t>บ้านวัด - คง</t>
  </si>
  <si>
    <t>คง - โนนไทย</t>
  </si>
  <si>
    <t>คง - บ้านเหลื่อม</t>
  </si>
  <si>
    <t>พวงพะยอม - โคกสูง</t>
  </si>
  <si>
    <t>วังหิน - หนองนาดำ</t>
  </si>
  <si>
    <t>โคกสำราญ - โคกสี</t>
  </si>
  <si>
    <t>โคกสี - ตะโก</t>
  </si>
  <si>
    <t>ประทาย - ชุมพวง</t>
  </si>
  <si>
    <t>พระทองคำ - ดอนไผ่</t>
  </si>
  <si>
    <t>ดอนไผ่ - แก้งสนามนาง</t>
  </si>
  <si>
    <t>สี่แยกตลาดเมืองใหม่ - เทศบาลตำบลพิมาย</t>
  </si>
  <si>
    <t>สามแยกยูคา - เทศบาลตำบลพิมาย</t>
  </si>
  <si>
    <t>ทางเข้าเทศบาลตำบลขามสะแกแสง</t>
  </si>
  <si>
    <t>แขวงทางหลวงนครราชสีมาที่ 2</t>
  </si>
  <si>
    <t>ทางต่างระดับสีคิ้ว - หินหล่อง</t>
  </si>
  <si>
    <t>หินหล่อง -  ด่านขุนทด</t>
  </si>
  <si>
    <t>โคกกรวด - หนองสรวง</t>
  </si>
  <si>
    <t>ปางแก - อุทยานแห่งชาติเขาใหญ่</t>
  </si>
  <si>
    <t>ด่านขุนทด - โคกสะอาด</t>
  </si>
  <si>
    <t>19+300</t>
  </si>
  <si>
    <t>โคกสะอาด - หนองสรวง</t>
  </si>
  <si>
    <t>มอสูง - โสกแจ้ง</t>
  </si>
  <si>
    <t>ตะเคียน - ท่าขี้เหล็ก</t>
  </si>
  <si>
    <t>ขามทะเลสอ - พวงพะยอม</t>
  </si>
  <si>
    <t>ด่านขุนทด - หนองกราด</t>
  </si>
  <si>
    <t>กลางดง - วัดเทพพิทักษ์ปุณณาราม</t>
  </si>
  <si>
    <t>2+450</t>
  </si>
  <si>
    <t>หนองสาหร่าย - หนองสองห้อง</t>
  </si>
  <si>
    <t>อีเหลอ - ปากช่อง</t>
  </si>
  <si>
    <t>ป่าไผ่ - ปากช่อง</t>
  </si>
  <si>
    <t>ปางโก - กุดม่วง</t>
  </si>
  <si>
    <t>อีเหลอ - ปางหัวช้าง</t>
  </si>
  <si>
    <t>หนองสองห้อง - หนองขวาง</t>
  </si>
  <si>
    <t>สีคิ้ว - หนองรี</t>
  </si>
  <si>
    <t>แขวงทางหลวงนครราชสีมาที่ 3</t>
  </si>
  <si>
    <t>วังหิน - หินดาด</t>
  </si>
  <si>
    <t>โชคชัย - พะโค</t>
  </si>
  <si>
    <t>พะโค - หนองสนวน</t>
  </si>
  <si>
    <t>หนองปล้อง - พระบึง</t>
  </si>
  <si>
    <t>ทางเข้าเมืองจักราช</t>
  </si>
  <si>
    <t>0+567</t>
  </si>
  <si>
    <t>1+567</t>
  </si>
  <si>
    <t>เสิงสาง - ดอนแขวน</t>
  </si>
  <si>
    <t>แหลมทอง - สระมะค่า</t>
  </si>
  <si>
    <t>เสิงสาง -ทางเข้าสระตะเคียน</t>
  </si>
  <si>
    <t>โคกแขวน - ดอนแขวน</t>
  </si>
  <si>
    <t>เขื่อนลำพระเพลิง - สี่แยกลำพระเพลิง</t>
  </si>
  <si>
    <t>สี่แยกลำพระเพลิง - กระโทก</t>
  </si>
  <si>
    <t>แขวงทางหลวงบุรีรัมย์</t>
  </si>
  <si>
    <t>ตลาดไทร - ลำพังชู</t>
  </si>
  <si>
    <t>บุรีรัมย์ - โคกสูง</t>
  </si>
  <si>
    <t>โคกสูง - นางรอง</t>
  </si>
  <si>
    <t>สตึก - หัวถนน</t>
  </si>
  <si>
    <t>หัวถนน - บุรีรัมย์</t>
  </si>
  <si>
    <t>หนองสนวน - หนองต้อ</t>
  </si>
  <si>
    <t>หนองต้อ - ตาเมียง</t>
  </si>
  <si>
    <t>127+124</t>
  </si>
  <si>
    <t>189+040</t>
  </si>
  <si>
    <t>หนองกระทิง - ลำปลายมาศ</t>
  </si>
  <si>
    <t>91+010</t>
  </si>
  <si>
    <t>78+698</t>
  </si>
  <si>
    <t>ลำปลายมาศ - หนองม้า</t>
  </si>
  <si>
    <t>กระสัง-ระกา</t>
  </si>
  <si>
    <t>147+079</t>
  </si>
  <si>
    <t>126+342</t>
  </si>
  <si>
    <t>116+263</t>
  </si>
  <si>
    <t>ระกา - ลำน้ำชี</t>
  </si>
  <si>
    <t>ถนนวงแหวนรอบเมืองบุรีรัมย์</t>
  </si>
  <si>
    <t>น้อยสะแกกวน - ปะคำ</t>
  </si>
  <si>
    <t>106+110</t>
  </si>
  <si>
    <t>117+025</t>
  </si>
  <si>
    <t>ปะคำ - นางรอง</t>
  </si>
  <si>
    <t>ห้วยตะกั่ว - พุทไธสง</t>
  </si>
  <si>
    <t>นางรอง - บัวตารุ่ง</t>
  </si>
  <si>
    <t>บัวตารุ่ง - ลำปลายมาศ</t>
  </si>
  <si>
    <t>ลำปลายมาศ - หนองโดนน้อย</t>
  </si>
  <si>
    <t>บุรีรัมย์ - คูเมือง</t>
  </si>
  <si>
    <t>0+282</t>
  </si>
  <si>
    <t>คูเมือง - ลำน้ำมูล</t>
  </si>
  <si>
    <t>ลำน้ำมูล - พุทไธสง</t>
  </si>
  <si>
    <t>ลำพังชู - พุทไธสง</t>
  </si>
  <si>
    <t>ตะโก - เขาพนมรุ้ง</t>
  </si>
  <si>
    <t>11+986</t>
  </si>
  <si>
    <t>0+535</t>
  </si>
  <si>
    <t>ส้มป่อย - ละหานทราย</t>
  </si>
  <si>
    <t>ดอนแขวน - หนองกี่</t>
  </si>
  <si>
    <t>หนองกี่ - โนนศรีคูณ</t>
  </si>
  <si>
    <t>โนนศรีคูณ - หนองผะองค์</t>
  </si>
  <si>
    <t>ประโคนชัย - ห้วยละเวี้ย</t>
  </si>
  <si>
    <t>ห้วยละเวี้ย - ระกา</t>
  </si>
  <si>
    <t>ระกา - กระสัง</t>
  </si>
  <si>
    <t>หนองนาดำ - หนองขมาร</t>
  </si>
  <si>
    <t>หนองขมาร - สตึก</t>
  </si>
  <si>
    <t>สะพานบุรีรินทร์ - ไทรงาม</t>
  </si>
  <si>
    <t>บ้านแวง - แยกโชว์รูม</t>
  </si>
  <si>
    <t>บ้านใหม่ไชยพจน์ - ทางพาด</t>
  </si>
  <si>
    <t>บุรีรัมย์ - แสลงโทน</t>
  </si>
  <si>
    <t>แสลงโทน - ห้วยเสว</t>
  </si>
  <si>
    <t>ห้วยเสว - นิคมบ้านกรวด</t>
  </si>
  <si>
    <t>หนองน้ำขุ่น - ปะคำ</t>
  </si>
  <si>
    <t>ทางเข้าประโคนชัย</t>
  </si>
  <si>
    <t>แขวงทางหลวงปราจีนบุรี</t>
  </si>
  <si>
    <t>หนองชะอม - ปราจีนบุรี</t>
  </si>
  <si>
    <t>ปราจีนบุรี - ไผ่ชะเลือด</t>
  </si>
  <si>
    <t>ไผ่ชะเลือด - โคกไทย</t>
  </si>
  <si>
    <t>เขามะกา - เขาหินซ้อน</t>
  </si>
  <si>
    <t>ศรีมโหสถ - ศรีมหาโพธิ</t>
  </si>
  <si>
    <t>บางหอย - วังขอน</t>
  </si>
  <si>
    <t>ศาลนเรศวร - เขาใหญ่</t>
  </si>
  <si>
    <t>ระเบาะไผ่ - ประจันตคาม</t>
  </si>
  <si>
    <t>ปราจีนบุรี - ศรีมหาโพธิ</t>
  </si>
  <si>
    <t>ศรีมหาโพธิ - พญาจ่าย</t>
  </si>
  <si>
    <t>20+822</t>
  </si>
  <si>
    <t>53+810</t>
  </si>
  <si>
    <t>ดงพระราม - ห้วยขื่อ</t>
  </si>
  <si>
    <t>บางขนาก - ปราจีนบุรี</t>
  </si>
  <si>
    <t xml:space="preserve">มูลเหล็ก - ตลาดบ้านสร้าง </t>
  </si>
  <si>
    <t>โคกหอม - คลองแห่</t>
  </si>
  <si>
    <t xml:space="preserve">แขวงทางหลวงสระแก้ว </t>
  </si>
  <si>
    <t>อรัญประเทศ - แก้วเพชรพลอย</t>
  </si>
  <si>
    <t>45+870</t>
  </si>
  <si>
    <t>แขวงทางหลวงสระแก้ว (วัฒนานคร)</t>
  </si>
  <si>
    <t>แก้วเพชรพลอย - ช่องตะโก</t>
  </si>
  <si>
    <t>80+061</t>
  </si>
  <si>
    <t>คลองยาง - สระขวัญ</t>
  </si>
  <si>
    <t>10+396</t>
  </si>
  <si>
    <t>สระขวัญ - เขามะกา</t>
  </si>
  <si>
    <t>ทางเลี่ยงเมืองอรัญประเทศ</t>
  </si>
  <si>
    <t>อรัญประเทศ - ไผ่ล้อม</t>
  </si>
  <si>
    <t>อ่างฤาไน - ทุ่งกบินทร์</t>
  </si>
  <si>
    <t>168+203</t>
  </si>
  <si>
    <t>154+143</t>
  </si>
  <si>
    <t>ทุ่งกบินทร์ - ไผ่ล้อม</t>
  </si>
  <si>
    <t>209+931</t>
  </si>
  <si>
    <t>ช่องกุ่ม - หนองสังข์</t>
  </si>
  <si>
    <t>18+862</t>
  </si>
  <si>
    <t>โคกเพร็ก - แสง์</t>
  </si>
  <si>
    <t>7+395</t>
  </si>
  <si>
    <t>ท่าข้าม - โนนสาวเอ้</t>
  </si>
  <si>
    <t>คลองน้ำใส - เขาน้อย</t>
  </si>
  <si>
    <t>โนนสาวเอ้ - ไทรเดี่ยว</t>
  </si>
  <si>
    <t>ทับทิมสยาม05 - วัฒนานคร</t>
  </si>
  <si>
    <t>โคคลาน - แก้วเพชรพลอย</t>
  </si>
  <si>
    <t>115+139</t>
  </si>
  <si>
    <t>115+639</t>
  </si>
  <si>
    <t>125+980</t>
  </si>
  <si>
    <t>วัฒนานคร - โคคลาน</t>
  </si>
  <si>
    <t>60+870</t>
  </si>
  <si>
    <t>ตลาดโรงเกลือ - ป่าไร่</t>
  </si>
  <si>
    <t>ป่าไร่ - ช่องตากิ่ว</t>
  </si>
  <si>
    <t>สระแก้ว - แซร์ออ</t>
  </si>
  <si>
    <t>ทับพริก - เขาตาง๊อก</t>
  </si>
  <si>
    <t>กุดเตย - โคคลาน</t>
  </si>
  <si>
    <t>7+465</t>
  </si>
  <si>
    <t>13+465</t>
  </si>
  <si>
    <t>โคคลาน - ใหม่ไทยถาวร</t>
  </si>
  <si>
    <t>8+000</t>
  </si>
  <si>
    <t>19+941</t>
  </si>
  <si>
    <t>แสนสุข - จารย์จู</t>
  </si>
  <si>
    <t>14+768</t>
  </si>
  <si>
    <t>โคกสะแบง - หนองเอี่ยน</t>
  </si>
  <si>
    <t>5+336</t>
  </si>
  <si>
    <t>ทางเข้าบ้านใหม่ปากฮ่อง</t>
  </si>
  <si>
    <t>0+342</t>
  </si>
  <si>
    <t>ทางเดิมเข้าห้วยโจด</t>
  </si>
  <si>
    <t>6+050</t>
  </si>
  <si>
    <t>ทางเข้าแยกจุดตรวจ อ.04</t>
  </si>
  <si>
    <t>แขวงทางหลวงลพบุรีที่ 1</t>
  </si>
  <si>
    <t>บ้านหมี่ - ดงพลับ</t>
  </si>
  <si>
    <t>9+800</t>
  </si>
  <si>
    <t>ดงพลับ -  ม่วงค่อม</t>
  </si>
  <si>
    <t>19+209</t>
  </si>
  <si>
    <t>20+209</t>
  </si>
  <si>
    <t>48+754</t>
  </si>
  <si>
    <t>L3</t>
  </si>
  <si>
    <t>R3</t>
  </si>
  <si>
    <t>ลพบุรี -แยกวัดสนามไชย</t>
  </si>
  <si>
    <t>5+315</t>
  </si>
  <si>
    <t>11+968</t>
  </si>
  <si>
    <t>ทางเลี่ยงเมืองลพบุรี</t>
  </si>
  <si>
    <t>19+310</t>
  </si>
  <si>
    <t>แสลงพัน - คลองท่าข้าม</t>
  </si>
  <si>
    <t>33+760</t>
  </si>
  <si>
    <t>บ้านหมี่ - ดอนดึง</t>
  </si>
  <si>
    <t>0+500</t>
  </si>
  <si>
    <t>ดอนดึง - โคกเจริญ</t>
  </si>
  <si>
    <t>46+858</t>
  </si>
  <si>
    <t>นิยมชัย - สระโบสถ์</t>
  </si>
  <si>
    <t>34+301</t>
  </si>
  <si>
    <t>34+802</t>
  </si>
  <si>
    <t>โคกแสมสาร - สระโบสถ์</t>
  </si>
  <si>
    <t>36+363</t>
  </si>
  <si>
    <t>56+013</t>
  </si>
  <si>
    <t>ลพบุรี -  ค่ายเอราวัณ</t>
  </si>
  <si>
    <t>แยกนิคมสร้างตนเอง - แยกพัฒนานิคม</t>
  </si>
  <si>
    <t>12+990</t>
  </si>
  <si>
    <t>แยกพัฒนานิคม - วังม่วง</t>
  </si>
  <si>
    <t>13+500</t>
  </si>
  <si>
    <t>53+139</t>
  </si>
  <si>
    <t>สามแยกโคกกะเทียม - สถานีรถไฟโคกกะเทียม</t>
  </si>
  <si>
    <t>2+050</t>
  </si>
  <si>
    <t>บ้านหมี่ - เขาช่องลม</t>
  </si>
  <si>
    <t>5+402</t>
  </si>
  <si>
    <t>14+120</t>
  </si>
  <si>
    <t>จันเสน - ท่าแค</t>
  </si>
  <si>
    <t>30+500</t>
  </si>
  <si>
    <t>63+800</t>
  </si>
  <si>
    <t>พระพุทธบาท - โคกตูม</t>
  </si>
  <si>
    <t>วังเพลิง - สระโบสถ์</t>
  </si>
  <si>
    <t>15+685</t>
  </si>
  <si>
    <t>สระโบสถ์ - ยางโทน</t>
  </si>
  <si>
    <t>31+104</t>
  </si>
  <si>
    <t>โคกตูม - แยกมะนาวหวาน</t>
  </si>
  <si>
    <t>18+462</t>
  </si>
  <si>
    <t>แยกมะนาวหวาน - เขาพระ</t>
  </si>
  <si>
    <t>34+167</t>
  </si>
  <si>
    <t>ธารเกษม - สถานีรถไฟเขาสูง</t>
  </si>
  <si>
    <t>29+002</t>
  </si>
  <si>
    <t>วงษ์สว่าง -  ป่ารัง</t>
  </si>
  <si>
    <t>18+841</t>
  </si>
  <si>
    <t>หนองกระเบียน  -  สระใหญ่</t>
  </si>
  <si>
    <t>สระใหญ่ - ชอนม่วง</t>
  </si>
  <si>
    <t>ลพบุรี - ป่าหวาย</t>
  </si>
  <si>
    <t>0+650</t>
  </si>
  <si>
    <t>4+900</t>
  </si>
  <si>
    <t>แยกสะพาน 6 - ทางแยกไปบ้านหมี่</t>
  </si>
  <si>
    <t>0+115</t>
  </si>
  <si>
    <t>พัฒนานิคม - แก่งเสือเต้น</t>
  </si>
  <si>
    <t>3+985</t>
  </si>
  <si>
    <t>ทางเลี่ยงเมืองยางโทน</t>
  </si>
  <si>
    <t>0+611</t>
  </si>
  <si>
    <t>แขวงทางหลวงสระบุรี</t>
  </si>
  <si>
    <t>ปากข้าวสาร - แยกสวนพฤกษศาสตร์พุแค</t>
  </si>
  <si>
    <t>103+000</t>
  </si>
  <si>
    <t>106+615</t>
  </si>
  <si>
    <t>ทางเข้าพระพุทธบาทสระบุรี</t>
  </si>
  <si>
    <t>1+975</t>
  </si>
  <si>
    <t>มวกเหล็ก - แสลงพัน</t>
  </si>
  <si>
    <t>0+375</t>
  </si>
  <si>
    <t>0+180</t>
  </si>
  <si>
    <t>0+675</t>
  </si>
  <si>
    <t>มวกเหล็ก - กลุ่มพระบาท</t>
  </si>
  <si>
    <t>19+187</t>
  </si>
  <si>
    <t>บ้านหมาก - เขาแดง</t>
  </si>
  <si>
    <t>2+203</t>
  </si>
  <si>
    <t>พระพุทธบาท - หนองโดน</t>
  </si>
  <si>
    <t>9+600</t>
  </si>
  <si>
    <t>พระพุทธบาท - ท่าเรือ</t>
  </si>
  <si>
    <t>17+500</t>
  </si>
  <si>
    <t>หน้าพระลาน - บ้านครัว</t>
  </si>
  <si>
    <t>20+094</t>
  </si>
  <si>
    <t>เขาขาด - หนองแซง</t>
  </si>
  <si>
    <t>14+200</t>
  </si>
  <si>
    <t>หนองแซง - สระบุรี</t>
  </si>
  <si>
    <t>29+239</t>
  </si>
  <si>
    <t>หนองยาว - พระพุทธฉาย</t>
  </si>
  <si>
    <t>4+982</t>
  </si>
  <si>
    <t>หนองตาโล่ - สะพานใหม่</t>
  </si>
  <si>
    <t>20+903</t>
  </si>
  <si>
    <t>วิหารแดง - หนองหมู</t>
  </si>
  <si>
    <t>6+600</t>
  </si>
  <si>
    <t>พระพุทธฉาย - น้ำตกสามหลั่น</t>
  </si>
  <si>
    <t>3+315</t>
  </si>
  <si>
    <t>ห้วยบง - ท่าลาน</t>
  </si>
  <si>
    <t>13+059</t>
  </si>
  <si>
    <t>ท่าเยี่ยม - ขอนหอม</t>
  </si>
  <si>
    <t>5+338</t>
  </si>
  <si>
    <t>ขอนหอม - บ้านเหนือ</t>
  </si>
  <si>
    <t>9+810</t>
  </si>
  <si>
    <t>7+751</t>
  </si>
  <si>
    <t>แก่งคอย - เขาเพิ่ม</t>
  </si>
  <si>
    <t>26+219</t>
  </si>
  <si>
    <t>บ้านป่า - ท่าคล้อ</t>
  </si>
  <si>
    <t>ท่าคล้อ - แสลงพัน</t>
  </si>
  <si>
    <t>31+011</t>
  </si>
  <si>
    <t>หนองคณฑี - สันประดู่</t>
  </si>
  <si>
    <t>12+023</t>
  </si>
  <si>
    <t>หนองเสือ - ปากคลอง 13</t>
  </si>
  <si>
    <t>32+600</t>
  </si>
  <si>
    <t>21+120</t>
  </si>
  <si>
    <t>ท่าช้าง -  ป๊อกแป๊ก</t>
  </si>
  <si>
    <t>4+187</t>
  </si>
  <si>
    <t>ป๊อกแป๊ก - สันมะค่า</t>
  </si>
  <si>
    <t>5+769</t>
  </si>
  <si>
    <t>12+773</t>
  </si>
  <si>
    <t>หน้าพระลาน - หนองจาน</t>
  </si>
  <si>
    <t>2+350</t>
  </si>
  <si>
    <t>แยกไปลพบุรี</t>
  </si>
  <si>
    <t>0+690</t>
  </si>
  <si>
    <t>หนองแซง - หนองแก</t>
  </si>
  <si>
    <t>0+625</t>
  </si>
  <si>
    <t>โพนทอง - ขอนชะโงก</t>
  </si>
  <si>
    <t>2+805</t>
  </si>
  <si>
    <t>แขวงทางหลวงสิงห์บุรี</t>
  </si>
  <si>
    <t>ไชโย - ทางแยกวัดสว่างอารมณ์</t>
  </si>
  <si>
    <t>93+300</t>
  </si>
  <si>
    <t>73+943</t>
  </si>
  <si>
    <t>ทางแยกวัดสว่างอารมณ์ - ทางแยกศาลหลักเมือง</t>
  </si>
  <si>
    <t>96+968</t>
  </si>
  <si>
    <t>แยกวัดสนามไชย - วัดกระดังงา</t>
  </si>
  <si>
    <t>26+009</t>
  </si>
  <si>
    <t>28+071</t>
  </si>
  <si>
    <t>39+772</t>
  </si>
  <si>
    <t>วัดกระดังงา - บ้านม้า</t>
  </si>
  <si>
    <t>58+263</t>
  </si>
  <si>
    <t>แยกสิงห์เหนือ - สิงห์บุรี</t>
  </si>
  <si>
    <t>1+040</t>
  </si>
  <si>
    <t>ทางเลี่ยงเมืองสิงห์บุรี</t>
  </si>
  <si>
    <t>1+434</t>
  </si>
  <si>
    <t>ท่าวุ้ง - มหานาม</t>
  </si>
  <si>
    <t>15+900</t>
  </si>
  <si>
    <t>บางงา - บ้านหมี่</t>
  </si>
  <si>
    <t>24+806</t>
  </si>
  <si>
    <t>ดงมะขามเทศ - บางระจัน</t>
  </si>
  <si>
    <t>9+645</t>
  </si>
  <si>
    <t>บุ้งกี๋ - ท่าศาล</t>
  </si>
  <si>
    <t>32+362</t>
  </si>
  <si>
    <t>บางงา - โภคาวิวัฒน์</t>
  </si>
  <si>
    <t>คูพัฒนา - ชัณสูตร</t>
  </si>
  <si>
    <t>33+332</t>
  </si>
  <si>
    <t>15+271</t>
  </si>
  <si>
    <t>พักทัน - บ้านจ่า</t>
  </si>
  <si>
    <t>อินทร์บุรี - ทองเอน</t>
  </si>
  <si>
    <t>3+519</t>
  </si>
  <si>
    <t>อินทร์บุรี - หนองสุ่ม</t>
  </si>
  <si>
    <t>บางระจัน - โพทะเล</t>
  </si>
  <si>
    <t>ชัณสูตร - ท่าช้าง</t>
  </si>
  <si>
    <t>ท่าช้าง - สวนกล้วย</t>
  </si>
  <si>
    <t>แขวงทางหลวงลพบุรีที่ 2 (ลำนารายณ์)</t>
  </si>
  <si>
    <t>ม่วงค่อม - คลองห้วยไผ่</t>
  </si>
  <si>
    <t>59+031</t>
  </si>
  <si>
    <t>เทศบาลลำนารายณ์ - ช่องสำราญ</t>
  </si>
  <si>
    <t>74+472</t>
  </si>
  <si>
    <t>111+572</t>
  </si>
  <si>
    <t>คลองท่าข้าม - น้ำตกวังก้านเหลือง</t>
  </si>
  <si>
    <t>38+675</t>
  </si>
  <si>
    <t>น้ำตกวังก้านเหลือง - ลำนารายณ์</t>
  </si>
  <si>
    <t>70+600</t>
  </si>
  <si>
    <t>ทางเข้าลำนารายณ์</t>
  </si>
  <si>
    <t>1+200</t>
  </si>
  <si>
    <t>โคกเจริญ - หนองมะค่า</t>
  </si>
  <si>
    <t>60+625</t>
  </si>
  <si>
    <t>กลุ่มพระบาท - ซับน้อยเหนือ</t>
  </si>
  <si>
    <t>51+798</t>
  </si>
  <si>
    <t>บัวชุม - สี่แยกบัวชุม</t>
  </si>
  <si>
    <t>5+000</t>
  </si>
  <si>
    <t>จงโก - ลำสมพุง</t>
  </si>
  <si>
    <t>16+222</t>
  </si>
  <si>
    <t>25+688</t>
  </si>
  <si>
    <t>ลำสมพุง - ป่าไผ่</t>
  </si>
  <si>
    <t>47+126</t>
  </si>
  <si>
    <t>ถนนโค้ง - หนองน้ำใส</t>
  </si>
  <si>
    <t>16+905</t>
  </si>
  <si>
    <t>หนองน้ำใส - ปางโก</t>
  </si>
  <si>
    <t>39+088</t>
  </si>
  <si>
    <t>ลำสนธิ - ซับลังกา</t>
  </si>
  <si>
    <t>36+798</t>
  </si>
  <si>
    <t>หนองยายโต๊ะ - แยกท่ามะนาว</t>
  </si>
  <si>
    <t>13+532</t>
  </si>
  <si>
    <t>เขาแดง - สวนมะเดื่อ</t>
  </si>
  <si>
    <t>28+544</t>
  </si>
  <si>
    <t>ปางหัวช้าง - คลองไทร</t>
  </si>
  <si>
    <t>10+521</t>
  </si>
  <si>
    <t>18+093</t>
  </si>
  <si>
    <t>หนองบง - ซับลังกา</t>
  </si>
  <si>
    <t>มะนาวหวาน - โป่งเกตุ</t>
  </si>
  <si>
    <t>25+065</t>
  </si>
  <si>
    <t>6+854</t>
  </si>
  <si>
    <t>ใหม่สามัคคี - นิยมชัย</t>
  </si>
  <si>
    <t>สวนมะเดื่อ - แยกท่ามะนาว</t>
  </si>
  <si>
    <t>33+619</t>
  </si>
  <si>
    <t>ศิลาทิพย์ - โคกแสมสาร</t>
  </si>
  <si>
    <t>วังตะโก - โคกเจริญ</t>
  </si>
  <si>
    <t>5+200</t>
  </si>
  <si>
    <t>หนองยายโต๊ะ -  ลำพญาไม้</t>
  </si>
  <si>
    <t>16+679</t>
  </si>
  <si>
    <t>กุดตาเพชร - อ่างเก็บน้ำกุดตาเพชร</t>
  </si>
  <si>
    <t>1+810</t>
  </si>
  <si>
    <t>วังเชื่อม - อ่างเก็บน้ำกุดตาเพชร</t>
  </si>
  <si>
    <t>แขวงทางหลวงนครสวรรค์ที่ 1</t>
  </si>
  <si>
    <t>นครสวรรค์ - คลองพลังด้านใต้</t>
  </si>
  <si>
    <t>แยกบึงบอระเพ็ด - เกรียงไกรกลาง</t>
  </si>
  <si>
    <t>หนองเบน - ลาดยาว</t>
  </si>
  <si>
    <t>22+509</t>
  </si>
  <si>
    <t>หนองสังข์ - คลองชะแวด</t>
  </si>
  <si>
    <t>40+680</t>
  </si>
  <si>
    <t>ป่าแดง - หาดชะอม</t>
  </si>
  <si>
    <t>แยกนวมินทร์  - เขาดินเหนือ</t>
  </si>
  <si>
    <t>เขาดินเหนือ -  บรรพตพิสัย</t>
  </si>
  <si>
    <t>34+119</t>
  </si>
  <si>
    <t>ดงเย็น - ดงทอง</t>
  </si>
  <si>
    <t>14+961</t>
  </si>
  <si>
    <t>ทางเข้าค่ายทหารจิรประวัติ</t>
  </si>
  <si>
    <t>0+178</t>
  </si>
  <si>
    <t>แยกจิรประวัติ - พระนอน</t>
  </si>
  <si>
    <t>13+298</t>
  </si>
  <si>
    <t>นครสวรรค์ - โกรกพระ</t>
  </si>
  <si>
    <t>0+440</t>
  </si>
  <si>
    <t>14+554</t>
  </si>
  <si>
    <t>0+044</t>
  </si>
  <si>
    <t>พยุหะคีรี - เนินมะกอก</t>
  </si>
  <si>
    <t>0+601</t>
  </si>
  <si>
    <t>4+254</t>
  </si>
  <si>
    <t>คลองแบ่ง - ลาดยาว</t>
  </si>
  <si>
    <t>29+930</t>
  </si>
  <si>
    <t>45+846</t>
  </si>
  <si>
    <t>เขาพะแวง - โกรกพระ</t>
  </si>
  <si>
    <t>17+941</t>
  </si>
  <si>
    <t>13+707</t>
  </si>
  <si>
    <t>โกรกพระ - บันไดสามขั้น</t>
  </si>
  <si>
    <t>14+390</t>
  </si>
  <si>
    <t>เนินมะกอก - นิคมเขาบ่อแก้ว</t>
  </si>
  <si>
    <t>ไผ่งาม - ถนนสุด</t>
  </si>
  <si>
    <t>57+723</t>
  </si>
  <si>
    <t>55+725</t>
  </si>
  <si>
    <t>หนองจิกรี - ถนนสุด</t>
  </si>
  <si>
    <t>48+375</t>
  </si>
  <si>
    <t>ห้วยน้ำดัง - เขาชนกัน</t>
  </si>
  <si>
    <t>39+432</t>
  </si>
  <si>
    <t>3+717</t>
  </si>
  <si>
    <t>เนินฝอยทอง - ทุ่งผักเบี้ย</t>
  </si>
  <si>
    <t>ทางเข้านครสวรรค์</t>
  </si>
  <si>
    <t>1+201</t>
  </si>
  <si>
    <t>ทางเข้าสถานีรถไฟนครสวรรค์</t>
  </si>
  <si>
    <t>0+066</t>
  </si>
  <si>
    <t>ทางเข้าบรรพตพิสัย</t>
  </si>
  <si>
    <t>0+181</t>
  </si>
  <si>
    <t>ทางเข้าตลาดเจริญผล</t>
  </si>
  <si>
    <t>0+230</t>
  </si>
  <si>
    <t>แขวงทางหลวงนครสวรรค์ที่ 2 (ตากฟ้า)</t>
  </si>
  <si>
    <t>เกรียงไกรกลาง - เกยไชย</t>
  </si>
  <si>
    <t>33+200</t>
  </si>
  <si>
    <t>เกยไชย - ศรีมงคล</t>
  </si>
  <si>
    <t>93+190</t>
  </si>
  <si>
    <t>ท่าพุทรา - เนินมะกอก</t>
  </si>
  <si>
    <t>น้ำสาดเหนือ - หนองผักหวาน</t>
  </si>
  <si>
    <t>26+847</t>
  </si>
  <si>
    <t>หนองผักหวาน - ท่าตะโก</t>
  </si>
  <si>
    <t>36+708</t>
  </si>
  <si>
    <t>ตากฟ้า - หัวถนน</t>
  </si>
  <si>
    <t>28+666</t>
  </si>
  <si>
    <t>หนองคอก - ธารทหาร</t>
  </si>
  <si>
    <t>คอกควายใหญ่ - พนมรอก</t>
  </si>
  <si>
    <t>15+768</t>
  </si>
  <si>
    <t>พระนอน - ท่าตะโก</t>
  </si>
  <si>
    <t>44+648</t>
  </si>
  <si>
    <t>ท่าตะโก - ไดตาล</t>
  </si>
  <si>
    <t>54+700</t>
  </si>
  <si>
    <t>ไดตาล - วังพิกุล</t>
  </si>
  <si>
    <t>91+666</t>
  </si>
  <si>
    <t>ทางเข้าตลาดตาคลี</t>
  </si>
  <si>
    <t>0+168</t>
  </si>
  <si>
    <t>ปากคลองห้า - จันเสน</t>
  </si>
  <si>
    <t>2+100</t>
  </si>
  <si>
    <t>ไร่พัฒนา - หนองโพ</t>
  </si>
  <si>
    <t>19+455</t>
  </si>
  <si>
    <t>24+664</t>
  </si>
  <si>
    <t>นิคมเขาบ่อแก้ว - โค้งวิจารณ์</t>
  </si>
  <si>
    <t>ตาคลี - หนองหลวง</t>
  </si>
  <si>
    <t>39+074</t>
  </si>
  <si>
    <t>สุขสำราญ - สำโรงชัย</t>
  </si>
  <si>
    <t>34+170</t>
  </si>
  <si>
    <t>หนองพิกุล - ใหม่สามัคคี</t>
  </si>
  <si>
    <t>15+611</t>
  </si>
  <si>
    <t>ทางเข้าสุขสมบูรณ์</t>
  </si>
  <si>
    <t>2+128</t>
  </si>
  <si>
    <t>ทางเข้าหนองไผ่</t>
  </si>
  <si>
    <t>4+100</t>
  </si>
  <si>
    <t>ทับกฤช - พนมรอก</t>
  </si>
  <si>
    <t>25+007</t>
  </si>
  <si>
    <t>เกยไชย - ชุมแสง</t>
  </si>
  <si>
    <t>5+134</t>
  </si>
  <si>
    <t>6+934</t>
  </si>
  <si>
    <t>12+425</t>
  </si>
  <si>
    <t>แขวงทางหลวงสุพรรณบุรีที่ 1</t>
  </si>
  <si>
    <t>สระกระโจม - บ้านไร่</t>
  </si>
  <si>
    <t>ท่าศาล - นางบวช</t>
  </si>
  <si>
    <t>ดอนเจดีย์  -  ศรีประจันต์</t>
  </si>
  <si>
    <t>สุพรรณบุรี - ลาดตาล</t>
  </si>
  <si>
    <t>แหลมข่อย - บึงฉวากด้านทิศเหนือ</t>
  </si>
  <si>
    <t>4+781</t>
  </si>
  <si>
    <t>มะขามล้ม - วัดป่าเลไลยก์</t>
  </si>
  <si>
    <t>ไผ่กองดิน - สาลี</t>
  </si>
  <si>
    <t>36+626</t>
  </si>
  <si>
    <t>ดอนเจดีย์  -  สระกระโจม</t>
  </si>
  <si>
    <t>สุพรรณบุรี - มะขามล้ม</t>
  </si>
  <si>
    <t>ท่าช้าง - สระบัวก่ำ</t>
  </si>
  <si>
    <t>31+119</t>
  </si>
  <si>
    <t>เก้าห้อง - บางแม่หม้าย</t>
  </si>
  <si>
    <t>สามชุก  -  หนองอีพัง</t>
  </si>
  <si>
    <t>คลองลี่ - ศรีประจันต์</t>
  </si>
  <si>
    <t>โคกโคเฒ่า - ลาดตาล</t>
  </si>
  <si>
    <t>สระแก้ว - หนองโดก</t>
  </si>
  <si>
    <t>วัดป่าเลไลยก์  -  โพธิ์พระยา</t>
  </si>
  <si>
    <t>ดอนเจดีย์ - ปากดง</t>
  </si>
  <si>
    <t>ดอนไร่ -  อ่างเก็บน้ำกระเสียว</t>
  </si>
  <si>
    <t>วัดพระศรีรัตนมหาธาตุ - บ้านกล้วย</t>
  </si>
  <si>
    <t>คลองคันทด - ที่ทำการประตูน้ำคันทด</t>
  </si>
  <si>
    <t>ทางเข้าสุพรรณบุรี</t>
  </si>
  <si>
    <t>แยกวัดลาวทอง - วังยาง</t>
  </si>
  <si>
    <t>แหลมสะแก - เดิมบาง</t>
  </si>
  <si>
    <t>บางปลาม้า - วังตาเพชร</t>
  </si>
  <si>
    <t>หนองกุฎี - ดงดำ</t>
  </si>
  <si>
    <t>โพธิ์พระยา - วังยาง</t>
  </si>
  <si>
    <t>คลองตาลเสี้ยน - วังยาง</t>
  </si>
  <si>
    <t>แขวงทางหลวงกาญจนบุรี</t>
  </si>
  <si>
    <t>ลูกแก - ท่าเรือ</t>
  </si>
  <si>
    <t>ท่าเรือ - กาญจนบุรี</t>
  </si>
  <si>
    <t>ท่ามะขาม - แก่งเสี้ยน</t>
  </si>
  <si>
    <t>แก่งเสี้ยน - แยกปากกิเลน</t>
  </si>
  <si>
    <t>แยกปากกิเลน - น้ำตกไทรโยคใหญ่</t>
  </si>
  <si>
    <t>น้ำตกไทรโยคใหญ่ - ทองผาภูมิ</t>
  </si>
  <si>
    <t>ทองผาภูมิ - ท่าขนุน</t>
  </si>
  <si>
    <t>ท่าขนุน - เจดีย์สามองค์</t>
  </si>
  <si>
    <t>กาญจนบุรี - หนองขาว</t>
  </si>
  <si>
    <t>ทางเลี่ยงเมืองกาญจนบุรี</t>
  </si>
  <si>
    <t>ท่าเรือ - พระแท่นดงรัง</t>
  </si>
  <si>
    <t>0+543</t>
  </si>
  <si>
    <t>10+678</t>
  </si>
  <si>
    <t>ท่าม่วง - หนองขาว</t>
  </si>
  <si>
    <t>ยางเกาะ - ลำทราย</t>
  </si>
  <si>
    <t>ลำทราย -  ศรีมงคล</t>
  </si>
  <si>
    <t>ลาดหญ้า - ทุ่งมะสังข์</t>
  </si>
  <si>
    <t>ท่ามะกา - แสนตอ</t>
  </si>
  <si>
    <t>แสนตอ - ด่านมะขามเตี้ย</t>
  </si>
  <si>
    <t>ด่านมะขามเตี้ย - กาญจนบุรี</t>
  </si>
  <si>
    <t>52+800</t>
  </si>
  <si>
    <t>80+611</t>
  </si>
  <si>
    <t>ทางเข้าท่าน้ำลิ้นช้าง</t>
  </si>
  <si>
    <t>หนองบัว - ลำทราย</t>
  </si>
  <si>
    <t>ลำทราย - ด่านแม่ธะมี่(เขตแดนไทย/พม่า)</t>
  </si>
  <si>
    <t>ทองผาภูมิ - ปิล๊อก</t>
  </si>
  <si>
    <t>ท่าน้ำตื้น - เขาปูน</t>
  </si>
  <si>
    <t>แยกวังโพธิ์ - โรงพยาบาลไทรโยค</t>
  </si>
  <si>
    <t>3+753</t>
  </si>
  <si>
    <t>ลูกแก - หนองตะเลา</t>
  </si>
  <si>
    <t>ท่าพะเนียด - ทุ่งมะสังข์</t>
  </si>
  <si>
    <t>ทางเลี่ยงค่ายไทรโยค</t>
  </si>
  <si>
    <t>ท่าไม้ - ตะคร้ำเอน</t>
  </si>
  <si>
    <t>แยกปากกิเลน - บ้านเก่า</t>
  </si>
  <si>
    <t>ไทรโยค - ท่าทุ่งนา</t>
  </si>
  <si>
    <t>หนองบัว - ลาดหญ้า</t>
  </si>
  <si>
    <t>พุน้ำร้อน - บ้องตี้</t>
  </si>
  <si>
    <t>ท่ามะกา - ท่าม่วง</t>
  </si>
  <si>
    <t>2+032</t>
  </si>
  <si>
    <t>4+654</t>
  </si>
  <si>
    <t>17+235</t>
  </si>
  <si>
    <t>19+529</t>
  </si>
  <si>
    <t>20+747</t>
  </si>
  <si>
    <t>ทางเข้าสังขละบุรี</t>
  </si>
  <si>
    <t>ค่ายสุรสีห์ - กองพลทหารราบที่ 9</t>
  </si>
  <si>
    <t>ท่าพะเนียด - ค่ายสุรสีห์</t>
  </si>
  <si>
    <t>7+806</t>
  </si>
  <si>
    <t>ทุ่งนานางหรอก - ลาดหญ้า</t>
  </si>
  <si>
    <t>แสนตอ - เขาช่อง</t>
  </si>
  <si>
    <t>ทางเข้ากองผสมสัตว์</t>
  </si>
  <si>
    <t>วังปลาหมู - วังลาน</t>
  </si>
  <si>
    <t>วังโพธิ์ - ลุ่มสุ่ม</t>
  </si>
  <si>
    <t>0+818</t>
  </si>
  <si>
    <t>แขวงทางหลวงสุพรรณบุรีที่ 2 (อู่ทอง)</t>
  </si>
  <si>
    <t>หนองขาว  - ตลาดเขต</t>
  </si>
  <si>
    <t>12+300</t>
  </si>
  <si>
    <t>ตลาดเขต - จรเข้สามพัน</t>
  </si>
  <si>
    <t>อู่ทอง - สระกระโจม</t>
  </si>
  <si>
    <t>หนองกระทุ่ม - พนมทวน</t>
  </si>
  <si>
    <t>จันทร์ลาด - พระแท่นดงรัง</t>
  </si>
  <si>
    <t>ทุ่งมะสังข์ - ปลักประดู่</t>
  </si>
  <si>
    <t>ปลักประดู่ - ด่านช้าง</t>
  </si>
  <si>
    <t>สองพี่น้อง - มะขามล้ม</t>
  </si>
  <si>
    <t>หนองปรือ - สระกระโจม</t>
  </si>
  <si>
    <t>มะขามล้ม - ดอนแจง</t>
  </si>
  <si>
    <t>วังขอน - บ่อพลอย</t>
  </si>
  <si>
    <t>บางแม่หม้าย - บางน้อยใน</t>
  </si>
  <si>
    <t>ทุ่งคอก - พระแท่นดงรัง</t>
  </si>
  <si>
    <t>ทุ่งคอก - เบญพาด</t>
  </si>
  <si>
    <t>ดอนแสลบ - ช่องด่าน</t>
  </si>
  <si>
    <t>8+873</t>
  </si>
  <si>
    <t>9+000</t>
  </si>
  <si>
    <t>28+086</t>
  </si>
  <si>
    <t>หนองวัลย์เปรียง - ทับกระดาน</t>
  </si>
  <si>
    <t>หนองรี - บ่อยาง</t>
  </si>
  <si>
    <t>ลาดบัวหลวง - สองพี่น้อง</t>
  </si>
  <si>
    <t>ดอนพรหม - ตลาดเขต</t>
  </si>
  <si>
    <t>ตลาดใหม่ - ตลุงเหนือ</t>
  </si>
  <si>
    <t>ตลุงเหนือ - เขาวัง</t>
  </si>
  <si>
    <t>สวนแตง - ดอนคา</t>
  </si>
  <si>
    <t>8+726</t>
  </si>
  <si>
    <t>จร้าใหม่ - เลาขวัญ</t>
  </si>
  <si>
    <t>10+724</t>
  </si>
  <si>
    <t>อู่ทอง - ตลุงเหนือ</t>
  </si>
  <si>
    <t>ปลักประดู่ - ถ้ำธารลอด</t>
  </si>
  <si>
    <t>หนองโสน - หนองมะสังข์</t>
  </si>
  <si>
    <t>หางตลาด - ศรีสำราญ</t>
  </si>
  <si>
    <t>ทางเข้าวังขอน</t>
  </si>
  <si>
    <t>แขวงทางหลวงชัยนาท</t>
  </si>
  <si>
    <t>สรรพยา - สรรคบุรี</t>
  </si>
  <si>
    <t>สะเดาดู่ - แยกปากน้ำ</t>
  </si>
  <si>
    <t>2+803</t>
  </si>
  <si>
    <t>แยกไปเขื่อนเจ้าพระยา - คลองมอญ</t>
  </si>
  <si>
    <t>คลองมอญ - หนองบัว</t>
  </si>
  <si>
    <t>ดงคอน - ปากน้ำ</t>
  </si>
  <si>
    <t>ดงพลับ - ปากคลองห้า</t>
  </si>
  <si>
    <t>ทางเข้าหันคา - กะบกเตี้ย</t>
  </si>
  <si>
    <t>8+537</t>
  </si>
  <si>
    <t>40+802</t>
  </si>
  <si>
    <t>คุ้งสำเภา - ไร่พัฒนา</t>
  </si>
  <si>
    <t>วัดสิงห์ - บ้านโคก</t>
  </si>
  <si>
    <t>ดักคะนน - ท่าหาด</t>
  </si>
  <si>
    <t>สรรคบุรี - คูพัฒนา</t>
  </si>
  <si>
    <t>แยกเข้าโรงเรียนครูประชาสรรค์ - สะพานของโครงการฯชัณสูตร</t>
  </si>
  <si>
    <t>ทางเข้าหันคา</t>
  </si>
  <si>
    <t>แขวงทางหลวงอุทัยธานี</t>
  </si>
  <si>
    <t>บ้านไร่ - การุ้ง</t>
  </si>
  <si>
    <t>การุ้ง - อุทัยธานี</t>
  </si>
  <si>
    <t>อุทัยธานี - สะพานข้ามแม่น้ำเจ้าพระยา</t>
  </si>
  <si>
    <t>บ้านไร่ - บ้านใต้</t>
  </si>
  <si>
    <t>41+571</t>
  </si>
  <si>
    <t>ทางเข้าตลาดหนองฉาง</t>
  </si>
  <si>
    <t>หนองฉาง - ทัพทัน</t>
  </si>
  <si>
    <t>ทัพทัน - คลองแบ่ง</t>
  </si>
  <si>
    <t>หนองบัว - อุทัยธานี</t>
  </si>
  <si>
    <t>กระบกเตี้ย -  แยกหูช้าง</t>
  </si>
  <si>
    <t>บ้านโคก - แยกเขาตะพาบ</t>
  </si>
  <si>
    <t>แยกสะแกกรัง - เขาพะแวง</t>
  </si>
  <si>
    <t>อุทัยธานี -  ทัพทัน</t>
  </si>
  <si>
    <t>แยกโคกหม้อ - ท่าซุง</t>
  </si>
  <si>
    <t>บ้านไร่ - ไร่ใหม่</t>
  </si>
  <si>
    <t>ไร่ใหม่ - แยกนิคมทับเสลา</t>
  </si>
  <si>
    <t>บันไดสามขั้น - ทัพทัน</t>
  </si>
  <si>
    <t>หนองฉาง - ดินแดง</t>
  </si>
  <si>
    <t>ดินแดง - ไผ่งาม</t>
  </si>
  <si>
    <t>32+200</t>
  </si>
  <si>
    <t>34+200</t>
  </si>
  <si>
    <t>19+730</t>
  </si>
  <si>
    <t>หนองกระดี่  - คลองข่อย</t>
  </si>
  <si>
    <t>คลองข่อย -บุ่งกระเซอร์</t>
  </si>
  <si>
    <t>คลองข่อย - ห้วยน้ำดัง</t>
  </si>
  <si>
    <t>ทางเข้าตลาดอุทัยธานี</t>
  </si>
  <si>
    <t>ทางหลังเรือนจำอุทัยธานี</t>
  </si>
  <si>
    <t>ท่าซุง - ท่าน้ำมโนรมย์</t>
  </si>
  <si>
    <t>ทางเข้าตลาดทัพทัน</t>
  </si>
  <si>
    <t>แขวงทางหลวงอ่างทอง</t>
  </si>
  <si>
    <t>นครหลวง - อ่างทอง</t>
  </si>
  <si>
    <t>อ่างทอง - ไชโย</t>
  </si>
  <si>
    <t>นาคู - ป่าโมก</t>
  </si>
  <si>
    <t>ป่าโมก - บางปะหัน</t>
  </si>
  <si>
    <t>บางเสด็จ - แยกที่ดิน</t>
  </si>
  <si>
    <t>37+600</t>
  </si>
  <si>
    <t>53+900</t>
  </si>
  <si>
    <t>แยกที่ดิน - ไชโย</t>
  </si>
  <si>
    <t>56+756</t>
  </si>
  <si>
    <t>56+271</t>
  </si>
  <si>
    <t>บางปะหัน -  เจ้าปลุก</t>
  </si>
  <si>
    <t>49+141</t>
  </si>
  <si>
    <t>66+246</t>
  </si>
  <si>
    <t>ทางเลี่ยงเมืองอ่างทอง</t>
  </si>
  <si>
    <t>มหานาม - บ้านเบิก</t>
  </si>
  <si>
    <t>อ่างทอง - ปากดง</t>
  </si>
  <si>
    <t>ลาดตาล - วิเศษชัยชาญ</t>
  </si>
  <si>
    <t>วิเศษชัยชาญ - ป่างิ้ว</t>
  </si>
  <si>
    <t>โก่งธนู - เจ้าปลุก</t>
  </si>
  <si>
    <t>สามเรือน - บางปะหัน</t>
  </si>
  <si>
    <t>นาคู - สามโก้</t>
  </si>
  <si>
    <t>สามโก้ - สีบัวทอง</t>
  </si>
  <si>
    <t>สามโก้ - คลองลี่</t>
  </si>
  <si>
    <t>ท่าช้าง - โพธิ์ทอง</t>
  </si>
  <si>
    <t>โพธิ์ทอง - วิเศษชัยชาญ</t>
  </si>
  <si>
    <t>วิเศษชัยชาญ -  หน้าโคก</t>
  </si>
  <si>
    <t>คลองบางแก้ว  -  บ้านขวาง</t>
  </si>
  <si>
    <t>อ่างทอง - บางหลวงโดด</t>
  </si>
  <si>
    <t>แขวงทางหลวงกรุงเทพ</t>
  </si>
  <si>
    <t>แยก คปอ. – สนามกีฬาธูปะเตมีย์</t>
  </si>
  <si>
    <t>ดินแดง - งามวงศ์วาน</t>
  </si>
  <si>
    <t>14+700</t>
  </si>
  <si>
    <t>4+990</t>
  </si>
  <si>
    <t>คลองประปา - คันนายาว</t>
  </si>
  <si>
    <t>19+600</t>
  </si>
  <si>
    <t>7+916</t>
  </si>
  <si>
    <t>แยกเข้ามีนบุรี - คลองหลวงแพ่ง</t>
  </si>
  <si>
    <t>40+026</t>
  </si>
  <si>
    <t>38+035</t>
  </si>
  <si>
    <t>ทางแยกต่างระดับลาดพร้าว</t>
  </si>
  <si>
    <t>0+851</t>
  </si>
  <si>
    <t>มหาวิทยาลัยเกษตรศาสตร์ - คันนายาว</t>
  </si>
  <si>
    <t>12+328</t>
  </si>
  <si>
    <t>แยกเคหะร่มเกล้า - ลาดกระบัง</t>
  </si>
  <si>
    <t>11+003</t>
  </si>
  <si>
    <t>5+309</t>
  </si>
  <si>
    <t>สนามกีฬาธูปเตมีย์ - ลำลูกกา</t>
  </si>
  <si>
    <t>10+911</t>
  </si>
  <si>
    <t>12+348</t>
  </si>
  <si>
    <t>คลองหลวงแพ่ง - ศาลาแดง</t>
  </si>
  <si>
    <t>1+570</t>
  </si>
  <si>
    <t>ถนนศรีนครินทร์ - ลาดกระบัง</t>
  </si>
  <si>
    <t>0+312</t>
  </si>
  <si>
    <t>5+785</t>
  </si>
  <si>
    <t>7+218</t>
  </si>
  <si>
    <t>10+526</t>
  </si>
  <si>
    <t>13+118</t>
  </si>
  <si>
    <t>20+371</t>
  </si>
  <si>
    <t>21+000</t>
  </si>
  <si>
    <t>5+759</t>
  </si>
  <si>
    <t>0+352</t>
  </si>
  <si>
    <t>7+223</t>
  </si>
  <si>
    <t>13+138</t>
  </si>
  <si>
    <t>22+435</t>
  </si>
  <si>
    <t>บึงคำพร้อย - คลองพระยาสุเรนทร์</t>
  </si>
  <si>
    <t>30+600</t>
  </si>
  <si>
    <t>34+916</t>
  </si>
  <si>
    <t>บึงคำพร้อย - คู้บอน</t>
  </si>
  <si>
    <t>39+607</t>
  </si>
  <si>
    <t>คู้บอน - ประเวศ</t>
  </si>
  <si>
    <t>41+100</t>
  </si>
  <si>
    <t>39+808</t>
  </si>
  <si>
    <t>41+681</t>
  </si>
  <si>
    <t>46+720</t>
  </si>
  <si>
    <t>43+102</t>
  </si>
  <si>
    <t>47+920</t>
  </si>
  <si>
    <t>47+058</t>
  </si>
  <si>
    <t>53+715</t>
  </si>
  <si>
    <t>48+450</t>
  </si>
  <si>
    <t>62+500</t>
  </si>
  <si>
    <t>55+599</t>
  </si>
  <si>
    <t>แขวงทางหลวงอยุธยา</t>
  </si>
  <si>
    <t>ทางเข้าบางปะอิน</t>
  </si>
  <si>
    <t>6+550</t>
  </si>
  <si>
    <t>วังน้อย - ทางแยกต่างระดับอยุธยา</t>
  </si>
  <si>
    <t>11+600</t>
  </si>
  <si>
    <t>อยุธยา - บางเสด็จ</t>
  </si>
  <si>
    <t>ทางบริเวณแยกเตาอิฐ</t>
  </si>
  <si>
    <t>บางกระสั้น - บางปะหัน</t>
  </si>
  <si>
    <t>40+141</t>
  </si>
  <si>
    <t>20+643</t>
  </si>
  <si>
    <t>คลองระพีพัฒน์ - ทางแยกต่างระดับวังน้อย</t>
  </si>
  <si>
    <t>24+600</t>
  </si>
  <si>
    <t>ทางแยกต่างระดับวังน้อย - ลำตาเสา</t>
  </si>
  <si>
    <t>บ้านหว้า - ปากกราน</t>
  </si>
  <si>
    <t>อุทัย - หนองตาโล่</t>
  </si>
  <si>
    <t>3+965</t>
  </si>
  <si>
    <t>9+370</t>
  </si>
  <si>
    <t>บ้านหว้า - ภาชี</t>
  </si>
  <si>
    <t>บ่อโพง - โคกมะลิ</t>
  </si>
  <si>
    <t>ท้ายเกาะ - เสนา</t>
  </si>
  <si>
    <t>อยุธยา -ไผ่กองดิน</t>
  </si>
  <si>
    <t>บางปะอิน - บางกระสั้น</t>
  </si>
  <si>
    <t>บางบาล - ผักไห่</t>
  </si>
  <si>
    <t>หน้าโคก - เสนา</t>
  </si>
  <si>
    <t>นครหลวง - ท่าเรือ</t>
  </si>
  <si>
    <t>อยุธยา - บางปะอิน</t>
  </si>
  <si>
    <t>17+103</t>
  </si>
  <si>
    <t>ภาชี - ท่าเรือ</t>
  </si>
  <si>
    <t>บางปะอิน - อยุธยา</t>
  </si>
  <si>
    <t>โผงเผง - วัดตะกู</t>
  </si>
  <si>
    <t>20+730</t>
  </si>
  <si>
    <t>27+990</t>
  </si>
  <si>
    <t>ทางเข้านครหลวง</t>
  </si>
  <si>
    <t>คลองซอย 26 - คลองระพีพัฒน์</t>
  </si>
  <si>
    <t>3+190</t>
  </si>
  <si>
    <t>แขวงทางหลวงนครนายก</t>
  </si>
  <si>
    <t>ทางเข้าน้ำตกสาริกา</t>
  </si>
  <si>
    <t>2+980</t>
  </si>
  <si>
    <t>บ้านนา-บางอ้อ</t>
  </si>
  <si>
    <t>บางอ้อ - สำนักงานพลังงานปรมาณูเพื่อสันติ</t>
  </si>
  <si>
    <t>18+800</t>
  </si>
  <si>
    <t>5+881</t>
  </si>
  <si>
    <t>นครนายก - บางหอย</t>
  </si>
  <si>
    <t>เขาเพิ่ม - บ้านนา</t>
  </si>
  <si>
    <t>นครนายก - เขื่อนขุนด่านปราการชล</t>
  </si>
  <si>
    <t>คลอง 10 - หนองเสือ</t>
  </si>
  <si>
    <t>ท่าแดง - วังม่วง</t>
  </si>
  <si>
    <t>ลำลูกกา - คลอง 16</t>
  </si>
  <si>
    <t>วัดอำภาศิริวงศ์ - คลอง 16</t>
  </si>
  <si>
    <t>เขาชะโงก - ท้ายทอง</t>
  </si>
  <si>
    <t>ทองหลาง - ทรายมูล</t>
  </si>
  <si>
    <t>1+130</t>
  </si>
  <si>
    <t>แขวงทางหลวงสมุทรสาคร</t>
  </si>
  <si>
    <t>พุทธมณฑลสาย 4 - นครชัยศรี</t>
  </si>
  <si>
    <t>15+111</t>
  </si>
  <si>
    <t>31+419</t>
  </si>
  <si>
    <t>นครชัยศรี - เลียบแม่น้ำนครชัยศรี</t>
  </si>
  <si>
    <t>6+239</t>
  </si>
  <si>
    <t>สมุทรสาคร - บางบอน</t>
  </si>
  <si>
    <t>1+216</t>
  </si>
  <si>
    <t>13+746</t>
  </si>
  <si>
    <t>ไร่ขิง - ทรงคนอง</t>
  </si>
  <si>
    <t>1+800</t>
  </si>
  <si>
    <t>สามพราน - แม่น้ำนครชัยศรี</t>
  </si>
  <si>
    <t>5+153</t>
  </si>
  <si>
    <t>สมุทรสาคร - โคกขาม</t>
  </si>
  <si>
    <t>0+200</t>
  </si>
  <si>
    <t>7+137</t>
  </si>
  <si>
    <t>แขวงทางหลวงปทุมธานี</t>
  </si>
  <si>
    <t>คลองบางหลวง - ต่างระดับเชียงรากน้อย</t>
  </si>
  <si>
    <t>สนามกีฬาธูปะเตมีย์ - ต่างระดับคลองหลวง</t>
  </si>
  <si>
    <t>27+710</t>
  </si>
  <si>
    <t>30+700</t>
  </si>
  <si>
    <t>39+000</t>
  </si>
  <si>
    <t>ต่างระดับคลองหลวง - ประตูน้ำพระอินทร์</t>
  </si>
  <si>
    <t>46+400</t>
  </si>
  <si>
    <t>51+820</t>
  </si>
  <si>
    <t>60+141</t>
  </si>
  <si>
    <t>78+872</t>
  </si>
  <si>
    <t>ต่างระดับเชียงรากน้อย - ต่างระดับบางปะอิน</t>
  </si>
  <si>
    <t>84+127</t>
  </si>
  <si>
    <t>คลองบ้านใหม่ - บางพูน</t>
  </si>
  <si>
    <t>21+940</t>
  </si>
  <si>
    <t>23+900</t>
  </si>
  <si>
    <t>26+674</t>
  </si>
  <si>
    <t>บางคูวัด - แยกปทุมวิไล</t>
  </si>
  <si>
    <t>8+880</t>
  </si>
  <si>
    <t>10+813</t>
  </si>
  <si>
    <t>บางคูวัด - บางพูน</t>
  </si>
  <si>
    <t>10+547</t>
  </si>
  <si>
    <t>12+003</t>
  </si>
  <si>
    <t>12+803</t>
  </si>
  <si>
    <t>13+203</t>
  </si>
  <si>
    <t>13+503</t>
  </si>
  <si>
    <t>14+013</t>
  </si>
  <si>
    <t>14+783</t>
  </si>
  <si>
    <t>16+105</t>
  </si>
  <si>
    <t>ต่างระดับรังสิต - สะพานคลองเปรม</t>
  </si>
  <si>
    <t>1+184</t>
  </si>
  <si>
    <t>1+740</t>
  </si>
  <si>
    <t>สะพานคลองเปรม - สะพานข้ามแม่น้ำเจ้าพระยาปทุมธานี</t>
  </si>
  <si>
    <t>2+924</t>
  </si>
  <si>
    <t>7+495</t>
  </si>
  <si>
    <t>8+739</t>
  </si>
  <si>
    <t>10+240</t>
  </si>
  <si>
    <t>10+840</t>
  </si>
  <si>
    <t>สะพานข้ามแม่น้ำเจ้าพระยาปทุมธานี - ต่างระดับลาดหลุมแก้ว</t>
  </si>
  <si>
    <t>20+480</t>
  </si>
  <si>
    <t>ต่างระดับเชียงรากน้อย - บางกระสั้น</t>
  </si>
  <si>
    <t>15+881</t>
  </si>
  <si>
    <t>บ้านพร้าว - คลองห้า</t>
  </si>
  <si>
    <t>2+750</t>
  </si>
  <si>
    <t>4+940</t>
  </si>
  <si>
    <t>แขวงทางหลวงสมุทรปราการ</t>
  </si>
  <si>
    <t>บางปิ้ง - บางตำหรุ</t>
  </si>
  <si>
    <t>ทางเข้าท่าอากาศยานสุวรรณภูมิ - บางวัว</t>
  </si>
  <si>
    <t>14+900</t>
  </si>
  <si>
    <t>35+600</t>
  </si>
  <si>
    <t>ราษฎร์บูรณะ - พระสมุทรเจดีย์</t>
  </si>
  <si>
    <t>13+350</t>
  </si>
  <si>
    <t>15+020</t>
  </si>
  <si>
    <t>ทางเข้าท่าอากาศยานสุวรรณภูมิด้านถนนบางนา - บางวัว</t>
  </si>
  <si>
    <t>2+742</t>
  </si>
  <si>
    <t>คลองด่าน - บางบ่อ</t>
  </si>
  <si>
    <t>อุดมสุข - สมุทรปราการ</t>
  </si>
  <si>
    <t>10+800</t>
  </si>
  <si>
    <t>14+000</t>
  </si>
  <si>
    <t>12+490</t>
  </si>
  <si>
    <t>ลาดกระบัง - บางควาย</t>
  </si>
  <si>
    <t>23+517</t>
  </si>
  <si>
    <t>23+667</t>
  </si>
  <si>
    <t>24+197</t>
  </si>
  <si>
    <t>24+389</t>
  </si>
  <si>
    <t>25+022</t>
  </si>
  <si>
    <t>25+174</t>
  </si>
  <si>
    <t>26+799</t>
  </si>
  <si>
    <t>28+593</t>
  </si>
  <si>
    <t>28+752</t>
  </si>
  <si>
    <t>29+010</t>
  </si>
  <si>
    <t>30+845</t>
  </si>
  <si>
    <t>30+911</t>
  </si>
  <si>
    <t>31+854</t>
  </si>
  <si>
    <t>32+032</t>
  </si>
  <si>
    <t>32+783</t>
  </si>
  <si>
    <t>32+949</t>
  </si>
  <si>
    <t>34+184</t>
  </si>
  <si>
    <t>34+230</t>
  </si>
  <si>
    <t>34+849</t>
  </si>
  <si>
    <t>34+875</t>
  </si>
  <si>
    <t>36+104</t>
  </si>
  <si>
    <t>36+230</t>
  </si>
  <si>
    <t>38+126</t>
  </si>
  <si>
    <t>36+258</t>
  </si>
  <si>
    <t>38+600</t>
  </si>
  <si>
    <t>23+537</t>
  </si>
  <si>
    <t>24+215</t>
  </si>
  <si>
    <t>23+687</t>
  </si>
  <si>
    <t>25+013</t>
  </si>
  <si>
    <t>24+407</t>
  </si>
  <si>
    <t>26+829</t>
  </si>
  <si>
    <t>25+183</t>
  </si>
  <si>
    <t>27+303</t>
  </si>
  <si>
    <t>26+901</t>
  </si>
  <si>
    <t>28+541</t>
  </si>
  <si>
    <t>27+355</t>
  </si>
  <si>
    <t>28+733</t>
  </si>
  <si>
    <t>30+879</t>
  </si>
  <si>
    <t>29+031</t>
  </si>
  <si>
    <t>31+857</t>
  </si>
  <si>
    <t>30+945</t>
  </si>
  <si>
    <t>32+778</t>
  </si>
  <si>
    <t>32+035</t>
  </si>
  <si>
    <t>34+189</t>
  </si>
  <si>
    <t>32+944</t>
  </si>
  <si>
    <t>34+892</t>
  </si>
  <si>
    <t>34+244</t>
  </si>
  <si>
    <t>36+107</t>
  </si>
  <si>
    <t>34+918</t>
  </si>
  <si>
    <t>36+233</t>
  </si>
  <si>
    <t>ประเวศ - บางแก้ว</t>
  </si>
  <si>
    <t>64+550</t>
  </si>
  <si>
    <t>63+325</t>
  </si>
  <si>
    <t>แขวงทางหลวงนนทบุรี</t>
  </si>
  <si>
    <t>คลองมหาสวัสดิ์ - บางบัวทอง</t>
  </si>
  <si>
    <t>31+872</t>
  </si>
  <si>
    <t>40+472</t>
  </si>
  <si>
    <t>สะพานนนทบุรี  - บางคูวัด</t>
  </si>
  <si>
    <t>0+942</t>
  </si>
  <si>
    <t>2+700</t>
  </si>
  <si>
    <t>บางบัวทอง - บางคูวัด</t>
  </si>
  <si>
    <t>1+047</t>
  </si>
  <si>
    <t>9+607</t>
  </si>
  <si>
    <t>คลองวัดแดง - บางบัวทอง</t>
  </si>
  <si>
    <t>11+250</t>
  </si>
  <si>
    <t>8+625</t>
  </si>
  <si>
    <t>บางบัวทอง  -  ไทรน้อย</t>
  </si>
  <si>
    <t>14+850</t>
  </si>
  <si>
    <t>26+323</t>
  </si>
  <si>
    <t>คลองมหาสวัสดิ์ - คลองบางหลวง</t>
  </si>
  <si>
    <t>52+722</t>
  </si>
  <si>
    <t>59+922</t>
  </si>
  <si>
    <t>58+802</t>
  </si>
  <si>
    <t>52+172</t>
  </si>
  <si>
    <t>แขวงทางหลวงธนบุรี</t>
  </si>
  <si>
    <t>พระประแดง - บางแค</t>
  </si>
  <si>
    <t>19+972</t>
  </si>
  <si>
    <t>บางแค - คลองมหาสวัสดิ์</t>
  </si>
  <si>
    <t>อรุณอมรินทร์ - พุทธมณฑลสาย 4</t>
  </si>
  <si>
    <t>ทางยกระดับบางกอกน้อย - นครชัยศรี</t>
  </si>
  <si>
    <t>8+944</t>
  </si>
  <si>
    <t>แขวงทางหลวงฉะเชิงเทรา</t>
  </si>
  <si>
    <t>คลองหลวงแพ่ง - ฉะเชิงเทรา</t>
  </si>
  <si>
    <t>บางปะกง - แสนภูดาษ</t>
  </si>
  <si>
    <t>แสนภูดาษ - ฉะเชิงเทรา</t>
  </si>
  <si>
    <t>7+475</t>
  </si>
  <si>
    <t>ฉะเชิงเทรา - หัวไผ่</t>
  </si>
  <si>
    <t>โคกไทย - พนมสารคาม</t>
  </si>
  <si>
    <t>ทางเลี่ยงเมืองฉะเชิงเทราด้านเหนือ</t>
  </si>
  <si>
    <t>วังขอน - พนมสารคาม</t>
  </si>
  <si>
    <t>พนมสารคาม - อ่างฤาไน</t>
  </si>
  <si>
    <t>59+382</t>
  </si>
  <si>
    <t>บางคล้า - แปลงยาว</t>
  </si>
  <si>
    <t>บางน้ำเปรี้ยว - บางขนาก</t>
  </si>
  <si>
    <t>หนองไม้แก่น - ลาดกระทิง</t>
  </si>
  <si>
    <t>อ่างเก็บน้ำสียัด - หนองคอก</t>
  </si>
  <si>
    <t>บ้านโพธิ์ - แปลงยาว</t>
  </si>
  <si>
    <t>บางคล้า  - พนมสารคาม</t>
  </si>
  <si>
    <t>หนองปลาตะเพียน - หัวสำโรง</t>
  </si>
  <si>
    <t>ตลาดบางน้ำเปรี้ยว</t>
  </si>
  <si>
    <t>สนามชัยเขต - ห้วยน้ำใส</t>
  </si>
  <si>
    <t>บางวัว - บางควาย (ทางบริการด้านซ้ายทาง)</t>
  </si>
  <si>
    <t>บางวัว - บางควาย (ทางบริการด้านขวาทาง)</t>
  </si>
  <si>
    <t>บางควาย - เขาดิน</t>
  </si>
  <si>
    <t>39+475</t>
  </si>
  <si>
    <t>40+505</t>
  </si>
  <si>
    <t>40+705</t>
  </si>
  <si>
    <t>40+735</t>
  </si>
  <si>
    <t>47+800</t>
  </si>
  <si>
    <t>48+200</t>
  </si>
  <si>
    <t>แขวงทางหลวงชลบุรีที่ 1</t>
  </si>
  <si>
    <t>หัวไผ่ - ชลบุรี</t>
  </si>
  <si>
    <t>23+190</t>
  </si>
  <si>
    <t>พนัสนิคม - หนองชาก</t>
  </si>
  <si>
    <t>ทางเลี่ยงเมืองชลบุรี</t>
  </si>
  <si>
    <t>มาบโป่ง - หัวไผ่</t>
  </si>
  <si>
    <t>หนองเสือช้าง - หนองเสือช่อ</t>
  </si>
  <si>
    <t>หนองเสือช่อ - หนองไม้แก่น</t>
  </si>
  <si>
    <t>พนัสนิคม - เกาะโพธิ์</t>
  </si>
  <si>
    <t>เนินหลังเต่า - หนองเสม็ด</t>
  </si>
  <si>
    <t>หนองชาก - เนินโมก</t>
  </si>
  <si>
    <t>เนินโมก - ทับร้าง</t>
  </si>
  <si>
    <t>บ้านเก่า - พานทอง</t>
  </si>
  <si>
    <t>เขาดิน - ดอนหัวฬ่อ</t>
  </si>
  <si>
    <t>ดอนหัวฬ่อ - หนองข้างคอก</t>
  </si>
  <si>
    <t>65+300</t>
  </si>
  <si>
    <t>แขวงทางหลวงจันทบุรี</t>
  </si>
  <si>
    <t>ปากแซง - หน้าค่าย ตชด.</t>
  </si>
  <si>
    <t>หน้าค่าย ตชด. - พังงอน</t>
  </si>
  <si>
    <t>พังงอน - เขาแหลม</t>
  </si>
  <si>
    <t>พลิ้ว - แหลมสิงห์</t>
  </si>
  <si>
    <t>ท่าจุ๊ย - ท่าใหม่</t>
  </si>
  <si>
    <t>จันทบุรี - ท่าใหม่</t>
  </si>
  <si>
    <t>ทับไทร - เทพนิมิต</t>
  </si>
  <si>
    <t>เทพนิมิต - ตามูน</t>
  </si>
  <si>
    <t>พังงอน - จางวาง</t>
  </si>
  <si>
    <t>เขาไร่ยา - แพร่งขาหยั่ง</t>
  </si>
  <si>
    <t>เนินสูง - เขาสุกิม</t>
  </si>
  <si>
    <t>โป่งน้ำร้อน - จางวาง</t>
  </si>
  <si>
    <t>15+792</t>
  </si>
  <si>
    <t>เขาสุกิม - ห้วยสะท้อน</t>
  </si>
  <si>
    <t>หนองขอน - จันทนิมิต</t>
  </si>
  <si>
    <t>ทุ่งขนาน - ทับทิมสยาม05</t>
  </si>
  <si>
    <t>8+908</t>
  </si>
  <si>
    <t>บ้านแหลม - ทุ่งขนาน</t>
  </si>
  <si>
    <t>ชากไทย - ทุ่งจันดำ</t>
  </si>
  <si>
    <t>ทุ่งขนาน - ตาเรือง</t>
  </si>
  <si>
    <t>คลองทราย - จันทบุรี</t>
  </si>
  <si>
    <t>ท่าหลวง - ตลาดมะขาม</t>
  </si>
  <si>
    <t>บ้านถ้ำ - ยางระโหง</t>
  </si>
  <si>
    <t>แขวงทางหลวงตราด</t>
  </si>
  <si>
    <t>ตราด - แหลมศอก</t>
  </si>
  <si>
    <t>แหลมงอบ - แสนตุ้ง</t>
  </si>
  <si>
    <t>แสนตุ้ง - บ่อไร่</t>
  </si>
  <si>
    <t>บ่อไร่ - แหลมค้อ</t>
  </si>
  <si>
    <t>แสนตุ้ง - หนองบัว</t>
  </si>
  <si>
    <t>31+887</t>
  </si>
  <si>
    <t>เขาสมิง - นนทรีย์</t>
  </si>
  <si>
    <t>เนินสูง - ด่านชุมพล</t>
  </si>
  <si>
    <t>24+815</t>
  </si>
  <si>
    <t>ขลุง - มะขาม</t>
  </si>
  <si>
    <t>26+893</t>
  </si>
  <si>
    <t>ช้างทูน - โชคดี</t>
  </si>
  <si>
    <t>บ้านโป่ง - บ่อไร่</t>
  </si>
  <si>
    <t>14+639</t>
  </si>
  <si>
    <t>หนองระหาน - คลองเวฬุ</t>
  </si>
  <si>
    <t>คลองเวฬุ - นาวง</t>
  </si>
  <si>
    <t>ท่าประดู่ - ฉางเกลือ</t>
  </si>
  <si>
    <t>21+500</t>
  </si>
  <si>
    <t>ทางเดิมเขาท้ายไร่</t>
  </si>
  <si>
    <t>ทางเข้าพนมพริก</t>
  </si>
  <si>
    <t>แขวงทางหลวงระยอง</t>
  </si>
  <si>
    <t>ทางเลี่ยงเมืองระยอง</t>
  </si>
  <si>
    <t>บ้านแลง - หาดใหญ่</t>
  </si>
  <si>
    <t>บ้านค่าย - หนองละลอก</t>
  </si>
  <si>
    <t>บ้านเพ - ท่าเรือแกลง</t>
  </si>
  <si>
    <t>ท่าเรือแกลง - แหลมแม่พิมพ์</t>
  </si>
  <si>
    <t>แยกนิคมพัฒนา - อ่างเก็บน้ำหนองปลาไหล</t>
  </si>
  <si>
    <t>อ่างเก็บน้ำหนองปลาไหล - เขาน้อย</t>
  </si>
  <si>
    <t>บ้านฉาง - ถนนซอย 13 ของนิคมสร้างตนเองจังหวัดระยอง</t>
  </si>
  <si>
    <t>บางบุตร - ชุมแสง</t>
  </si>
  <si>
    <t>ทางรอบอ่างเก็บน้ำหนองปลาไหล</t>
  </si>
  <si>
    <t>ทางเข้าบ้านค่าย</t>
  </si>
  <si>
    <t>3+292</t>
  </si>
  <si>
    <t>แขวงทางหลวงชลบุรีที่ 2</t>
  </si>
  <si>
    <t>สัตหีบ - ห้วยใหญ่</t>
  </si>
  <si>
    <t>ห้วยใหญ่ - พันเสด็จนอก</t>
  </si>
  <si>
    <t>47+000</t>
  </si>
  <si>
    <t>พันเสด็จนอก - หนองปรือ</t>
  </si>
  <si>
    <t>68+300</t>
  </si>
  <si>
    <t>เขาหาดยาว - สำนักท้อน</t>
  </si>
  <si>
    <t>14+487</t>
  </si>
  <si>
    <t>14+216</t>
  </si>
  <si>
    <t>พลูตาหลวง - แสมสาร</t>
  </si>
  <si>
    <t>แยกอ่างศิลา - เขาสามมุข</t>
  </si>
  <si>
    <t>7+533</t>
  </si>
  <si>
    <t>หนองปรือ - สำนักตะแบก</t>
  </si>
  <si>
    <t>0+900</t>
  </si>
  <si>
    <t>สำนักตะแบก - เขาไม้แก้ว</t>
  </si>
  <si>
    <t>18+174</t>
  </si>
  <si>
    <t>ศรีราชา - อ่างเก็บน้ำหนองค้อ</t>
  </si>
  <si>
    <t>อ่างเก็บน้ำหนองค้อ - มาบเอียง</t>
  </si>
  <si>
    <t>เขาน้อย - หนองเสือช้าง</t>
  </si>
  <si>
    <t>16+800</t>
  </si>
  <si>
    <t>อนุสาวรีย์ ร.6 - สถานีรถไฟแสมสาร</t>
  </si>
  <si>
    <t>2+335</t>
  </si>
  <si>
    <t>มาบปู - เขาน้อย</t>
  </si>
  <si>
    <t>หนองข่า - น้ำตกซันตาเถร</t>
  </si>
  <si>
    <t>ทางต่างระดับคีรี - พัทยา</t>
  </si>
  <si>
    <t>80+294</t>
  </si>
  <si>
    <t>81+504</t>
  </si>
  <si>
    <t>86+369</t>
  </si>
  <si>
    <t>87+519</t>
  </si>
  <si>
    <t>92+144</t>
  </si>
  <si>
    <t>98+644</t>
  </si>
  <si>
    <t>99+144</t>
  </si>
  <si>
    <t>100+844</t>
  </si>
  <si>
    <t>101+144</t>
  </si>
  <si>
    <t>102+204</t>
  </si>
  <si>
    <t>104+644</t>
  </si>
  <si>
    <t>106+744</t>
  </si>
  <si>
    <t>107+394</t>
  </si>
  <si>
    <t>107+694</t>
  </si>
  <si>
    <t>108+694</t>
  </si>
  <si>
    <t>109+094</t>
  </si>
  <si>
    <t>112+419</t>
  </si>
  <si>
    <t>112+594</t>
  </si>
  <si>
    <t>114+801</t>
  </si>
  <si>
    <t>118+147</t>
  </si>
  <si>
    <t>118+417</t>
  </si>
  <si>
    <t>118+892</t>
  </si>
  <si>
    <t>119+507</t>
  </si>
  <si>
    <t>120+108</t>
  </si>
  <si>
    <t>122+737</t>
  </si>
  <si>
    <t>123+382</t>
  </si>
  <si>
    <t>123+580</t>
  </si>
  <si>
    <t>124+141</t>
  </si>
  <si>
    <t>124+501</t>
  </si>
  <si>
    <t>124+675</t>
  </si>
  <si>
    <t>125+094</t>
  </si>
  <si>
    <t>125+146</t>
  </si>
  <si>
    <t>125+440</t>
  </si>
  <si>
    <t>84+594</t>
  </si>
  <si>
    <t>83+744</t>
  </si>
  <si>
    <t>101+074</t>
  </si>
  <si>
    <t>102+044</t>
  </si>
  <si>
    <t>105+794</t>
  </si>
  <si>
    <t>105+444</t>
  </si>
  <si>
    <t>106+794</t>
  </si>
  <si>
    <t>110+864</t>
  </si>
  <si>
    <t>109+199</t>
  </si>
  <si>
    <t>111+394</t>
  </si>
  <si>
    <t>114+819</t>
  </si>
  <si>
    <t>119+832</t>
  </si>
  <si>
    <t>118+356</t>
  </si>
  <si>
    <t>122+826</t>
  </si>
  <si>
    <t>120+622</t>
  </si>
  <si>
    <t>123+007</t>
  </si>
  <si>
    <t>122+896</t>
  </si>
  <si>
    <t>125+083</t>
  </si>
  <si>
    <t>124+672</t>
  </si>
  <si>
    <t>125+400</t>
  </si>
  <si>
    <t>125+135</t>
  </si>
  <si>
    <t>แขวงทางหลวงชุมพร</t>
  </si>
  <si>
    <t>สี่แยกปฐมพร - แยกหมอเล็ก</t>
  </si>
  <si>
    <t>ท่าแซะ - ท่าเสม็ด</t>
  </si>
  <si>
    <t>ท่าเสม็ด - ศูนย์ราชการชุมพร</t>
  </si>
  <si>
    <t>ทางเข้าตลาดท่าแซะ</t>
  </si>
  <si>
    <t>บ้านพละ - ปะทิว</t>
  </si>
  <si>
    <t>11+100</t>
  </si>
  <si>
    <t>13+300</t>
  </si>
  <si>
    <t>48+208</t>
  </si>
  <si>
    <t>หนองหัดไท - ดอนยาง</t>
  </si>
  <si>
    <t>แยกโพธารส - ท่ายาง</t>
  </si>
  <si>
    <t>สวี - บ่อคา</t>
  </si>
  <si>
    <t>7+583</t>
  </si>
  <si>
    <t>2+875</t>
  </si>
  <si>
    <t>15+282</t>
  </si>
  <si>
    <t>วังตะกอ - หลังสวน</t>
  </si>
  <si>
    <t>เขาปีบ - นาเหนือ</t>
  </si>
  <si>
    <t>71+858</t>
  </si>
  <si>
    <t>70+568</t>
  </si>
  <si>
    <t>เขาม่วง - วัดแหลมทราย</t>
  </si>
  <si>
    <t>6+500</t>
  </si>
  <si>
    <t>สี่แยกละแม - สวนแตง</t>
  </si>
  <si>
    <t>ปากคลอง - ปากน้ำชุมพร</t>
  </si>
  <si>
    <t>หลังสวน - ละแม</t>
  </si>
  <si>
    <t>แขวงทางหลวงประจวบคีรีขันธ์ (หัวหิน)</t>
  </si>
  <si>
    <t>ปราณบุรี - ปากน้ำปราณ</t>
  </si>
  <si>
    <t>สามแยกบางสะพาน - ชายทะเล</t>
  </si>
  <si>
    <t>กุยบุรี - ยางชุม</t>
  </si>
  <si>
    <t>หัวหิน - โป่งแย้</t>
  </si>
  <si>
    <t>หนองตะเภา - ห้วยมงคล</t>
  </si>
  <si>
    <t>ทางเข้าหาดทรายใหญ่</t>
  </si>
  <si>
    <t>สามแยกบ้านกรูด - ปากคลองบ้านกรูด</t>
  </si>
  <si>
    <t>ช้างแรก - บางสะพานน้อย</t>
  </si>
  <si>
    <t>12+150</t>
  </si>
  <si>
    <t>แขวงทางหลวงราชบุรี</t>
  </si>
  <si>
    <t>หนองตะแครง - ลูกแก</t>
  </si>
  <si>
    <t>ราชบุรี - แก้มอ้น</t>
  </si>
  <si>
    <t>บ้านเลือก - หนองตากยา</t>
  </si>
  <si>
    <t>16+094</t>
  </si>
  <si>
    <t>43+086</t>
  </si>
  <si>
    <t>18+515</t>
  </si>
  <si>
    <t>โป่งกระทิง - จอมบึง</t>
  </si>
  <si>
    <t>เขากรวด - หนองแช่เสา</t>
  </si>
  <si>
    <t>เขาวัง - เหมืองผาปกค้างคาว</t>
  </si>
  <si>
    <t>40+662</t>
  </si>
  <si>
    <t>68+034</t>
  </si>
  <si>
    <t>41+062</t>
  </si>
  <si>
    <t>เจ็ดเสมียน - โคกหม้อ</t>
  </si>
  <si>
    <t>โคกสูง - หนองเป็ด</t>
  </si>
  <si>
    <t>เจดีย์หัก - แก้วฟ้า</t>
  </si>
  <si>
    <t>3+920</t>
  </si>
  <si>
    <t>4+207</t>
  </si>
  <si>
    <t>14+207</t>
  </si>
  <si>
    <t>แก้วฟ้า  - เขาช่องพราน</t>
  </si>
  <si>
    <t>เขาช่องพราน - เบิกไพร</t>
  </si>
  <si>
    <t>45+605</t>
  </si>
  <si>
    <t>25+032</t>
  </si>
  <si>
    <t>คูบัว - ราชบุรี</t>
  </si>
  <si>
    <t>ห้วยชินสีห์ - พญาไม้</t>
  </si>
  <si>
    <t>ประตูน้ำ - ท่าผา</t>
  </si>
  <si>
    <t>0+315</t>
  </si>
  <si>
    <t>สามแยกกระจับ - หนองโพ</t>
  </si>
  <si>
    <t>กำแพงใต้ - บ้านเลือก</t>
  </si>
  <si>
    <t>4+218</t>
  </si>
  <si>
    <t>ปากบึง - ทำเนียบ</t>
  </si>
  <si>
    <t>0+751</t>
  </si>
  <si>
    <t>ทางเข้าเจ็ดเสมียน</t>
  </si>
  <si>
    <t>แขวงทางหลวงนครปฐม</t>
  </si>
  <si>
    <t>นครปฐม - ดอนตูม</t>
  </si>
  <si>
    <t>42+935</t>
  </si>
  <si>
    <t>59+425</t>
  </si>
  <si>
    <t>ดอนตูม - ลำลูกบัว</t>
  </si>
  <si>
    <t>59+515</t>
  </si>
  <si>
    <t>69+324</t>
  </si>
  <si>
    <t>เด่นมะขาม - บางเลน</t>
  </si>
  <si>
    <t>28+629</t>
  </si>
  <si>
    <t>หลักสาม - บางโทรัด</t>
  </si>
  <si>
    <t>6+178</t>
  </si>
  <si>
    <t>ดอนตูม - บางเลน</t>
  </si>
  <si>
    <t>12+774</t>
  </si>
  <si>
    <t>หนองปลาไหล - ดอนตูม</t>
  </si>
  <si>
    <t>8+422</t>
  </si>
  <si>
    <t>บางน้อยใน - บางหลวง</t>
  </si>
  <si>
    <t>39+029</t>
  </si>
  <si>
    <t>35+602</t>
  </si>
  <si>
    <t>วัดยกกระบัตร - หลักสี่</t>
  </si>
  <si>
    <t>2+760</t>
  </si>
  <si>
    <t>หลักสาม - คลองยกกระบัตร</t>
  </si>
  <si>
    <t>1+806</t>
  </si>
  <si>
    <t>แขวงทางหลวงสมุทรสงคราม</t>
  </si>
  <si>
    <t>จอมปลวก - สมุทรสงคราม</t>
  </si>
  <si>
    <t>ทางเข้าเทศบาลตำบลโพหัก</t>
  </si>
  <si>
    <t>วัดแก้ว - บ้านไร่</t>
  </si>
  <si>
    <t>บ้านสิงห์ - บ้านแพ้ว</t>
  </si>
  <si>
    <t>โคกวัด - บ้านไร่</t>
  </si>
  <si>
    <t>ห้วยชินสีห์ - หินสี</t>
  </si>
  <si>
    <t>ท่ายาง - หนองหญ้าปล้อง</t>
  </si>
  <si>
    <t>เทศบาลเมืองสมุทรสงคราม - ท่าน้ำสมุทรสงคราม</t>
  </si>
  <si>
    <t>แขวงทางหลวงเพชรบุรี</t>
  </si>
  <si>
    <t>สระพัง - เขาวัง</t>
  </si>
  <si>
    <t>ชะอำ - ห้วยทรายใต้</t>
  </si>
  <si>
    <t>210+060</t>
  </si>
  <si>
    <t>192+167</t>
  </si>
  <si>
    <t>เทศบาลเมืองเพชรบุรี - บันไดอิฐ</t>
  </si>
  <si>
    <t>หนองเผาถ่าน - บ้านท่า</t>
  </si>
  <si>
    <t>ท่ายาง - เขื่อนเพชร</t>
  </si>
  <si>
    <t>เพชรบุรี - บ้านแหลมฝั่งตะวันตก</t>
  </si>
  <si>
    <t>เพชรบุรี - หาดเจ้าสำราญ</t>
  </si>
  <si>
    <t>เพชรบุรี - บ้านแหลมฝั่งตะวันออก</t>
  </si>
  <si>
    <t>เทศบาลเมืองเพชรบุรี - บ้านลาด</t>
  </si>
  <si>
    <t>เขื่อนเพชร - บางกุฬา</t>
  </si>
  <si>
    <t>ทางเข้าโครงการพระราชประสงค์หุบกระพง</t>
  </si>
  <si>
    <t>เขาตะเครา - หนองแก</t>
  </si>
  <si>
    <t>เขาอ่างแก้ว - วังกุ่ม</t>
  </si>
  <si>
    <t>หนองควง - หนองหญ้าปล้อง</t>
  </si>
  <si>
    <t>หนองเอื้อง - ทุ่งขาม</t>
  </si>
  <si>
    <t>เขื่อนเพชร - ห้วยโสก</t>
  </si>
  <si>
    <t>โป่งแย้ - หุบเฉลา</t>
  </si>
  <si>
    <t>หินลาด - เขื่อนแก่งกระจาน</t>
  </si>
  <si>
    <t>เขื่อนเพชร - เขื่อนแก่งกระจาน</t>
  </si>
  <si>
    <t>ด่านโง - หนองปืนแตก</t>
  </si>
  <si>
    <t>เข้าเมืองเพชรบุรี</t>
  </si>
  <si>
    <t>4+800</t>
  </si>
  <si>
    <t>6+397</t>
  </si>
  <si>
    <t>ทางเข้าพระราชนิเวศน์มฤคทายวัน</t>
  </si>
  <si>
    <t>แขวงทางหลวงนครศรีธรรมราชที่ 1</t>
  </si>
  <si>
    <t>สิชล - ท่าแพ</t>
  </si>
  <si>
    <t>ท่าแพ - นครศรีธรรมราช</t>
  </si>
  <si>
    <t>นครศรีธรรมราช - เสาธง</t>
  </si>
  <si>
    <t>หัวถนน - เฉลิมพระเกียรติ</t>
  </si>
  <si>
    <t>เฉลิมพระเกียรติ - ปากระวะ</t>
  </si>
  <si>
    <t>ปากพนัง - หัวไทร</t>
  </si>
  <si>
    <t>แขวงทางหลวงนครศรีธรรมราชที่ 2</t>
  </si>
  <si>
    <t>บ้านตาล - เขาธง</t>
  </si>
  <si>
    <t>24+070</t>
  </si>
  <si>
    <t>นครศรีธรรมราช - พรหมคีรี</t>
  </si>
  <si>
    <t>18+729</t>
  </si>
  <si>
    <t>พรหมคีรี - นบพิตำ</t>
  </si>
  <si>
    <t>บ่อล้อ - เชียรใหญ่</t>
  </si>
  <si>
    <t>เชียรใหญ่ - ปากพนัง</t>
  </si>
  <si>
    <t>ปากพูน - เบญจม</t>
  </si>
  <si>
    <t>F2</t>
  </si>
  <si>
    <t>เบญจม - จังหูน</t>
  </si>
  <si>
    <t>ท่าศาลา - นบพิตำ</t>
  </si>
  <si>
    <t>หัวไทร - ปากเหมือง</t>
  </si>
  <si>
    <t>บ่อล้อ - กุมแป</t>
  </si>
  <si>
    <t>โรงเหล็ก - ห้วยพาน</t>
  </si>
  <si>
    <t>ห้วยพาน - น้ำตกกรุงชิง</t>
  </si>
  <si>
    <t>ท่าพุด - ยอดเหลือง</t>
  </si>
  <si>
    <t>บนเนิน - ท่าเทียบเรือประมงปากพนัง</t>
  </si>
  <si>
    <t>ไม้หลา - ลานสกา</t>
  </si>
  <si>
    <t>ตอม่อ - ท่าศาลา</t>
  </si>
  <si>
    <t>บนเนิน - ปากพนัง</t>
  </si>
  <si>
    <t>หัวถนนชายทะเล - เนินตาขำ</t>
  </si>
  <si>
    <t>แขวงทางหลวงตรัง</t>
  </si>
  <si>
    <t>กะปาง - ห้วยนาง</t>
  </si>
  <si>
    <t>ห้วยนาง - ต้นม่วง</t>
  </si>
  <si>
    <t>ต้นม่วง - ตรัง</t>
  </si>
  <si>
    <t>ตรัง - บ้านนา</t>
  </si>
  <si>
    <t>ถนนวงแหวนรอบเมืองตรัง</t>
  </si>
  <si>
    <t>บางรัก - ควนขัน</t>
  </si>
  <si>
    <t>ตรัง - สิเกา</t>
  </si>
  <si>
    <t>ถนนเลี่ยงเมืองสิเกา</t>
  </si>
  <si>
    <t>บ้านโพธิ์ - ห้วยยอด</t>
  </si>
  <si>
    <t>นาโยงเหนือ - ย่านตาขาว</t>
  </si>
  <si>
    <t>24+035</t>
  </si>
  <si>
    <t>น้ำตก - กะปาง</t>
  </si>
  <si>
    <t>คลองเต็ง - เขาวิเศษ</t>
  </si>
  <si>
    <t>นาวง - ต้นชด</t>
  </si>
  <si>
    <t>ต้นมะม่วง - ปากเมง</t>
  </si>
  <si>
    <t>บ้านนา - ปากปรน - บกหัก</t>
  </si>
  <si>
    <t>ห้วยนาง - บ้านซา</t>
  </si>
  <si>
    <t>ป่าเตียว - ทุ่งค่าย</t>
  </si>
  <si>
    <t>บ้านช่อง - หาดเลา</t>
  </si>
  <si>
    <t>ห้วยนาง - หนองบัว</t>
  </si>
  <si>
    <t>3+500</t>
  </si>
  <si>
    <t>23+288</t>
  </si>
  <si>
    <t>3+810</t>
  </si>
  <si>
    <t>ควนตอ - บ้านควน</t>
  </si>
  <si>
    <t>ห้วยยอด - คลองมวน</t>
  </si>
  <si>
    <t>คลองมวน - คลองโกง</t>
  </si>
  <si>
    <t>ห้วยยอด - ท่างิ้ว</t>
  </si>
  <si>
    <t>ทางเข้าหลักเมือง</t>
  </si>
  <si>
    <t>ทางเข้าสิเกา</t>
  </si>
  <si>
    <t>ตลาดฉุ้น - บ้านซา</t>
  </si>
  <si>
    <t>แขวงทางหลวงสุราษฎร์ธานี ที่ 1 (พุนพิน)</t>
  </si>
  <si>
    <t>วงแหวนรอบเมืองสุราษฎร์ธานี</t>
  </si>
  <si>
    <t>36+270</t>
  </si>
  <si>
    <t>33+841</t>
  </si>
  <si>
    <t>เชิงสมอ - พุมเรียง</t>
  </si>
  <si>
    <t>4+200</t>
  </si>
  <si>
    <t>11+054</t>
  </si>
  <si>
    <t>2+150</t>
  </si>
  <si>
    <t>สวนแตง - ไชยา</t>
  </si>
  <si>
    <t>55+872</t>
  </si>
  <si>
    <t>33+472</t>
  </si>
  <si>
    <t>29+767</t>
  </si>
  <si>
    <t>13+822</t>
  </si>
  <si>
    <t>สมอทอง - ชายทะเล</t>
  </si>
  <si>
    <t>บางชุมโถ - วัดประดู่</t>
  </si>
  <si>
    <t>หนองขรี - เทศบาลเมืองท่าข้าม</t>
  </si>
  <si>
    <t>คชาธาร - วัดมูลเหล็ก</t>
  </si>
  <si>
    <t>เกาะมุกข์ - โมถ่าย</t>
  </si>
  <si>
    <t>บางอิฐ - บางเทพ</t>
  </si>
  <si>
    <t>1+945</t>
  </si>
  <si>
    <t>ห้วยพุน - พุมเรียง</t>
  </si>
  <si>
    <t>ห้วยไผ่ - น้ำดำ</t>
  </si>
  <si>
    <t>ต้นปาบ - วิภาวดี</t>
  </si>
  <si>
    <t>ทุ่งตาเพชร - ห้วยสลิง</t>
  </si>
  <si>
    <t>ห้วยสลิง - น้ำดำ</t>
  </si>
  <si>
    <t>ทุ่งโพธิ์ - คลองราง</t>
  </si>
  <si>
    <t>บางน้ำจืด - ตะกุกเหนือ</t>
  </si>
  <si>
    <t>หนองนิล - คลองสงค์</t>
  </si>
  <si>
    <t>ทางเข้าวัดมะปริง</t>
  </si>
  <si>
    <t>หนองไทร  - ท่าข้าม</t>
  </si>
  <si>
    <t>เขาดิน - บางปอ</t>
  </si>
  <si>
    <t>ห้วยกรวด - บางงอน</t>
  </si>
  <si>
    <t>แขวงทางหลวงนครศรีธรรมราชที่ 2 (ทุ่งสง)</t>
  </si>
  <si>
    <t>เสาธง - สวนผัก</t>
  </si>
  <si>
    <t>เขาธง - ฉวาง</t>
  </si>
  <si>
    <t>60+300</t>
  </si>
  <si>
    <t>ฉวาง - ห้วยปริก</t>
  </si>
  <si>
    <t>ทุ่งใหญ่ - ช้างกลาง</t>
  </si>
  <si>
    <t>ทุ่งใหญ่ - วัดขนาน</t>
  </si>
  <si>
    <t>ทุ่งสง - ทุ่งใหญ่</t>
  </si>
  <si>
    <t>47+731</t>
  </si>
  <si>
    <t>ทุ่งใหญ่ - บางรูป</t>
  </si>
  <si>
    <t>ควนหนองหงส์ - น้ำตก</t>
  </si>
  <si>
    <t>ชะอวด - บ้านตูล</t>
  </si>
  <si>
    <t>ควนสงสาร - กระทูน</t>
  </si>
  <si>
    <t>กระทูน - ห้วยทรายขาว</t>
  </si>
  <si>
    <t>สำนักขัน - เหนือคลอง</t>
  </si>
  <si>
    <t>ควนไม้แดง - มะนาวหวาน</t>
  </si>
  <si>
    <t>ลานข่อย -ไม้เสียบ</t>
  </si>
  <si>
    <t>ร่อนพิบูลย์ - ควนเกย</t>
  </si>
  <si>
    <t>ทางเข้าสหกรณ์ทุ่งสง</t>
  </si>
  <si>
    <t>แขวงทางหลวงสุราษฎร์ธานีที่ 2 (กาญจนดิษฐ์)</t>
  </si>
  <si>
    <t>ท่าโรงช้าง - กิโลศูนย์</t>
  </si>
  <si>
    <t>บางกุ้ง - เขาหัวช้าง</t>
  </si>
  <si>
    <t>บางใหญ่ - นาสาร</t>
  </si>
  <si>
    <t>หนองสวน - คำสน</t>
  </si>
  <si>
    <t>บ้านใน - บ้านโฉ</t>
  </si>
  <si>
    <t>ซอยสิบ - บ้านกรูด</t>
  </si>
  <si>
    <t>ทางรอบเกาะสมุย</t>
  </si>
  <si>
    <t>40+000</t>
  </si>
  <si>
    <t>เขาหมอน - บ้านพ่วง</t>
  </si>
  <si>
    <t>ทางเข้านาสารด้านเหนือ</t>
  </si>
  <si>
    <t>ทางเข้าน้ำพุ</t>
  </si>
  <si>
    <t>ทางเข้านาสารด้านใต้</t>
  </si>
  <si>
    <t>ทางเข้ายางอุง</t>
  </si>
  <si>
    <t>บางน้ำจีด - เขากลอย</t>
  </si>
  <si>
    <t>วัดไทร - ปากน้ำกะแดะ</t>
  </si>
  <si>
    <t>ดอนเนาว์ - บ้านพอด</t>
  </si>
  <si>
    <t>แหลมยาง - หาดผก</t>
  </si>
  <si>
    <t>แขวงทางหลวงสุราษฎร์ธานีที่ 3 (เวียงสระ)</t>
  </si>
  <si>
    <t>บางคราม - พนม</t>
  </si>
  <si>
    <t>บางสวรรค์ - บางหล่อ</t>
  </si>
  <si>
    <t>ห้วยปริก - บ้านส้อง</t>
  </si>
  <si>
    <t>นาชุมเห็ด - โคกมะพร้าว</t>
  </si>
  <si>
    <t>สองแพรก - ควนสว่าง</t>
  </si>
  <si>
    <t>ยางอุง - นาสาร</t>
  </si>
  <si>
    <t>บางรูป - พระแสง</t>
  </si>
  <si>
    <t>ท่าโรงช้าง - ควนสามัคคี</t>
  </si>
  <si>
    <t>ควนสามัคคี - พระแสง</t>
  </si>
  <si>
    <t>บ่อพระ - ควนสามัคคี</t>
  </si>
  <si>
    <t>ปลายหลิก - ทับใหม่</t>
  </si>
  <si>
    <t>ห้วยทรายขาว - ห้วยปริก</t>
  </si>
  <si>
    <t>ช่องช้าง - นาสาร</t>
  </si>
  <si>
    <t>เขาวง - หน้าเขา</t>
  </si>
  <si>
    <t>ควนกลิ้ง - ในปราบ</t>
  </si>
  <si>
    <t>ห้วยกลาง  - กะทูน</t>
  </si>
  <si>
    <t>แขวงทางหลวงกระบี่</t>
  </si>
  <si>
    <t>ในช่อง - ในไร่</t>
  </si>
  <si>
    <t>ปากน้ำกระบี่ - เขาทอง</t>
  </si>
  <si>
    <t>เหนือคลอง - สองแพรก</t>
  </si>
  <si>
    <t>คลองท่อม - ทุ่งใหญ่</t>
  </si>
  <si>
    <t>บางผึ้ง - โคกยาง</t>
  </si>
  <si>
    <t>สิเกา - ควนกุน</t>
  </si>
  <si>
    <t>บางขัน - ลำทับ</t>
  </si>
  <si>
    <t>75+693</t>
  </si>
  <si>
    <t>103+692</t>
  </si>
  <si>
    <t>เขาพนม - ทุ่งใหญ่</t>
  </si>
  <si>
    <t>ช่องพลี - อ่าวพระนาง</t>
  </si>
  <si>
    <t>ช่องพลี - หาดนพรัตน์ธารา</t>
  </si>
  <si>
    <t>อ่าวน้ำเมา - หาดนพรัตน์ธารา</t>
  </si>
  <si>
    <t>ไสไทย - สุสานหอย 75 ล้านปี</t>
  </si>
  <si>
    <t>ห้วยน้ำขาว - เกาะกลาง</t>
  </si>
  <si>
    <t>สวนปาล์ม -คลองชี</t>
  </si>
  <si>
    <t>16+118</t>
  </si>
  <si>
    <t>ถนนแพรก - ลำนาว</t>
  </si>
  <si>
    <t>ทุ่งใหญ่ - ควนปริง</t>
  </si>
  <si>
    <t>ทอนแจ้ - อ่าวตง</t>
  </si>
  <si>
    <t>ควนกุน - หนองชุมแสง</t>
  </si>
  <si>
    <t>แขวงทางหลวงภูเก็ต</t>
  </si>
  <si>
    <t>โคกกลอย - หมากปรก</t>
  </si>
  <si>
    <t>หมากปรก - เมืองภูเก็ต</t>
  </si>
  <si>
    <t>เมืองภูเก็ต - กะทู้</t>
  </si>
  <si>
    <t>เมืองภูเก็ต - ห้าแยกฉลอง</t>
  </si>
  <si>
    <t>โรงเรียนวิชิตสงคราม - สนามสุรกุล</t>
  </si>
  <si>
    <t>เมืองภูเก็ต - แหลมพันวา</t>
  </si>
  <si>
    <t>บางคู  - ตีนเขา</t>
  </si>
  <si>
    <t>ตีนเขา - หาดราไวย์</t>
  </si>
  <si>
    <t>ท่าเรือ -  เชิงทะเล</t>
  </si>
  <si>
    <t>ทางเข้าสนามบินภูเก็ต</t>
  </si>
  <si>
    <t>ท่าเรือ - เมืองใหม่</t>
  </si>
  <si>
    <t>ห้าแยกฉลอง - กะรน</t>
  </si>
  <si>
    <t>กะทู้ - ป่าตอง</t>
  </si>
  <si>
    <t>มุดดอกขาว - สนามบินภูเก็ต</t>
  </si>
  <si>
    <t>บางไทร - ตำตัว</t>
  </si>
  <si>
    <t>ทางเข้าบางไทร</t>
  </si>
  <si>
    <t>นิคม - หินดาน</t>
  </si>
  <si>
    <t>ทางเข้าอ่าวมะขาม</t>
  </si>
  <si>
    <t>ลำแก่น - ทับละมุ</t>
  </si>
  <si>
    <t>ตีนเขา - นาบอน</t>
  </si>
  <si>
    <t>ทุ่งมะพร้าว - สามแยกนิคม</t>
  </si>
  <si>
    <t>ท่านุ่น -ในหยง</t>
  </si>
  <si>
    <t>หาดทรายแก้ว - ท่านุ่น</t>
  </si>
  <si>
    <t>ท่านุ่น - สามแยกสะพานสารสิน</t>
  </si>
  <si>
    <t>ท่าฉัตรไชย  -  หมวดถลาง</t>
  </si>
  <si>
    <t>แขวงทางหลวงพังงา</t>
  </si>
  <si>
    <t>เขาศก - พนม</t>
  </si>
  <si>
    <t>32+492</t>
  </si>
  <si>
    <t>นาเหนือ - บางคราม</t>
  </si>
  <si>
    <t>บางหล่อ - อ่าวลึก</t>
  </si>
  <si>
    <t>นบปริง - นิคม</t>
  </si>
  <si>
    <t>บางเหรียง - พนม</t>
  </si>
  <si>
    <t>เขาต่อ - ปลายพระยา</t>
  </si>
  <si>
    <t>ทางเข้ากะไหล</t>
  </si>
  <si>
    <t>ทางเข้ากระโสม</t>
  </si>
  <si>
    <t>แขวงทางหลวงระนอง</t>
  </si>
  <si>
    <t>ทางแยกเข้าระนอง</t>
  </si>
  <si>
    <t>ราชกรูด  -  วังตะกอ</t>
  </si>
  <si>
    <t>บางสีกิ้ม - เขาค่าย</t>
  </si>
  <si>
    <t>56+173</t>
  </si>
  <si>
    <t>เขาค่าย - เขาปีบ</t>
  </si>
  <si>
    <t>เขาค่าย - เขาทะลุ</t>
  </si>
  <si>
    <t>ทางเข้าเมืองระนอง</t>
  </si>
  <si>
    <t>แขวงทางหลวงสงขลาที่ 1</t>
  </si>
  <si>
    <t>ควนหิน - สงขลา</t>
  </si>
  <si>
    <t>ปากระวะ - สทิงพระ</t>
  </si>
  <si>
    <t>สทิงพระ - เกาะยอ</t>
  </si>
  <si>
    <t>125+011</t>
  </si>
  <si>
    <t>155+141</t>
  </si>
  <si>
    <t>159+143</t>
  </si>
  <si>
    <t>165+583</t>
  </si>
  <si>
    <t>น้ำกระจาย - คลองวง</t>
  </si>
  <si>
    <t>คลองวง - ท่าท้อน</t>
  </si>
  <si>
    <t>2+550</t>
  </si>
  <si>
    <t>16+430</t>
  </si>
  <si>
    <t>16+292</t>
  </si>
  <si>
    <t>19+574</t>
  </si>
  <si>
    <t>22+020</t>
  </si>
  <si>
    <t>19+751</t>
  </si>
  <si>
    <t>24+105</t>
  </si>
  <si>
    <t>22+250</t>
  </si>
  <si>
    <t>24+315</t>
  </si>
  <si>
    <t>17+350</t>
  </si>
  <si>
    <t>ทางเข้าสนามบินหาดใหญ่</t>
  </si>
  <si>
    <t>ทางเข้าสถานีรถไฟบางกล่ำ</t>
  </si>
  <si>
    <t>ควนลัง - หาดใหญ่</t>
  </si>
  <si>
    <t>30+843</t>
  </si>
  <si>
    <t>31+224</t>
  </si>
  <si>
    <t>29+224</t>
  </si>
  <si>
    <t>29+724</t>
  </si>
  <si>
    <t>สามแยกทุ่งหวัง - สงขลา</t>
  </si>
  <si>
    <t>ทางเข้าหาดใหญ่</t>
  </si>
  <si>
    <t>แขวงทางหลวงพัทลุง</t>
  </si>
  <si>
    <t>ไม้เสียบ - หัวถนน</t>
  </si>
  <si>
    <t>25+977</t>
  </si>
  <si>
    <t>32+401</t>
  </si>
  <si>
    <t>35+233</t>
  </si>
  <si>
    <t>36+293</t>
  </si>
  <si>
    <t>38+312</t>
  </si>
  <si>
    <t>42+762</t>
  </si>
  <si>
    <t>ลำปำ - พัทลุง</t>
  </si>
  <si>
    <t>สี่แยกช่องโก - ทุ่งข่า</t>
  </si>
  <si>
    <t>ห้วยทราย - ปากพะยูน</t>
  </si>
  <si>
    <t>ท่านางพรหม - จงเก</t>
  </si>
  <si>
    <t>แม่ขรี - โหล๊ะจังกระ</t>
  </si>
  <si>
    <t>ป่าบอนเหนือ - โหล๊ะจังกระ</t>
  </si>
  <si>
    <t>โหล๊ะจังกระ - บ้านนา</t>
  </si>
  <si>
    <t>โคกสัก - หาดไข่เต่า</t>
  </si>
  <si>
    <t>15+986</t>
  </si>
  <si>
    <t>ควนดินสอ - เขาปู่</t>
  </si>
  <si>
    <t>เขาปู่ - ป่าพะยอม</t>
  </si>
  <si>
    <t>สี่แยกโพธิ์ทอง - เขาปู่</t>
  </si>
  <si>
    <t>โคกทราย - ปากพะยูน</t>
  </si>
  <si>
    <t>สี่แยกโพธิ์ทอง - ควนขนุน</t>
  </si>
  <si>
    <t>ควนขนุน - ทะเลน้อย</t>
  </si>
  <si>
    <t>แม่ขรี - ตะโหมด</t>
  </si>
  <si>
    <t>ท่ามิหรำ - โคกกอก</t>
  </si>
  <si>
    <t>ไสยวน  - ควนขนุน</t>
  </si>
  <si>
    <t>แขวงทางหลวงสตูล</t>
  </si>
  <si>
    <t>บ้านนา - หยงสตาร์</t>
  </si>
  <si>
    <t>ค่ายรวมมิตร - ย่านซื่อ</t>
  </si>
  <si>
    <t>ย่านซื่อ - ตำมะลัง</t>
  </si>
  <si>
    <t>99+890</t>
  </si>
  <si>
    <t>75+725</t>
  </si>
  <si>
    <t>89+115</t>
  </si>
  <si>
    <t>92+974</t>
  </si>
  <si>
    <t>ฉลุง - ละงู</t>
  </si>
  <si>
    <t>สตูล - เจ๊ะบิลัง</t>
  </si>
  <si>
    <t>เขาขาว - ท่าเรือปากบารา</t>
  </si>
  <si>
    <t>2+651</t>
  </si>
  <si>
    <t>11+716</t>
  </si>
  <si>
    <t>0+300</t>
  </si>
  <si>
    <t>ควนเนียง - ปากบาง</t>
  </si>
  <si>
    <t>ทางเข้าท่าเรือเกาะนก</t>
  </si>
  <si>
    <t>ท่าพญา - ทุ่งยาว</t>
  </si>
  <si>
    <t>ทุ่งตำเสา - สวนเทศ</t>
  </si>
  <si>
    <t>18+700</t>
  </si>
  <si>
    <t>23+428</t>
  </si>
  <si>
    <t>ทางเข้าด่านศุลกากรสตูล</t>
  </si>
  <si>
    <t>ควนสตอ - วังประจัน</t>
  </si>
  <si>
    <t>ทางเข้ากำแพง</t>
  </si>
  <si>
    <t>แขวงทางหลวงสงขลาที่ 2</t>
  </si>
  <si>
    <t>นาหม่อม - จะนะ</t>
  </si>
  <si>
    <t>จะนะ - ปาแด</t>
  </si>
  <si>
    <t>ทุ่งหวัง - นาทวี</t>
  </si>
  <si>
    <t>ลำดับ</t>
  </si>
  <si>
    <t>adj_crack</t>
  </si>
  <si>
    <t>adj_rutting</t>
  </si>
  <si>
    <t>adj_iri</t>
  </si>
  <si>
    <t>(blank)</t>
  </si>
  <si>
    <t>Grand Total</t>
  </si>
  <si>
    <t>Row Labels</t>
  </si>
  <si>
    <t>Sum of ระยะทาง
(กิโลเมตร)</t>
  </si>
  <si>
    <t>IRI</t>
  </si>
  <si>
    <t>Rutting (mm)</t>
  </si>
  <si>
    <t>% cracking</t>
  </si>
  <si>
    <t>Sum of ระยะทาง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</si>
</sst>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(* #,##0.00_);_(* \(#,##0.00\);_(* &quot;-&quot;??_);_(@_)"/>
    <numFmt numFmtId="164" formatCode="_-* #,##0.00_-;\-* #,##0.00_-;_-* &quot;-&quot;??_-;_-@_-"/>
    <numFmt numFmtId="165" formatCode="0.000"/>
    <numFmt numFmtId="166" formatCode="[$-1070000]d/mm/yyyy;@"/>
    <numFmt numFmtId="167" formatCode="0\+000"/>
    <numFmt numFmtId="168" formatCode="[$-107041E]d\ mmm\ yy;@"/>
    <numFmt numFmtId="169" formatCode="000"/>
    <numFmt numFmtId="170" formatCode="dd/mm/yy"/>
    <numFmt numFmtId="171" formatCode="0.0000"/>
  </numFmts>
  <fonts count="15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indexed="8"/>
      <name val="Tahom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4"/>
      <color theme="1"/>
      <name val="TH SarabunPSK"/>
      <family val="2"/>
    </font>
    <font>
      <b/>
      <sz val="14"/>
      <color indexed="8"/>
      <name val="TH SarabunPSK"/>
      <family val="2"/>
    </font>
    <font>
      <b/>
      <sz val="14"/>
      <color theme="1"/>
      <name val="TH SarabunPSK"/>
      <family val="2"/>
    </font>
    <font>
      <sz val="14"/>
      <color rgb="FF000000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4"/>
      <name val="TH SarabunPSK"/>
      <family val="2"/>
    </font>
    <font>
      <sz val="14"/>
      <color rgb="FF362B36"/>
      <name val="TH SarabunPSK"/>
      <family val="2"/>
    </font>
    <font>
      <sz val="14"/>
      <color rgb="FFFF0000"/>
      <name val="TH SarabunPSK"/>
      <family val="2"/>
    </font>
    <font>
      <b/>
      <sz val="11"/>
      <color theme="1"/>
      <name val="Calibri"/>
      <family val="2"/>
      <charset val="22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theme="4" tint="0.39997558519241921"/>
      </top>
      <bottom/>
      <diagonal/>
    </border>
  </borders>
  <cellStyleXfs count="15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4" fillId="0" borderId="0"/>
    <xf numFmtId="0" fontId="1" fillId="0" borderId="0"/>
    <xf numFmtId="164" fontId="1" fillId="0" borderId="0" applyFont="0" applyFill="0" applyBorder="0" applyAlignment="0" applyProtection="0"/>
    <xf numFmtId="0" fontId="3" fillId="0" borderId="0"/>
  </cellStyleXfs>
  <cellXfs count="283">
    <xf numFmtId="0" fontId="0" fillId="0" borderId="0" xfId="0"/>
    <xf numFmtId="0" fontId="5" fillId="0" borderId="0" xfId="0" applyFont="1"/>
    <xf numFmtId="3" fontId="7" fillId="2" borderId="1" xfId="0" applyNumberFormat="1" applyFont="1" applyFill="1" applyBorder="1" applyAlignment="1">
      <alignment horizontal="center" vertical="center"/>
    </xf>
    <xf numFmtId="3" fontId="7" fillId="2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top" wrapText="1"/>
    </xf>
    <xf numFmtId="0" fontId="5" fillId="0" borderId="1" xfId="4" applyFont="1" applyFill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68" fontId="5" fillId="0" borderId="1" xfId="0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 vertical="center"/>
    </xf>
    <xf numFmtId="165" fontId="5" fillId="0" borderId="0" xfId="0" applyNumberFormat="1" applyFont="1"/>
    <xf numFmtId="0" fontId="8" fillId="3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/>
    </xf>
    <xf numFmtId="1" fontId="5" fillId="0" borderId="1" xfId="0" applyNumberFormat="1" applyFont="1" applyBorder="1" applyAlignment="1">
      <alignment horizontal="center" vertical="top"/>
    </xf>
    <xf numFmtId="0" fontId="5" fillId="0" borderId="1" xfId="0" applyNumberFormat="1" applyFont="1" applyFill="1" applyBorder="1" applyAlignment="1">
      <alignment horizontal="center" vertical="top"/>
    </xf>
    <xf numFmtId="0" fontId="5" fillId="0" borderId="1" xfId="0" applyFont="1" applyBorder="1" applyAlignment="1">
      <alignment horizontal="center" vertical="top"/>
    </xf>
    <xf numFmtId="168" fontId="5" fillId="0" borderId="1" xfId="0" applyNumberFormat="1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top"/>
    </xf>
    <xf numFmtId="167" fontId="5" fillId="0" borderId="1" xfId="0" applyNumberFormat="1" applyFont="1" applyFill="1" applyBorder="1" applyAlignment="1">
      <alignment horizontal="center" vertical="center"/>
    </xf>
    <xf numFmtId="165" fontId="5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/>
    <xf numFmtId="167" fontId="5" fillId="0" borderId="1" xfId="10" applyNumberFormat="1" applyFont="1" applyFill="1" applyBorder="1" applyAlignment="1">
      <alignment horizontal="center" vertical="center"/>
    </xf>
    <xf numFmtId="168" fontId="5" fillId="0" borderId="1" xfId="4" applyNumberFormat="1" applyFont="1" applyFill="1" applyBorder="1" applyAlignment="1">
      <alignment horizontal="center" vertical="center"/>
    </xf>
    <xf numFmtId="165" fontId="5" fillId="0" borderId="0" xfId="0" applyNumberFormat="1" applyFont="1" applyFill="1"/>
    <xf numFmtId="2" fontId="5" fillId="0" borderId="1" xfId="4" applyNumberFormat="1" applyFont="1" applyFill="1" applyBorder="1" applyAlignment="1">
      <alignment horizontal="center" vertical="center"/>
    </xf>
    <xf numFmtId="167" fontId="5" fillId="0" borderId="1" xfId="0" applyNumberFormat="1" applyFont="1" applyFill="1" applyBorder="1" applyAlignment="1">
      <alignment horizontal="center" vertical="top"/>
    </xf>
    <xf numFmtId="165" fontId="5" fillId="0" borderId="1" xfId="0" applyNumberFormat="1" applyFont="1" applyFill="1" applyBorder="1" applyAlignment="1">
      <alignment horizontal="center" vertical="top"/>
    </xf>
    <xf numFmtId="168" fontId="5" fillId="0" borderId="1" xfId="0" applyNumberFormat="1" applyFont="1" applyFill="1" applyBorder="1" applyAlignment="1">
      <alignment horizontal="center" vertical="top"/>
    </xf>
    <xf numFmtId="2" fontId="5" fillId="0" borderId="1" xfId="0" applyNumberFormat="1" applyFont="1" applyFill="1" applyBorder="1" applyAlignment="1">
      <alignment horizontal="center" vertical="top"/>
    </xf>
    <xf numFmtId="0" fontId="5" fillId="0" borderId="1" xfId="10" applyFont="1" applyFill="1" applyBorder="1" applyAlignment="1">
      <alignment horizontal="center" vertical="top"/>
    </xf>
    <xf numFmtId="1" fontId="5" fillId="0" borderId="1" xfId="10" applyNumberFormat="1" applyFont="1" applyFill="1" applyBorder="1" applyAlignment="1">
      <alignment horizontal="center" vertical="top"/>
    </xf>
    <xf numFmtId="0" fontId="5" fillId="0" borderId="1" xfId="4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165" fontId="8" fillId="0" borderId="1" xfId="4" applyNumberFormat="1" applyFont="1" applyFill="1" applyBorder="1" applyAlignment="1">
      <alignment horizontal="center" vertical="center"/>
    </xf>
    <xf numFmtId="0" fontId="5" fillId="0" borderId="1" xfId="13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/>
    </xf>
    <xf numFmtId="2" fontId="5" fillId="0" borderId="4" xfId="0" applyNumberFormat="1" applyFont="1" applyFill="1" applyBorder="1" applyAlignment="1">
      <alignment horizontal="center"/>
    </xf>
    <xf numFmtId="165" fontId="5" fillId="0" borderId="0" xfId="0" applyNumberFormat="1" applyFont="1" applyFill="1" applyBorder="1" applyAlignment="1">
      <alignment horizontal="center"/>
    </xf>
    <xf numFmtId="165" fontId="5" fillId="0" borderId="0" xfId="0" applyNumberFormat="1" applyFont="1" applyFill="1" applyBorder="1"/>
    <xf numFmtId="0" fontId="5" fillId="0" borderId="2" xfId="0" applyFont="1" applyFill="1" applyBorder="1" applyAlignment="1">
      <alignment horizontal="center"/>
    </xf>
    <xf numFmtId="167" fontId="5" fillId="0" borderId="2" xfId="0" applyNumberFormat="1" applyFont="1" applyFill="1" applyBorder="1" applyAlignment="1">
      <alignment horizontal="center" vertical="center"/>
    </xf>
    <xf numFmtId="165" fontId="8" fillId="0" borderId="2" xfId="4" applyNumberFormat="1" applyFont="1" applyFill="1" applyBorder="1" applyAlignment="1">
      <alignment horizontal="center" vertical="center"/>
    </xf>
    <xf numFmtId="168" fontId="5" fillId="0" borderId="2" xfId="0" applyNumberFormat="1" applyFont="1" applyFill="1" applyBorder="1" applyAlignment="1">
      <alignment horizontal="center"/>
    </xf>
    <xf numFmtId="2" fontId="5" fillId="0" borderId="2" xfId="0" applyNumberFormat="1" applyFont="1" applyFill="1" applyBorder="1" applyAlignment="1">
      <alignment horizontal="center"/>
    </xf>
    <xf numFmtId="2" fontId="5" fillId="0" borderId="6" xfId="0" applyNumberFormat="1" applyFont="1" applyFill="1" applyBorder="1" applyAlignment="1">
      <alignment horizontal="center"/>
    </xf>
    <xf numFmtId="0" fontId="5" fillId="0" borderId="1" xfId="0" applyFont="1" applyFill="1" applyBorder="1"/>
    <xf numFmtId="165" fontId="5" fillId="0" borderId="1" xfId="0" applyNumberFormat="1" applyFont="1" applyFill="1" applyBorder="1"/>
    <xf numFmtId="167" fontId="8" fillId="0" borderId="1" xfId="4" applyNumberFormat="1" applyFont="1" applyFill="1" applyBorder="1" applyAlignment="1">
      <alignment horizontal="center" vertical="center"/>
    </xf>
    <xf numFmtId="0" fontId="8" fillId="0" borderId="1" xfId="4" applyFont="1" applyFill="1" applyBorder="1" applyAlignment="1">
      <alignment horizontal="center" vertical="center"/>
    </xf>
    <xf numFmtId="2" fontId="5" fillId="0" borderId="5" xfId="0" applyNumberFormat="1" applyFont="1" applyFill="1" applyBorder="1" applyAlignment="1">
      <alignment horizontal="center"/>
    </xf>
    <xf numFmtId="167" fontId="5" fillId="0" borderId="1" xfId="4" applyNumberFormat="1" applyFont="1" applyFill="1" applyBorder="1" applyAlignment="1">
      <alignment horizontal="center"/>
    </xf>
    <xf numFmtId="2" fontId="5" fillId="0" borderId="7" xfId="0" applyNumberFormat="1" applyFont="1" applyFill="1" applyBorder="1" applyAlignment="1">
      <alignment horizontal="center"/>
    </xf>
    <xf numFmtId="165" fontId="5" fillId="0" borderId="1" xfId="0" applyNumberFormat="1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167" fontId="8" fillId="0" borderId="1" xfId="5" applyNumberFormat="1" applyFont="1" applyFill="1" applyBorder="1" applyAlignment="1">
      <alignment horizontal="center" vertical="center"/>
    </xf>
    <xf numFmtId="167" fontId="5" fillId="0" borderId="1" xfId="0" applyNumberFormat="1" applyFont="1" applyFill="1" applyBorder="1" applyAlignment="1">
      <alignment horizontal="center"/>
    </xf>
    <xf numFmtId="0" fontId="5" fillId="0" borderId="1" xfId="5" applyFont="1" applyFill="1" applyBorder="1" applyAlignment="1">
      <alignment horizontal="center" vertical="center"/>
    </xf>
    <xf numFmtId="165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8" fillId="0" borderId="1" xfId="5" applyFont="1" applyFill="1" applyBorder="1" applyAlignment="1">
      <alignment horizontal="center" vertical="center"/>
    </xf>
    <xf numFmtId="0" fontId="11" fillId="0" borderId="1" xfId="5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167" fontId="11" fillId="0" borderId="1" xfId="5" applyNumberFormat="1" applyFont="1" applyFill="1" applyBorder="1" applyAlignment="1">
      <alignment horizontal="center" vertical="center"/>
    </xf>
    <xf numFmtId="0" fontId="8" fillId="0" borderId="5" xfId="5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165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8" fillId="0" borderId="1" xfId="0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/>
    </xf>
    <xf numFmtId="167" fontId="5" fillId="0" borderId="1" xfId="1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1" fontId="11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/>
    </xf>
    <xf numFmtId="167" fontId="11" fillId="0" borderId="1" xfId="0" applyNumberFormat="1" applyFont="1" applyFill="1" applyBorder="1" applyAlignment="1">
      <alignment horizontal="center"/>
    </xf>
    <xf numFmtId="168" fontId="11" fillId="0" borderId="1" xfId="0" applyNumberFormat="1" applyFont="1" applyFill="1" applyBorder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Border="1"/>
    <xf numFmtId="0" fontId="11" fillId="0" borderId="0" xfId="0" applyFont="1" applyFill="1"/>
    <xf numFmtId="0" fontId="1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1" xfId="0" applyNumberFormat="1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/>
    </xf>
    <xf numFmtId="1" fontId="5" fillId="4" borderId="1" xfId="0" applyNumberFormat="1" applyFont="1" applyFill="1" applyBorder="1" applyAlignment="1">
      <alignment horizontal="center" vertical="center"/>
    </xf>
    <xf numFmtId="0" fontId="5" fillId="4" borderId="1" xfId="0" applyNumberFormat="1" applyFont="1" applyFill="1" applyBorder="1" applyAlignment="1">
      <alignment horizontal="center"/>
    </xf>
    <xf numFmtId="167" fontId="5" fillId="4" borderId="1" xfId="0" applyNumberFormat="1" applyFont="1" applyFill="1" applyBorder="1" applyAlignment="1">
      <alignment horizontal="center" vertical="center"/>
    </xf>
    <xf numFmtId="165" fontId="5" fillId="4" borderId="1" xfId="0" applyNumberFormat="1" applyFont="1" applyFill="1" applyBorder="1" applyAlignment="1">
      <alignment horizontal="center" vertical="center"/>
    </xf>
    <xf numFmtId="0" fontId="5" fillId="4" borderId="1" xfId="0" applyNumberFormat="1" applyFont="1" applyFill="1" applyBorder="1" applyAlignment="1">
      <alignment horizontal="center" vertical="center"/>
    </xf>
    <xf numFmtId="168" fontId="5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2" fontId="5" fillId="4" borderId="1" xfId="0" applyNumberFormat="1" applyFont="1" applyFill="1" applyBorder="1" applyAlignment="1">
      <alignment horizontal="center"/>
    </xf>
    <xf numFmtId="0" fontId="5" fillId="4" borderId="0" xfId="0" applyFont="1" applyFill="1"/>
    <xf numFmtId="1" fontId="5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/>
    </xf>
    <xf numFmtId="165" fontId="5" fillId="0" borderId="2" xfId="0" applyNumberFormat="1" applyFont="1" applyFill="1" applyBorder="1" applyAlignment="1">
      <alignment horizontal="center" vertical="center"/>
    </xf>
    <xf numFmtId="0" fontId="5" fillId="0" borderId="5" xfId="4" applyFont="1" applyFill="1" applyBorder="1" applyAlignment="1">
      <alignment horizontal="center"/>
    </xf>
    <xf numFmtId="168" fontId="5" fillId="0" borderId="2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/>
    </xf>
    <xf numFmtId="1" fontId="5" fillId="0" borderId="5" xfId="0" applyNumberFormat="1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center"/>
    </xf>
    <xf numFmtId="168" fontId="5" fillId="0" borderId="5" xfId="0" applyNumberFormat="1" applyFont="1" applyFill="1" applyBorder="1" applyAlignment="1">
      <alignment horizontal="center" vertical="center"/>
    </xf>
    <xf numFmtId="168" fontId="5" fillId="0" borderId="5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167" fontId="5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167" fontId="11" fillId="0" borderId="1" xfId="0" applyNumberFormat="1" applyFont="1" applyFill="1" applyBorder="1" applyAlignment="1">
      <alignment horizontal="center" vertical="center" wrapText="1"/>
    </xf>
    <xf numFmtId="165" fontId="11" fillId="0" borderId="1" xfId="4" applyNumberFormat="1" applyFont="1" applyFill="1" applyBorder="1" applyAlignment="1">
      <alignment horizontal="center" vertical="center"/>
    </xf>
    <xf numFmtId="168" fontId="11" fillId="0" borderId="1" xfId="0" applyNumberFormat="1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2" fontId="11" fillId="0" borderId="4" xfId="0" applyNumberFormat="1" applyFont="1" applyFill="1" applyBorder="1" applyAlignment="1">
      <alignment horizontal="center"/>
    </xf>
    <xf numFmtId="167" fontId="11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167" fontId="8" fillId="0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167" fontId="5" fillId="5" borderId="1" xfId="0" applyNumberFormat="1" applyFont="1" applyFill="1" applyBorder="1" applyAlignment="1">
      <alignment horizontal="center" vertical="center"/>
    </xf>
    <xf numFmtId="165" fontId="8" fillId="5" borderId="1" xfId="4" applyNumberFormat="1" applyFont="1" applyFill="1" applyBorder="1" applyAlignment="1">
      <alignment horizontal="center" vertical="center"/>
    </xf>
    <xf numFmtId="168" fontId="5" fillId="5" borderId="1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 vertical="center"/>
    </xf>
    <xf numFmtId="2" fontId="5" fillId="5" borderId="1" xfId="0" applyNumberFormat="1" applyFont="1" applyFill="1" applyBorder="1" applyAlignment="1">
      <alignment horizontal="center"/>
    </xf>
    <xf numFmtId="165" fontId="5" fillId="5" borderId="0" xfId="0" applyNumberFormat="1" applyFont="1" applyFill="1"/>
    <xf numFmtId="0" fontId="5" fillId="5" borderId="0" xfId="0" applyFont="1" applyFill="1"/>
    <xf numFmtId="165" fontId="5" fillId="5" borderId="0" xfId="0" applyNumberFormat="1" applyFont="1" applyFill="1" applyBorder="1"/>
    <xf numFmtId="167" fontId="5" fillId="4" borderId="1" xfId="0" applyNumberFormat="1" applyFont="1" applyFill="1" applyBorder="1" applyAlignment="1">
      <alignment horizontal="center"/>
    </xf>
    <xf numFmtId="165" fontId="8" fillId="4" borderId="1" xfId="4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168" fontId="5" fillId="4" borderId="1" xfId="0" applyNumberFormat="1" applyFont="1" applyFill="1" applyBorder="1" applyAlignment="1">
      <alignment horizontal="center"/>
    </xf>
    <xf numFmtId="165" fontId="5" fillId="4" borderId="0" xfId="0" applyNumberFormat="1" applyFont="1" applyFill="1"/>
    <xf numFmtId="165" fontId="5" fillId="4" borderId="0" xfId="0" applyNumberFormat="1" applyFont="1" applyFill="1" applyBorder="1"/>
    <xf numFmtId="2" fontId="5" fillId="0" borderId="1" xfId="4" applyNumberFormat="1" applyFont="1" applyBorder="1" applyAlignment="1">
      <alignment horizontal="center"/>
    </xf>
    <xf numFmtId="165" fontId="5" fillId="6" borderId="0" xfId="0" applyNumberFormat="1" applyFont="1" applyFill="1"/>
    <xf numFmtId="2" fontId="5" fillId="0" borderId="1" xfId="4" applyNumberFormat="1" applyFont="1" applyFill="1" applyBorder="1" applyAlignment="1">
      <alignment horizontal="center"/>
    </xf>
    <xf numFmtId="0" fontId="11" fillId="0" borderId="1" xfId="14" quotePrefix="1" applyNumberFormat="1" applyFont="1" applyFill="1" applyBorder="1" applyAlignment="1">
      <alignment horizontal="center" vertical="center"/>
    </xf>
    <xf numFmtId="0" fontId="11" fillId="0" borderId="1" xfId="8" quotePrefix="1" applyNumberFormat="1" applyFont="1" applyFill="1" applyBorder="1" applyAlignment="1">
      <alignment horizontal="center" vertical="center"/>
    </xf>
    <xf numFmtId="0" fontId="11" fillId="0" borderId="1" xfId="9" quotePrefix="1" applyNumberFormat="1" applyFont="1" applyFill="1" applyBorder="1" applyAlignment="1">
      <alignment horizontal="center" vertical="center"/>
    </xf>
    <xf numFmtId="0" fontId="11" fillId="0" borderId="1" xfId="14" applyNumberFormat="1" applyFont="1" applyFill="1" applyBorder="1" applyAlignment="1">
      <alignment horizontal="center" vertical="center"/>
    </xf>
    <xf numFmtId="168" fontId="11" fillId="0" borderId="1" xfId="7" applyNumberFormat="1" applyFont="1" applyFill="1" applyBorder="1" applyAlignment="1">
      <alignment horizontal="center" vertical="center"/>
    </xf>
    <xf numFmtId="167" fontId="5" fillId="5" borderId="1" xfId="0" applyNumberFormat="1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 vertical="center"/>
    </xf>
    <xf numFmtId="0" fontId="8" fillId="5" borderId="1" xfId="4" applyFont="1" applyFill="1" applyBorder="1" applyAlignment="1">
      <alignment horizontal="center" vertical="center"/>
    </xf>
    <xf numFmtId="165" fontId="11" fillId="0" borderId="0" xfId="0" applyNumberFormat="1" applyFont="1" applyFill="1"/>
    <xf numFmtId="165" fontId="11" fillId="0" borderId="0" xfId="0" applyNumberFormat="1" applyFont="1" applyFill="1" applyBorder="1"/>
    <xf numFmtId="0" fontId="11" fillId="0" borderId="1" xfId="6" applyNumberFormat="1" applyFont="1" applyFill="1" applyBorder="1" applyAlignment="1">
      <alignment horizontal="center" vertical="center"/>
    </xf>
    <xf numFmtId="0" fontId="5" fillId="0" borderId="1" xfId="1" applyNumberFormat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5" fillId="0" borderId="1" xfId="6" applyNumberFormat="1" applyFont="1" applyFill="1" applyBorder="1" applyAlignment="1">
      <alignment horizontal="center" vertical="center"/>
    </xf>
    <xf numFmtId="0" fontId="5" fillId="0" borderId="1" xfId="6" applyFont="1" applyFill="1" applyBorder="1" applyAlignment="1">
      <alignment horizontal="center" vertical="center"/>
    </xf>
    <xf numFmtId="2" fontId="5" fillId="0" borderId="4" xfId="0" applyNumberFormat="1" applyFont="1" applyFill="1" applyBorder="1" applyAlignment="1">
      <alignment horizontal="center" vertical="center"/>
    </xf>
    <xf numFmtId="0" fontId="11" fillId="4" borderId="1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165" fontId="5" fillId="7" borderId="0" xfId="0" applyNumberFormat="1" applyFont="1" applyFill="1" applyBorder="1"/>
    <xf numFmtId="169" fontId="5" fillId="0" borderId="1" xfId="0" applyNumberFormat="1" applyFont="1" applyFill="1" applyBorder="1" applyAlignment="1">
      <alignment horizontal="center" vertical="center"/>
    </xf>
    <xf numFmtId="2" fontId="5" fillId="4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5" fontId="5" fillId="0" borderId="1" xfId="4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167" fontId="5" fillId="0" borderId="1" xfId="4" applyNumberFormat="1" applyFont="1" applyFill="1" applyBorder="1" applyAlignment="1">
      <alignment horizontal="center" vertical="center"/>
    </xf>
    <xf numFmtId="165" fontId="5" fillId="0" borderId="0" xfId="0" applyNumberFormat="1" applyFont="1" applyBorder="1"/>
    <xf numFmtId="0" fontId="5" fillId="0" borderId="0" xfId="0" applyFont="1" applyBorder="1"/>
    <xf numFmtId="0" fontId="5" fillId="0" borderId="1" xfId="0" applyFont="1" applyBorder="1"/>
    <xf numFmtId="0" fontId="5" fillId="0" borderId="5" xfId="0" applyNumberFormat="1" applyFont="1" applyFill="1" applyBorder="1" applyAlignment="1">
      <alignment horizontal="center" vertical="center"/>
    </xf>
    <xf numFmtId="165" fontId="8" fillId="0" borderId="1" xfId="4" applyNumberFormat="1" applyFont="1" applyFill="1" applyBorder="1" applyAlignment="1">
      <alignment horizontal="center" vertical="center" wrapText="1"/>
    </xf>
    <xf numFmtId="0" fontId="5" fillId="0" borderId="1" xfId="4" applyFont="1" applyBorder="1" applyAlignment="1">
      <alignment horizontal="center"/>
    </xf>
    <xf numFmtId="0" fontId="5" fillId="8" borderId="0" xfId="0" applyFont="1" applyFill="1"/>
    <xf numFmtId="165" fontId="5" fillId="0" borderId="2" xfId="0" applyNumberFormat="1" applyFont="1" applyFill="1" applyBorder="1" applyAlignment="1">
      <alignment horizontal="center"/>
    </xf>
    <xf numFmtId="0" fontId="5" fillId="0" borderId="1" xfId="10" applyFont="1" applyFill="1" applyBorder="1" applyAlignment="1">
      <alignment horizontal="center"/>
    </xf>
    <xf numFmtId="1" fontId="5" fillId="0" borderId="1" xfId="1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/>
    </xf>
    <xf numFmtId="2" fontId="5" fillId="0" borderId="8" xfId="0" applyNumberFormat="1" applyFont="1" applyFill="1" applyBorder="1" applyAlignment="1">
      <alignment horizontal="center"/>
    </xf>
    <xf numFmtId="165" fontId="5" fillId="0" borderId="1" xfId="11" applyNumberFormat="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/>
    </xf>
    <xf numFmtId="0" fontId="5" fillId="6" borderId="1" xfId="0" applyNumberFormat="1" applyFont="1" applyFill="1" applyBorder="1" applyAlignment="1">
      <alignment horizontal="center"/>
    </xf>
    <xf numFmtId="167" fontId="5" fillId="6" borderId="1" xfId="0" applyNumberFormat="1" applyFont="1" applyFill="1" applyBorder="1" applyAlignment="1">
      <alignment horizontal="center" vertical="center"/>
    </xf>
    <xf numFmtId="165" fontId="5" fillId="6" borderId="1" xfId="11" applyNumberFormat="1" applyFont="1" applyFill="1" applyBorder="1" applyAlignment="1">
      <alignment horizontal="center" vertical="center"/>
    </xf>
    <xf numFmtId="165" fontId="5" fillId="6" borderId="0" xfId="0" applyNumberFormat="1" applyFont="1" applyFill="1" applyAlignment="1">
      <alignment horizontal="center"/>
    </xf>
    <xf numFmtId="0" fontId="5" fillId="6" borderId="0" xfId="0" applyFont="1" applyFill="1" applyAlignment="1">
      <alignment horizontal="center"/>
    </xf>
    <xf numFmtId="165" fontId="5" fillId="6" borderId="0" xfId="0" applyNumberFormat="1" applyFont="1" applyFill="1" applyBorder="1" applyAlignment="1">
      <alignment horizontal="center"/>
    </xf>
    <xf numFmtId="2" fontId="8" fillId="0" borderId="1" xfId="4" applyNumberFormat="1" applyFont="1" applyFill="1" applyBorder="1" applyAlignment="1">
      <alignment horizontal="center" vertical="center"/>
    </xf>
    <xf numFmtId="167" fontId="5" fillId="0" borderId="1" xfId="4" applyNumberFormat="1" applyFont="1" applyBorder="1" applyAlignment="1">
      <alignment horizontal="center"/>
    </xf>
    <xf numFmtId="165" fontId="5" fillId="0" borderId="1" xfId="4" applyNumberFormat="1" applyFont="1" applyFill="1" applyBorder="1" applyAlignment="1">
      <alignment horizontal="center"/>
    </xf>
    <xf numFmtId="0" fontId="5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/>
    </xf>
    <xf numFmtId="1" fontId="5" fillId="0" borderId="1" xfId="4" applyNumberFormat="1" applyFont="1" applyFill="1" applyBorder="1" applyAlignment="1">
      <alignment horizontal="center"/>
    </xf>
    <xf numFmtId="165" fontId="5" fillId="0" borderId="0" xfId="4" applyNumberFormat="1" applyFont="1" applyFill="1" applyBorder="1" applyAlignment="1">
      <alignment horizontal="center"/>
    </xf>
    <xf numFmtId="0" fontId="5" fillId="5" borderId="1" xfId="0" applyNumberFormat="1" applyFont="1" applyFill="1" applyBorder="1" applyAlignment="1">
      <alignment horizontal="center"/>
    </xf>
    <xf numFmtId="165" fontId="5" fillId="5" borderId="1" xfId="0" applyNumberFormat="1" applyFont="1" applyFill="1" applyBorder="1" applyAlignment="1">
      <alignment horizontal="center"/>
    </xf>
    <xf numFmtId="165" fontId="8" fillId="0" borderId="1" xfId="4" applyNumberFormat="1" applyFont="1" applyFill="1" applyBorder="1" applyAlignment="1">
      <alignment horizontal="center"/>
    </xf>
    <xf numFmtId="165" fontId="5" fillId="0" borderId="1" xfId="4" applyNumberFormat="1" applyFont="1" applyFill="1" applyBorder="1" applyAlignment="1">
      <alignment horizontal="center" vertical="center"/>
    </xf>
    <xf numFmtId="170" fontId="5" fillId="0" borderId="1" xfId="0" applyNumberFormat="1" applyFont="1" applyFill="1" applyBorder="1" applyAlignment="1">
      <alignment horizontal="center" vertical="center"/>
    </xf>
    <xf numFmtId="171" fontId="5" fillId="0" borderId="0" xfId="0" applyNumberFormat="1" applyFont="1" applyFill="1" applyBorder="1"/>
    <xf numFmtId="1" fontId="8" fillId="0" borderId="1" xfId="0" applyNumberFormat="1" applyFont="1" applyFill="1" applyBorder="1" applyAlignment="1">
      <alignment horizontal="center"/>
    </xf>
    <xf numFmtId="167" fontId="8" fillId="0" borderId="1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6" fillId="2" borderId="2" xfId="1" applyFont="1" applyFill="1" applyBorder="1" applyAlignment="1">
      <alignment vertical="center" wrapText="1"/>
    </xf>
    <xf numFmtId="1" fontId="6" fillId="2" borderId="2" xfId="1" applyNumberFormat="1" applyFont="1" applyFill="1" applyBorder="1" applyAlignment="1">
      <alignment vertical="center" wrapText="1"/>
    </xf>
    <xf numFmtId="0" fontId="6" fillId="2" borderId="2" xfId="1" applyNumberFormat="1" applyFont="1" applyFill="1" applyBorder="1" applyAlignment="1">
      <alignment vertical="center" wrapText="1"/>
    </xf>
    <xf numFmtId="165" fontId="6" fillId="2" borderId="2" xfId="1" applyNumberFormat="1" applyFont="1" applyFill="1" applyBorder="1" applyAlignment="1">
      <alignment vertical="center" wrapText="1"/>
    </xf>
    <xf numFmtId="166" fontId="6" fillId="2" borderId="2" xfId="1" applyNumberFormat="1" applyFont="1" applyFill="1" applyBorder="1" applyAlignment="1">
      <alignment vertical="center" wrapText="1"/>
    </xf>
    <xf numFmtId="2" fontId="6" fillId="2" borderId="2" xfId="2" applyNumberFormat="1" applyFont="1" applyFill="1" applyBorder="1" applyAlignment="1">
      <alignment vertical="center" wrapText="1"/>
    </xf>
    <xf numFmtId="43" fontId="6" fillId="2" borderId="2" xfId="2" applyFont="1" applyFill="1" applyBorder="1" applyAlignment="1">
      <alignment vertical="center" wrapText="1"/>
    </xf>
    <xf numFmtId="165" fontId="6" fillId="2" borderId="2" xfId="2" applyNumberFormat="1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1" fontId="5" fillId="0" borderId="2" xfId="0" applyNumberFormat="1" applyFont="1" applyFill="1" applyBorder="1" applyAlignment="1">
      <alignment horizontal="center" vertical="top"/>
    </xf>
    <xf numFmtId="0" fontId="5" fillId="0" borderId="5" xfId="0" applyFont="1" applyBorder="1" applyAlignment="1">
      <alignment horizontal="center"/>
    </xf>
    <xf numFmtId="0" fontId="5" fillId="0" borderId="2" xfId="6" applyNumberFormat="1" applyFont="1" applyFill="1" applyBorder="1" applyAlignment="1">
      <alignment horizontal="center" vertical="center"/>
    </xf>
    <xf numFmtId="1" fontId="5" fillId="0" borderId="5" xfId="0" applyNumberFormat="1" applyFont="1" applyFill="1" applyBorder="1" applyAlignment="1">
      <alignment horizontal="center" vertical="top"/>
    </xf>
    <xf numFmtId="0" fontId="11" fillId="0" borderId="5" xfId="0" applyNumberFormat="1" applyFont="1" applyFill="1" applyBorder="1" applyAlignment="1">
      <alignment horizontal="center" vertical="center"/>
    </xf>
    <xf numFmtId="1" fontId="11" fillId="0" borderId="5" xfId="0" applyNumberFormat="1" applyFont="1" applyFill="1" applyBorder="1" applyAlignment="1">
      <alignment horizontal="center" vertical="center"/>
    </xf>
    <xf numFmtId="0" fontId="11" fillId="0" borderId="2" xfId="14" quotePrefix="1" applyNumberFormat="1" applyFont="1" applyFill="1" applyBorder="1" applyAlignment="1">
      <alignment horizontal="center" vertical="center"/>
    </xf>
    <xf numFmtId="1" fontId="8" fillId="0" borderId="5" xfId="0" applyNumberFormat="1" applyFont="1" applyFill="1" applyBorder="1" applyAlignment="1">
      <alignment horizontal="center"/>
    </xf>
    <xf numFmtId="167" fontId="5" fillId="0" borderId="2" xfId="0" applyNumberFormat="1" applyFont="1" applyFill="1" applyBorder="1" applyAlignment="1">
      <alignment horizontal="center"/>
    </xf>
    <xf numFmtId="167" fontId="5" fillId="0" borderId="5" xfId="0" applyNumberFormat="1" applyFont="1" applyFill="1" applyBorder="1" applyAlignment="1">
      <alignment horizontal="center"/>
    </xf>
    <xf numFmtId="167" fontId="5" fillId="0" borderId="5" xfId="4" applyNumberFormat="1" applyFont="1" applyFill="1" applyBorder="1" applyAlignment="1">
      <alignment horizontal="center"/>
    </xf>
    <xf numFmtId="165" fontId="8" fillId="0" borderId="5" xfId="4" applyNumberFormat="1" applyFont="1" applyFill="1" applyBorder="1" applyAlignment="1">
      <alignment horizontal="center" vertical="center"/>
    </xf>
    <xf numFmtId="165" fontId="5" fillId="0" borderId="5" xfId="4" applyNumberFormat="1" applyFont="1" applyFill="1" applyBorder="1" applyAlignment="1">
      <alignment horizontal="center"/>
    </xf>
    <xf numFmtId="0" fontId="8" fillId="0" borderId="5" xfId="4" applyFont="1" applyFill="1" applyBorder="1" applyAlignment="1">
      <alignment horizontal="center" vertical="center"/>
    </xf>
    <xf numFmtId="0" fontId="5" fillId="0" borderId="2" xfId="4" applyFont="1" applyFill="1" applyBorder="1" applyAlignment="1">
      <alignment horizontal="center" vertical="center"/>
    </xf>
    <xf numFmtId="0" fontId="5" fillId="0" borderId="5" xfId="13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5" fillId="0" borderId="1" xfId="1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/>
    </xf>
    <xf numFmtId="0" fontId="5" fillId="0" borderId="5" xfId="4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/>
    </xf>
    <xf numFmtId="0" fontId="5" fillId="0" borderId="2" xfId="4" applyFont="1" applyFill="1" applyBorder="1" applyAlignment="1">
      <alignment horizontal="center"/>
    </xf>
    <xf numFmtId="168" fontId="5" fillId="0" borderId="1" xfId="4" applyNumberFormat="1" applyFont="1" applyFill="1" applyBorder="1" applyAlignment="1">
      <alignment horizontal="center"/>
    </xf>
    <xf numFmtId="168" fontId="5" fillId="0" borderId="0" xfId="0" applyNumberFormat="1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 vertical="top"/>
    </xf>
    <xf numFmtId="170" fontId="5" fillId="0" borderId="3" xfId="0" applyNumberFormat="1" applyFont="1" applyFill="1" applyBorder="1" applyAlignment="1">
      <alignment horizontal="center" vertical="center"/>
    </xf>
    <xf numFmtId="2" fontId="5" fillId="0" borderId="2" xfId="0" applyNumberFormat="1" applyFont="1" applyFill="1" applyBorder="1" applyAlignment="1">
      <alignment horizontal="center" vertical="center"/>
    </xf>
    <xf numFmtId="2" fontId="5" fillId="0" borderId="3" xfId="0" applyNumberFormat="1" applyFont="1" applyFill="1" applyBorder="1" applyAlignment="1">
      <alignment horizontal="center"/>
    </xf>
    <xf numFmtId="2" fontId="5" fillId="0" borderId="8" xfId="0" applyNumberFormat="1" applyFont="1" applyFill="1" applyBorder="1" applyAlignment="1">
      <alignment horizontal="center" vertical="top"/>
    </xf>
    <xf numFmtId="2" fontId="5" fillId="0" borderId="2" xfId="0" applyNumberFormat="1" applyFont="1" applyBorder="1" applyAlignment="1">
      <alignment horizontal="center"/>
    </xf>
    <xf numFmtId="2" fontId="5" fillId="0" borderId="2" xfId="4" applyNumberFormat="1" applyFont="1" applyFill="1" applyBorder="1" applyAlignment="1">
      <alignment horizontal="center" vertical="center"/>
    </xf>
    <xf numFmtId="2" fontId="5" fillId="0" borderId="5" xfId="0" applyNumberFormat="1" applyFont="1" applyFill="1" applyBorder="1" applyAlignment="1">
      <alignment horizontal="center" vertical="center"/>
    </xf>
    <xf numFmtId="2" fontId="5" fillId="0" borderId="4" xfId="0" applyNumberFormat="1" applyFont="1" applyBorder="1" applyAlignment="1">
      <alignment horizontal="center"/>
    </xf>
    <xf numFmtId="2" fontId="5" fillId="0" borderId="5" xfId="0" applyNumberFormat="1" applyFont="1" applyBorder="1" applyAlignment="1">
      <alignment horizontal="center"/>
    </xf>
    <xf numFmtId="2" fontId="5" fillId="0" borderId="4" xfId="0" applyNumberFormat="1" applyFont="1" applyFill="1" applyBorder="1" applyAlignment="1">
      <alignment horizontal="center" vertical="top"/>
    </xf>
    <xf numFmtId="165" fontId="8" fillId="0" borderId="4" xfId="4" applyNumberFormat="1" applyFont="1" applyFill="1" applyBorder="1" applyAlignment="1">
      <alignment horizontal="center" vertical="center"/>
    </xf>
    <xf numFmtId="2" fontId="5" fillId="0" borderId="4" xfId="4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/>
    </xf>
    <xf numFmtId="2" fontId="11" fillId="0" borderId="0" xfId="0" applyNumberFormat="1" applyFont="1" applyFill="1" applyBorder="1" applyAlignment="1">
      <alignment horizontal="center"/>
    </xf>
    <xf numFmtId="2" fontId="5" fillId="0" borderId="0" xfId="4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top"/>
    </xf>
    <xf numFmtId="165" fontId="5" fillId="0" borderId="4" xfId="0" applyNumberFormat="1" applyFont="1" applyFill="1" applyBorder="1" applyAlignment="1">
      <alignment horizontal="center"/>
    </xf>
    <xf numFmtId="2" fontId="5" fillId="0" borderId="0" xfId="4" applyNumberFormat="1" applyFont="1" applyFill="1" applyBorder="1" applyAlignment="1">
      <alignment horizontal="center"/>
    </xf>
    <xf numFmtId="0" fontId="5" fillId="0" borderId="2" xfId="0" applyFont="1" applyFill="1" applyBorder="1"/>
    <xf numFmtId="2" fontId="5" fillId="4" borderId="0" xfId="0" applyNumberFormat="1" applyFont="1" applyFill="1" applyBorder="1" applyAlignment="1">
      <alignment horizontal="center"/>
    </xf>
    <xf numFmtId="0" fontId="8" fillId="0" borderId="0" xfId="4" applyFont="1" applyFill="1" applyBorder="1" applyAlignment="1">
      <alignment horizontal="center" vertical="center"/>
    </xf>
    <xf numFmtId="165" fontId="5" fillId="5" borderId="1" xfId="0" applyNumberFormat="1" applyFont="1" applyFill="1" applyBorder="1"/>
    <xf numFmtId="165" fontId="5" fillId="0" borderId="1" xfId="0" applyNumberFormat="1" applyFont="1" applyBorder="1"/>
    <xf numFmtId="0" fontId="5" fillId="0" borderId="0" xfId="0" applyFont="1" applyFill="1" applyBorder="1" applyAlignment="1">
      <alignment horizontal="center" vertical="center"/>
    </xf>
    <xf numFmtId="0" fontId="13" fillId="0" borderId="0" xfId="4" applyFont="1" applyFill="1" applyBorder="1" applyAlignment="1">
      <alignment horizontal="center" vertical="center"/>
    </xf>
    <xf numFmtId="0" fontId="8" fillId="4" borderId="0" xfId="4" applyFont="1" applyFill="1" applyBorder="1" applyAlignment="1">
      <alignment horizontal="center" vertical="center"/>
    </xf>
    <xf numFmtId="0" fontId="11" fillId="0" borderId="0" xfId="4" applyFont="1" applyFill="1" applyBorder="1" applyAlignment="1">
      <alignment horizontal="center" vertical="center"/>
    </xf>
    <xf numFmtId="165" fontId="8" fillId="0" borderId="0" xfId="4" applyNumberFormat="1" applyFont="1" applyFill="1" applyBorder="1" applyAlignment="1">
      <alignment horizontal="center" vertical="center"/>
    </xf>
    <xf numFmtId="0" fontId="11" fillId="0" borderId="1" xfId="0" applyFont="1" applyFill="1" applyBorder="1"/>
    <xf numFmtId="165" fontId="5" fillId="0" borderId="0" xfId="4" applyNumberFormat="1" applyFont="1" applyBorder="1" applyAlignment="1">
      <alignment horizont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4" fillId="9" borderId="9" xfId="0" applyFont="1" applyFill="1" applyBorder="1" applyAlignment="1">
      <alignment horizontal="left"/>
    </xf>
    <xf numFmtId="0" fontId="14" fillId="9" borderId="9" xfId="0" applyNumberFormat="1" applyFont="1" applyFill="1" applyBorder="1"/>
  </cellXfs>
  <cellStyles count="15">
    <cellStyle name="Comma 2" xfId="2"/>
    <cellStyle name="Comma 3" xfId="13"/>
    <cellStyle name="Normal" xfId="0" builtinId="0"/>
    <cellStyle name="Normal 100" xfId="3"/>
    <cellStyle name="Normal 106" xfId="5"/>
    <cellStyle name="Normal 107" xfId="4"/>
    <cellStyle name="Normal 110" xfId="11"/>
    <cellStyle name="Normal 112 2" xfId="7"/>
    <cellStyle name="Normal 15" xfId="8"/>
    <cellStyle name="Normal 2" xfId="1"/>
    <cellStyle name="Normal 2 10" xfId="10"/>
    <cellStyle name="Normal 24" xfId="9"/>
    <cellStyle name="Normal 3" xfId="12"/>
    <cellStyle name="Normal 5" xfId="6"/>
    <cellStyle name="Normal_Survey_List1_2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IRI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Sheet2!$B$1</c:f>
              <c:strCache>
                <c:ptCount val="1"/>
                <c:pt idx="0">
                  <c:v>Sum of ระยะทาง
(กิโลเมตร)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Sheet2!$A$2:$A$16</c:f>
              <c:numCache>
                <c:formatCode>General</c:formatCode>
                <c:ptCount val="15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</c:numCache>
            </c:numRef>
          </c:cat>
          <c:val>
            <c:numRef>
              <c:f>Sheet2!$B$2:$B$16</c:f>
              <c:numCache>
                <c:formatCode>General</c:formatCode>
                <c:ptCount val="15"/>
                <c:pt idx="0">
                  <c:v>37.016000000000005</c:v>
                </c:pt>
                <c:pt idx="1">
                  <c:v>10.212</c:v>
                </c:pt>
                <c:pt idx="2">
                  <c:v>13.287000000000003</c:v>
                </c:pt>
                <c:pt idx="3">
                  <c:v>304.12999999999994</c:v>
                </c:pt>
                <c:pt idx="4">
                  <c:v>6638.7639999999983</c:v>
                </c:pt>
                <c:pt idx="5">
                  <c:v>15785.248999999987</c:v>
                </c:pt>
                <c:pt idx="6">
                  <c:v>10282.482</c:v>
                </c:pt>
                <c:pt idx="7">
                  <c:v>3428.3760000000025</c:v>
                </c:pt>
                <c:pt idx="8">
                  <c:v>1494.8240000000003</c:v>
                </c:pt>
                <c:pt idx="9">
                  <c:v>480.84399999999994</c:v>
                </c:pt>
                <c:pt idx="10">
                  <c:v>318.54100000000011</c:v>
                </c:pt>
                <c:pt idx="11">
                  <c:v>37.544999999999995</c:v>
                </c:pt>
                <c:pt idx="12">
                  <c:v>3.4780000000000002</c:v>
                </c:pt>
                <c:pt idx="13">
                  <c:v>1.7880000000000003</c:v>
                </c:pt>
                <c:pt idx="14">
                  <c:v>35.991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709069072"/>
        <c:axId val="-709068528"/>
      </c:barChart>
      <c:catAx>
        <c:axId val="-70906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09068528"/>
        <c:crosses val="autoZero"/>
        <c:auto val="1"/>
        <c:lblAlgn val="ctr"/>
        <c:lblOffset val="100"/>
        <c:noMultiLvlLbl val="0"/>
      </c:catAx>
      <c:valAx>
        <c:axId val="-70906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0906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Rutting (mm)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Sheet2!$F$1</c:f>
              <c:strCache>
                <c:ptCount val="1"/>
                <c:pt idx="0">
                  <c:v>Sum of ระยะทาง
(กิโลเมตร)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Sheet2!$E$2:$E$31</c:f>
              <c:numCache>
                <c:formatCode>General</c:formatCode>
                <c:ptCount val="30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</c:numCache>
            </c:numRef>
          </c:cat>
          <c:val>
            <c:numRef>
              <c:f>Sheet2!$F$2:$F$31</c:f>
              <c:numCache>
                <c:formatCode>General</c:formatCode>
                <c:ptCount val="30"/>
                <c:pt idx="0">
                  <c:v>165.35900000000004</c:v>
                </c:pt>
                <c:pt idx="1">
                  <c:v>0.434</c:v>
                </c:pt>
                <c:pt idx="2">
                  <c:v>83.89200000000001</c:v>
                </c:pt>
                <c:pt idx="3">
                  <c:v>298.50199999999995</c:v>
                </c:pt>
                <c:pt idx="4">
                  <c:v>1041.0300000000002</c:v>
                </c:pt>
                <c:pt idx="5">
                  <c:v>2462.2740000000008</c:v>
                </c:pt>
                <c:pt idx="6">
                  <c:v>4396.3059999999996</c:v>
                </c:pt>
                <c:pt idx="7">
                  <c:v>3744.0240000000008</c:v>
                </c:pt>
                <c:pt idx="8">
                  <c:v>4903.3600000000015</c:v>
                </c:pt>
                <c:pt idx="9">
                  <c:v>5060.8009999999995</c:v>
                </c:pt>
                <c:pt idx="10">
                  <c:v>4493.0310000000045</c:v>
                </c:pt>
                <c:pt idx="11">
                  <c:v>3032.0080000000012</c:v>
                </c:pt>
                <c:pt idx="12">
                  <c:v>2518.0240000000003</c:v>
                </c:pt>
                <c:pt idx="13">
                  <c:v>1586.1539999999993</c:v>
                </c:pt>
                <c:pt idx="14">
                  <c:v>1078.021</c:v>
                </c:pt>
                <c:pt idx="15">
                  <c:v>806.20899999999995</c:v>
                </c:pt>
                <c:pt idx="16">
                  <c:v>576.91599999999994</c:v>
                </c:pt>
                <c:pt idx="17">
                  <c:v>420.23299999999995</c:v>
                </c:pt>
                <c:pt idx="18">
                  <c:v>216.19200000000001</c:v>
                </c:pt>
                <c:pt idx="19">
                  <c:v>147.834</c:v>
                </c:pt>
                <c:pt idx="20">
                  <c:v>144.34500000000003</c:v>
                </c:pt>
                <c:pt idx="21">
                  <c:v>120.146</c:v>
                </c:pt>
                <c:pt idx="22">
                  <c:v>93.416999999999987</c:v>
                </c:pt>
                <c:pt idx="23">
                  <c:v>11.6</c:v>
                </c:pt>
                <c:pt idx="24">
                  <c:v>53.527000000000008</c:v>
                </c:pt>
                <c:pt idx="25">
                  <c:v>170.386</c:v>
                </c:pt>
                <c:pt idx="26">
                  <c:v>43</c:v>
                </c:pt>
                <c:pt idx="27">
                  <c:v>13.55</c:v>
                </c:pt>
                <c:pt idx="28">
                  <c:v>29.635999999999999</c:v>
                </c:pt>
                <c:pt idx="29">
                  <c:v>132.654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945247744"/>
        <c:axId val="-667054320"/>
      </c:barChart>
      <c:catAx>
        <c:axId val="-94524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67054320"/>
        <c:crosses val="autoZero"/>
        <c:auto val="1"/>
        <c:lblAlgn val="ctr"/>
        <c:lblOffset val="100"/>
        <c:noMultiLvlLbl val="0"/>
      </c:catAx>
      <c:valAx>
        <c:axId val="-66705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45247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cracking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Sheet2!$J$1</c:f>
              <c:strCache>
                <c:ptCount val="1"/>
                <c:pt idx="0">
                  <c:v>Sum of ระยะทาง
(กิโลเมตร)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Sheet2!$I$2:$I$10</c:f>
              <c:numCache>
                <c:formatCode>General</c:formatCode>
                <c:ptCount val="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</c:numCache>
            </c:numRef>
          </c:cat>
          <c:val>
            <c:numRef>
              <c:f>Sheet2!$J$2:$J$10</c:f>
              <c:numCache>
                <c:formatCode>General</c:formatCode>
                <c:ptCount val="9"/>
                <c:pt idx="0">
                  <c:v>31208.588000000014</c:v>
                </c:pt>
                <c:pt idx="1">
                  <c:v>4940.7179999999989</c:v>
                </c:pt>
                <c:pt idx="2">
                  <c:v>998.12099999999964</c:v>
                </c:pt>
                <c:pt idx="3">
                  <c:v>726.26300000000003</c:v>
                </c:pt>
                <c:pt idx="4">
                  <c:v>399.70299999999992</c:v>
                </c:pt>
                <c:pt idx="5">
                  <c:v>92.009</c:v>
                </c:pt>
                <c:pt idx="6">
                  <c:v>110.76199999999999</c:v>
                </c:pt>
                <c:pt idx="7">
                  <c:v>79.59</c:v>
                </c:pt>
                <c:pt idx="8">
                  <c:v>60.851999999999997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667048880"/>
        <c:axId val="-667053232"/>
      </c:barChart>
      <c:catAx>
        <c:axId val="-66704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67053232"/>
        <c:crosses val="autoZero"/>
        <c:auto val="1"/>
        <c:lblAlgn val="ctr"/>
        <c:lblOffset val="100"/>
        <c:noMultiLvlLbl val="0"/>
      </c:catAx>
      <c:valAx>
        <c:axId val="-66705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67048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355600</xdr:colOff>
      <xdr:row>0</xdr:row>
      <xdr:rowOff>88900</xdr:rowOff>
    </xdr:from>
    <xdr:to>
      <xdr:col>17</xdr:col>
      <xdr:colOff>800100</xdr:colOff>
      <xdr:row>14</xdr:row>
      <xdr:rowOff>165100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368300</xdr:colOff>
      <xdr:row>15</xdr:row>
      <xdr:rowOff>139700</xdr:rowOff>
    </xdr:from>
    <xdr:to>
      <xdr:col>17</xdr:col>
      <xdr:colOff>812800</xdr:colOff>
      <xdr:row>30</xdr:row>
      <xdr:rowOff>25400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381000</xdr:colOff>
      <xdr:row>30</xdr:row>
      <xdr:rowOff>165100</xdr:rowOff>
    </xdr:from>
    <xdr:to>
      <xdr:col>18</xdr:col>
      <xdr:colOff>0</xdr:colOff>
      <xdr:row>45</xdr:row>
      <xdr:rowOff>50800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fraplus" refreshedDate="42835.699467013888" createdVersion="4" refreshedVersion="5" minRefreshableVersion="3" recordCount="2235">
  <cacheSource type="worksheet">
    <worksheetSource ref="A1:AM1048576" sheet="AC"/>
  </cacheSource>
  <cacheFields count="39">
    <cacheField name="ลำดับ" numFmtId="0">
      <sharedItems containsString="0" containsBlank="1" containsNumber="1" containsInteger="1" minValue="1" maxValue="2234"/>
    </cacheField>
    <cacheField name="แขวงทางหลวง" numFmtId="0">
      <sharedItems containsBlank="1"/>
    </cacheField>
    <cacheField name="รหัสแขวง" numFmtId="0">
      <sharedItems containsString="0" containsBlank="1" containsNumber="1" containsInteger="1" minValue="311" maxValue="647"/>
    </cacheField>
    <cacheField name="หมายเลขทางหลวง" numFmtId="0">
      <sharedItems containsString="0" containsBlank="1" containsNumber="1" containsInteger="1" minValue="1" maxValue="34770"/>
    </cacheField>
    <cacheField name="หมายเลขควบคุม" numFmtId="0">
      <sharedItems containsString="0" containsBlank="1" containsNumber="1" containsInteger="1" minValue="10" maxValue="1404"/>
    </cacheField>
    <cacheField name="ชื่อสายทาง" numFmtId="0">
      <sharedItems containsBlank="1"/>
    </cacheField>
    <cacheField name="กิโลเมตรเริ่มต้น" numFmtId="0">
      <sharedItems containsBlank="1" containsMixedTypes="1" containsNumber="1" containsInteger="1" minValue="0" maxValue="662897"/>
    </cacheField>
    <cacheField name="กิโลเมตรสิ้นสุด" numFmtId="0">
      <sharedItems containsBlank="1" containsMixedTypes="1" containsNumber="1" containsInteger="1" minValue="0" maxValue="662897"/>
    </cacheField>
    <cacheField name="ระยะทาง_x000a_(กิโลเมตร)" numFmtId="0">
      <sharedItems containsString="0" containsBlank="1" containsNumber="1" minValue="0" maxValue="112.14700000000001"/>
    </cacheField>
    <cacheField name="จำนวนช่องจราจร" numFmtId="0">
      <sharedItems containsBlank="1" containsMixedTypes="1" containsNumber="1" containsInteger="1" minValue="1" maxValue="14"/>
    </cacheField>
    <cacheField name="ทิศทางสำรวจ" numFmtId="0">
      <sharedItems containsBlank="1" containsMixedTypes="1" containsNumber="1" containsInteger="1" minValue="1" maxValue="8"/>
    </cacheField>
    <cacheField name="วันที่สำรวจ" numFmtId="0">
      <sharedItems containsDate="1" containsBlank="1" containsMixedTypes="1" minDate="1958-08-06T00:00:00" maxDate="2015-10-28T00:00:00"/>
    </cacheField>
    <cacheField name="ประเภท_x000a_ผิวทาง" numFmtId="0">
      <sharedItems containsBlank="1"/>
    </cacheField>
    <cacheField name="IRI &lt; 2.5" numFmtId="0">
      <sharedItems containsString="0" containsBlank="1" containsNumber="1" minValue="0" maxValue="73.05"/>
    </cacheField>
    <cacheField name="2.5 ≤ IRI &lt; 3.5" numFmtId="0">
      <sharedItems containsString="0" containsBlank="1" containsNumber="1" minValue="0" maxValue="34.32"/>
    </cacheField>
    <cacheField name="3.5 ≤ IRI &lt; 5" numFmtId="0">
      <sharedItems containsString="0" containsBlank="1" containsNumber="1" minValue="0" maxValue="27.875"/>
    </cacheField>
    <cacheField name="IRI ≥ 5" numFmtId="0">
      <sharedItems containsString="0" containsBlank="1" containsNumber="1" minValue="0" maxValue="22.75"/>
    </cacheField>
    <cacheField name="IRI เฉลี่ย_x000a_(เมตร/กิโลเมตร)" numFmtId="0">
      <sharedItems containsString="0" containsBlank="1" containsNumber="1" minValue="0" maxValue="11.0425"/>
    </cacheField>
    <cacheField name="adj_iri" numFmtId="0">
      <sharedItems containsString="0" containsBlank="1" containsNumber="1" minValue="0" maxValue="11"/>
    </cacheField>
    <cacheField name="Rut &lt; 10" numFmtId="0">
      <sharedItems containsString="0" containsBlank="1" containsNumber="1" minValue="0" maxValue="106.15"/>
    </cacheField>
    <cacheField name="10 ≤ Rut &lt; 15" numFmtId="0">
      <sharedItems containsString="0" containsBlank="1" containsNumber="1" minValue="0" maxValue="15.9"/>
    </cacheField>
    <cacheField name="15 ≤ Rut &lt; 20" numFmtId="0">
      <sharedItems containsString="0" containsBlank="1" containsNumber="1" minValue="0" maxValue="18.675000000000001"/>
    </cacheField>
    <cacheField name="Rut ≥ 20" numFmtId="0">
      <sharedItems containsString="0" containsBlank="1" containsNumber="1" minValue="0" maxValue="19.47"/>
    </cacheField>
    <cacheField name="Rutting เฉลี่ย (มิลลิเมตร)" numFmtId="0">
      <sharedItems containsString="0" containsBlank="1" containsNumber="1" minValue="0" maxValue="231"/>
    </cacheField>
    <cacheField name="adj_rutting" numFmtId="0">
      <sharedItems containsString="0" containsBlank="1" containsNumber="1" minValue="0" maxValue="231"/>
    </cacheField>
    <cacheField name="MPD &lt; 0.25" numFmtId="0">
      <sharedItems containsString="0" containsBlank="1" containsNumber="1" minValue="-6.5297525013164881" maxValue="35"/>
    </cacheField>
    <cacheField name="0.25 ≤ MPD &lt; 0.5" numFmtId="0">
      <sharedItems containsString="0" containsBlank="1" containsNumber="1" minValue="0" maxValue="58.61"/>
    </cacheField>
    <cacheField name="MPD ≥ 0.5" numFmtId="0">
      <sharedItems containsString="0" containsBlank="1" containsNumber="1" minValue="0" maxValue="112.3"/>
    </cacheField>
    <cacheField name="MPD_x000a_(มิลลิเมตร)" numFmtId="0">
      <sharedItems containsString="0" containsBlank="1" containsNumber="1" minValue="0" maxValue="4"/>
    </cacheField>
    <cacheField name="รอยแตก  ต่อเนื่อง(ตารางเมตร)" numFmtId="0">
      <sharedItems containsString="0" containsBlank="1" containsNumber="1" minValue="0" maxValue="17353.7"/>
    </cacheField>
    <cacheField name="รอยแตก _x000a_ไม่ต่อเนื่อง(เมตร)" numFmtId="0">
      <sharedItems containsString="0" containsBlank="1" containsNumber="1" minValue="0" maxValue="8592.43"/>
    </cacheField>
    <cacheField name="ร้อยละรอยแตก" numFmtId="0">
      <sharedItems containsString="0" containsBlank="1" containsNumber="1" minValue="0" maxValue="89"/>
    </cacheField>
    <cacheField name="adj_crack" numFmtId="0">
      <sharedItems containsString="0" containsBlank="1" containsNumber="1" minValue="0" maxValue="89" count="137">
        <n v="1.1000000000000001"/>
        <n v="89"/>
        <n v="76.400000000000006"/>
        <n v="68.400000000000006"/>
        <n v="64.7"/>
        <n v="62.7"/>
        <n v="53.6"/>
        <n v="50.2"/>
        <n v="49.3"/>
        <n v="49"/>
        <n v="41"/>
        <n v="40.4"/>
        <n v="39.799999999999997"/>
        <n v="28.5"/>
        <n v="27.7"/>
        <n v="27.6"/>
        <n v="27.1"/>
        <n v="25.6"/>
        <n v="25.5"/>
        <n v="24.8"/>
        <n v="24.1"/>
        <n v="24"/>
        <n v="21.1"/>
        <n v="20.3"/>
        <n v="18"/>
        <n v="17.399999999999999"/>
        <n v="17.3"/>
        <n v="17.100000000000001"/>
        <n v="16.7"/>
        <n v="15.9"/>
        <n v="15.3"/>
        <n v="15"/>
        <n v="14.5"/>
        <n v="14.4"/>
        <n v="14"/>
        <n v="13.2"/>
        <n v="13.1"/>
        <n v="13"/>
        <n v="12.4"/>
        <n v="12"/>
        <n v="11.1"/>
        <n v="11"/>
        <n v="10.6"/>
        <n v="10.5"/>
        <n v="10.4"/>
        <n v="10.199999999999999"/>
        <n v="10"/>
        <n v="9.9"/>
        <n v="9.6999999999999993"/>
        <n v="9.1"/>
        <n v="9"/>
        <n v="8.9"/>
        <n v="8.4"/>
        <n v="8"/>
        <n v="7.9"/>
        <n v="7.8"/>
        <n v="7.7"/>
        <n v="7.6"/>
        <n v="7.5"/>
        <n v="7"/>
        <n v="6.9"/>
        <n v="6.6"/>
        <n v="6.5"/>
        <n v="6.3"/>
        <n v="6"/>
        <n v="5.7"/>
        <n v="5.6"/>
        <n v="5.5"/>
        <n v="5.4"/>
        <n v="5.3"/>
        <n v="5.2"/>
        <n v="5.0999999999999996"/>
        <n v="5"/>
        <n v="4.9000000000000004"/>
        <n v="4.8"/>
        <n v="4.7"/>
        <n v="4.5999999999999996"/>
        <n v="4.4000000000000004"/>
        <n v="4.3"/>
        <n v="4.2"/>
        <n v="4.0999999999999996"/>
        <n v="4"/>
        <n v="3.9"/>
        <n v="3.8"/>
        <n v="3.7"/>
        <n v="3.6"/>
        <n v="3.5"/>
        <n v="3.3"/>
        <n v="3.2"/>
        <n v="3.1"/>
        <n v="3"/>
        <n v="2.9"/>
        <n v="2.8"/>
        <n v="2.7"/>
        <n v="2.6"/>
        <n v="2.5"/>
        <n v="2.4"/>
        <n v="2.2999999999999998"/>
        <n v="2.2000000000000002"/>
        <n v="2.1"/>
        <n v="2"/>
        <n v="1.9"/>
        <n v="1.8"/>
        <n v="1.7"/>
        <n v="1.6"/>
        <n v="1.5"/>
        <n v="0"/>
        <n v="1.4"/>
        <n v="1.3"/>
        <n v="1.2"/>
        <n v="1"/>
        <n v="0.9"/>
        <n v="0.8"/>
        <n v="0.7"/>
        <n v="0.6"/>
        <n v="0.5"/>
        <n v="0.4"/>
        <n v="0.3"/>
        <n v="0.2"/>
        <n v="0.1"/>
        <m/>
        <n v="63" u="1"/>
        <n v="40" u="1"/>
        <n v="16" u="1"/>
        <n v="17" u="1"/>
        <n v="50" u="1"/>
        <n v="65" u="1"/>
        <n v="54" u="1"/>
        <n v="20" u="1"/>
        <n v="21" u="1"/>
        <n v="25" u="1"/>
        <n v="68" u="1"/>
        <n v="26" u="1"/>
        <n v="27" u="1"/>
        <n v="76" u="1"/>
        <n v="28" u="1"/>
        <n v="29" u="1"/>
      </sharedItems>
    </cacheField>
    <cacheField name="หลุดร่อน (ตารางเมตร)" numFmtId="0">
      <sharedItems containsString="0" containsBlank="1" containsNumber="1" minValue="0" maxValue="17219"/>
    </cacheField>
    <cacheField name="ร้อยละหลุดร่อน" numFmtId="0">
      <sharedItems containsString="0" containsBlank="1" containsNumber="1" minValue="0" maxValue="50.580773146093819"/>
    </cacheField>
    <cacheField name=" รอยปะซ่อม (ตารางเมตร)" numFmtId="0">
      <sharedItems containsString="0" containsBlank="1" containsNumber="1" minValue="0" maxValue="10192.33"/>
    </cacheField>
    <cacheField name="ร้อยละรอยปะซ่อม" numFmtId="0">
      <sharedItems containsString="0" containsBlank="1" containsNumber="1" minValue="-2.97495091330993E-4" maxValue="29.120942857142857"/>
    </cacheField>
    <cacheField name="หลุมบ่อ (ตารางเมตร)" numFmtId="0">
      <sharedItems containsString="0" containsBlank="1" containsNumber="1" minValue="0" maxValue="7563.6200000000035"/>
    </cacheField>
    <cacheField name=" ร้อยละหลุมบ่อ " numFmtId="0">
      <sharedItems containsString="0" containsBlank="1" containsNumber="1" minValue="0" maxValue="7.8723418045590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35">
  <r>
    <n v="1063"/>
    <s v="แขวงทางหลวงปราจีนบุรี"/>
    <n v="618"/>
    <n v="3627"/>
    <n v="100"/>
    <s v="โคกหอม - คลองแห่"/>
    <n v="0"/>
    <n v="6122"/>
    <n v="6.1219999999999999"/>
    <n v="2"/>
    <s v="L1"/>
    <d v="2015-04-20T00:00:00"/>
    <s v="A.C."/>
    <n v="1.5"/>
    <n v="1.5249999999999999"/>
    <n v="1.075"/>
    <n v="1.55"/>
    <n v="4.0868099999999998"/>
    <n v="4"/>
    <n v="5.4619999999999997"/>
    <n v="0.46500000000000002"/>
    <n v="0.108"/>
    <n v="8.6999999999999994E-2"/>
    <n v="6.121999999999999"/>
    <n v="6"/>
    <n v="-1.4507978106829879E-14"/>
    <n v="6.0151500000000002"/>
    <n v="0"/>
    <n v="0"/>
    <n v="6.121999999999999"/>
    <n v="1.417"/>
    <n v="1.1399999999999999"/>
    <x v="0"/>
    <n v="0"/>
    <n v="5.3203901619452093E-3"/>
    <n v="4.68"/>
    <n v="2.1841601717459278E-2"/>
    <n v="0"/>
    <n v="0"/>
  </r>
  <r>
    <n v="1057"/>
    <s v="แขวงทางหลวงปราจีนบุรี"/>
    <n v="618"/>
    <n v="3078"/>
    <n v="100"/>
    <s v="ระเบาะไผ่ - ประจันตคาม"/>
    <n v="0"/>
    <n v="26887"/>
    <n v="23.652000000000001"/>
    <n v="2"/>
    <s v="L1"/>
    <d v="2015-04-19T00:00:00"/>
    <s v="A.C."/>
    <n v="14"/>
    <n v="6.2249999999999996"/>
    <n v="2.4249999999999998"/>
    <n v="1.0249999999999999"/>
    <n v="2.5830000000000002"/>
    <n v="2.5"/>
    <n v="21.65"/>
    <n v="1.425"/>
    <n v="0.42499999999999999"/>
    <n v="0.17499999999999999"/>
    <n v="23.675000000000001"/>
    <n v="23.5"/>
    <n v="9.7243362083543408E-2"/>
    <n v="5.5721400000000001"/>
    <n v="0"/>
    <n v="0"/>
    <n v="23.675000000000001"/>
    <n v="1.10636"/>
    <n v="1.1399999999999999"/>
    <x v="0"/>
    <n v="0"/>
    <n v="1.3771109661520617E-3"/>
    <n v="1.52"/>
    <n v="1.8361479548694157E-3"/>
    <n v="0"/>
    <n v="0"/>
  </r>
  <r>
    <n v="1053"/>
    <s v="แขวงทางหลวงปราจีนบุรี"/>
    <n v="618"/>
    <n v="359"/>
    <n v="200"/>
    <s v="เขามะกา - เขาหินซ้อน"/>
    <n v="72719"/>
    <n v="26793"/>
    <n v="45.926000000000002"/>
    <n v="4"/>
    <s v="R2"/>
    <d v="2015-04-20T00:00:00"/>
    <s v="A.C."/>
    <n v="33.450000000000003"/>
    <n v="8.125"/>
    <n v="3.05"/>
    <n v="1"/>
    <n v="2.19076"/>
    <n v="2"/>
    <n v="42.975000000000001"/>
    <n v="2.2999999999999998"/>
    <n v="0.3"/>
    <n v="0.05"/>
    <n v="45.624999999999993"/>
    <n v="45.5"/>
    <n v="-0.65540216870619916"/>
    <n v="4.8790300000000002"/>
    <n v="0"/>
    <n v="0"/>
    <n v="45.624999999999993"/>
    <n v="1.2909299999999999"/>
    <n v="1.1399999999999999"/>
    <x v="0"/>
    <n v="0"/>
    <n v="7.0921544596587048E-4"/>
    <n v="0"/>
    <n v="0"/>
    <n v="0"/>
    <n v="0"/>
  </r>
  <r>
    <n v="1052"/>
    <s v="แขวงทางหลวงปราจีนบุรี"/>
    <n v="618"/>
    <n v="359"/>
    <n v="200"/>
    <s v="เขามะกา - เขาหินซ้อน"/>
    <n v="26793"/>
    <n v="72719"/>
    <n v="45.926000000000002"/>
    <n v="4"/>
    <s v="L2"/>
    <d v="2015-04-20T00:00:00"/>
    <s v="A.C."/>
    <n v="33.549999999999997"/>
    <n v="8.4749999999999996"/>
    <n v="3.125"/>
    <n v="0.52500000000000002"/>
    <n v="2.0924100000000001"/>
    <n v="2"/>
    <n v="37.725000000000001"/>
    <n v="6.4249999999999998"/>
    <n v="1.325"/>
    <n v="0.2"/>
    <n v="45.675000000000004"/>
    <n v="45.5"/>
    <n v="-0.54653137656229078"/>
    <n v="7.2148199999999996"/>
    <n v="0"/>
    <n v="0"/>
    <n v="45.675000000000004"/>
    <n v="1.42371"/>
    <n v="1.1399999999999999"/>
    <x v="0"/>
    <n v="0"/>
    <n v="7.0921544596587048E-4"/>
    <n v="0"/>
    <n v="0"/>
    <n v="0"/>
    <n v="0"/>
  </r>
  <r>
    <n v="1058"/>
    <s v="แขวงทางหลวงปราจีนบุรี"/>
    <n v="618"/>
    <n v="3079"/>
    <n v="101"/>
    <s v="ปราจีนบุรี - ศรีมหาโพธิ"/>
    <n v="2395"/>
    <n v="19858"/>
    <n v="17.463000000000001"/>
    <n v="2"/>
    <s v="L1"/>
    <d v="2015-04-20T00:00:00"/>
    <s v="A.C."/>
    <n v="7.3"/>
    <n v="5.875"/>
    <n v="2.2749999999999999"/>
    <n v="1.9"/>
    <n v="3.1182099999999999"/>
    <n v="3"/>
    <n v="16.149999999999999"/>
    <n v="1"/>
    <n v="0.125"/>
    <n v="7.4999999999999997E-2"/>
    <n v="17.349999999999998"/>
    <n v="17.5"/>
    <n v="-0.64708240279449747"/>
    <n v="5.2284899999999999"/>
    <n v="0"/>
    <n v="0"/>
    <n v="17.349999999999998"/>
    <n v="1.3463499999999999"/>
    <n v="1.1399999999999999"/>
    <x v="0"/>
    <n v="0"/>
    <n v="1.8651679878273243E-3"/>
    <n v="3.51"/>
    <n v="5.74275406778413E-3"/>
    <n v="0"/>
    <n v="0"/>
  </r>
  <r>
    <n v="1059"/>
    <s v="แขวงทางหลวงปราจีนบุรี"/>
    <n v="618"/>
    <n v="3079"/>
    <n v="102"/>
    <s v="ศรีมหาโพธิ - พญาจ่าย"/>
    <s v="20+822"/>
    <s v="53+810"/>
    <n v="25.503"/>
    <n v="2"/>
    <s v="L1"/>
    <d v="2015-04-20T00:00:00"/>
    <s v="A.C."/>
    <n v="15.53"/>
    <n v="4.75"/>
    <n v="2.35"/>
    <n v="1.25"/>
    <n v="2.5795400000000002"/>
    <n v="2.5"/>
    <n v="23.024999999999999"/>
    <n v="0.75"/>
    <n v="0.05"/>
    <n v="0.05"/>
    <n v="23.875"/>
    <n v="24"/>
    <n v="-6.3835627181115946"/>
    <n v="4.5893600000000001"/>
    <n v="0"/>
    <n v="0"/>
    <n v="23.875"/>
    <n v="1.23933"/>
    <n v="1.1399999999999999"/>
    <x v="0"/>
    <n v="328.13"/>
    <n v="0.18508186711927443"/>
    <n v="3.51"/>
    <n v="3.9323104844808162E-3"/>
    <n v="1027.8900000000001"/>
    <n v="1.1515620011091132"/>
  </r>
  <r>
    <n v="1608"/>
    <s v="แขวงทางหลวงปทุมธานี"/>
    <n v="416"/>
    <n v="346"/>
    <n v="103"/>
    <s v="สะพานข้ามแม่น้ำเจ้าพระยาปทุมธานี - ต่างระดับลาดหลุมแก้ว"/>
    <s v="11+350"/>
    <s v="20+480"/>
    <n v="9.3010000000000002"/>
    <n v="4"/>
    <s v="L2"/>
    <d v="2015-09-01T00:00:00"/>
    <s v="C.C."/>
    <n v="0.22500000000000001"/>
    <n v="2.8"/>
    <n v="4.5"/>
    <n v="1.4750000000000001"/>
    <n v="4.1164699999999996"/>
    <n v="4"/>
    <n v="0"/>
    <n v="0"/>
    <n v="9"/>
    <n v="1.3158399999999999"/>
    <n v="139"/>
    <n v="139"/>
    <n v="0"/>
    <n v="51"/>
    <n v="22"/>
    <n v="0"/>
    <n v="216.06"/>
    <n v="0.67613831951181347"/>
    <n v="1.1399999999999999"/>
    <x v="0"/>
    <m/>
    <m/>
    <m/>
    <m/>
    <m/>
    <m/>
  </r>
  <r>
    <n v="1055"/>
    <s v="แขวงทางหลวงปราจีนบุรี"/>
    <n v="618"/>
    <n v="3076"/>
    <n v="200"/>
    <s v="บางหอย - วังขอน"/>
    <n v="22041"/>
    <n v="43521"/>
    <n v="21.274999999999999"/>
    <n v="2"/>
    <s v="L1"/>
    <d v="2015-04-20T00:00:00"/>
    <s v="A.C."/>
    <n v="9.875"/>
    <n v="6.5250000000000004"/>
    <n v="3.1749999999999998"/>
    <n v="1.575"/>
    <n v="3.2467000000000001"/>
    <n v="3"/>
    <n v="20.175000000000001"/>
    <n v="0.82499999999999996"/>
    <n v="0.125"/>
    <n v="2.5000000000000001E-2"/>
    <n v="21.15"/>
    <n v="21"/>
    <n v="-0.58754406580493534"/>
    <n v="5.3170500000000001"/>
    <n v="0"/>
    <n v="0"/>
    <n v="21.15"/>
    <n v="1.2529399999999999"/>
    <n v="1.1399999999999999"/>
    <x v="0"/>
    <n v="0"/>
    <n v="1.5309719657545747E-3"/>
    <n v="8.14"/>
    <n v="1.0931677018633543E-2"/>
    <n v="0"/>
    <n v="0"/>
  </r>
  <r>
    <n v="1566"/>
    <s v="แขวงทางหลวงปทุมธานี"/>
    <n v="416"/>
    <n v="9"/>
    <n v="302"/>
    <s v="ต่างระดับเชียงรากน้อย - ต่างระดับบางปะอิน"/>
    <s v="78+872"/>
    <s v="84+127"/>
    <n v="5.2549999999999999"/>
    <n v="4"/>
    <s v="L2"/>
    <d v="2015-09-02T00:00:00"/>
    <s v="C.C."/>
    <n v="2.0750000000000002"/>
    <n v="1.675"/>
    <n v="0.9"/>
    <n v="0.65"/>
    <n v="3.1545800000000002"/>
    <n v="3"/>
    <n v="0"/>
    <n v="0"/>
    <n v="5.3000000000000007"/>
    <n v="1.11846"/>
    <n v="231"/>
    <n v="231"/>
    <n v="35"/>
    <n v="11"/>
    <n v="7"/>
    <n v="4"/>
    <n v="1100.1300000000001"/>
    <n v="5.9814054641837711"/>
    <n v="89"/>
    <x v="1"/>
    <m/>
    <m/>
    <m/>
    <m/>
    <m/>
    <m/>
  </r>
  <r>
    <n v="1060"/>
    <s v="แขวงทางหลวงปราจีนบุรี"/>
    <n v="618"/>
    <n v="3452"/>
    <n v="100"/>
    <s v="ดงพระราม - ห้วยขื่อ"/>
    <n v="1490"/>
    <n v="15857"/>
    <n v="14.367000000000001"/>
    <n v="2"/>
    <s v="R1"/>
    <d v="2015-04-19T00:00:00"/>
    <s v="A.C."/>
    <n v="7.1749999999999998"/>
    <n v="4.2249999999999996"/>
    <n v="2.25"/>
    <n v="0.7"/>
    <n v="2.9089299999999998"/>
    <n v="3"/>
    <n v="13.85"/>
    <n v="0.32500000000000001"/>
    <n v="0.125"/>
    <n v="0.05"/>
    <n v="14.35"/>
    <n v="14.5"/>
    <n v="-0.11832672095775901"/>
    <n v="5.6430600000000002"/>
    <n v="0"/>
    <n v="0"/>
    <n v="14.35"/>
    <n v="1.2518800000000001"/>
    <n v="76.41"/>
    <x v="2"/>
    <n v="0"/>
    <n v="0.15195537392238165"/>
    <n v="0"/>
    <n v="0"/>
    <n v="0"/>
    <n v="0"/>
  </r>
  <r>
    <n v="1054"/>
    <s v="แขวงทางหลวงปราจีนบุรี"/>
    <n v="618"/>
    <n v="3070"/>
    <n v="100"/>
    <s v="ศรีมโหสถ - ศรีมหาโพธิ"/>
    <n v="0"/>
    <n v="13550"/>
    <n v="13.55"/>
    <n v="2"/>
    <s v="L1"/>
    <d v="2015-04-19T00:00:00"/>
    <s v="A.C."/>
    <n v="8.4749999999999996"/>
    <n v="2.7749999999999999"/>
    <n v="1.375"/>
    <n v="0.82499999999999996"/>
    <n v="2.6321699999999999"/>
    <n v="2.5"/>
    <n v="13.05"/>
    <n v="0.375"/>
    <n v="2.5000000000000001E-2"/>
    <n v="0"/>
    <n v="13.450000000000001"/>
    <n v="13.5"/>
    <n v="-0.73800738007379807"/>
    <n v="3.6704500000000002"/>
    <n v="0"/>
    <n v="0"/>
    <n v="13.450000000000001"/>
    <n v="1.1237299999999999"/>
    <n v="68.39"/>
    <x v="3"/>
    <n v="0"/>
    <n v="0.14420664206642064"/>
    <n v="6.81"/>
    <n v="1.4359515023721663E-2"/>
    <n v="0"/>
    <n v="0"/>
  </r>
  <r>
    <n v="1407"/>
    <s v="แขวงทางหลวงอุทัยธานี"/>
    <n v="447"/>
    <n v="3012"/>
    <n v="100"/>
    <s v="ทางเข้าตลาดหนองฉาง"/>
    <n v="0"/>
    <n v="34"/>
    <n v="3.4000000000000002E-2"/>
    <n v="6"/>
    <s v="L1"/>
    <d v="2015-07-31T00:00:00"/>
    <s v="A.C."/>
    <n v="0"/>
    <n v="0"/>
    <n v="2.5000000000000001E-2"/>
    <n v="2.5000000000000001E-2"/>
    <n v="8.26"/>
    <n v="8.5"/>
    <n v="0.05"/>
    <n v="0"/>
    <n v="0"/>
    <n v="0"/>
    <n v="4.3975"/>
    <n v="4.5"/>
    <n v="0"/>
    <n v="0"/>
    <n v="0.05"/>
    <n v="1.2084999999999999"/>
    <n v="4"/>
    <n v="146"/>
    <n v="64.705882352941174"/>
    <x v="4"/>
    <n v="0"/>
    <n v="0"/>
    <n v="0"/>
    <n v="0"/>
    <n v="0"/>
    <n v="0"/>
  </r>
  <r>
    <n v="1091"/>
    <s v="แขวงทางหลวงสระแก้ว (วัฒนานคร)"/>
    <n v="619"/>
    <n v="3616"/>
    <n v="100"/>
    <s v="ทางเข้าบ้านใหม่ปากฮ่อง"/>
    <s v="0+342"/>
    <s v="0+000"/>
    <n v="0.34200000000000003"/>
    <n v="2"/>
    <s v="R1"/>
    <d v="2015-03-30T00:00:00"/>
    <s v="A.C."/>
    <n v="0.03"/>
    <n v="0.15"/>
    <n v="0.05"/>
    <n v="0.13"/>
    <n v="5.5250000000000004"/>
    <n v="5.5"/>
    <n v="0.34"/>
    <n v="0"/>
    <n v="0"/>
    <n v="0"/>
    <n v="1.6120000000000001"/>
    <n v="1.5"/>
    <n v="0"/>
    <n v="0"/>
    <n v="0.34"/>
    <n v="1.2897099999999999"/>
    <n v="750.87"/>
    <n v="0"/>
    <n v="62.729323308270679"/>
    <x v="5"/>
    <n v="17.22"/>
    <n v="1.43859649122807"/>
    <n v="0"/>
    <n v="0"/>
    <n v="0"/>
    <n v="0"/>
  </r>
  <r>
    <n v="1429"/>
    <s v="แขวงทางหลวงอุทัยธานี"/>
    <n v="447"/>
    <n v="3553"/>
    <n v="100"/>
    <s v="ทางเข้าตลาดอุทัยธานี"/>
    <n v="0"/>
    <n v="180"/>
    <n v="0.18"/>
    <n v="1"/>
    <s v="L2"/>
    <d v="2015-08-01T00:00:00"/>
    <s v="A.C."/>
    <n v="0"/>
    <n v="7.4999999999999997E-2"/>
    <n v="0.05"/>
    <n v="0.05"/>
    <n v="4.4385700000000003"/>
    <n v="4.5"/>
    <n v="0.17499999999999999"/>
    <n v="0"/>
    <n v="0"/>
    <n v="0"/>
    <n v="2.0218600000000002"/>
    <n v="2"/>
    <n v="0"/>
    <n v="0"/>
    <n v="0.17499999999999999"/>
    <n v="1.0189999999999999"/>
    <n v="300.23"/>
    <n v="75.44"/>
    <n v="53.642857142857146"/>
    <x v="6"/>
    <n v="28.856000000000002"/>
    <n v="4.5803174603174606"/>
    <n v="1.2"/>
    <n v="0.19047619047619047"/>
    <n v="1.34"/>
    <n v="0.21269841269841269"/>
  </r>
  <r>
    <n v="1336"/>
    <s v="แขวงทางหลวงกาญจนบุรี"/>
    <n v="444"/>
    <n v="3445"/>
    <n v="100"/>
    <s v="ทางเลี่ยงค่ายไทรโยค"/>
    <n v="0"/>
    <n v="1260"/>
    <n v="1.26"/>
    <n v="2"/>
    <s v="L1"/>
    <d v="2015-07-28T00:00:00"/>
    <s v="A.C."/>
    <n v="0.05"/>
    <n v="0.47499999999999998"/>
    <n v="0.52500000000000002"/>
    <n v="0.22500000000000001"/>
    <n v="4.1829400000000003"/>
    <n v="4"/>
    <n v="1.25"/>
    <n v="2.5000000000000001E-2"/>
    <n v="0"/>
    <n v="0"/>
    <n v="2.7536299999999998"/>
    <n v="3"/>
    <n v="0"/>
    <n v="0"/>
    <n v="1.2750000000000001"/>
    <n v="1.1689000000000001"/>
    <n v="2181"/>
    <n v="70"/>
    <n v="50.249433106575971"/>
    <x v="7"/>
    <n v="0"/>
    <n v="0"/>
    <n v="3"/>
    <n v="6.8027210884353734E-2"/>
    <n v="1"/>
    <n v="2.2675736961451247E-2"/>
  </r>
  <r>
    <n v="1100"/>
    <s v="แขวงทางหลวงลพบุรีที่ 1"/>
    <n v="431"/>
    <n v="311"/>
    <n v="100"/>
    <s v="ลพบุรี -แยกวัดสนามไชย"/>
    <s v="5+315"/>
    <s v="11+968"/>
    <n v="6.6529999999999996"/>
    <n v="4"/>
    <s v="L2"/>
    <d v="2015-10-05T00:00:00"/>
    <s v="A.C."/>
    <n v="4.125"/>
    <n v="1.825"/>
    <n v="0.6"/>
    <n v="0.1"/>
    <n v="2.54556"/>
    <n v="2.5"/>
    <n v="6.35"/>
    <n v="0.3"/>
    <n v="0"/>
    <n v="0"/>
    <n v="4.4173"/>
    <n v="4.5"/>
    <n v="0"/>
    <n v="0"/>
    <n v="6.6499999999999995"/>
    <n v="1.2315100000000001"/>
    <n v="11485"/>
    <n v="6.4"/>
    <n v="49.336282235726095"/>
    <x v="8"/>
    <n v="26.32"/>
    <n v="0.11303171501578235"/>
    <n v="0"/>
    <n v="0"/>
    <n v="0"/>
    <n v="0"/>
  </r>
  <r>
    <n v="1613"/>
    <s v="แขวงทางหลวงปทุมธานี"/>
    <n v="416"/>
    <n v="3214"/>
    <n v="100"/>
    <s v="บ้านพร้าว - คลองห้า"/>
    <s v="5+000"/>
    <s v="6+000"/>
    <n v="1"/>
    <n v="4"/>
    <s v="L2"/>
    <d v="2015-09-02T00:00:00"/>
    <s v="C.C."/>
    <n v="2.5000000000000001E-2"/>
    <n v="0.125"/>
    <n v="0.47499999999999998"/>
    <n v="0.3"/>
    <n v="4.7778400000000003"/>
    <n v="5"/>
    <n v="0"/>
    <n v="0"/>
    <n v="0.92500000000000004"/>
    <n v="1.0132699999999999"/>
    <n v="1"/>
    <n v="1"/>
    <n v="0"/>
    <n v="0"/>
    <n v="0"/>
    <n v="0"/>
    <n v="0"/>
    <n v="0"/>
    <n v="49"/>
    <x v="9"/>
    <m/>
    <m/>
    <m/>
    <m/>
    <m/>
    <m/>
  </r>
  <r>
    <n v="1594"/>
    <s v="แขวงทางหลวงปทุมธานี"/>
    <n v="416"/>
    <n v="346"/>
    <n v="101"/>
    <s v="ต่างระดับรังสิต - สะพานคลองเปรม"/>
    <s v="0+000"/>
    <s v="1+184"/>
    <n v="1.1839999999999999"/>
    <n v="10"/>
    <s v="L2"/>
    <d v="2015-09-01T00:00:00"/>
    <s v="C.C."/>
    <n v="0.35"/>
    <n v="0.4"/>
    <n v="0.3"/>
    <n v="0.17499999999999999"/>
    <n v="3.5738799999999999"/>
    <n v="3.5"/>
    <n v="0"/>
    <n v="0"/>
    <n v="1.2250000000000001"/>
    <n v="0.97495900000000002"/>
    <n v="0"/>
    <n v="0"/>
    <n v="0"/>
    <n v="2"/>
    <n v="0"/>
    <n v="0"/>
    <n v="0"/>
    <n v="0"/>
    <n v="41"/>
    <x v="10"/>
    <m/>
    <m/>
    <m/>
    <m/>
    <m/>
    <m/>
  </r>
  <r>
    <n v="2041"/>
    <s v="แขวงทางหลวงนครศรีธรรมราชที่ 2 (ทุ่งสง)"/>
    <n v="326"/>
    <n v="4224"/>
    <n v="100"/>
    <s v="กระทูน - ห้วยทรายขาว"/>
    <n v="0"/>
    <n v="150"/>
    <n v="0.15"/>
    <n v="2"/>
    <s v="L1"/>
    <d v="2015-05-01T00:00:00"/>
    <s v="A.C."/>
    <n v="2.5000000000000001E-2"/>
    <n v="2.5000000000000001E-2"/>
    <n v="0.05"/>
    <n v="0"/>
    <n v="3.45"/>
    <n v="3.5"/>
    <n v="0.1"/>
    <n v="0"/>
    <n v="0"/>
    <n v="0"/>
    <n v="1.3345"/>
    <n v="1.5"/>
    <n v="0"/>
    <n v="0"/>
    <n v="0.1"/>
    <n v="1.05325"/>
    <n v="195.35"/>
    <n v="33.64"/>
    <n v="40.413333333333327"/>
    <x v="11"/>
    <n v="44.68"/>
    <n v="8.5104761904761901"/>
    <n v="0"/>
    <n v="0"/>
    <n v="0"/>
    <n v="0"/>
  </r>
  <r>
    <n v="1061"/>
    <s v="แขวงทางหลวงปราจีนบุรี"/>
    <n v="618"/>
    <n v="3481"/>
    <n v="300"/>
    <s v="บางขนาก - ปราจีนบุรี"/>
    <n v="25734"/>
    <n v="63951"/>
    <n v="38.216999999999999"/>
    <n v="2"/>
    <s v="R1"/>
    <d v="2015-04-20T00:00:00"/>
    <s v="A.C."/>
    <n v="14.9"/>
    <n v="10.6"/>
    <n v="8.0749999999999993"/>
    <n v="4.5750000000000002"/>
    <n v="3.5218699999999998"/>
    <n v="3.5"/>
    <n v="30.1"/>
    <n v="4.5"/>
    <n v="2.0750000000000002"/>
    <n v="1.4750000000000001"/>
    <n v="38.150000000000006"/>
    <n v="38"/>
    <n v="-0.17531465054816722"/>
    <n v="6.0575299999999999"/>
    <n v="0"/>
    <n v="0"/>
    <n v="38.150000000000006"/>
    <n v="1.2468900000000001"/>
    <n v="39.81"/>
    <x v="12"/>
    <n v="0"/>
    <n v="2.9762372018436078E-2"/>
    <n v="583.69000000000005"/>
    <n v="0.43637274361821032"/>
    <n v="0"/>
    <n v="0"/>
  </r>
  <r>
    <n v="1056"/>
    <s v="แขวงทางหลวงปราจีนบุรี"/>
    <n v="618"/>
    <n v="3077"/>
    <n v="100"/>
    <s v="ศาลนเรศวร - เขาใหญ่"/>
    <n v="0"/>
    <n v="11600"/>
    <n v="11.6"/>
    <n v="2"/>
    <s v="L1"/>
    <d v="2015-04-19T00:00:00"/>
    <s v="A.C."/>
    <n v="6.05"/>
    <n v="3.375"/>
    <n v="1.625"/>
    <n v="0.57499999999999996"/>
    <n v="2.8919800000000002"/>
    <n v="3"/>
    <n v="11"/>
    <n v="0.57499999999999996"/>
    <n v="0.05"/>
    <n v="0"/>
    <n v="11.625"/>
    <n v="11.5"/>
    <n v="0.21551724137931341"/>
    <n v="4.8967299999999998"/>
    <n v="0"/>
    <n v="0"/>
    <n v="11.625"/>
    <n v="1.4152800000000001"/>
    <n v="28.5"/>
    <x v="13"/>
    <n v="0"/>
    <n v="7.0197044334975367E-2"/>
    <n v="0"/>
    <n v="0"/>
    <n v="0"/>
    <n v="0"/>
  </r>
  <r>
    <n v="1249"/>
    <s v="แขวงทางหลวงนครสวรรค์ที่ 1"/>
    <n v="437"/>
    <n v="3561"/>
    <n v="100"/>
    <s v="ทางเข้าสถานีรถไฟนครสวรรค์"/>
    <s v="0+000"/>
    <s v="0+066"/>
    <n v="6.6000000000000003E-2"/>
    <n v="6"/>
    <s v="L3"/>
    <d v="2015-10-05T00:00:00"/>
    <s v="A.C."/>
    <n v="0"/>
    <n v="0"/>
    <n v="0.05"/>
    <n v="2.5000000000000001E-2"/>
    <n v="4.62"/>
    <n v="4.5"/>
    <n v="7.4999999999999997E-2"/>
    <n v="0"/>
    <n v="0"/>
    <n v="0"/>
    <n v="2.7170000000000001"/>
    <n v="2.5"/>
    <n v="0"/>
    <n v="0"/>
    <n v="6.6000000000000003E-2"/>
    <n v="1.67967"/>
    <n v="62.38"/>
    <n v="3.1579999999999999"/>
    <n v="27.687878787878788"/>
    <x v="14"/>
    <n v="47.21"/>
    <n v="20.437229437229437"/>
    <n v="0"/>
    <n v="0"/>
    <n v="2"/>
    <n v="0"/>
  </r>
  <r>
    <n v="1051"/>
    <s v="แขวงทางหลวงปราจีนบุรี"/>
    <n v="618"/>
    <n v="319"/>
    <n v="103"/>
    <s v="ไผ่ชะเลือด - โคกไทย"/>
    <n v="24538"/>
    <n v="38238"/>
    <n v="13.7"/>
    <n v="2"/>
    <s v="L1"/>
    <d v="2015-04-19T00:00:00"/>
    <s v="A.C."/>
    <n v="8.5500000000000007"/>
    <n v="3"/>
    <n v="1.175"/>
    <n v="0.47499999999999998"/>
    <n v="2.4547699999999999"/>
    <n v="2.5"/>
    <n v="12.8"/>
    <n v="0.3"/>
    <n v="0.05"/>
    <n v="0.05"/>
    <n v="13.200000000000003"/>
    <n v="13"/>
    <n v="-3.6496350364963246"/>
    <n v="3.4042599999999998"/>
    <n v="0"/>
    <n v="0"/>
    <n v="13.200000000000003"/>
    <n v="1.16753"/>
    <n v="27.57"/>
    <x v="15"/>
    <n v="0"/>
    <n v="5.7497393117831079E-2"/>
    <n v="3.2"/>
    <n v="6.6736183524504708E-3"/>
    <n v="0"/>
    <n v="0"/>
  </r>
  <r>
    <n v="1089"/>
    <s v="แขวงทางหลวงสระแก้ว (วัฒนานคร)"/>
    <n v="619"/>
    <n v="3511"/>
    <n v="100"/>
    <s v="แสนสุข - จารย์จู"/>
    <s v="14+768"/>
    <s v="0+000"/>
    <n v="14.768000000000001"/>
    <n v="2"/>
    <s v="R1"/>
    <d v="2015-03-30T00:00:00"/>
    <s v="A.C."/>
    <n v="3.54"/>
    <n v="5.62"/>
    <n v="3.38"/>
    <n v="2.2400000000000002"/>
    <n v="3.9594200000000002"/>
    <n v="4"/>
    <n v="14.48"/>
    <n v="0.22"/>
    <n v="0.08"/>
    <n v="0"/>
    <n v="3.5388700000000002"/>
    <n v="3.5"/>
    <n v="0"/>
    <n v="0"/>
    <n v="14.77"/>
    <n v="1.50177"/>
    <n v="9726.52"/>
    <n v="8592.43"/>
    <n v="27.1295755301037"/>
    <x v="16"/>
    <n v="179.29"/>
    <n v="0.3468696796161585"/>
    <n v="9726.52"/>
    <n v="18.817752669865349"/>
    <n v="0"/>
    <n v="0"/>
  </r>
  <r>
    <n v="1050"/>
    <s v="แขวงทางหลวงปราจีนบุรี"/>
    <n v="618"/>
    <n v="319"/>
    <n v="102"/>
    <s v="ปราจีนบุรี - ไผ่ชะเลือด"/>
    <n v="12063"/>
    <n v="24538"/>
    <n v="12.475"/>
    <n v="2"/>
    <s v="L1"/>
    <d v="2015-04-19T00:00:00"/>
    <s v="A.C."/>
    <n v="4.7359999999999998"/>
    <n v="4.2210000000000001"/>
    <n v="2.5710000000000002"/>
    <n v="0.94699999999999995"/>
    <n v="3.1581999999999999"/>
    <n v="3"/>
    <n v="11.631"/>
    <n v="0.68200000000000005"/>
    <n v="0.16200000000000001"/>
    <n v="0"/>
    <n v="12.475000000000001"/>
    <n v="12.5"/>
    <n v="1.4239333381965934E-14"/>
    <n v="5.2361899999999997"/>
    <n v="0"/>
    <n v="0"/>
    <n v="12.475000000000001"/>
    <n v="1.2445299999999999"/>
    <n v="25.64"/>
    <x v="17"/>
    <n v="2.78"/>
    <n v="6.190667048382479E-2"/>
    <n v="3"/>
    <n v="6.8708846263956487E-3"/>
    <n v="0"/>
    <n v="0"/>
  </r>
  <r>
    <n v="1433"/>
    <s v="แขวงทางหลวงอุทัยธานี"/>
    <n v="447"/>
    <n v="3591"/>
    <n v="100"/>
    <s v="ทางเข้าตลาดทัพทัน"/>
    <n v="651"/>
    <n v="0"/>
    <n v="0.65100000000000002"/>
    <n v="2"/>
    <s v="R1"/>
    <d v="2015-08-01T00:00:00"/>
    <s v="A.C."/>
    <n v="0"/>
    <n v="7.4999999999999997E-2"/>
    <n v="0.15"/>
    <n v="0.35"/>
    <n v="6.5895700000000001"/>
    <n v="6.5"/>
    <n v="0.52500000000000002"/>
    <n v="0.05"/>
    <n v="0"/>
    <n v="0"/>
    <n v="3.65774"/>
    <n v="3.5"/>
    <n v="0"/>
    <n v="0"/>
    <n v="0.57499999999999996"/>
    <n v="1.2688299999999999"/>
    <n v="564.32000000000005"/>
    <n v="34.6"/>
    <n v="25.526442835198601"/>
    <x v="18"/>
    <n v="44.7"/>
    <n v="1.9618169848584597"/>
    <n v="0"/>
    <n v="0"/>
    <n v="0"/>
    <n v="0"/>
  </r>
  <r>
    <n v="1049"/>
    <s v="แขวงทางหลวงปราจีนบุรี"/>
    <n v="618"/>
    <n v="319"/>
    <n v="101"/>
    <s v="หนองชะอม - ปราจีนบุรี"/>
    <n v="0"/>
    <n v="12063"/>
    <n v="12.063000000000001"/>
    <n v="2"/>
    <s v="L1"/>
    <d v="2015-04-19T00:00:00"/>
    <s v="A.C."/>
    <n v="7.45"/>
    <n v="2.9"/>
    <n v="1.125"/>
    <n v="0.625"/>
    <n v="3.23245"/>
    <n v="3"/>
    <n v="11.45"/>
    <n v="0.47499999999999998"/>
    <n v="7.4999999999999997E-2"/>
    <n v="0.1"/>
    <n v="12.099999999999998"/>
    <n v="12"/>
    <n v="0.30672303738702855"/>
    <n v="4.4086999999999996"/>
    <n v="0"/>
    <n v="0"/>
    <n v="12.099999999999998"/>
    <n v="1.25467"/>
    <n v="24.81"/>
    <x v="19"/>
    <n v="0"/>
    <n v="5.8762923224499948E-2"/>
    <n v="2.88"/>
    <n v="6.821330870074963E-3"/>
    <n v="0"/>
    <n v="0"/>
  </r>
  <r>
    <n v="1083"/>
    <s v="แขวงทางหลวงสระแก้ว (วัฒนานคร)"/>
    <n v="619"/>
    <n v="3446"/>
    <n v="101"/>
    <s v="ตลาดโรงเกลือ - ป่าไร่"/>
    <n v="0"/>
    <n v="14000"/>
    <n v="14"/>
    <n v="2"/>
    <s v="L1"/>
    <d v="2015-03-30T00:00:00"/>
    <s v="A.C."/>
    <n v="7.25"/>
    <n v="4.5999999999999996"/>
    <n v="1.45"/>
    <n v="0.7"/>
    <n v="3.1571400000000001"/>
    <n v="3"/>
    <n v="13.05"/>
    <n v="0.48"/>
    <n v="0.25"/>
    <n v="0.23"/>
    <n v="2.7347199999999998"/>
    <n v="2.5"/>
    <n v="0"/>
    <n v="0"/>
    <n v="14"/>
    <n v="1.1049100000000001"/>
    <n v="11810.9"/>
    <n v="0"/>
    <n v="24.103877551020407"/>
    <x v="20"/>
    <n v="259.10000000000002"/>
    <n v="0.52877551020408164"/>
    <n v="0"/>
    <n v="0"/>
    <n v="0"/>
    <n v="0"/>
  </r>
  <r>
    <n v="1604"/>
    <s v="แขวงทางหลวงปทุมธานี"/>
    <n v="416"/>
    <n v="346"/>
    <n v="102"/>
    <s v="สะพานคลองเปรม - สะพานข้ามแม่น้ำเจ้าพระยาปทุมธานี"/>
    <s v="10+240"/>
    <s v="10+840"/>
    <n v="0.6"/>
    <n v="6"/>
    <s v="L2"/>
    <d v="2015-09-01T00:00:00"/>
    <s v="C.C."/>
    <n v="0.25"/>
    <n v="0.27500000000000002"/>
    <n v="0.1"/>
    <n v="2.5000000000000001E-2"/>
    <n v="3.1361500000000002"/>
    <n v="3"/>
    <n v="0"/>
    <n v="0"/>
    <n v="0.65"/>
    <n v="1.0501499999999999"/>
    <n v="18"/>
    <n v="18"/>
    <n v="0"/>
    <n v="8"/>
    <n v="0"/>
    <n v="0"/>
    <n v="36.56"/>
    <n v="1.7409523809523813"/>
    <n v="24"/>
    <x v="21"/>
    <m/>
    <m/>
    <m/>
    <m/>
    <m/>
    <m/>
  </r>
  <r>
    <n v="2129"/>
    <s v="แขวงทางหลวงภูเก็ต"/>
    <n v="324"/>
    <n v="4032"/>
    <n v="102"/>
    <s v="ทางเข้าบางไทร"/>
    <n v="0"/>
    <n v="224"/>
    <n v="0.224"/>
    <n v="2"/>
    <s v="L1"/>
    <d v="2015-05-16T00:00:00"/>
    <s v="A.C."/>
    <n v="0"/>
    <n v="0"/>
    <n v="0"/>
    <n v="0.15"/>
    <n v="8.6199999999999992"/>
    <n v="8.5"/>
    <n v="0.15"/>
    <n v="0"/>
    <n v="0"/>
    <n v="0"/>
    <n v="3.5939999999999999"/>
    <n v="3.5"/>
    <n v="0"/>
    <n v="0"/>
    <n v="0.15"/>
    <n v="1.25617"/>
    <n v="163.69"/>
    <n v="2.69"/>
    <n v="21.050382653061224"/>
    <x v="22"/>
    <n v="34.909999999999997"/>
    <n v="4.4528061224489788"/>
    <n v="0"/>
    <n v="0"/>
    <n v="0"/>
    <n v="0"/>
  </r>
  <r>
    <n v="1090"/>
    <s v="แขวงทางหลวงสระแก้ว (วัฒนานคร)"/>
    <n v="619"/>
    <n v="3586"/>
    <n v="100"/>
    <s v="โคกสะแบง - หนองเอี่ยน"/>
    <s v="0+000"/>
    <s v="5+336"/>
    <n v="5.3360000000000003"/>
    <n v="2"/>
    <s v="L1"/>
    <d v="2015-03-30T00:00:00"/>
    <s v="A.C."/>
    <n v="3.19"/>
    <n v="1.04"/>
    <n v="0.84"/>
    <n v="0.28000000000000003"/>
    <n v="2.7010000000000001"/>
    <n v="2.5"/>
    <n v="5.19"/>
    <n v="0.15"/>
    <n v="0"/>
    <n v="0"/>
    <n v="4.4269999999999996"/>
    <n v="4.5"/>
    <n v="0"/>
    <n v="0"/>
    <n v="5.34"/>
    <n v="1.3169999999999999"/>
    <n v="3797.5"/>
    <n v="0"/>
    <n v="20.333583208395797"/>
    <x v="23"/>
    <n v="100.41"/>
    <n v="0.53764189333904466"/>
    <n v="0"/>
    <n v="0"/>
    <n v="0"/>
    <n v="0"/>
  </r>
  <r>
    <n v="1595"/>
    <s v="แขวงทางหลวงปทุมธานี"/>
    <n v="416"/>
    <n v="346"/>
    <n v="101"/>
    <s v="ต่างระดับรังสิต - สะพานคลองเปรม"/>
    <s v="1+184"/>
    <s v="1+740"/>
    <n v="0.55600000000000005"/>
    <n v="10"/>
    <s v="L2"/>
    <d v="2015-09-01T00:00:00"/>
    <s v="C.C."/>
    <n v="0"/>
    <n v="0.15"/>
    <n v="0.17499999999999999"/>
    <n v="0.05"/>
    <n v="3.8733300000000002"/>
    <n v="4"/>
    <n v="0"/>
    <n v="0"/>
    <n v="0.37499999999999994"/>
    <n v="1.26753"/>
    <n v="0"/>
    <n v="0"/>
    <n v="0"/>
    <n v="1"/>
    <n v="0"/>
    <n v="0"/>
    <n v="0"/>
    <n v="0"/>
    <n v="18"/>
    <x v="24"/>
    <m/>
    <m/>
    <m/>
    <m/>
    <m/>
    <m/>
  </r>
  <r>
    <n v="1264"/>
    <s v="แขวงทางหลวงนครสวรรค์ที่ 2 (ตากฟ้า)"/>
    <n v="438"/>
    <n v="3006"/>
    <n v="100"/>
    <s v="ทางเข้าตลาดตาคลี"/>
    <s v="0+000"/>
    <s v="0+168"/>
    <n v="0.16800000000000001"/>
    <n v="2"/>
    <s v="L1"/>
    <d v="2015-10-05T00:00:00"/>
    <s v="A.C."/>
    <n v="0"/>
    <n v="0.05"/>
    <n v="0.05"/>
    <n v="7.4999999999999997E-2"/>
    <n v="6.9785700000000004"/>
    <n v="7"/>
    <n v="0.17499999999999999"/>
    <n v="0"/>
    <n v="0"/>
    <n v="0"/>
    <n v="2.1742900000000001"/>
    <n v="2"/>
    <n v="0"/>
    <n v="0"/>
    <n v="0.16800000000000001"/>
    <n v="1.0394300000000001"/>
    <n v="27.358000000000001"/>
    <n v="150.31"/>
    <n v="17.434183673469388"/>
    <x v="25"/>
    <n v="87.54"/>
    <n v="14.887755102040815"/>
    <n v="1.002"/>
    <n v="0.170408"/>
    <n v="0"/>
    <n v="0"/>
  </r>
  <r>
    <n v="1129"/>
    <s v="แขวงทางหลวงลพบุรีที่ 1"/>
    <n v="431"/>
    <n v="3563"/>
    <n v="100"/>
    <s v="แยกสะพาน 6 - ทางแยกไปบ้านหมี่"/>
    <s v="0+000"/>
    <s v="0+115"/>
    <n v="0.115"/>
    <n v="4"/>
    <s v="L2"/>
    <d v="2015-10-05T00:00:00"/>
    <s v="A.C."/>
    <n v="2.5000000000000001E-2"/>
    <n v="7.4999999999999997E-2"/>
    <n v="7.4999999999999997E-2"/>
    <n v="0.05"/>
    <n v="3.78111"/>
    <n v="4"/>
    <n v="0.2"/>
    <n v="2.5000000000000001E-2"/>
    <n v="0"/>
    <n v="0"/>
    <n v="3.5762200000000002"/>
    <n v="3.5"/>
    <n v="0"/>
    <n v="0"/>
    <n v="0.22499999999999998"/>
    <n v="0.94321999999999995"/>
    <n v="66.3"/>
    <n v="6.4"/>
    <n v="17.267080745341616"/>
    <x v="26"/>
    <n v="45.32"/>
    <n v="11.259627329192547"/>
    <n v="3.5999999999999997E-2"/>
    <n v="8.944099378881987E-3"/>
    <n v="0"/>
    <n v="0"/>
  </r>
  <r>
    <n v="1341"/>
    <s v="แขวงทางหลวงกาญจนบุรี"/>
    <n v="444"/>
    <n v="3512"/>
    <n v="100"/>
    <s v="พุน้ำร้อน - บ้องตี้"/>
    <n v="0"/>
    <n v="150"/>
    <n v="0.15"/>
    <n v="2"/>
    <s v="L1"/>
    <d v="2015-07-28T00:00:00"/>
    <s v="A.C."/>
    <n v="0.05"/>
    <n v="7.4999999999999997E-2"/>
    <n v="0"/>
    <n v="0.05"/>
    <n v="5.2585699999999997"/>
    <n v="5.5"/>
    <n v="0.17499999999999999"/>
    <n v="0"/>
    <n v="0"/>
    <n v="0"/>
    <n v="1.71071"/>
    <n v="1.5"/>
    <n v="0"/>
    <n v="0"/>
    <n v="0.17499999999999999"/>
    <n v="1.3634299999999999"/>
    <n v="87.5"/>
    <n v="4.0999999999999996"/>
    <n v="17.057142857142857"/>
    <x v="27"/>
    <n v="154.6"/>
    <n v="29.447619047619046"/>
    <n v="0"/>
    <n v="0"/>
    <n v="0"/>
    <n v="0"/>
  </r>
  <r>
    <n v="1447"/>
    <s v="แขวงทางหลวงอ่างทอง"/>
    <n v="448"/>
    <n v="309"/>
    <n v="202"/>
    <s v="แยกที่ดิน - ไชโย"/>
    <s v="56+271"/>
    <s v="53+900"/>
    <n v="2.371"/>
    <n v="4"/>
    <s v="R2"/>
    <d v="2015-06-26T00:00:00"/>
    <s v="A.C."/>
    <n v="1.1000000000000001"/>
    <n v="0.25"/>
    <n v="0.35"/>
    <n v="0.55000000000000004"/>
    <n v="3.7557800000000001"/>
    <n v="4"/>
    <n v="2.125"/>
    <n v="7.4999999999999997E-2"/>
    <n v="0.05"/>
    <n v="0"/>
    <n v="4.9636100000000001"/>
    <n v="5"/>
    <n v="0"/>
    <n v="0"/>
    <n v="2.25"/>
    <n v="0.98837799999999998"/>
    <n v="1356.64"/>
    <n v="54.7"/>
    <n v="16.677592335964331"/>
    <x v="28"/>
    <n v="78.400000000000006"/>
    <n v="0.9447490510333193"/>
    <n v="0"/>
    <n v="0"/>
    <n v="0"/>
    <n v="0"/>
  </r>
  <r>
    <n v="1323"/>
    <s v="แขวงทางหลวงกาญจนบุรี"/>
    <n v="444"/>
    <n v="3085"/>
    <n v="102"/>
    <s v="ลำทราย -  ศรีมงคล"/>
    <n v="20738"/>
    <n v="30331"/>
    <n v="9.593"/>
    <n v="4"/>
    <s v="L1"/>
    <d v="2015-07-26T00:00:00"/>
    <s v="A.C."/>
    <n v="5.7249999999999996"/>
    <n v="1.675"/>
    <n v="0.82499999999999996"/>
    <n v="1.1000000000000001"/>
    <n v="2.76247"/>
    <n v="3"/>
    <n v="9.0500000000000007"/>
    <n v="0.15"/>
    <n v="0.1"/>
    <n v="2.5000000000000001E-2"/>
    <n v="2.6455500000000001"/>
    <n v="2.5"/>
    <n v="0"/>
    <n v="0"/>
    <n v="9.3249999999999993"/>
    <n v="1.2660400000000001"/>
    <n v="5214"/>
    <n v="277"/>
    <n v="15.941683668150883"/>
    <x v="29"/>
    <n v="122"/>
    <n v="0.36336018823249094"/>
    <n v="416"/>
    <n v="1.2389986746288215"/>
    <n v="303"/>
    <n v="0.90244374618397349"/>
  </r>
  <r>
    <n v="2151"/>
    <s v="แขวงทางหลวงระนอง"/>
    <n v="331"/>
    <n v="412"/>
    <n v="100"/>
    <s v="ทางแยกเข้าระนอง"/>
    <n v="0"/>
    <n v="233"/>
    <n v="0.23300000000000001"/>
    <n v="4"/>
    <s v="L2"/>
    <d v="2015-10-27T00:00:00"/>
    <s v="A.C."/>
    <n v="0.1"/>
    <n v="0.05"/>
    <n v="0.15"/>
    <n v="0.05"/>
    <n v="4.9664299999999999"/>
    <n v="5"/>
    <n v="0.35"/>
    <n v="0"/>
    <n v="0"/>
    <n v="0"/>
    <n v="2.1720700000000002"/>
    <n v="2"/>
    <n v="0"/>
    <n v="0"/>
    <n v="0.35000000000000003"/>
    <n v="1.2982899999999999"/>
    <n v="123.65"/>
    <n v="2.54"/>
    <n v="15.318209687308402"/>
    <x v="30"/>
    <n v="54.98"/>
    <n v="6.7418761496014712"/>
    <n v="0"/>
    <n v="0"/>
    <n v="0.11"/>
    <n v="1.34886572654813E-2"/>
  </r>
  <r>
    <n v="1431"/>
    <s v="แขวงทางหลวงอุทัยธานี"/>
    <n v="447"/>
    <n v="3589"/>
    <n v="100"/>
    <s v="ทางหลังเรือนจำอุทัยธานี"/>
    <n v="436"/>
    <n v="0"/>
    <n v="0.436"/>
    <n v="2"/>
    <s v="R1"/>
    <d v="2015-08-01T00:00:00"/>
    <s v="A.C."/>
    <n v="0.3"/>
    <n v="7.4999999999999997E-2"/>
    <n v="0"/>
    <n v="0.05"/>
    <n v="2.82294"/>
    <n v="3"/>
    <n v="0.42499999999999999"/>
    <n v="0"/>
    <n v="0"/>
    <n v="0"/>
    <n v="2.0358000000000001"/>
    <n v="2"/>
    <n v="0.42499999999999999"/>
    <n v="0"/>
    <n v="0"/>
    <n v="1.3672"/>
    <n v="173.43"/>
    <n v="110.15"/>
    <n v="14.974115334207077"/>
    <x v="31"/>
    <n v="45.3"/>
    <n v="2.9685452162516381"/>
    <n v="0"/>
    <n v="0"/>
    <n v="1.91"/>
    <n v="0.12516382699868939"/>
  </r>
  <r>
    <n v="2152"/>
    <s v="แขวงทางหลวงระนอง"/>
    <n v="331"/>
    <n v="412"/>
    <n v="100"/>
    <s v="ทางแยกเข้าระนอง"/>
    <n v="0"/>
    <n v="233"/>
    <n v="0.23300000000000001"/>
    <n v="4"/>
    <s v="R2"/>
    <d v="2015-10-27T00:00:00"/>
    <s v="A.C."/>
    <n v="0.05"/>
    <n v="0.1"/>
    <n v="0.125"/>
    <n v="0.05"/>
    <n v="4.2992299999999997"/>
    <n v="4.5"/>
    <n v="0.32500000000000001"/>
    <n v="0"/>
    <n v="0"/>
    <n v="0"/>
    <n v="2.5230000000000001"/>
    <n v="2.5"/>
    <n v="0"/>
    <n v="0"/>
    <n v="0.32500000000000001"/>
    <n v="1.59354"/>
    <n v="116.98"/>
    <n v="1.974"/>
    <n v="14.465603923973022"/>
    <x v="32"/>
    <n v="43.27"/>
    <n v="5.3059472716125082"/>
    <n v="0"/>
    <n v="0"/>
    <n v="5.7000000000000002E-2"/>
    <n v="6.9895769466584929E-3"/>
  </r>
  <r>
    <n v="209"/>
    <s v="แขวงทางหลวงพะเยา"/>
    <n v="535"/>
    <n v="1210"/>
    <n v="100"/>
    <s v="สบสา - ก๊อหลวง"/>
    <n v="7942"/>
    <n v="0"/>
    <n v="7.9420000000000002"/>
    <n v="2"/>
    <s v="R1"/>
    <d v="2015-07-24T00:00:00"/>
    <s v="A.C."/>
    <n v="1.31"/>
    <n v="2.5499999999999998"/>
    <n v="1.59"/>
    <n v="2.5"/>
    <n v="4.5629499999999998"/>
    <n v="4.5"/>
    <n v="7.01"/>
    <n v="0.61"/>
    <n v="0.18"/>
    <n v="0.15"/>
    <n v="4.5161100000000003"/>
    <n v="4.5"/>
    <n v="0"/>
    <n v="0"/>
    <n v="7.95"/>
    <n v="1.28535"/>
    <n v="3960"/>
    <n v="59.56"/>
    <n v="14.353275533330937"/>
    <x v="33"/>
    <n v="5341"/>
    <n v="19.214303701838329"/>
    <n v="5"/>
    <n v="1.7987552613591393E-2"/>
    <n v="1886"/>
    <n v="6.7849048458466745"/>
  </r>
  <r>
    <n v="1232"/>
    <s v="แขวงทางหลวงนครสวรรค์ที่ 1"/>
    <n v="437"/>
    <n v="3001"/>
    <n v="100"/>
    <s v="ทางเข้าค่ายทหารจิรประวัติ"/>
    <s v="0+000"/>
    <s v="0+178"/>
    <n v="0.17799999999999999"/>
    <n v="2"/>
    <s v="L2"/>
    <d v="2015-10-05T00:00:00"/>
    <s v="A.C."/>
    <n v="0"/>
    <n v="0.05"/>
    <n v="0.1"/>
    <n v="0.05"/>
    <n v="5.0875000000000004"/>
    <n v="5"/>
    <n v="0.2"/>
    <n v="0"/>
    <n v="0"/>
    <n v="0"/>
    <n v="2.5209999999999999"/>
    <n v="2.5"/>
    <n v="0"/>
    <n v="0"/>
    <n v="0.17799999999999999"/>
    <n v="1.2553799999999999"/>
    <n v="84.665000000000006"/>
    <n v="4.9800000000000004"/>
    <n v="13.989566613162118"/>
    <x v="34"/>
    <n v="16.39"/>
    <n v="2.6308186195826648"/>
    <n v="2.5000000000000001E-3"/>
    <n v="4.0128410914927769E-4"/>
    <n v="6.6"/>
    <n v="4.0128410914927769E-4"/>
  </r>
  <r>
    <n v="277"/>
    <s v="แขวงทางหลวงสกลนครที่ 1"/>
    <n v="641"/>
    <n v="2287"/>
    <n v="200"/>
    <s v="สานแว้ - กุดปลาค้าว"/>
    <n v="78035"/>
    <n v="85379"/>
    <n v="7.3440000000000003"/>
    <n v="2"/>
    <s v="L1"/>
    <d v="2015-06-05T00:00:00"/>
    <s v="A.C."/>
    <n v="5"/>
    <n v="1.4"/>
    <n v="0.47499999999999998"/>
    <n v="0.3"/>
    <n v="3.4081100000000002"/>
    <n v="3.5"/>
    <n v="7.05"/>
    <n v="0.125"/>
    <n v="0"/>
    <n v="0"/>
    <n v="4.0069699999999999"/>
    <n v="4"/>
    <n v="0"/>
    <n v="0"/>
    <n v="7.1749999999999998"/>
    <n v="1.43926"/>
    <n v="814"/>
    <n v="5134"/>
    <n v="13.153594771241831"/>
    <x v="35"/>
    <n v="35"/>
    <n v="0.13616557734204793"/>
    <n v="35.11"/>
    <n v="0"/>
    <n v="0"/>
    <n v="0"/>
  </r>
  <r>
    <n v="1106"/>
    <s v="แขวงทางหลวงลพบุรีที่ 1"/>
    <n v="431"/>
    <n v="2321"/>
    <n v="200"/>
    <s v="นิยมชัย - สระโบสถ์"/>
    <s v="34+301"/>
    <s v="34+802"/>
    <n v="0.501"/>
    <n v="2"/>
    <s v="L1"/>
    <d v="2015-10-05T00:00:00"/>
    <s v="A.C."/>
    <n v="0.125"/>
    <n v="0.22500000000000001"/>
    <n v="0.1"/>
    <n v="0.05"/>
    <n v="3.3079999999999998"/>
    <n v="3.5"/>
    <n v="0.5"/>
    <n v="0"/>
    <n v="0"/>
    <n v="0"/>
    <n v="3.1901000000000002"/>
    <n v="3"/>
    <n v="0"/>
    <n v="0"/>
    <n v="0.49999999999999994"/>
    <n v="1.5828"/>
    <n v="225.96799999999999"/>
    <n v="7.29"/>
    <n v="13.09455374964357"/>
    <x v="36"/>
    <n v="93.21"/>
    <n v="5.3156544054747643"/>
    <n v="0"/>
    <n v="0"/>
    <n v="1.0049999999999999"/>
    <n v="5.7313943541488444E-2"/>
  </r>
  <r>
    <n v="1344"/>
    <s v="แขวงทางหลวงกาญจนบุรี"/>
    <n v="444"/>
    <n v="3548"/>
    <n v="100"/>
    <s v="ท่ามะกา - ท่าม่วง"/>
    <s v="19+529"/>
    <s v="20+747"/>
    <n v="1.218"/>
    <n v="2"/>
    <s v="L1"/>
    <d v="2015-07-29T00:00:00"/>
    <s v="A.C."/>
    <n v="0"/>
    <n v="0.17499999999999999"/>
    <n v="0.52500000000000002"/>
    <n v="0.47499999999999998"/>
    <n v="5.5161699999999998"/>
    <n v="5.5"/>
    <n v="2.5000000000000001E-2"/>
    <n v="0.67500000000000004"/>
    <n v="0.4"/>
    <n v="7.4999999999999997E-2"/>
    <n v="14.8185"/>
    <n v="15"/>
    <n v="0"/>
    <n v="0"/>
    <n v="1.1749999999999998"/>
    <n v="1.4393"/>
    <n v="543.6"/>
    <n v="23.32"/>
    <n v="13.025099695050436"/>
    <x v="37"/>
    <n v="143.44"/>
    <n v="3.3647665962936899"/>
    <n v="1.944"/>
    <n v="4.5601688951442641E-2"/>
    <n v="0"/>
    <n v="0"/>
  </r>
  <r>
    <n v="1350"/>
    <s v="แขวงทางหลวงกาญจนบุรี"/>
    <n v="444"/>
    <n v="3581"/>
    <n v="100"/>
    <s v="ทางเข้ากองผสมสัตว์"/>
    <n v="0"/>
    <n v="1335"/>
    <n v="1.335"/>
    <n v="2"/>
    <s v="L1"/>
    <d v="2015-07-27T00:00:00"/>
    <s v="A.C."/>
    <n v="0.5"/>
    <n v="0.5"/>
    <n v="0.25"/>
    <n v="0.1"/>
    <n v="3.1092599999999999"/>
    <n v="3"/>
    <n v="1.325"/>
    <n v="2.5000000000000001E-2"/>
    <n v="0"/>
    <n v="0"/>
    <n v="1.83778"/>
    <n v="2"/>
    <n v="0"/>
    <n v="0"/>
    <n v="1.35"/>
    <n v="1.06724"/>
    <n v="329"/>
    <n v="503"/>
    <n v="12.423756019261639"/>
    <x v="38"/>
    <n v="0"/>
    <n v="0"/>
    <n v="0"/>
    <n v="0"/>
    <n v="0"/>
    <n v="0"/>
  </r>
  <r>
    <n v="1885"/>
    <s v="แขวงทางหลวงราชบุรี"/>
    <n v="335"/>
    <n v="3357"/>
    <n v="100"/>
    <s v="ประตูน้ำ - ท่าผา"/>
    <s v="0+315"/>
    <s v="0+000"/>
    <n v="0.315"/>
    <n v="2"/>
    <s v="R1"/>
    <d v="2015-03-30T00:00:00"/>
    <s v="A.C."/>
    <n v="0"/>
    <n v="0"/>
    <n v="0"/>
    <n v="0.32"/>
    <n v="11.0425"/>
    <n v="11"/>
    <n v="0.32"/>
    <n v="0"/>
    <n v="0"/>
    <n v="0"/>
    <n v="5.6269999999999998"/>
    <n v="5.5"/>
    <n v="0"/>
    <n v="0"/>
    <n v="0.32"/>
    <n v="1.7909999999999999"/>
    <n v="126.35"/>
    <n v="12.96"/>
    <n v="12.048072562358275"/>
    <x v="39"/>
    <n v="63.21"/>
    <n v="5.7333333333333334"/>
    <n v="0"/>
    <n v="0"/>
    <n v="0"/>
    <n v="0"/>
  </r>
  <r>
    <n v="530"/>
    <s v="แขวงทางหลวงอุตรดิตถ์ที่ 1"/>
    <n v="557"/>
    <n v="1383"/>
    <n v="100"/>
    <s v="ทางเข้าบึงหลัก"/>
    <s v="0+302"/>
    <s v="0+000"/>
    <n v="0.30199999999999999"/>
    <s v="R1"/>
    <n v="2"/>
    <d v="2015-09-23T00:00:00"/>
    <s v="A.C."/>
    <n v="0"/>
    <n v="0"/>
    <n v="0.05"/>
    <n v="0.25"/>
    <n v="6.915"/>
    <n v="7"/>
    <n v="0.25"/>
    <n v="0.05"/>
    <n v="0"/>
    <n v="0"/>
    <n v="5.6433299999999997"/>
    <n v="5.5"/>
    <n v="0"/>
    <n v="0"/>
    <n v="0.3"/>
    <n v="1.0660000000000001"/>
    <n v="113.59"/>
    <n v="8.2100000000000009"/>
    <n v="11.134819999999999"/>
    <x v="40"/>
    <n v="77.569999999999993"/>
    <n v="7.3386940000000003"/>
    <n v="0"/>
    <n v="0"/>
    <n v="0"/>
    <n v="0"/>
  </r>
  <r>
    <n v="1137"/>
    <s v="แขวงทางหลวงสระบุรี"/>
    <n v="432"/>
    <n v="2089"/>
    <n v="100"/>
    <s v="มวกเหล็ก - แสลงพัน"/>
    <s v="0+375"/>
    <s v="0+180"/>
    <n v="0.19500000000000001"/>
    <n v="2"/>
    <s v="R1"/>
    <d v="2015-10-05T00:00:00"/>
    <s v="A.C."/>
    <n v="10.25"/>
    <n v="3.4"/>
    <n v="1.35"/>
    <n v="0.67500000000000004"/>
    <n v="2.5606900000000001"/>
    <n v="2.5"/>
    <n v="14.824999999999999"/>
    <n v="0.8"/>
    <n v="0.05"/>
    <n v="0"/>
    <n v="5.0292500000000002"/>
    <n v="5"/>
    <n v="0"/>
    <n v="0"/>
    <n v="15.675000000000001"/>
    <n v="1.7336100000000001"/>
    <n v="75.325000000000003"/>
    <n v="0.35"/>
    <n v="11.06227"/>
    <x v="40"/>
    <n v="103.65"/>
    <n v="15.186809999999999"/>
    <n v="0"/>
    <n v="0"/>
    <n v="0"/>
    <n v="0"/>
  </r>
  <r>
    <n v="305"/>
    <s v="แขวงทางหลวงบึงกาฬ"/>
    <n v="643"/>
    <n v="2142"/>
    <n v="100"/>
    <s v="บ้านโพธิ์ - โคกโขง"/>
    <n v="0"/>
    <n v="6500"/>
    <n v="6.5"/>
    <n v="2"/>
    <s v="L1"/>
    <d v="2015-06-08T00:00:00"/>
    <s v="A.C."/>
    <n v="4.125"/>
    <n v="1.85"/>
    <n v="0.42499999999999999"/>
    <n v="7.4999999999999997E-2"/>
    <n v="2.4165999999999999"/>
    <n v="2.5"/>
    <n v="6.4"/>
    <n v="7.4999999999999997E-2"/>
    <n v="0"/>
    <n v="0"/>
    <n v="2.6825299999999999"/>
    <n v="2.5"/>
    <n v="0"/>
    <n v="0"/>
    <n v="6.4750000000000005"/>
    <n v="1.2168699999999999"/>
    <n v="431"/>
    <n v="4166"/>
    <n v="11.0505"/>
    <x v="40"/>
    <n v="0"/>
    <n v="0"/>
    <n v="103.46"/>
    <n v="0.45476899999999998"/>
    <n v="0"/>
    <n v="1"/>
  </r>
  <r>
    <n v="1400"/>
    <s v="แขวงทางหลวงชัยนาท"/>
    <n v="446"/>
    <n v="3583"/>
    <n v="100"/>
    <s v="ทางเข้าหันคา"/>
    <n v="0"/>
    <n v="365"/>
    <n v="0.36499999999999999"/>
    <n v="4"/>
    <s v="L2"/>
    <d v="2015-08-04T00:00:00"/>
    <s v="A.C."/>
    <n v="0.16"/>
    <n v="0.1"/>
    <n v="0.08"/>
    <n v="0.03"/>
    <n v="3.36571"/>
    <n v="3.5"/>
    <n v="0.36"/>
    <n v="0"/>
    <n v="0"/>
    <n v="0"/>
    <n v="2.0029300000000001"/>
    <n v="2"/>
    <n v="0"/>
    <n v="0"/>
    <n v="0.37"/>
    <n v="1.1763600000000001"/>
    <n v="100.32"/>
    <n v="81.25"/>
    <n v="11.032876712328768"/>
    <x v="41"/>
    <n v="92.540999999999997"/>
    <n v="7.2439138943248551"/>
    <n v="0"/>
    <n v="0"/>
    <n v="0"/>
    <n v="0"/>
  </r>
  <r>
    <n v="1601"/>
    <s v="แขวงทางหลวงปทุมธานี"/>
    <n v="416"/>
    <n v="346"/>
    <n v="102"/>
    <s v="สะพานคลองเปรม - สะพานข้ามแม่น้ำเจ้าพระยาปทุมธานี"/>
    <s v="7+495"/>
    <s v="8+739"/>
    <n v="1.244"/>
    <n v="6"/>
    <s v="L2"/>
    <d v="2015-09-01T00:00:00"/>
    <s v="C.C."/>
    <n v="2.5000000000000001E-2"/>
    <n v="0.42499999999999999"/>
    <n v="0.67500000000000004"/>
    <n v="0.17499999999999999"/>
    <n v="3.9948100000000002"/>
    <n v="4"/>
    <n v="0"/>
    <n v="0"/>
    <n v="1.3"/>
    <n v="1.0241199999999999"/>
    <n v="7"/>
    <n v="7"/>
    <n v="7"/>
    <n v="0"/>
    <n v="5"/>
    <n v="0"/>
    <n v="8.4600000000000009"/>
    <n v="0.19430408819476344"/>
    <n v="11"/>
    <x v="41"/>
    <m/>
    <m/>
    <m/>
    <m/>
    <m/>
    <m/>
  </r>
  <r>
    <n v="1251"/>
    <s v="แขวงทางหลวงนครสวรรค์ที่ 1"/>
    <n v="437"/>
    <n v="3621"/>
    <n v="100"/>
    <s v="ทางเข้าบรรพตพิสัย"/>
    <s v="0+000"/>
    <s v="0+181"/>
    <n v="0.18099999999999999"/>
    <n v="2"/>
    <s v="L1"/>
    <d v="2015-10-05T00:00:00"/>
    <s v="A.C."/>
    <n v="0.05"/>
    <n v="7.4999999999999997E-2"/>
    <n v="0.05"/>
    <n v="2.5000000000000001E-2"/>
    <n v="3.3737499999999998"/>
    <n v="3.5"/>
    <n v="0.2"/>
    <n v="0"/>
    <n v="0"/>
    <n v="0"/>
    <n v="2.2562500000000001"/>
    <n v="2.5"/>
    <n v="0"/>
    <n v="0"/>
    <n v="0.18099999999999999"/>
    <n v="1.23688"/>
    <n v="68.98"/>
    <n v="1.226"/>
    <n v="10.985477505919496"/>
    <x v="41"/>
    <n v="47.51"/>
    <n v="7.4996053670086811"/>
    <n v="1.75"/>
    <n v="0.27624309392265189"/>
    <n v="0"/>
    <n v="0.27624309392265189"/>
  </r>
  <r>
    <n v="2062"/>
    <s v="แขวงทางหลวงสุราษฎร์ธานีที่ 2 (กาญจนดิษฐ์)"/>
    <n v="328"/>
    <n v="4294"/>
    <n v="100"/>
    <s v="ทางเข้านาสารด้านใต้"/>
    <n v="0"/>
    <n v="195"/>
    <n v="0.19500000000000001"/>
    <n v="4"/>
    <s v="L2"/>
    <d v="2015-04-26T00:00:00"/>
    <s v="A.C."/>
    <n v="2.5000000000000001E-2"/>
    <n v="7.4999999999999997E-2"/>
    <n v="0.1"/>
    <n v="2.5000000000000001E-2"/>
    <n v="4.18222"/>
    <n v="4"/>
    <n v="0.22500000000000001"/>
    <n v="0"/>
    <n v="0"/>
    <n v="0"/>
    <n v="1.8793299999999999"/>
    <n v="2"/>
    <n v="0"/>
    <n v="0"/>
    <n v="0.22500000000000001"/>
    <n v="1.10633"/>
    <n v="62.95"/>
    <n v="18.369"/>
    <n v="10.56915750915751"/>
    <x v="42"/>
    <n v="0"/>
    <n v="0"/>
    <n v="0.65800000000000003"/>
    <n v="9.6410256410256412E-2"/>
    <n v="0"/>
    <n v="0"/>
  </r>
  <r>
    <n v="1250"/>
    <s v="แขวงทางหลวงนครสวรรค์ที่ 1"/>
    <n v="437"/>
    <n v="3561"/>
    <n v="100"/>
    <s v="ทางเข้าสถานีรถไฟนครสวรรค์"/>
    <s v="0+066"/>
    <s v="0+000"/>
    <n v="6.6000000000000003E-2"/>
    <n v="6"/>
    <s v="R3"/>
    <d v="2015-10-05T00:00:00"/>
    <s v="A.C."/>
    <n v="0"/>
    <n v="0"/>
    <n v="0"/>
    <n v="7.4999999999999997E-2"/>
    <n v="7.16"/>
    <n v="7"/>
    <n v="7.4999999999999997E-2"/>
    <n v="0"/>
    <n v="0"/>
    <n v="0"/>
    <n v="4.6136699999999999"/>
    <n v="4.5"/>
    <n v="0"/>
    <n v="0"/>
    <n v="6.6000000000000003E-2"/>
    <n v="1.6763300000000001"/>
    <n v="19.350000000000001"/>
    <n v="9.65"/>
    <n v="10.465367965367966"/>
    <x v="43"/>
    <n v="3.26"/>
    <n v="1.4112554112554112"/>
    <n v="0"/>
    <n v="0"/>
    <n v="3.5"/>
    <n v="0"/>
  </r>
  <r>
    <n v="2131"/>
    <s v="แขวงทางหลวงภูเก็ต"/>
    <n v="324"/>
    <n v="4129"/>
    <n v="100"/>
    <s v="ทางเข้าอ่าวมะขาม"/>
    <n v="0"/>
    <n v="380"/>
    <n v="0.38"/>
    <n v="2"/>
    <s v="L1"/>
    <d v="2015-05-14T00:00:00"/>
    <s v="A.C."/>
    <n v="0"/>
    <n v="2.5000000000000001E-2"/>
    <n v="0.15"/>
    <n v="0.2"/>
    <n v="6.30267"/>
    <n v="6.5"/>
    <n v="0.35"/>
    <n v="2.5000000000000001E-2"/>
    <n v="0"/>
    <n v="0"/>
    <n v="2.8915999999999999"/>
    <n v="3"/>
    <n v="0"/>
    <n v="0"/>
    <n v="0.375"/>
    <n v="1.2410000000000001"/>
    <n v="139"/>
    <n v="0"/>
    <n v="10.451127819548873"/>
    <x v="43"/>
    <n v="0"/>
    <n v="0"/>
    <n v="0"/>
    <n v="0"/>
    <n v="0"/>
    <n v="0"/>
  </r>
  <r>
    <n v="477"/>
    <s v="แขวงทางหลวงพิษณุโลกที่ 2 (วังทอง)"/>
    <n v="515"/>
    <n v="2467"/>
    <n v="100"/>
    <s v="ทางเข้านครไทย"/>
    <s v="0+067"/>
    <s v="0+000"/>
    <n v="6.7000000000000004E-2"/>
    <s v="R2"/>
    <n v="2"/>
    <d v="2015-09-21T00:00:00"/>
    <s v="A.C."/>
    <n v="0"/>
    <n v="0.02"/>
    <n v="0.01"/>
    <n v="0.04"/>
    <n v="9.8740000000000006"/>
    <n v="10"/>
    <n v="0.06"/>
    <n v="0.01"/>
    <n v="0"/>
    <n v="0"/>
    <n v="7.4946700000000002"/>
    <n v="7.5"/>
    <n v="0"/>
    <n v="0"/>
    <n v="0.15500000000000003"/>
    <n v="1.1823300000000001"/>
    <n v="20.57"/>
    <n v="7.67"/>
    <n v="10.40724946695096"/>
    <x v="44"/>
    <n v="97.528000000000006"/>
    <n v="41.589765458422178"/>
    <n v="0"/>
    <n v="0"/>
    <n v="0"/>
    <n v="0"/>
  </r>
  <r>
    <n v="1430"/>
    <s v="แขวงทางหลวงอุทัยธานี"/>
    <n v="447"/>
    <n v="3589"/>
    <n v="100"/>
    <s v="ทางหลังเรือนจำอุทัยธานี"/>
    <n v="0"/>
    <n v="436"/>
    <n v="0.436"/>
    <n v="2"/>
    <s v="L3"/>
    <d v="2015-08-01T00:00:00"/>
    <s v="A.C."/>
    <n v="0.1"/>
    <n v="0.17499999999999999"/>
    <n v="7.4999999999999997E-2"/>
    <n v="7.4999999999999997E-2"/>
    <n v="5.8864700000000001"/>
    <n v="6"/>
    <n v="0.42499999999999999"/>
    <n v="0"/>
    <n v="0"/>
    <n v="0"/>
    <n v="2.1023000000000001"/>
    <n v="2"/>
    <n v="0.42499999999999999"/>
    <n v="0"/>
    <n v="0"/>
    <n v="1.2457"/>
    <n v="130.25399999999999"/>
    <n v="50.21"/>
    <n v="10.180799475753604"/>
    <x v="45"/>
    <n v="7.39"/>
    <n v="0.48427260812581913"/>
    <n v="1.1000000000000001"/>
    <n v="7.2083879423328973E-2"/>
    <n v="0"/>
    <n v="0"/>
  </r>
  <r>
    <n v="1598"/>
    <s v="แขวงทางหลวงปทุมธานี"/>
    <n v="416"/>
    <n v="346"/>
    <n v="102"/>
    <s v="สะพานคลองเปรม - สะพานข้ามแม่น้ำเจ้าพระยาปทุมธานี"/>
    <s v="1+740"/>
    <s v="2+924"/>
    <n v="1.1839999999999999"/>
    <n v="6"/>
    <s v="L2"/>
    <d v="2015-09-01T00:00:00"/>
    <s v="C.C."/>
    <n v="0.27500000000000002"/>
    <n v="0.35"/>
    <n v="0.3"/>
    <n v="0.32500000000000001"/>
    <n v="4.1280000000000001"/>
    <n v="4"/>
    <n v="0"/>
    <n v="0"/>
    <n v="1.25"/>
    <n v="1.3187599999999999"/>
    <n v="7"/>
    <n v="7"/>
    <n v="0"/>
    <n v="1"/>
    <n v="2"/>
    <n v="0"/>
    <n v="1.55"/>
    <n v="3.7403474903474905E-2"/>
    <n v="10"/>
    <x v="46"/>
    <m/>
    <m/>
    <m/>
    <m/>
    <m/>
    <m/>
  </r>
  <r>
    <n v="2063"/>
    <s v="แขวงทางหลวงสุราษฎร์ธานีที่ 2 (กาญจนดิษฐ์)"/>
    <n v="328"/>
    <n v="4294"/>
    <n v="100"/>
    <s v="ทางเข้านาสารด้านใต้"/>
    <n v="195"/>
    <n v="0"/>
    <n v="0.19500000000000001"/>
    <n v="4"/>
    <s v="R2"/>
    <d v="2015-04-26T00:00:00"/>
    <s v="A.C."/>
    <n v="2.5000000000000001E-2"/>
    <n v="0.05"/>
    <n v="0.05"/>
    <n v="7.4999999999999997E-2"/>
    <n v="4.8600000000000003"/>
    <n v="5"/>
    <n v="0.2"/>
    <n v="0"/>
    <n v="0"/>
    <n v="0"/>
    <n v="2.6021299999999998"/>
    <n v="2.5"/>
    <n v="0"/>
    <n v="0"/>
    <n v="0.2"/>
    <n v="1.0694999999999999"/>
    <n v="62.39"/>
    <n v="10.28"/>
    <n v="9.8945054945054949"/>
    <x v="47"/>
    <n v="0"/>
    <n v="0"/>
    <n v="0"/>
    <n v="0"/>
    <n v="2.36"/>
    <n v="0.34578754578754578"/>
  </r>
  <r>
    <n v="976"/>
    <s v="แขวงทางหลวงนครราชสีมาที่ 2"/>
    <n v="612"/>
    <n v="2247"/>
    <n v="200"/>
    <s v="ป่าไผ่ - ปากช่อง"/>
    <n v="47126"/>
    <n v="66663"/>
    <n v="19.536999999999999"/>
    <n v="2"/>
    <s v="L1"/>
    <d v="2015-04-23T00:00:00"/>
    <s v="A.C."/>
    <n v="11.3"/>
    <n v="5.0250000000000004"/>
    <n v="2.4"/>
    <n v="0.75"/>
    <n v="2.1533600000000002"/>
    <n v="2"/>
    <n v="16.8"/>
    <n v="1.7250000000000001"/>
    <n v="0.8"/>
    <n v="0.15"/>
    <n v="5.1591800000000001"/>
    <n v="5"/>
    <n v="0"/>
    <n v="0"/>
    <n v="19.475000000000001"/>
    <n v="1.1750700000000001"/>
    <n v="6624.26"/>
    <n v="0"/>
    <n v="9.6874900000000004"/>
    <x v="48"/>
    <n v="0"/>
    <n v="0"/>
    <n v="0"/>
    <n v="0"/>
    <n v="0"/>
    <n v="0"/>
  </r>
  <r>
    <n v="288"/>
    <s v="แขวงทางหลวงสกลนครที่ 2 (สว่างแดนดิน)"/>
    <n v="642"/>
    <n v="227"/>
    <n v="301"/>
    <s v="บ้านผาสุก - วาริชภูมิ"/>
    <s v="162+667"/>
    <s v="157+695"/>
    <n v="4.9720000000000004"/>
    <n v="2"/>
    <s v="R2"/>
    <d v="2015-06-05T00:00:00"/>
    <s v="A.C."/>
    <n v="1.575"/>
    <n v="1.7"/>
    <n v="1.175"/>
    <n v="0.57499999999999996"/>
    <n v="3.3218899999999998"/>
    <n v="3.5"/>
    <n v="4.3250000000000002"/>
    <n v="0.55000000000000004"/>
    <n v="0.125"/>
    <n v="2.5000000000000001E-2"/>
    <n v="5.0994200000000003"/>
    <n v="5"/>
    <n v="0"/>
    <n v="0"/>
    <n v="5.0250000000000004"/>
    <n v="1.08754"/>
    <n v="1681"/>
    <n v="0"/>
    <n v="9.6598089999999992"/>
    <x v="48"/>
    <n v="0"/>
    <n v="0"/>
    <n v="67.33"/>
    <n v="0.38690999999999998"/>
    <n v="0"/>
    <n v="0"/>
  </r>
  <r>
    <n v="2226"/>
    <s v="แขวงทางหลวงสตูล"/>
    <n v="318"/>
    <n v="4183"/>
    <n v="100"/>
    <s v="ทางเข้าด่านศุลกากรสตูล"/>
    <n v="0"/>
    <n v="156"/>
    <n v="0.156"/>
    <n v="2"/>
    <s v="L1"/>
    <d v="2015-05-25T00:00:00"/>
    <s v="A.C."/>
    <n v="0"/>
    <n v="2.5000000000000001E-2"/>
    <n v="0.05"/>
    <n v="0.05"/>
    <n v="4.5199999999999996"/>
    <n v="4.5"/>
    <n v="0.05"/>
    <n v="0.05"/>
    <n v="2.5000000000000001E-2"/>
    <n v="0"/>
    <n v="9.7523999999999997"/>
    <n v="10"/>
    <n v="0"/>
    <n v="0"/>
    <n v="0.125"/>
    <n v="1.8557999999999999"/>
    <n v="49.8"/>
    <n v="0"/>
    <n v="9.1208791208791204"/>
    <x v="49"/>
    <n v="0"/>
    <n v="0"/>
    <n v="21.47"/>
    <n v="3.932234432234432"/>
    <n v="0"/>
    <n v="0"/>
  </r>
  <r>
    <n v="531"/>
    <s v="แขวงทางหลวงอุตรดิตถ์ที่ 1"/>
    <n v="557"/>
    <n v="1403"/>
    <n v="100"/>
    <s v="ทางเข้าน้ำอ่าง"/>
    <s v="0+446"/>
    <s v="0+000"/>
    <n v="0.44600000000000001"/>
    <s v="R1"/>
    <n v="2"/>
    <d v="2015-09-23T00:00:00"/>
    <s v="A.C."/>
    <n v="7.4999999999999997E-2"/>
    <n v="0.2"/>
    <n v="0.1"/>
    <n v="0.08"/>
    <n v="3.9155600000000002"/>
    <n v="4"/>
    <n v="0.35"/>
    <n v="0.05"/>
    <n v="0.05"/>
    <n v="0"/>
    <n v="7.0826099999999999"/>
    <n v="7"/>
    <n v="0"/>
    <n v="0"/>
    <n v="0.45500000000000002"/>
    <n v="1.1214999999999999"/>
    <n v="136.56"/>
    <n v="8.4670000000000005"/>
    <n v="9.0194430000000008"/>
    <x v="50"/>
    <n v="84.67"/>
    <n v="5.4240870000000001"/>
    <n v="1.48"/>
    <n v="9.4811000000000006E-2"/>
    <n v="0"/>
    <n v="0"/>
  </r>
  <r>
    <n v="1076"/>
    <s v="แขวงทางหลวงสระแก้ว (วัฒนานคร)"/>
    <n v="619"/>
    <n v="3366"/>
    <n v="100"/>
    <s v="ท่าข้าม - โนนสาวเอ้"/>
    <n v="0"/>
    <n v="26678"/>
    <n v="26.678000000000001"/>
    <n v="2"/>
    <s v="R1"/>
    <d v="2015-03-30T00:00:00"/>
    <s v="A.C."/>
    <n v="14.32"/>
    <n v="7.32"/>
    <n v="2.65"/>
    <n v="2.4"/>
    <n v="2.90001"/>
    <n v="3"/>
    <n v="24.41"/>
    <n v="1.58"/>
    <n v="0.48"/>
    <n v="0.23"/>
    <n v="4.91608"/>
    <n v="5"/>
    <n v="0"/>
    <n v="0"/>
    <n v="26.68"/>
    <n v="1.18699"/>
    <n v="5812.54"/>
    <n v="4931.63"/>
    <n v="8.8658980647510521"/>
    <x v="51"/>
    <n v="1557.53"/>
    <n v="1.6680732117421524"/>
    <n v="5812.54"/>
    <n v="6.2250757713685969"/>
    <n v="0"/>
    <n v="0"/>
  </r>
  <r>
    <n v="2029"/>
    <s v="แขวงทางหลวงสุราษฎร์ธานี ที่ 1 (พุนพิน)"/>
    <n v="325"/>
    <n v="4352"/>
    <n v="100"/>
    <s v="ห้วยกรวด - บางงอน"/>
    <n v="0"/>
    <n v="1000"/>
    <n v="1"/>
    <n v="2"/>
    <s v="L1"/>
    <d v="2015-04-23T00:00:00"/>
    <s v="A.C."/>
    <n v="0.33"/>
    <n v="0.35"/>
    <n v="0.21"/>
    <n v="0.11"/>
    <n v="3.3978700000000002"/>
    <n v="3.5"/>
    <n v="0.55000000000000004"/>
    <n v="0.2"/>
    <n v="0.1"/>
    <n v="0.15"/>
    <n v="10.743600000000001"/>
    <n v="10.5"/>
    <n v="0"/>
    <n v="0"/>
    <n v="1"/>
    <n v="1.42754"/>
    <n v="269.14999999999998"/>
    <n v="52.1"/>
    <n v="8.4342857142857142"/>
    <x v="52"/>
    <n v="651"/>
    <n v="18.600000000000001"/>
    <n v="231.1"/>
    <n v="6.6028571428571423"/>
    <n v="2"/>
    <n v="5.7142857142857148E-2"/>
  </r>
  <r>
    <n v="905"/>
    <s v="แขวงทางหลวงอำนาจเจริญ"/>
    <n v="634"/>
    <n v="2454"/>
    <n v="101"/>
    <s v="ทางเข้าพนา - ดอนขวัญ"/>
    <n v="0"/>
    <n v="1433"/>
    <n v="1.4330000000000001"/>
    <n v="2"/>
    <s v="L1"/>
    <d v="2015-05-22T00:00:00"/>
    <s v="A.C."/>
    <n v="0.35"/>
    <n v="0.57499999999999996"/>
    <n v="0.25"/>
    <n v="0.27500000000000002"/>
    <n v="3.9079299999999999"/>
    <n v="4"/>
    <n v="1.325"/>
    <n v="0.125"/>
    <n v="0"/>
    <n v="0"/>
    <n v="5.5839800000000004"/>
    <n v="5.5"/>
    <n v="0"/>
    <n v="0"/>
    <n v="1.4499999999999997"/>
    <n v="1.6151199999999999"/>
    <n v="3.7"/>
    <n v="798.21"/>
    <n v="8.0312000000000001"/>
    <x v="53"/>
    <n v="0"/>
    <n v="0"/>
    <n v="25.25"/>
    <n v="0.50344"/>
    <n v="0"/>
    <n v="0"/>
  </r>
  <r>
    <n v="2158"/>
    <s v="แขวงทางหลวงระนอง"/>
    <n v="331"/>
    <n v="4281"/>
    <n v="100"/>
    <s v="ทางเข้าเมืองระนอง"/>
    <n v="700"/>
    <n v="0"/>
    <n v="0.7"/>
    <n v="2"/>
    <s v="R1"/>
    <d v="2015-10-27T00:00:00"/>
    <s v="A.C."/>
    <n v="0.42499999999999999"/>
    <n v="0.2"/>
    <n v="0.05"/>
    <n v="0"/>
    <n v="2.4518499999999999"/>
    <n v="2.5"/>
    <n v="0.67500000000000004"/>
    <n v="0"/>
    <n v="0"/>
    <n v="0"/>
    <n v="1.1874400000000001"/>
    <n v="1"/>
    <n v="0"/>
    <n v="0"/>
    <n v="0.67500000000000004"/>
    <n v="1.54819"/>
    <n v="179.512"/>
    <n v="34.125"/>
    <n v="8.0234489795918371"/>
    <x v="53"/>
    <n v="167.39"/>
    <n v="6.8322448979591845"/>
    <n v="0.35"/>
    <n v="1.4285714285714287E-2"/>
    <n v="0"/>
    <n v="0"/>
  </r>
  <r>
    <n v="1414"/>
    <s v="แขวงทางหลวงอุทัยธานี"/>
    <n v="447"/>
    <n v="3220"/>
    <n v="100"/>
    <s v="แยกสะแกกรัง - เขาพะแวง"/>
    <n v="0"/>
    <n v="13707"/>
    <n v="13.707000000000001"/>
    <n v="2"/>
    <s v="L1"/>
    <d v="2015-07-30T00:00:00"/>
    <s v="A.C."/>
    <n v="6.1"/>
    <n v="4.625"/>
    <n v="1.2124999999999999"/>
    <n v="0.6"/>
    <n v="2.8277600000000001"/>
    <n v="3"/>
    <n v="13.2"/>
    <n v="0.52500000000000002"/>
    <n v="2.5000000000000001E-2"/>
    <n v="0"/>
    <n v="4.18262"/>
    <n v="4"/>
    <n v="0"/>
    <n v="0"/>
    <n v="12.5375"/>
    <n v="1.2842499999999999"/>
    <n v="3202"/>
    <n v="1278"/>
    <n v="8.0063366997050505"/>
    <x v="53"/>
    <n v="0"/>
    <n v="0"/>
    <n v="0"/>
    <n v="0"/>
    <n v="0"/>
    <n v="0"/>
  </r>
  <r>
    <n v="1605"/>
    <s v="แขวงทางหลวงปทุมธานี"/>
    <n v="416"/>
    <n v="346"/>
    <n v="102"/>
    <s v="สะพานคลองเปรม - สะพานข้ามแม่น้ำเจ้าพระยาปทุมธานี"/>
    <s v="10+840"/>
    <s v="11+350"/>
    <n v="0.51"/>
    <n v="6"/>
    <s v="L2"/>
    <d v="2015-09-01T00:00:00"/>
    <s v="C.C."/>
    <n v="0"/>
    <n v="0.2"/>
    <n v="0.25"/>
    <n v="0.05"/>
    <n v="3.8614999999999999"/>
    <n v="4"/>
    <n v="0"/>
    <n v="0"/>
    <n v="0.5"/>
    <n v="1.1394"/>
    <n v="9"/>
    <n v="9"/>
    <n v="0"/>
    <n v="5"/>
    <n v="0"/>
    <n v="0"/>
    <n v="20.010000000000002"/>
    <n v="1.1210084033613443"/>
    <n v="8"/>
    <x v="53"/>
    <m/>
    <m/>
    <m/>
    <m/>
    <m/>
    <m/>
  </r>
  <r>
    <n v="1093"/>
    <s v="แขวงทางหลวงสระแก้ว (วัฒนานคร)"/>
    <n v="619"/>
    <n v="3625"/>
    <n v="100"/>
    <s v="ทางเข้าแยกจุดตรวจ อ.04"/>
    <n v="0"/>
    <n v="428"/>
    <n v="0.42799999999999999"/>
    <n v="2"/>
    <s v="L1"/>
    <d v="2015-03-30T00:00:00"/>
    <s v="A.C."/>
    <n v="0.1"/>
    <n v="0.23"/>
    <n v="0"/>
    <n v="0.1"/>
    <n v="3.8188200000000001"/>
    <n v="4"/>
    <n v="0.43"/>
    <n v="0"/>
    <n v="0"/>
    <n v="0"/>
    <n v="1.8018799999999999"/>
    <n v="2"/>
    <n v="0"/>
    <n v="0"/>
    <n v="0.43"/>
    <n v="1.4570000000000001"/>
    <n v="119.01"/>
    <n v="0"/>
    <n v="7.9445927903871834"/>
    <x v="54"/>
    <n v="2.2999999999999998"/>
    <n v="0.15353805073431243"/>
    <n v="0"/>
    <n v="0"/>
    <n v="0"/>
    <n v="0"/>
  </r>
  <r>
    <n v="1331"/>
    <s v="แขวงทางหลวงกาญจนบุรี"/>
    <n v="444"/>
    <n v="3272"/>
    <n v="100"/>
    <s v="ทองผาภูมิ - ปิล๊อก"/>
    <n v="0"/>
    <n v="40986"/>
    <n v="40.985999999999997"/>
    <n v="2"/>
    <s v="L1"/>
    <d v="2015-07-25T00:00:00"/>
    <s v="A.C."/>
    <n v="16.524999999999999"/>
    <n v="13.95"/>
    <n v="6.85"/>
    <n v="3.55"/>
    <n v="3.08033"/>
    <n v="3"/>
    <n v="39.25"/>
    <n v="1.125"/>
    <n v="0.32500000000000001"/>
    <n v="0.17499999999999999"/>
    <n v="3.2173099999999999"/>
    <n v="3"/>
    <n v="0"/>
    <n v="0"/>
    <n v="40.874999999999993"/>
    <n v="1.3873899999999999"/>
    <n v="10931"/>
    <n v="722"/>
    <n v="7.8716774368948279"/>
    <x v="54"/>
    <n v="1"/>
    <n v="6.9710214637750875E-4"/>
    <n v="906"/>
    <n v="0.63157454461802287"/>
    <n v="5"/>
    <n v="3.4855107318875434E-3"/>
  </r>
  <r>
    <n v="476"/>
    <s v="แขวงทางหลวงพิษณุโลกที่ 2 (วังทอง)"/>
    <n v="515"/>
    <n v="2467"/>
    <n v="100"/>
    <s v="ทางเข้านครไทย"/>
    <s v="0+000"/>
    <s v="0+067"/>
    <n v="6.7000000000000004E-2"/>
    <s v="L2"/>
    <n v="2"/>
    <d v="2015-09-21T00:00:00"/>
    <s v="A.C."/>
    <n v="0.02"/>
    <n v="0.01"/>
    <n v="0.04"/>
    <n v="0"/>
    <n v="3.415"/>
    <n v="3.5"/>
    <n v="7.0000000000000007E-2"/>
    <n v="0"/>
    <n v="0"/>
    <n v="0"/>
    <n v="3.1259999999999999"/>
    <n v="3"/>
    <n v="0"/>
    <n v="0"/>
    <n v="0.15000000000000002"/>
    <n v="1.2004999999999999"/>
    <n v="15.547000000000001"/>
    <n v="5.64"/>
    <n v="7.8324093816631137"/>
    <x v="55"/>
    <n v="85.677999999999997"/>
    <n v="36.536460554371004"/>
    <n v="0"/>
    <n v="0"/>
    <n v="0"/>
    <n v="0"/>
  </r>
  <r>
    <n v="1167"/>
    <s v="แขวงทางหลวงสระบุรี"/>
    <n v="432"/>
    <n v="3565"/>
    <n v="100"/>
    <s v="หนองแซง - หนองแก"/>
    <s v="0+000"/>
    <s v="0+625"/>
    <n v="0.625"/>
    <n v="2"/>
    <s v="L1"/>
    <d v="2015-10-05T00:00:00"/>
    <s v="A.C."/>
    <n v="0.22500000000000001"/>
    <n v="0.15"/>
    <n v="0.15"/>
    <n v="0.05"/>
    <n v="3.0230399999999999"/>
    <n v="3"/>
    <n v="0.45"/>
    <n v="7.4999999999999997E-2"/>
    <n v="0.05"/>
    <n v="0"/>
    <n v="6.4569599999999996"/>
    <n v="6.5"/>
    <n v="0"/>
    <n v="0"/>
    <n v="0.57500000000000007"/>
    <n v="1.14622"/>
    <n v="158.66"/>
    <n v="21.3"/>
    <n v="7.7398860000000003"/>
    <x v="56"/>
    <n v="0"/>
    <n v="0"/>
    <n v="0"/>
    <n v="0"/>
    <n v="0"/>
    <n v="0"/>
  </r>
  <r>
    <n v="1305"/>
    <s v="แขวงทางหลวงสุพรรณบุรีที่ 1"/>
    <n v="441"/>
    <n v="3617"/>
    <n v="100"/>
    <s v="คลองตาลเสี้ยน - วังยาง"/>
    <n v="0"/>
    <n v="670"/>
    <n v="0.67"/>
    <n v="2"/>
    <s v="L1"/>
    <d v="2015-07-01T00:00:00"/>
    <s v="A.C."/>
    <n v="0.35"/>
    <n v="0.125"/>
    <n v="2.5000000000000001E-2"/>
    <n v="0.15"/>
    <n v="3.97885"/>
    <n v="4"/>
    <n v="0.65"/>
    <n v="0"/>
    <n v="0"/>
    <n v="0"/>
    <n v="2.0442300000000002"/>
    <n v="2"/>
    <n v="0"/>
    <n v="0"/>
    <n v="0.65"/>
    <n v="1.3608100000000001"/>
    <n v="163.5"/>
    <n v="33"/>
    <n v="7.6759061833688706"/>
    <x v="56"/>
    <n v="252.6"/>
    <n v="10.77185501066098"/>
    <n v="2.1"/>
    <n v="8.9552238805970144E-2"/>
    <n v="1.65"/>
    <n v="1.65"/>
  </r>
  <r>
    <n v="1299"/>
    <s v="แขวงทางหลวงสุพรรณบุรีที่ 1"/>
    <n v="441"/>
    <n v="3557"/>
    <n v="100"/>
    <s v="ทางเข้าสุพรรณบุรี"/>
    <n v="726"/>
    <n v="0"/>
    <n v="0.72599999999999998"/>
    <n v="4"/>
    <s v="R2"/>
    <d v="2015-07-02T00:00:00"/>
    <s v="A.C."/>
    <n v="0.18822222222222221"/>
    <n v="0.29577777777777781"/>
    <n v="0.13444444444444445"/>
    <n v="0.10755555555555557"/>
    <n v="3.7007400000000001"/>
    <n v="3.5"/>
    <n v="0.72599999999999998"/>
    <n v="0"/>
    <n v="0"/>
    <n v="0"/>
    <n v="4.2001900000000001"/>
    <n v="4"/>
    <n v="0"/>
    <n v="0"/>
    <n v="0.67499999999999993"/>
    <n v="1.27281"/>
    <n v="175.3"/>
    <n v="34.299999999999997"/>
    <n v="7.5737898465171209"/>
    <x v="57"/>
    <n v="155.30000000000001"/>
    <n v="6.1117670208579309"/>
    <n v="0"/>
    <n v="0"/>
    <n v="1.4"/>
    <n v="1.4"/>
  </r>
  <r>
    <n v="1179"/>
    <s v="แขวงทางหลวงสิงห์บุรี"/>
    <n v="433"/>
    <n v="369"/>
    <n v="100"/>
    <s v="ทางเลี่ยงเมืองสิงห์บุรี"/>
    <s v="0+000"/>
    <s v="1+434"/>
    <n v="1.4339999999999999"/>
    <n v="4"/>
    <s v="L2"/>
    <d v="2015-10-05T00:00:00"/>
    <s v="A.C."/>
    <n v="0.95"/>
    <n v="0.15"/>
    <n v="0.1"/>
    <n v="0.125"/>
    <n v="2.7022599999999999"/>
    <n v="2.5"/>
    <n v="1.325"/>
    <n v="0"/>
    <n v="0"/>
    <n v="0"/>
    <n v="2.8319800000000002"/>
    <n v="3"/>
    <n v="0"/>
    <n v="0"/>
    <n v="1.4339999999999999"/>
    <n v="1.33589"/>
    <n v="368.4"/>
    <n v="14.2"/>
    <n v="7.4815700338712894"/>
    <x v="58"/>
    <n v="168.32"/>
    <n v="3.3536561067941819"/>
    <n v="2.16"/>
    <n v="4.3036461446503291E-2"/>
    <n v="0"/>
    <n v="4.3036461446503291E-2"/>
  </r>
  <r>
    <n v="1104"/>
    <s v="แขวงทางหลวงลพบุรีที่ 1"/>
    <n v="431"/>
    <n v="2219"/>
    <n v="101"/>
    <s v="บ้านหมี่ - ดอนดึง"/>
    <s v="0+000"/>
    <s v="0+500"/>
    <n v="0.5"/>
    <n v="4"/>
    <s v="L1"/>
    <d v="2015-10-05T00:00:00"/>
    <s v="A.C."/>
    <n v="14.225"/>
    <n v="4.8250000000000002"/>
    <n v="1.45"/>
    <n v="0.25"/>
    <n v="2.28023"/>
    <n v="2.5"/>
    <n v="20.55"/>
    <n v="0.17499999999999999"/>
    <n v="2.5000000000000001E-2"/>
    <n v="0"/>
    <n v="2.3615300000000001"/>
    <n v="2.5"/>
    <n v="0"/>
    <n v="0"/>
    <n v="0.5"/>
    <n v="1.19252"/>
    <n v="120.85"/>
    <n v="2.2999999999999998"/>
    <n v="6.9714285714285715"/>
    <x v="59"/>
    <n v="35.4"/>
    <n v="2.0228571428571431"/>
    <n v="0"/>
    <n v="0"/>
    <n v="1.5"/>
    <n v="8.5714285714285715E-2"/>
  </r>
  <r>
    <n v="592"/>
    <s v="แขวงทางหลวงเพชรบูรณ์ที่ 2 (บึงสามพัน)"/>
    <n v="552"/>
    <n v="3004"/>
    <n v="300"/>
    <s v="วังพิกุล - ซับสมอทอด"/>
    <n v="111889"/>
    <n v="91666"/>
    <n v="20.222999999999999"/>
    <n v="2"/>
    <s v="R1"/>
    <d v="2015-07-10T00:00:00"/>
    <s v="A.C."/>
    <n v="14.62"/>
    <n v="2.4"/>
    <n v="0.97499999999999998"/>
    <n v="2.41"/>
    <n v="2.1675399999999998"/>
    <n v="2"/>
    <n v="17.675000000000001"/>
    <n v="1.575"/>
    <n v="0.625"/>
    <n v="0.375"/>
    <n v="5.9539999999999997"/>
    <n v="6"/>
    <n v="0"/>
    <n v="0"/>
    <n v="20.405000000000001"/>
    <n v="1.2689999999999999"/>
    <n v="4855"/>
    <n v="128.32"/>
    <n v="6.9498802636319343"/>
    <x v="60"/>
    <n v="0"/>
    <n v="0"/>
    <n v="799"/>
    <n v="1.1288419833146137"/>
    <n v="0"/>
    <n v="0"/>
  </r>
  <r>
    <n v="1332"/>
    <s v="แขวงทางหลวงกาญจนบุรี"/>
    <n v="444"/>
    <n v="3305"/>
    <n v="101"/>
    <s v="ท่าน้ำตื้น - เขาปูน"/>
    <n v="0"/>
    <n v="9616"/>
    <n v="9.6159999999999997"/>
    <n v="2"/>
    <s v="L1"/>
    <d v="2015-07-27T00:00:00"/>
    <s v="A.C."/>
    <n v="2.7250000000000001"/>
    <n v="4.4749999999999996"/>
    <n v="1.7250000000000001"/>
    <n v="0.67500000000000004"/>
    <n v="3.1241099999999999"/>
    <n v="3"/>
    <n v="9.0500000000000007"/>
    <n v="0.42499999999999999"/>
    <n v="0.1"/>
    <n v="2.5000000000000001E-2"/>
    <n v="4.1432099999999998"/>
    <n v="4"/>
    <n v="0"/>
    <n v="0"/>
    <n v="9.6"/>
    <n v="1.11388"/>
    <n v="2314"/>
    <n v="43"/>
    <n v="6.9393273116234848"/>
    <x v="60"/>
    <n v="0"/>
    <n v="0"/>
    <n v="14"/>
    <n v="4.1597337770382693E-2"/>
    <n v="0"/>
    <n v="0"/>
  </r>
  <r>
    <n v="287"/>
    <s v="แขวงทางหลวงสกลนครที่ 2 (สว่างแดนดิน)"/>
    <n v="642"/>
    <n v="227"/>
    <n v="301"/>
    <s v="บ้านผาสุก - วาริชภูมิ"/>
    <s v="120+850"/>
    <s v="162+667"/>
    <n v="41.817"/>
    <n v="2"/>
    <s v="L1"/>
    <d v="2015-06-05T00:00:00"/>
    <s v="A.C."/>
    <n v="23"/>
    <n v="11.225"/>
    <n v="4.8"/>
    <n v="2.875"/>
    <n v="3.0994100000000002"/>
    <n v="3"/>
    <n v="39.549999999999997"/>
    <n v="1.375"/>
    <n v="0.65"/>
    <n v="0.32500000000000001"/>
    <n v="4.3660199999999998"/>
    <n v="4.5"/>
    <n v="2.5000000000000001E-2"/>
    <n v="0.06"/>
    <n v="41.73"/>
    <n v="1.1872799999999999"/>
    <n v="10141"/>
    <n v="5"/>
    <n v="6.9305370000000002"/>
    <x v="60"/>
    <n v="134.97"/>
    <n v="9.2217999999999994E-2"/>
    <n v="530.36"/>
    <n v="0.36236800000000002"/>
    <n v="0"/>
    <n v="0"/>
  </r>
  <r>
    <n v="266"/>
    <s v="แขวงทางหลวงสกลนครที่ 1"/>
    <n v="641"/>
    <n v="213"/>
    <n v="303"/>
    <s v="นาคำ - สกลนคร"/>
    <n v="168503"/>
    <n v="162503"/>
    <n v="6"/>
    <n v="4"/>
    <s v="R2"/>
    <d v="2015-06-05T00:00:00"/>
    <s v="A.C."/>
    <n v="2.0499999999999998"/>
    <n v="1.7749999999999999"/>
    <n v="1.425"/>
    <n v="0.7"/>
    <n v="2.9379599999999999"/>
    <n v="3"/>
    <n v="3.2250000000000001"/>
    <n v="1.65"/>
    <n v="0.77500000000000002"/>
    <n v="0.3"/>
    <n v="9.7766999999999999"/>
    <n v="10"/>
    <n v="5.95"/>
    <n v="0"/>
    <n v="0"/>
    <n v="1.18451"/>
    <n v="1377"/>
    <n v="0"/>
    <n v="6.5571428571428569"/>
    <x v="61"/>
    <n v="0"/>
    <n v="0"/>
    <n v="724.94"/>
    <n v="0"/>
    <n v="0"/>
    <n v="0"/>
  </r>
  <r>
    <n v="1084"/>
    <s v="แขวงทางหลวงสระแก้ว (วัฒนานคร)"/>
    <n v="619"/>
    <n v="3446"/>
    <n v="102"/>
    <s v="ป่าไร่ - ช่องตากิ่ว"/>
    <n v="14000"/>
    <n v="90353"/>
    <n v="76.352999999999994"/>
    <n v="2"/>
    <s v="L1"/>
    <d v="2015-03-30T00:00:00"/>
    <s v="A.C."/>
    <n v="32.76"/>
    <n v="28.48"/>
    <n v="10.38"/>
    <n v="4.7300000000000004"/>
    <n v="2.85867"/>
    <n v="3"/>
    <n v="75.53"/>
    <n v="0.67"/>
    <n v="0.13"/>
    <n v="0.02"/>
    <n v="3.3562099999999999"/>
    <n v="3.5"/>
    <n v="0"/>
    <n v="0"/>
    <n v="76.349999999999994"/>
    <n v="1.49302"/>
    <n v="17353.7"/>
    <n v="0"/>
    <n v="6.4937854439249278"/>
    <x v="62"/>
    <n v="236.02"/>
    <n v="8.8319104310617416E-2"/>
    <n v="0"/>
    <n v="0"/>
    <n v="0"/>
    <n v="0"/>
  </r>
  <r>
    <n v="1534"/>
    <s v="แขวงทางหลวงนครนายก"/>
    <n v="414"/>
    <n v="3076"/>
    <n v="100"/>
    <s v="นครนายก - บางหอย"/>
    <n v="0"/>
    <n v="22041"/>
    <n v="22.041"/>
    <n v="2"/>
    <s v="L1"/>
    <d v="2015-09-19T00:00:00"/>
    <s v="A.C."/>
    <n v="7.4749999999999996"/>
    <n v="4.4249999999999998"/>
    <n v="5.3"/>
    <n v="5.15"/>
    <n v="3.2550300000000001"/>
    <n v="3.5"/>
    <n v="13.625"/>
    <n v="4.9249999999999998"/>
    <n v="2"/>
    <n v="1.8"/>
    <n v="7.2890800000000002"/>
    <n v="7.5"/>
    <n v="0"/>
    <n v="0"/>
    <n v="22.041"/>
    <n v="1.01542"/>
    <n v="4209"/>
    <n v="1272.04"/>
    <n v="6.2805291437386179"/>
    <x v="63"/>
    <n v="6735"/>
    <n v="8.7304828015322098"/>
    <n v="4864.88"/>
    <n v="6.3062733736478123"/>
    <n v="6073"/>
    <n v="7.872341804559035"/>
  </r>
  <r>
    <n v="1488"/>
    <s v="แขวงทางหลวงกรุงเทพ"/>
    <n v="411"/>
    <n v="3702"/>
    <n v="100"/>
    <s v="ถนนศรีนครินทร์ - ลาดกระบัง"/>
    <s v="10+526"/>
    <s v="7+223"/>
    <n v="3.3029999999999999"/>
    <n v="2"/>
    <s v="R1"/>
    <d v="2015-09-01T00:00:00"/>
    <s v="A.C."/>
    <n v="0.77500000000000002"/>
    <n v="1.0249999999999999"/>
    <n v="0.65"/>
    <n v="0.9"/>
    <n v="4.1050000000000004"/>
    <n v="4"/>
    <n v="3"/>
    <n v="0.32500000000000001"/>
    <n v="2.5000000000000001E-2"/>
    <n v="0"/>
    <n v="5.569"/>
    <n v="5.5"/>
    <n v="0"/>
    <n v="0"/>
    <n v="3.35"/>
    <n v="1.165"/>
    <n v="676"/>
    <n v="25.94"/>
    <n v="5.9596903248129403"/>
    <x v="64"/>
    <n v="4125"/>
    <n v="35.681847670948493"/>
    <n v="432.88"/>
    <n v="3.7444747199515591"/>
    <n v="2"/>
    <n v="1.7300289779853813E-2"/>
  </r>
  <r>
    <n v="283"/>
    <s v="แขวงทางหลวงสกลนครที่ 1"/>
    <n v="641"/>
    <n v="2347"/>
    <n v="100"/>
    <s v="ธาตุนาเวง - สกลนคร"/>
    <n v="5039"/>
    <n v="0"/>
    <n v="5.0389999999999997"/>
    <n v="4"/>
    <s v="R2"/>
    <d v="2015-06-04T00:00:00"/>
    <s v="A.C."/>
    <n v="3.8250000000000002"/>
    <n v="0.57499999999999996"/>
    <n v="0.47499999999999998"/>
    <n v="0.17499999999999999"/>
    <n v="2.3203999999999998"/>
    <n v="2.5"/>
    <n v="4.7750000000000004"/>
    <n v="0.27500000000000002"/>
    <n v="0"/>
    <n v="0"/>
    <n v="6.2584200000000001"/>
    <n v="6.5"/>
    <n v="0"/>
    <n v="0"/>
    <n v="5.0500000000000007"/>
    <n v="1.1750100000000001"/>
    <n v="1000"/>
    <n v="0"/>
    <n v="5.6700592521191862"/>
    <x v="65"/>
    <n v="0"/>
    <n v="0"/>
    <n v="0"/>
    <n v="0"/>
    <n v="0"/>
    <n v="0"/>
  </r>
  <r>
    <n v="2000"/>
    <s v="แขวงทางหลวงตรัง"/>
    <n v="322"/>
    <n v="4306"/>
    <n v="100"/>
    <s v="ทางเข้าหลักเมือง"/>
    <n v="2262"/>
    <n v="0"/>
    <n v="2.262"/>
    <n v="2"/>
    <s v="R2"/>
    <d v="2015-05-06T00:00:00"/>
    <s v="A.C."/>
    <n v="1.21"/>
    <n v="0.52"/>
    <n v="0.35"/>
    <n v="0.21"/>
    <n v="2.9568400000000001"/>
    <n v="3"/>
    <n v="2.1800000000000002"/>
    <n v="0.05"/>
    <n v="2.5000000000000001E-2"/>
    <n v="0"/>
    <n v="2.3297599999999998"/>
    <n v="2.5"/>
    <n v="0"/>
    <n v="0"/>
    <n v="2.62"/>
    <n v="0.94012700000000005"/>
    <n v="442.15"/>
    <n v="8.1"/>
    <n v="5.6359732221801186"/>
    <x v="66"/>
    <n v="157.1"/>
    <n v="1.9843375015788807"/>
    <n v="1.88"/>
    <n v="2.374636857395478E-2"/>
    <n v="0"/>
    <n v="0"/>
  </r>
  <r>
    <n v="1459"/>
    <s v="แขวงทางหลวงอ่างทอง"/>
    <n v="448"/>
    <n v="3298"/>
    <n v="100"/>
    <s v="สามเรือน - บางปะหัน"/>
    <n v="0"/>
    <n v="563"/>
    <n v="0.56299999999999994"/>
    <n v="2"/>
    <s v="L1"/>
    <d v="2015-06-26T00:00:00"/>
    <s v="A.C."/>
    <n v="0.4"/>
    <n v="0.15"/>
    <n v="0"/>
    <n v="0.05"/>
    <n v="2.4587500000000002"/>
    <n v="2.5"/>
    <n v="0.55000000000000004"/>
    <n v="0.05"/>
    <n v="0"/>
    <n v="0"/>
    <n v="3.9117899999999999"/>
    <n v="4"/>
    <n v="0"/>
    <n v="0"/>
    <n v="0.60000000000000009"/>
    <n v="1.4241699999999999"/>
    <n v="98.42"/>
    <n v="24.2"/>
    <n v="5.6087287490484643"/>
    <x v="66"/>
    <n v="185.45"/>
    <n v="9.4113169246384167"/>
    <n v="0"/>
    <n v="0"/>
    <n v="0"/>
    <n v="0"/>
  </r>
  <r>
    <n v="1247"/>
    <s v="แขวงทางหลวงนครสวรรค์ที่ 1"/>
    <n v="437"/>
    <n v="3523"/>
    <n v="100"/>
    <s v="ทางเข้านครสวรรค์"/>
    <s v="0+000"/>
    <s v="1+201"/>
    <n v="1.2010000000000001"/>
    <n v="6"/>
    <s v="L3"/>
    <d v="2015-10-05T00:00:00"/>
    <s v="A.C."/>
    <n v="0.35"/>
    <n v="0.25"/>
    <n v="0.32500000000000001"/>
    <n v="0.3"/>
    <n v="4.6755100000000001"/>
    <n v="4.5"/>
    <n v="0.9"/>
    <n v="0.05"/>
    <n v="0.125"/>
    <n v="0.15"/>
    <n v="10.3149"/>
    <n v="10.5"/>
    <n v="0"/>
    <n v="0"/>
    <n v="1.2010000000000001"/>
    <n v="1.1620600000000001"/>
    <n v="234.2"/>
    <n v="1.84"/>
    <n v="5.5934340430593545"/>
    <x v="66"/>
    <n v="136.6"/>
    <n v="3.2496728916379203"/>
    <n v="0"/>
    <n v="0"/>
    <n v="0"/>
    <n v="0"/>
  </r>
  <r>
    <n v="307"/>
    <s v="แขวงทางหลวงบึงกาฬ"/>
    <n v="643"/>
    <n v="2229"/>
    <n v="100"/>
    <s v="กุดเรือคำ - บ้านม่วง"/>
    <n v="0"/>
    <n v="13830"/>
    <n v="13.83"/>
    <n v="2"/>
    <s v="L1"/>
    <d v="2015-06-08T00:00:00"/>
    <s v="A.C."/>
    <n v="10.125"/>
    <n v="2.15"/>
    <n v="0.875"/>
    <n v="0.65"/>
    <n v="2.1358799999999998"/>
    <n v="2"/>
    <n v="13.25"/>
    <n v="0.45"/>
    <n v="0.1"/>
    <n v="0"/>
    <n v="4.2120800000000003"/>
    <n v="4"/>
    <n v="0"/>
    <n v="0"/>
    <n v="13.799999999999999"/>
    <n v="1.2039200000000001"/>
    <n v="2535"/>
    <n v="251"/>
    <n v="5.4963300000000004"/>
    <x v="67"/>
    <n v="0"/>
    <n v="0"/>
    <n v="25.5"/>
    <n v="5.2680999999999999E-2"/>
    <n v="0"/>
    <n v="0"/>
  </r>
  <r>
    <n v="510"/>
    <s v="แขวงทางหลวงพิจิตร"/>
    <n v="519"/>
    <n v="1381"/>
    <n v="100"/>
    <s v="ทางเข้าสถานีรถไฟตะพานหิน"/>
    <s v="0+487"/>
    <s v="0+000"/>
    <n v="0.48699999999999999"/>
    <s v="R2"/>
    <n v="4"/>
    <d v="2015-09-29T00:00:00"/>
    <s v="A.C."/>
    <n v="0.375"/>
    <n v="7.4999999999999997E-2"/>
    <n v="2.5000000000000001E-2"/>
    <n v="0.03"/>
    <n v="2.4990000000000001"/>
    <n v="2.5"/>
    <n v="0.5"/>
    <n v="0"/>
    <n v="0"/>
    <n v="0"/>
    <n v="1.6211"/>
    <n v="1.5"/>
    <n v="0"/>
    <n v="0"/>
    <n v="0.505"/>
    <n v="1.2113499999999999"/>
    <n v="88.14"/>
    <n v="9.51"/>
    <n v="5.4499849999999999"/>
    <x v="68"/>
    <n v="67.98"/>
    <n v="3.9882659999999999"/>
    <n v="0"/>
    <n v="0"/>
    <n v="0"/>
    <n v="0"/>
  </r>
  <r>
    <n v="1088"/>
    <s v="แขวงทางหลวงสระแก้ว (วัฒนานคร)"/>
    <n v="619"/>
    <n v="3486"/>
    <n v="102"/>
    <s v="โคคลาน - ใหม่ไทยถาวร"/>
    <s v="8+000"/>
    <s v="19+941"/>
    <n v="11.941000000000001"/>
    <n v="2"/>
    <s v="L1"/>
    <d v="2015-03-30T00:00:00"/>
    <s v="A.C."/>
    <n v="7.98"/>
    <n v="2.2599999999999998"/>
    <n v="1.27"/>
    <n v="0.44"/>
    <n v="2.3330000000000002"/>
    <n v="2.5"/>
    <n v="11.53"/>
    <n v="0.31"/>
    <n v="0.1"/>
    <n v="0"/>
    <n v="5.6790000000000003"/>
    <n v="5.5"/>
    <n v="0"/>
    <n v="0"/>
    <n v="11.94"/>
    <n v="1.37"/>
    <n v="2276.67"/>
    <n v="0"/>
    <n v="5.4474260351490065"/>
    <x v="68"/>
    <n v="126.27"/>
    <n v="0.30212832138968976"/>
    <n v="0"/>
    <n v="0"/>
    <n v="0"/>
    <n v="0"/>
  </r>
  <r>
    <n v="553"/>
    <s v="แขวงทางหลวงเพชรบูรณ์ที่ 1"/>
    <n v="551"/>
    <n v="2181"/>
    <n v="100"/>
    <s v="ปากห้วยขอนแก่น - หล่มสัก"/>
    <n v="0"/>
    <n v="5875"/>
    <n v="5.875"/>
    <n v="2"/>
    <s v="L1"/>
    <d v="2015-07-07T00:00:00"/>
    <s v="A.C."/>
    <n v="3.69"/>
    <n v="1.05"/>
    <n v="0.65"/>
    <n v="0.48"/>
    <n v="2.5947399999999998"/>
    <n v="2.5"/>
    <n v="5.35"/>
    <n v="0.3"/>
    <n v="0.18"/>
    <n v="0.05"/>
    <n v="4.3117299999999998"/>
    <n v="4.5"/>
    <n v="0"/>
    <n v="0"/>
    <n v="5.879999999999999"/>
    <n v="1.0569599999999999"/>
    <n v="1098"/>
    <n v="39.93"/>
    <n v="5.436911854103343"/>
    <x v="68"/>
    <n v="0"/>
    <n v="0"/>
    <n v="0"/>
    <n v="0"/>
    <n v="0"/>
    <n v="0"/>
  </r>
  <r>
    <n v="1302"/>
    <s v="แขวงทางหลวงสุพรรณบุรีที่ 1"/>
    <n v="441"/>
    <n v="3597"/>
    <n v="100"/>
    <s v="บางปลาม้า - วังตาเพชร"/>
    <n v="0"/>
    <n v="897"/>
    <n v="0.89700000000000002"/>
    <n v="2"/>
    <s v="L1"/>
    <d v="2015-07-02T00:00:00"/>
    <s v="A.C."/>
    <n v="0.2"/>
    <n v="0.375"/>
    <n v="0.17499999999999999"/>
    <n v="0.15"/>
    <n v="4.06778"/>
    <n v="4"/>
    <n v="0.85"/>
    <n v="0.05"/>
    <n v="0"/>
    <n v="0"/>
    <n v="4.0443600000000002"/>
    <n v="4"/>
    <n v="0"/>
    <n v="0"/>
    <n v="0.9"/>
    <n v="0.98269399999999996"/>
    <n v="153.5"/>
    <n v="33.5"/>
    <n v="5.4228380315336837"/>
    <x v="68"/>
    <n v="117.4"/>
    <n v="3.7394489568402611"/>
    <n v="1"/>
    <n v="3.185220576524924E-2"/>
    <n v="0"/>
    <n v="0"/>
  </r>
  <r>
    <n v="509"/>
    <s v="แขวงทางหลวงพิจิตร"/>
    <n v="519"/>
    <n v="1381"/>
    <n v="100"/>
    <s v="ทางเข้าสถานีรถไฟตะพานหิน"/>
    <s v="0+000"/>
    <s v="0+487"/>
    <n v="0.48699999999999999"/>
    <s v="L2"/>
    <n v="4"/>
    <d v="2015-09-29T00:00:00"/>
    <s v="A.C."/>
    <n v="0.36"/>
    <n v="7.0000000000000007E-2"/>
    <n v="0.02"/>
    <n v="0.03"/>
    <n v="2.2635000000000001"/>
    <n v="2.5"/>
    <n v="0.49"/>
    <n v="0"/>
    <n v="0"/>
    <n v="0"/>
    <n v="1.5230999999999999"/>
    <n v="1.5"/>
    <n v="0"/>
    <n v="0"/>
    <n v="0.49"/>
    <n v="1.1316999999999999"/>
    <n v="91.212000000000003"/>
    <n v="0"/>
    <n v="5.3512469999999999"/>
    <x v="68"/>
    <n v="87.95"/>
    <n v="5.1598709999999999"/>
    <n v="0"/>
    <n v="0"/>
    <n v="0"/>
    <n v="0"/>
  </r>
  <r>
    <n v="1392"/>
    <s v="แขวงทางหลวงชัยนาท"/>
    <n v="446"/>
    <n v="3196"/>
    <n v="100"/>
    <s v="ดงพลับ - ปากคลองห้า"/>
    <n v="0"/>
    <n v="2100"/>
    <n v="2.1"/>
    <n v="2"/>
    <s v="L1"/>
    <d v="2015-08-04T00:00:00"/>
    <s v="A.C."/>
    <n v="1.8"/>
    <n v="0.2"/>
    <n v="0.05"/>
    <n v="0.05"/>
    <n v="2.1351800000000001"/>
    <n v="2"/>
    <n v="2.1"/>
    <n v="0"/>
    <n v="0"/>
    <n v="0"/>
    <n v="1.8328"/>
    <n v="2"/>
    <n v="0"/>
    <n v="0"/>
    <n v="2.1"/>
    <n v="1.3117099999999999"/>
    <n v="354.15"/>
    <n v="68.400000000000006"/>
    <n v="5.2836734693877538"/>
    <x v="69"/>
    <n v="97.2"/>
    <n v="1.3224489795918366"/>
    <n v="0"/>
    <n v="0"/>
    <n v="0"/>
    <n v="0"/>
  </r>
  <r>
    <n v="2128"/>
    <s v="แขวงทางหลวงภูเก็ต"/>
    <n v="324"/>
    <n v="4032"/>
    <n v="101"/>
    <s v="บางไทร - ตำตัว"/>
    <n v="7472"/>
    <n v="0"/>
    <n v="7.4720000000000004"/>
    <n v="2"/>
    <s v="R1"/>
    <d v="2015-05-16T00:00:00"/>
    <s v="A.C."/>
    <n v="4.3250000000000002"/>
    <n v="1.675"/>
    <n v="0.95"/>
    <n v="0.5"/>
    <n v="2.7248000000000001"/>
    <n v="2.5"/>
    <n v="7.4"/>
    <n v="0.05"/>
    <n v="0"/>
    <n v="0"/>
    <n v="2.9858799999999999"/>
    <n v="3"/>
    <n v="0"/>
    <n v="0"/>
    <n v="7.45"/>
    <n v="1.57369"/>
    <n v="1370"/>
    <n v="9"/>
    <n v="5.2558121749770574"/>
    <x v="69"/>
    <n v="0"/>
    <n v="0"/>
    <n v="0"/>
    <n v="0"/>
    <n v="0"/>
    <n v="0"/>
  </r>
  <r>
    <n v="690"/>
    <s v="แขวงทางหลวงอุดรธานีที่ 2"/>
    <n v="624"/>
    <n v="2318"/>
    <n v="100"/>
    <s v="ทุ่งใหญ่ - ทุ่งฝน"/>
    <n v="0"/>
    <n v="7524"/>
    <n v="7.524"/>
    <n v="2"/>
    <s v="L1"/>
    <d v="2015-06-15T00:00:00"/>
    <s v="A.C."/>
    <n v="6.2"/>
    <n v="1"/>
    <n v="0.1"/>
    <n v="0.17499999999999999"/>
    <n v="2.1069"/>
    <n v="2"/>
    <n v="7.375"/>
    <n v="0.1"/>
    <n v="0"/>
    <n v="0"/>
    <n v="3.7529699999999999"/>
    <n v="4"/>
    <n v="0"/>
    <n v="0"/>
    <n v="7.4749999999999996"/>
    <n v="1.19462"/>
    <n v="5.62"/>
    <n v="2748.53"/>
    <n v="5.2399399999999998"/>
    <x v="70"/>
    <n v="0"/>
    <n v="0"/>
    <n v="0"/>
    <n v="0"/>
    <n v="0"/>
    <n v="0"/>
  </r>
  <r>
    <n v="2061"/>
    <s v="แขวงทางหลวงสุราษฎร์ธานีที่ 2 (กาญจนดิษฐ์)"/>
    <n v="328"/>
    <n v="4293"/>
    <n v="100"/>
    <s v="ทางเข้าน้ำพุ"/>
    <n v="0"/>
    <n v="125"/>
    <n v="0.125"/>
    <n v="2"/>
    <s v="L1"/>
    <d v="2015-04-26T00:00:00"/>
    <s v="A.C."/>
    <n v="0"/>
    <n v="2.5000000000000001E-2"/>
    <n v="0.05"/>
    <n v="0.05"/>
    <n v="4.5339999999999998"/>
    <n v="4.5"/>
    <n v="0.125"/>
    <n v="0"/>
    <n v="0"/>
    <n v="0"/>
    <n v="2.1204000000000001"/>
    <n v="2"/>
    <n v="0"/>
    <n v="0"/>
    <n v="0.125"/>
    <n v="1.2303999999999999"/>
    <n v="22.85"/>
    <n v="0"/>
    <n v="5.2228571428571433"/>
    <x v="70"/>
    <n v="24.96"/>
    <n v="5.7051428571428575"/>
    <n v="5.36"/>
    <n v="1.2251428571428573"/>
    <n v="0"/>
    <n v="0"/>
  </r>
  <r>
    <n v="569"/>
    <s v="แขวงทางหลวงเพชรบูรณ์ที่ 1"/>
    <n v="551"/>
    <n v="2372"/>
    <n v="100"/>
    <s v="วังบาล - กกโอ"/>
    <n v="0"/>
    <n v="16811"/>
    <n v="16.811"/>
    <n v="2"/>
    <s v="L1"/>
    <d v="2015-08-07T00:00:00"/>
    <s v="A.C."/>
    <n v="10.69"/>
    <n v="3.56"/>
    <n v="1.79"/>
    <n v="0.78"/>
    <n v="2.4356599999999999"/>
    <n v="2.5"/>
    <n v="16.59"/>
    <n v="0.21"/>
    <n v="0.05"/>
    <n v="0.05"/>
    <n v="3.9112200000000001"/>
    <n v="4"/>
    <n v="0"/>
    <n v="0"/>
    <n v="16.900000000000002"/>
    <n v="1.0947899999999999"/>
    <n v="2654"/>
    <n v="659.7"/>
    <n v="5.071254365763914"/>
    <x v="71"/>
    <n v="0"/>
    <n v="0"/>
    <n v="72"/>
    <n v="0.12236885712586147"/>
    <n v="0"/>
    <n v="0"/>
  </r>
  <r>
    <n v="123"/>
    <s v="แขวงทางหลวงเชียงใหม่ที่ 3"/>
    <n v="527"/>
    <n v="1358"/>
    <n v="100"/>
    <s v="ทางเข้าดอยอ่างขาง"/>
    <s v="0+695"/>
    <s v="1+385"/>
    <n v="0.69"/>
    <n v="2"/>
    <s v="L1"/>
    <d v="2015-08-26T00:00:00"/>
    <s v="A.C."/>
    <n v="0.05"/>
    <n v="0.12"/>
    <n v="0.16"/>
    <n v="0.37"/>
    <n v="6.202"/>
    <n v="6"/>
    <n v="0.67"/>
    <n v="0.02"/>
    <n v="0"/>
    <n v="0"/>
    <n v="4.12317"/>
    <n v="4"/>
    <n v="0"/>
    <n v="0"/>
    <n v="0.69"/>
    <n v="1.58867"/>
    <n v="120.867"/>
    <n v="0"/>
    <n v="5.0048447204968944"/>
    <x v="72"/>
    <n v="103.68"/>
    <n v="4.2931677018633536"/>
    <n v="3.2"/>
    <n v="0.13250517598343686"/>
    <n v="0"/>
    <n v="0"/>
  </r>
  <r>
    <n v="1599"/>
    <s v="แขวงทางหลวงปทุมธานี"/>
    <n v="416"/>
    <n v="346"/>
    <n v="102"/>
    <s v="สะพานคลองเปรม - สะพานข้ามแม่น้ำเจ้าพระยาปทุมธานี"/>
    <s v="2+924"/>
    <s v="7+495"/>
    <n v="4.5709999999999997"/>
    <n v="6"/>
    <s v="L2"/>
    <d v="2015-09-01T00:00:00"/>
    <s v="C.C."/>
    <n v="2.75"/>
    <n v="0.97499999999999998"/>
    <n v="0.45"/>
    <n v="0.375"/>
    <n v="2.6434600000000001"/>
    <n v="2.5"/>
    <n v="0"/>
    <n v="0"/>
    <n v="4.55"/>
    <n v="0.92758799999999997"/>
    <n v="4"/>
    <n v="4"/>
    <n v="7"/>
    <n v="0"/>
    <n v="5"/>
    <n v="0"/>
    <n v="7.37"/>
    <n v="4.6066818764259145E-2"/>
    <n v="5"/>
    <x v="72"/>
    <m/>
    <m/>
    <m/>
    <m/>
    <m/>
    <m/>
  </r>
  <r>
    <n v="2059"/>
    <s v="แขวงทางหลวงสุราษฎร์ธานีที่ 2 (กาญจนดิษฐ์)"/>
    <n v="328"/>
    <n v="4292"/>
    <n v="100"/>
    <s v="ทางเข้านาสารด้านเหนือ"/>
    <n v="0"/>
    <n v="180"/>
    <n v="0.18"/>
    <n v="4"/>
    <s v="L2"/>
    <d v="2015-04-26T00:00:00"/>
    <s v="A.C."/>
    <n v="2.5000000000000001E-2"/>
    <n v="0.1"/>
    <n v="2.5000000000000001E-2"/>
    <n v="0.05"/>
    <n v="4.5437500000000002"/>
    <n v="4.5"/>
    <n v="0.2"/>
    <n v="0"/>
    <n v="0"/>
    <n v="0"/>
    <n v="2.9773800000000001"/>
    <n v="3"/>
    <n v="0"/>
    <n v="0"/>
    <n v="0.2"/>
    <n v="0.98"/>
    <n v="4.9000000000000004"/>
    <n v="52.8"/>
    <n v="4.9682539682539675"/>
    <x v="72"/>
    <n v="0"/>
    <n v="0"/>
    <n v="0"/>
    <n v="0"/>
    <n v="0"/>
    <n v="0"/>
  </r>
  <r>
    <n v="103"/>
    <s v="แขวงทางหลวงแม่ฮ่องสอน"/>
    <n v="526"/>
    <n v="1395"/>
    <n v="100"/>
    <s v="ทางเข้าปาย"/>
    <s v="3+643"/>
    <s v="4+300"/>
    <n v="0.65700000000000003"/>
    <n v="2"/>
    <s v="L1"/>
    <d v="2015-08-27T00:00:00"/>
    <s v="A.C."/>
    <n v="0.39"/>
    <n v="0.1"/>
    <n v="0.15"/>
    <n v="0.02"/>
    <n v="2.8525900000000002"/>
    <n v="3"/>
    <n v="0.66"/>
    <n v="0"/>
    <n v="0"/>
    <n v="0"/>
    <n v="2.3400400000000001"/>
    <n v="2.5"/>
    <n v="0"/>
    <n v="0"/>
    <n v="0.66"/>
    <n v="0.95781499999999997"/>
    <n v="112.66"/>
    <n v="1.25"/>
    <n v="4.9265057621222006"/>
    <x v="73"/>
    <n v="196.35"/>
    <n v="8.5388127853881279"/>
    <n v="0"/>
    <n v="0"/>
    <n v="0"/>
    <n v="0"/>
  </r>
  <r>
    <n v="1248"/>
    <s v="แขวงทางหลวงนครสวรรค์ที่ 1"/>
    <n v="437"/>
    <n v="3523"/>
    <n v="100"/>
    <s v="ทางเข้านครสวรรค์"/>
    <s v="1+201"/>
    <s v="0+000"/>
    <n v="1.2010000000000001"/>
    <n v="6"/>
    <s v="R3"/>
    <d v="2015-10-05T00:00:00"/>
    <s v="A.C."/>
    <n v="0.625"/>
    <n v="0.25"/>
    <n v="0.15"/>
    <n v="0.125"/>
    <n v="4.0012999999999996"/>
    <n v="4"/>
    <n v="1.1499999999999999"/>
    <n v="0"/>
    <n v="0"/>
    <n v="0"/>
    <n v="3.3530899999999999"/>
    <n v="3.5"/>
    <n v="0"/>
    <n v="0"/>
    <n v="1.2010000000000001"/>
    <n v="1.2463"/>
    <n v="201.56"/>
    <n v="9.3320000000000007"/>
    <n v="4.906054478410848"/>
    <x v="73"/>
    <n v="186.42"/>
    <n v="4.4348756988224096"/>
    <n v="0"/>
    <n v="0"/>
    <n v="0"/>
    <n v="0"/>
  </r>
  <r>
    <n v="235"/>
    <s v="แขวงทางหลวงเชียงรายที่ 2"/>
    <n v="537"/>
    <n v="1128"/>
    <n v="100"/>
    <s v="เชียงเคี่ยน - ป่าแงะ"/>
    <n v="0"/>
    <n v="9157"/>
    <n v="9.157"/>
    <n v="2"/>
    <s v="L1"/>
    <d v="2015-07-13T00:00:00"/>
    <s v="A.C."/>
    <n v="5.33"/>
    <n v="1.71"/>
    <n v="1.1599999999999999"/>
    <n v="0.96"/>
    <n v="2.76146"/>
    <n v="3"/>
    <n v="8.18"/>
    <n v="0.63"/>
    <n v="0.13"/>
    <n v="0.23"/>
    <n v="6.1373100000000003"/>
    <n v="6"/>
    <n v="0"/>
    <n v="0"/>
    <n v="9.16"/>
    <n v="1.3665499999999999"/>
    <n v="1526"/>
    <n v="12.31"/>
    <n v="4.7805894007706824"/>
    <x v="74"/>
    <n v="88"/>
    <n v="0.27457526638481095"/>
    <n v="0"/>
    <n v="0"/>
    <n v="100"/>
    <n v="0.31201734816455795"/>
  </r>
  <r>
    <n v="1890"/>
    <s v="แขวงทางหลวงราชบุรี"/>
    <n v="335"/>
    <n v="3630"/>
    <n v="100"/>
    <s v="ปากบึง - ทำเนียบ"/>
    <n v="0"/>
    <n v="751"/>
    <n v="0.751"/>
    <n v="4"/>
    <s v="L2"/>
    <d v="2015-04-01T00:00:00"/>
    <s v="A.C."/>
    <n v="0.75"/>
    <n v="0"/>
    <n v="0"/>
    <n v="0"/>
    <n v="1.51067"/>
    <n v="1.5"/>
    <n v="0.75"/>
    <n v="0"/>
    <n v="0"/>
    <n v="0"/>
    <n v="2.4488699999999999"/>
    <n v="2.5"/>
    <n v="0"/>
    <n v="0"/>
    <n v="0.75"/>
    <n v="1.08517"/>
    <n v="124.36"/>
    <n v="2.33"/>
    <n v="4.7755373787331177"/>
    <x v="74"/>
    <n v="86.35"/>
    <n v="3.2851436180330982"/>
    <n v="1.2"/>
    <n v="4.5653414494959098E-2"/>
    <n v="1.29"/>
    <n v="4.907742058208104E-2"/>
  </r>
  <r>
    <n v="809"/>
    <s v="แขวงทางหลวงร้อยเอ็ด"/>
    <n v="635"/>
    <n v="2449"/>
    <n v="100"/>
    <s v="ทางเข้าท่าอากาศยานร้อยเอ็ด"/>
    <n v="0"/>
    <n v="3670"/>
    <n v="3.67"/>
    <n v="2"/>
    <s v="L1"/>
    <d v="2015-05-27T00:00:00"/>
    <s v="A.C."/>
    <n v="2.4749999999999996"/>
    <n v="0.5"/>
    <n v="0.4"/>
    <n v="0.27500000000000002"/>
    <n v="3.8039999999999998"/>
    <n v="4"/>
    <n v="3.65"/>
    <n v="0"/>
    <n v="0"/>
    <n v="0"/>
    <n v="2.0619999999999998"/>
    <n v="2"/>
    <n v="0"/>
    <n v="0"/>
    <n v="3.67"/>
    <n v="1.222"/>
    <n v="0"/>
    <n v="1195.23"/>
    <n v="4.6792899999999999"/>
    <x v="75"/>
    <n v="1982.29"/>
    <n v="15.5212"/>
    <n v="531.63"/>
    <n v="4.1626300000000001"/>
    <n v="159.5"/>
    <n v="1.2488699999999999"/>
  </r>
  <r>
    <n v="1386"/>
    <s v="แขวงทางหลวงสุพรรณบุรีที่ 2 (อู่ทอง)"/>
    <n v="445"/>
    <n v="3547"/>
    <n v="100"/>
    <s v="ทางเข้าวังขอน"/>
    <n v="0"/>
    <n v="1684"/>
    <n v="1.6839999999999999"/>
    <n v="2"/>
    <s v="L1"/>
    <d v="2015-07-03T00:00:00"/>
    <s v="A.C."/>
    <n v="1.25"/>
    <n v="0.25"/>
    <n v="0.05"/>
    <n v="0.125"/>
    <n v="2.3795500000000001"/>
    <n v="2.5"/>
    <n v="1.4"/>
    <n v="0.17499999999999999"/>
    <n v="7.4999999999999997E-2"/>
    <n v="2.5000000000000001E-2"/>
    <n v="7.1905200000000002"/>
    <n v="7"/>
    <n v="0"/>
    <n v="0"/>
    <n v="1.675"/>
    <n v="1.7445200000000001"/>
    <n v="254.46"/>
    <n v="33.42"/>
    <n v="4.6007804546996951"/>
    <x v="76"/>
    <n v="54.22"/>
    <n v="0.91991856124872751"/>
    <n v="1.2"/>
    <n v="2.0359687818120122E-2"/>
    <n v="0"/>
    <n v="0"/>
  </r>
  <r>
    <n v="1062"/>
    <s v="แขวงทางหลวงปราจีนบุรี"/>
    <n v="618"/>
    <n v="3604"/>
    <n v="100"/>
    <s v="มูลเหล็ก - ตลาดบ้านสร้าง "/>
    <n v="0"/>
    <n v="1899"/>
    <n v="1.899"/>
    <n v="2"/>
    <s v="L1"/>
    <d v="2015-04-20T00:00:00"/>
    <s v="A.C."/>
    <n v="0.45"/>
    <n v="0.6"/>
    <n v="0.27500000000000002"/>
    <n v="0.45"/>
    <n v="4.2752100000000004"/>
    <n v="4.5"/>
    <n v="1.625"/>
    <n v="0.125"/>
    <n v="0"/>
    <n v="2.5000000000000001E-2"/>
    <n v="1.7749999999999999"/>
    <n v="2"/>
    <n v="-6.5297525013164881"/>
    <n v="3.9789599999999998"/>
    <n v="0"/>
    <n v="0"/>
    <n v="1.7749999999999999"/>
    <n v="1.02528"/>
    <n v="4.55"/>
    <x v="76"/>
    <n v="0"/>
    <n v="6.8457082675092151E-2"/>
    <n v="0"/>
    <n v="0"/>
    <n v="0"/>
    <n v="0"/>
  </r>
  <r>
    <n v="1177"/>
    <s v="แขวงทางหลวงสิงห์บุรี"/>
    <n v="433"/>
    <n v="335"/>
    <n v="100"/>
    <s v="แยกสิงห์เหนือ - สิงห์บุรี"/>
    <s v="0+000"/>
    <s v="1+040"/>
    <n v="1.04"/>
    <n v="5"/>
    <s v="L2"/>
    <d v="2015-10-05T00:00:00"/>
    <s v="A.C."/>
    <n v="0.05"/>
    <n v="0.42499999999999999"/>
    <n v="0.5"/>
    <n v="0.125"/>
    <n v="3.99159"/>
    <n v="4"/>
    <n v="1.1000000000000001"/>
    <n v="0"/>
    <n v="0"/>
    <n v="0"/>
    <n v="2.0047999999999999"/>
    <n v="2"/>
    <n v="0"/>
    <n v="0"/>
    <n v="1.04"/>
    <n v="1.3918600000000001"/>
    <n v="159.37"/>
    <n v="4.75"/>
    <n v="4.443543956043956"/>
    <x v="77"/>
    <n v="69.650000000000006"/>
    <n v="1.9134615384615385"/>
    <n v="1.76"/>
    <n v="4.8351648351648346E-2"/>
    <n v="0"/>
    <n v="4.8351648351648346E-2"/>
  </r>
  <r>
    <n v="184"/>
    <s v="แขวงทางหลวงเชียงรายที่ 1"/>
    <n v="533"/>
    <n v="1334"/>
    <n v="100"/>
    <s v="ผาบือ - ดอยช้างมูบ"/>
    <s v="0+000"/>
    <s v="33+247"/>
    <n v="33.247"/>
    <n v="2"/>
    <s v="R1"/>
    <d v="2015-07-16T00:00:00"/>
    <s v="A.C."/>
    <n v="1.88"/>
    <n v="8.51"/>
    <n v="10.25"/>
    <n v="12.62"/>
    <n v="5.1550000000000002"/>
    <n v="5"/>
    <n v="16.54"/>
    <n v="6.29"/>
    <n v="4.55"/>
    <n v="5.87"/>
    <n v="12.682"/>
    <n v="12.5"/>
    <n v="0.15"/>
    <n v="0.28000000000000003"/>
    <n v="32.82"/>
    <n v="2.4609999999999999"/>
    <n v="4309.1000000000004"/>
    <n v="1370.65"/>
    <n v="4.2920521293006031"/>
    <x v="78"/>
    <n v="664.52"/>
    <n v="0.57106763660738458"/>
    <n v="639.83000000000004"/>
    <n v="0.54984982533332771"/>
    <n v="1345.8"/>
    <n v="1.1565382913173692"/>
  </r>
  <r>
    <n v="168"/>
    <s v="แขวงทางหลวงเชียงรายที่ 1"/>
    <n v="533"/>
    <n v="118"/>
    <n v="201"/>
    <s v="ดอยนางแก้ว - แม่สรวย"/>
    <n v="113"/>
    <s v="52+750"/>
    <n v="60.25"/>
    <n v="4"/>
    <s v="R1"/>
    <d v="2015-07-21T00:00:00"/>
    <s v="A.C."/>
    <n v="40.049999999999997"/>
    <n v="13.93"/>
    <n v="4.7699999999999996"/>
    <n v="1.5"/>
    <n v="2.7211500000000002"/>
    <n v="2.5"/>
    <n v="52.7"/>
    <n v="5.97"/>
    <n v="1.23"/>
    <n v="0.35"/>
    <n v="6.1330499999999999"/>
    <n v="6"/>
    <n v="0"/>
    <n v="0"/>
    <n v="60.25"/>
    <n v="1.1480399999999999"/>
    <n v="8555"/>
    <n v="905.13"/>
    <n v="4.2715186721991705"/>
    <x v="78"/>
    <n v="4024"/>
    <n v="1.9082394783639596"/>
    <n v="1092"/>
    <n v="0.51784232365145233"/>
    <n v="899"/>
    <n v="0.42631890930646121"/>
  </r>
  <r>
    <n v="2117"/>
    <s v="แขวงทางหลวงภูเก็ต"/>
    <n v="324"/>
    <n v="4024"/>
    <n v="101"/>
    <s v="บางคู  - ตีนเขา"/>
    <n v="11650"/>
    <n v="0"/>
    <n v="11.65"/>
    <n v="4"/>
    <s v="L1"/>
    <d v="2015-05-14T00:00:00"/>
    <s v="A.C."/>
    <n v="4.7750000000000004"/>
    <n v="3.2749999999999999"/>
    <n v="2.125"/>
    <n v="1.55"/>
    <n v="3.40273"/>
    <n v="3.5"/>
    <n v="11"/>
    <n v="0.45"/>
    <n v="0.1"/>
    <n v="0.17499999999999999"/>
    <n v="4.4558400000000002"/>
    <n v="4.5"/>
    <n v="0"/>
    <n v="0"/>
    <n v="11.725000000000001"/>
    <n v="1.19434"/>
    <n v="1728"/>
    <n v="5"/>
    <n v="4.2440220723482529"/>
    <x v="79"/>
    <n v="0"/>
    <n v="0"/>
    <n v="0"/>
    <n v="0"/>
    <n v="0"/>
    <n v="0"/>
  </r>
  <r>
    <n v="265"/>
    <s v="แขวงทางหลวงสกลนครที่ 1"/>
    <n v="641"/>
    <n v="213"/>
    <n v="303"/>
    <s v="นาคำ - สกลนคร"/>
    <n v="162503"/>
    <n v="168503"/>
    <n v="6"/>
    <n v="4"/>
    <s v="L2"/>
    <d v="2015-06-05T00:00:00"/>
    <s v="A.C."/>
    <n v="1.85"/>
    <n v="1.325"/>
    <n v="1.2"/>
    <n v="1.575"/>
    <n v="3.9066200000000002"/>
    <n v="4"/>
    <n v="2.35"/>
    <n v="1.45"/>
    <n v="1.2"/>
    <n v="0.95"/>
    <n v="13.1295"/>
    <n v="13"/>
    <n v="0"/>
    <n v="0"/>
    <n v="5.95"/>
    <n v="1.2828900000000001"/>
    <n v="890"/>
    <n v="0"/>
    <n v="4.2380952380952381"/>
    <x v="79"/>
    <n v="4"/>
    <n v="1.9047619047619049E-2"/>
    <n v="2269.59"/>
    <n v="0"/>
    <n v="0"/>
    <n v="0"/>
  </r>
  <r>
    <n v="546"/>
    <s v="แขวงทางหลวงอุตรดิตถ์ที่ 2"/>
    <n v="558"/>
    <n v="1377"/>
    <n v="100"/>
    <s v="ทางเข้าสองคอน"/>
    <s v="0+000"/>
    <s v="0+484"/>
    <n v="0.48399999999999999"/>
    <s v="L1"/>
    <n v="2"/>
    <d v="2015-09-25T00:00:00"/>
    <s v="A.C."/>
    <n v="0.22500000000000001"/>
    <n v="0.17499999999999999"/>
    <n v="0.05"/>
    <n v="0.05"/>
    <n v="2.956"/>
    <n v="3"/>
    <n v="0.5"/>
    <n v="0"/>
    <n v="0"/>
    <n v="0"/>
    <n v="1.3854"/>
    <n v="1.5"/>
    <n v="0"/>
    <n v="0"/>
    <n v="0.5"/>
    <n v="1.14775"/>
    <n v="59.4"/>
    <n v="22.42"/>
    <n v="4.1682410000000001"/>
    <x v="79"/>
    <n v="75.498000000000005"/>
    <n v="4.4567889999999997"/>
    <n v="0"/>
    <n v="0"/>
    <n v="0"/>
    <n v="0"/>
  </r>
  <r>
    <n v="1745"/>
    <s v="แขวงทางหลวงจันทบุรี"/>
    <n v="423"/>
    <n v="3405"/>
    <n v="100"/>
    <s v="บ้านแหลม - ทุ่งขนาน"/>
    <n v="28174"/>
    <n v="0"/>
    <n v="28.173999999999999"/>
    <n v="2"/>
    <s v="R1"/>
    <d v="2015-08-18T00:00:00"/>
    <s v="A.C."/>
    <n v="6.9989999999999997"/>
    <n v="7.8360000000000003"/>
    <n v="5.2240000000000002"/>
    <n v="8.1150000000000002"/>
    <n v="4.9002999999999997"/>
    <n v="5"/>
    <n v="23.925000000000001"/>
    <n v="1.875"/>
    <n v="1"/>
    <n v="0.97499999999999998"/>
    <n v="6.2749600000000001"/>
    <n v="6.5"/>
    <n v="0"/>
    <n v="0"/>
    <n v="28.173999999999999"/>
    <n v="1.27278"/>
    <n v="3447.35"/>
    <n v="1319.87"/>
    <n v="4.1652232554837791"/>
    <x v="79"/>
    <n v="3595.9"/>
    <n v="3.6466245474551005"/>
    <n v="6451"/>
    <n v="6.5419992089971499"/>
    <n v="1985.25"/>
    <n v="2.0132500000000002"/>
  </r>
  <r>
    <n v="2113"/>
    <s v="แขวงทางหลวงภูเก็ต"/>
    <n v="324"/>
    <n v="4022"/>
    <n v="100"/>
    <s v="โรงเรียนวิชิตสงคราม - สนามสุรกุล"/>
    <n v="0"/>
    <n v="488"/>
    <n v="0.48799999999999999"/>
    <n v="4"/>
    <s v="L2"/>
    <d v="2015-05-15T00:00:00"/>
    <s v="A.C."/>
    <n v="0.17499999999999999"/>
    <n v="2.5000000000000001E-2"/>
    <n v="0.05"/>
    <n v="0.1"/>
    <n v="4.2014300000000002"/>
    <n v="4"/>
    <n v="0.35"/>
    <n v="0"/>
    <n v="0"/>
    <n v="0"/>
    <n v="4.4932100000000004"/>
    <n v="4.5"/>
    <n v="0"/>
    <n v="0"/>
    <n v="0.35"/>
    <n v="1.21957"/>
    <n v="67.84"/>
    <n v="6.21"/>
    <n v="4.153688524590164"/>
    <x v="79"/>
    <n v="2.6840000000000002"/>
    <n v="0.15714285714285714"/>
    <n v="0"/>
    <n v="0"/>
    <n v="0"/>
    <n v="0"/>
  </r>
  <r>
    <n v="1777"/>
    <s v="แขวงทางหลวงระยอง"/>
    <n v="426"/>
    <n v="3376"/>
    <n v="100"/>
    <s v="บ้านฉาง - ถนนซอย 13 ของนิคมสร้างตนเองจังหวัดระยอง"/>
    <n v="1000"/>
    <n v="30742"/>
    <n v="29.742000000000001"/>
    <n v="2"/>
    <s v="L1"/>
    <d v="2015-08-17T00:00:00"/>
    <s v="A.C."/>
    <n v="10.88"/>
    <n v="10.73"/>
    <n v="5.15"/>
    <n v="2.9750000000000001"/>
    <n v="3.7469100000000002"/>
    <n v="3.5"/>
    <n v="28.3"/>
    <n v="1.175"/>
    <n v="0.125"/>
    <n v="0.125"/>
    <n v="4.3857600000000003"/>
    <n v="4.5"/>
    <n v="0"/>
    <n v="0"/>
    <n v="29.725000000000001"/>
    <n v="1.27447"/>
    <n v="4270.97"/>
    <n v="71"/>
    <n v="4.1369800000000003"/>
    <x v="80"/>
    <n v="4490.18"/>
    <n v="4.3134600000000001"/>
    <n v="854"/>
    <n v="0.82038900000000003"/>
    <n v="1047.8399999999999"/>
    <n v="1.0065999999999999"/>
  </r>
  <r>
    <n v="293"/>
    <s v="แขวงทางหลวงสกลนครที่ 2 (สว่างแดนดิน)"/>
    <n v="642"/>
    <n v="2218"/>
    <n v="100"/>
    <s v="คำเพิ่ม - ห้วยบาง"/>
    <n v="0"/>
    <n v="51437"/>
    <n v="51.436999999999998"/>
    <n v="2"/>
    <s v="L2"/>
    <d v="2015-06-05T00:00:00"/>
    <s v="A.C."/>
    <n v="31.425000000000001"/>
    <n v="12.45"/>
    <n v="5.45"/>
    <n v="3.0249999999999999"/>
    <n v="3.0318100000000001"/>
    <n v="3"/>
    <n v="51.2"/>
    <n v="0.97499999999999998"/>
    <n v="7.4999999999999997E-2"/>
    <n v="0.1"/>
    <n v="4.1436200000000003"/>
    <n v="4"/>
    <n v="0"/>
    <n v="2.5000000000000001E-2"/>
    <n v="52.3"/>
    <n v="1.29176"/>
    <n v="6481"/>
    <n v="1911"/>
    <n v="4.0494659431555498"/>
    <x v="81"/>
    <n v="27.38"/>
    <n v="1.490948396740388E-2"/>
    <n v="501.86"/>
    <n v="0.27328245521845557"/>
    <n v="0"/>
    <n v="0"/>
  </r>
  <r>
    <n v="1611"/>
    <s v="แขวงทางหลวงปทุมธานี"/>
    <n v="416"/>
    <n v="3214"/>
    <n v="100"/>
    <s v="บ้านพร้าว - คลองห้า"/>
    <s v="2+750"/>
    <s v="4+940"/>
    <n v="2.19"/>
    <n v="4"/>
    <s v="L2"/>
    <d v="2015-09-02T00:00:00"/>
    <s v="C.C."/>
    <n v="0.05"/>
    <n v="1.125"/>
    <n v="0.72499999999999998"/>
    <n v="0.1"/>
    <n v="3.5263800000000001"/>
    <n v="3.5"/>
    <n v="0"/>
    <n v="0"/>
    <n v="2"/>
    <n v="1.0162500000000001"/>
    <n v="9"/>
    <n v="9"/>
    <n v="0"/>
    <n v="2"/>
    <n v="0"/>
    <n v="0"/>
    <n v="0"/>
    <n v="0"/>
    <n v="4"/>
    <x v="81"/>
    <m/>
    <m/>
    <m/>
    <m/>
    <m/>
    <m/>
  </r>
  <r>
    <n v="1800"/>
    <s v="แขวงทางหลวงชลบุรีที่ 2"/>
    <n v="428"/>
    <n v="3574"/>
    <n v="100"/>
    <s v="มาบปู - เขาน้อย"/>
    <n v="0"/>
    <n v="14000"/>
    <n v="14"/>
    <n v="2"/>
    <s v="L1"/>
    <d v="2015-08-14T00:00:00"/>
    <s v="A.C."/>
    <n v="8.6"/>
    <n v="3.2"/>
    <n v="1.375"/>
    <n v="0.9"/>
    <n v="2.9029600000000002"/>
    <n v="3"/>
    <n v="9.4499999999999993"/>
    <n v="3.625"/>
    <n v="0.875"/>
    <n v="0.125"/>
    <n v="9.1880699999999997"/>
    <n v="9"/>
    <n v="0"/>
    <n v="0"/>
    <n v="14.075000000000001"/>
    <n v="1.1613599999999999"/>
    <n v="1954.69"/>
    <n v="0"/>
    <n v="3.9891632653061224"/>
    <x v="81"/>
    <n v="0"/>
    <n v="0"/>
    <n v="0"/>
    <n v="0"/>
    <n v="0"/>
    <n v="0"/>
  </r>
  <r>
    <n v="1775"/>
    <s v="แขวงทางหลวงระยอง"/>
    <n v="426"/>
    <n v="3245"/>
    <n v="100"/>
    <s v="อ่างเก็บน้ำหนองปลาไหล - เขาน้อย"/>
    <n v="0"/>
    <n v="16800"/>
    <n v="16.8"/>
    <n v="4"/>
    <s v="L2"/>
    <d v="2015-08-17T00:00:00"/>
    <s v="A.C."/>
    <n v="10.35"/>
    <n v="3.4750000000000001"/>
    <n v="1.625"/>
    <n v="1.4750000000000001"/>
    <n v="2.77867"/>
    <n v="3"/>
    <n v="11.95"/>
    <n v="3.95"/>
    <n v="0.85"/>
    <n v="0.17499999999999999"/>
    <n v="8.8628099999999996"/>
    <n v="9"/>
    <n v="0"/>
    <n v="0"/>
    <n v="16.925000000000001"/>
    <n v="1.25875"/>
    <n v="2295.09"/>
    <n v="52.39"/>
    <n v="3.9477600000000002"/>
    <x v="82"/>
    <n v="16403.900000000001"/>
    <n v="27.8978"/>
    <n v="1701"/>
    <n v="2.8928569999999998"/>
    <n v="256.99"/>
    <n v="0.43706"/>
  </r>
  <r>
    <n v="1432"/>
    <s v="แขวงทางหลวงอุทัยธานี"/>
    <n v="447"/>
    <n v="3590"/>
    <n v="100"/>
    <s v="ท่าซุง - ท่าน้ำมโนรมย์"/>
    <n v="0"/>
    <n v="2012"/>
    <n v="2.012"/>
    <n v="2"/>
    <s v="L2"/>
    <d v="2015-08-01T00:00:00"/>
    <s v="A.C."/>
    <n v="1.2"/>
    <n v="0.32500000000000001"/>
    <n v="0.22500000000000001"/>
    <n v="0.1"/>
    <n v="2.5381100000000001"/>
    <n v="2.5"/>
    <n v="1.85"/>
    <n v="0"/>
    <n v="0"/>
    <n v="0"/>
    <n v="2.3494700000000002"/>
    <n v="2.5"/>
    <n v="0"/>
    <n v="0"/>
    <n v="1.85"/>
    <n v="1.3525499999999999"/>
    <n v="201.22"/>
    <n v="140.25399999999999"/>
    <n v="3.8532661175802327"/>
    <x v="82"/>
    <n v="64.231999999999999"/>
    <n v="0.91212723658051686"/>
    <n v="0"/>
    <n v="0"/>
    <n v="0"/>
    <n v="0"/>
  </r>
  <r>
    <n v="1021"/>
    <s v="แขวงทางหลวงบุรีรัมย์"/>
    <n v="617"/>
    <n v="2073"/>
    <n v="103"/>
    <s v="ลำปลายมาศ - หนองโดนน้อย"/>
    <n v="45842"/>
    <n v="60189"/>
    <n v="14.347"/>
    <n v="2"/>
    <s v="L1"/>
    <d v="2015-05-06T00:00:00"/>
    <s v="A.C."/>
    <n v="6.15"/>
    <n v="4.0999999999999996"/>
    <n v="1.85"/>
    <n v="2.2000000000000002"/>
    <n v="3.8788200000000002"/>
    <n v="4"/>
    <n v="13.55"/>
    <n v="0.65"/>
    <n v="0.1"/>
    <n v="0"/>
    <n v="5.2787100000000002"/>
    <n v="5.5"/>
    <n v="0"/>
    <n v="0"/>
    <n v="14.3"/>
    <n v="1.29714"/>
    <n v="1902.72"/>
    <n v="43.71"/>
    <n v="3.8327076840354879"/>
    <x v="83"/>
    <n v="1833.46"/>
    <n v="3.6512561112825979"/>
    <n v="381.8"/>
    <n v="0.7603381493393343"/>
    <n v="0"/>
    <n v="0"/>
  </r>
  <r>
    <n v="225"/>
    <s v="แขวงทางหลวงน่านที่ 1"/>
    <n v="536"/>
    <n v="1243"/>
    <n v="202"/>
    <s v="หาดไร่ - นาเซีย"/>
    <n v="111433"/>
    <n v="96433"/>
    <n v="15"/>
    <n v="2"/>
    <s v="R1"/>
    <d v="2015-08-04T00:00:00"/>
    <s v="A.C."/>
    <n v="2.46"/>
    <n v="4.46"/>
    <n v="4.34"/>
    <n v="3.74"/>
    <n v="3.8423500000000002"/>
    <n v="4"/>
    <n v="5"/>
    <n v="2.36"/>
    <n v="1.28"/>
    <n v="6.37"/>
    <n v="21.466699999999999"/>
    <n v="21.5"/>
    <n v="0"/>
    <n v="0"/>
    <n v="15"/>
    <n v="1.31599"/>
    <n v="1900"/>
    <n v="200.43"/>
    <n v="3.8099333333333334"/>
    <x v="83"/>
    <n v="6805"/>
    <n v="12.96190476190476"/>
    <n v="1237"/>
    <n v="2.3561904761904762"/>
    <n v="545"/>
    <n v="1.0380952380952382"/>
  </r>
  <r>
    <n v="1797"/>
    <s v="แขวงทางหลวงชลบุรีที่ 2"/>
    <n v="428"/>
    <n v="3245"/>
    <n v="200"/>
    <s v="เขาน้อย - หนองเสือช้าง"/>
    <n v="16800"/>
    <n v="34000"/>
    <n v="17.2"/>
    <n v="4"/>
    <s v="R2"/>
    <d v="2015-08-14T00:00:00"/>
    <s v="A.C."/>
    <n v="7.2750000000000004"/>
    <n v="3.4750000000000001"/>
    <n v="3"/>
    <n v="3.15"/>
    <n v="2.8768199999999999"/>
    <n v="3"/>
    <n v="14.85"/>
    <n v="1.9"/>
    <n v="0.125"/>
    <n v="2.5000000000000001E-2"/>
    <n v="7.1070099999999998"/>
    <n v="7"/>
    <n v="0"/>
    <n v="0"/>
    <n v="16.899999999999999"/>
    <n v="1.4752099999999999"/>
    <n v="2275.98"/>
    <n v="0"/>
    <n v="3.7806976744186054"/>
    <x v="83"/>
    <n v="7.14"/>
    <n v="1.1860465116279072E-2"/>
    <n v="200"/>
    <n v="0.33222591362126253"/>
    <n v="2.2999999999999998"/>
    <n v="3.8205980066445188E-3"/>
  </r>
  <r>
    <n v="2103"/>
    <s v="แขวงทางหลวงกระบี่"/>
    <n v="323"/>
    <n v="4278"/>
    <n v="100"/>
    <s v="ทอนแจ้ - อ่าวตง"/>
    <n v="6000"/>
    <n v="6900"/>
    <n v="0.9"/>
    <n v="2"/>
    <s v="L1"/>
    <d v="2015-04-09T00:00:00"/>
    <s v="A.C."/>
    <n v="0.45"/>
    <n v="0.33"/>
    <n v="0.09"/>
    <n v="0.02"/>
    <n v="2.8557899999999998"/>
    <n v="3"/>
    <n v="0.9"/>
    <n v="0"/>
    <n v="0"/>
    <n v="0"/>
    <n v="2.7531099999999999"/>
    <n v="3"/>
    <n v="0"/>
    <n v="0"/>
    <n v="0.9"/>
    <n v="1.4515"/>
    <n v="96.85"/>
    <n v="41.95"/>
    <n v="3.7404761904761901"/>
    <x v="84"/>
    <n v="79.430000000000007"/>
    <n v="2.5215873015873016"/>
    <n v="0"/>
    <n v="0"/>
    <n v="6.85"/>
    <n v="0.21746031746031746"/>
  </r>
  <r>
    <n v="1028"/>
    <s v="แขวงทางหลวงบุรีรัมย์"/>
    <n v="617"/>
    <n v="2117"/>
    <n v="100"/>
    <s v="ตะโก - เขาพนมรุ้ง"/>
    <s v="0+000"/>
    <s v="11+986"/>
    <n v="11.986000000000001"/>
    <n v="2"/>
    <s v="L1"/>
    <d v="2015-05-07T00:00:00"/>
    <s v="A.C."/>
    <n v="6.8250000000000002"/>
    <n v="2.4750000000000001"/>
    <n v="1.2"/>
    <n v="1.2250000000000001"/>
    <n v="2.8942100000000002"/>
    <n v="3"/>
    <n v="9.7390000000000008"/>
    <n v="2.2469999999999999"/>
    <n v="0"/>
    <n v="0"/>
    <n v="4.1280700000000001"/>
    <n v="4"/>
    <n v="0"/>
    <n v="0"/>
    <n v="11.725"/>
    <n v="1.24312"/>
    <n v="1552.16"/>
    <n v="0"/>
    <n v="3.6999356391981126"/>
    <x v="84"/>
    <n v="26.82"/>
    <n v="6.3931729875330745E-2"/>
    <n v="0"/>
    <n v="0"/>
    <n v="0"/>
    <n v="0"/>
  </r>
  <r>
    <n v="1075"/>
    <s v="แขวงทางหลวงสระแก้ว (วัฒนานคร)"/>
    <n v="619"/>
    <n v="3308"/>
    <n v="100"/>
    <s v="โคกเพร็ก - แสง์"/>
    <s v="7+395"/>
    <s v="0+000"/>
    <n v="7.3949999999999996"/>
    <n v="2"/>
    <s v="R1"/>
    <d v="2015-03-30T00:00:00"/>
    <s v="A.C."/>
    <n v="1.94"/>
    <n v="3.59"/>
    <n v="1.18"/>
    <n v="0.7"/>
    <n v="3.2610000000000001"/>
    <n v="3.5"/>
    <n v="7.27"/>
    <n v="0.1"/>
    <n v="0"/>
    <n v="0.03"/>
    <n v="3.36"/>
    <n v="3.5"/>
    <n v="0"/>
    <n v="0"/>
    <n v="7.4"/>
    <n v="1.272"/>
    <n v="954.21"/>
    <n v="0"/>
    <n v="3.6866995073891626"/>
    <x v="84"/>
    <n v="347.75"/>
    <n v="1.3435719115232301"/>
    <n v="0"/>
    <n v="0"/>
    <n v="2"/>
    <n v="7.7272288225635078E-3"/>
  </r>
  <r>
    <n v="1963"/>
    <s v="แขวงทางหลวงนครศรีธรรมราชที่ 1"/>
    <n v="321"/>
    <n v="4188"/>
    <n v="100"/>
    <s v="ห้วยพาน - น้ำตกกรุงชิง"/>
    <n v="9000"/>
    <n v="0"/>
    <n v="9"/>
    <n v="2"/>
    <s v="R1"/>
    <d v="2015-04-30T00:00:00"/>
    <s v="A.C."/>
    <n v="3.2250000000000001"/>
    <n v="2.5499999999999998"/>
    <n v="2.375"/>
    <n v="1.0249999999999999"/>
    <n v="3.3069799999999998"/>
    <n v="3.5"/>
    <n v="6.9749999999999996"/>
    <n v="0.42499999999999999"/>
    <n v="0.3"/>
    <n v="1.4750000000000001"/>
    <n v="9.6199899999999996"/>
    <n v="9.5"/>
    <n v="0"/>
    <n v="0"/>
    <n v="9.1749999999999989"/>
    <n v="1.4873000000000001"/>
    <n v="1126.18"/>
    <n v="30.14"/>
    <n v="3.623015873015873"/>
    <x v="85"/>
    <n v="45.8"/>
    <n v="0.14539682539682539"/>
    <n v="0"/>
    <n v="3.1064747615882362E-5"/>
    <n v="18"/>
    <n v="5.7142857142857148E-2"/>
  </r>
  <r>
    <n v="2110"/>
    <s v="แขวงทางหลวงภูเก็ต"/>
    <n v="324"/>
    <n v="4020"/>
    <n v="100"/>
    <s v="เมืองภูเก็ต - กะทู้"/>
    <n v="1642"/>
    <n v="0"/>
    <n v="1.6419999999999999"/>
    <n v="3"/>
    <s v="R2"/>
    <d v="2015-05-15T00:00:00"/>
    <s v="A.C."/>
    <n v="0.45"/>
    <n v="0.42499999999999999"/>
    <n v="0.35"/>
    <n v="0.47499999999999998"/>
    <n v="4.2879399999999999"/>
    <n v="4.5"/>
    <n v="1.7"/>
    <n v="0"/>
    <n v="0"/>
    <n v="0"/>
    <n v="3.3044600000000002"/>
    <n v="3.5"/>
    <n v="0"/>
    <n v="0"/>
    <n v="1.7000000000000002"/>
    <n v="1.0709"/>
    <n v="205.67"/>
    <n v="4.2"/>
    <n v="3.6152775361057938"/>
    <x v="85"/>
    <n v="1.45"/>
    <n v="2.5230555072211589E-2"/>
    <n v="0"/>
    <n v="0"/>
    <n v="0"/>
    <n v="0"/>
  </r>
  <r>
    <n v="1684"/>
    <s v="แขวงทางหลวงฉะเชิงเทรา"/>
    <n v="421"/>
    <n v="315"/>
    <n v="100"/>
    <s v="ฉะเชิงเทรา - หัวไผ่"/>
    <n v="10880"/>
    <n v="0"/>
    <n v="10.88"/>
    <n v="6"/>
    <s v="R2"/>
    <d v="2015-08-10T00:00:00"/>
    <s v="A.C."/>
    <n v="1.675"/>
    <n v="3.2"/>
    <n v="2.875"/>
    <n v="3.15"/>
    <n v="4.3558199999999996"/>
    <n v="4.5"/>
    <n v="2.5499999999999998"/>
    <n v="2.2250000000000001"/>
    <n v="1.425"/>
    <n v="4.7"/>
    <n v="22.648"/>
    <n v="22.5"/>
    <n v="0"/>
    <n v="0"/>
    <n v="10.88"/>
    <n v="1.3080099999999999"/>
    <n v="1375.38"/>
    <n v="0"/>
    <n v="3.6118172268907558"/>
    <x v="85"/>
    <n v="227.96"/>
    <n v="0.59863445378151248"/>
    <n v="462"/>
    <n v="1.213235294117647"/>
    <n v="0"/>
    <n v="0"/>
  </r>
  <r>
    <n v="1130"/>
    <s v="แขวงทางหลวงลพบุรีที่ 1"/>
    <n v="431"/>
    <n v="3563"/>
    <n v="100"/>
    <s v="แยกสะพาน 6 - ทางแยกไปบ้านหมี่"/>
    <s v="0+115"/>
    <s v="0+000"/>
    <n v="0.115"/>
    <n v="4"/>
    <s v="R2"/>
    <d v="2015-10-05T00:00:00"/>
    <s v="A.C."/>
    <n v="2.5000000000000001E-2"/>
    <n v="0.05"/>
    <n v="7.4999999999999997E-2"/>
    <n v="0"/>
    <n v="3.3483299999999998"/>
    <n v="3.5"/>
    <n v="0.1"/>
    <n v="0.05"/>
    <n v="0"/>
    <n v="0"/>
    <n v="8.3650000000000002"/>
    <n v="8.5"/>
    <n v="0"/>
    <n v="0"/>
    <n v="0.15000000000000002"/>
    <n v="1.1583300000000001"/>
    <n v="10.68"/>
    <n v="7.61"/>
    <n v="3.5987577639751551"/>
    <x v="85"/>
    <n v="2.3199999999999998"/>
    <n v="0.57639751552795027"/>
    <n v="0"/>
    <n v="0"/>
    <n v="0"/>
    <n v="0"/>
  </r>
  <r>
    <n v="2157"/>
    <s v="แขวงทางหลวงระนอง"/>
    <n v="331"/>
    <n v="4281"/>
    <n v="100"/>
    <s v="ทางเข้าเมืองระนอง"/>
    <n v="0"/>
    <n v="700"/>
    <n v="0.7"/>
    <n v="2"/>
    <s v="L1"/>
    <d v="2015-10-27T00:00:00"/>
    <s v="A.C."/>
    <n v="0.25"/>
    <n v="0.2"/>
    <n v="7.4999999999999997E-2"/>
    <n v="2.5000000000000001E-2"/>
    <n v="2.8618199999999998"/>
    <n v="3"/>
    <n v="0.55000000000000004"/>
    <n v="0"/>
    <n v="0"/>
    <n v="0"/>
    <n v="1.6455900000000001"/>
    <n v="1.5"/>
    <n v="0"/>
    <n v="0"/>
    <n v="0.55000000000000004"/>
    <n v="1.33118"/>
    <n v="81.349999999999994"/>
    <n v="13.24"/>
    <n v="3.5906122448979594"/>
    <x v="85"/>
    <n v="99.37"/>
    <n v="4.0559183673469397"/>
    <n v="0"/>
    <n v="0"/>
    <n v="0"/>
    <n v="0"/>
  </r>
  <r>
    <n v="101"/>
    <s v="แขวงทางหลวงแม่ฮ่องสอน"/>
    <n v="526"/>
    <n v="1340"/>
    <n v="100"/>
    <s v="ทางเข้าแม่ละนา"/>
    <s v="0+000"/>
    <s v="1+231"/>
    <n v="1.2310000000000001"/>
    <n v="2"/>
    <s v="L1"/>
    <d v="2015-08-27T00:00:00"/>
    <s v="A.C."/>
    <n v="0"/>
    <n v="0.03"/>
    <n v="0.08"/>
    <n v="1.1200000000000001"/>
    <n v="7.9293300000000002"/>
    <n v="8"/>
    <n v="0.68"/>
    <n v="0.27"/>
    <n v="0.08"/>
    <n v="0.19"/>
    <n v="10.9244"/>
    <n v="11"/>
    <n v="0"/>
    <n v="0"/>
    <n v="1.23"/>
    <n v="2.0624699999999998"/>
    <n v="147.321"/>
    <n v="14.62"/>
    <n v="3.5889752814204479"/>
    <x v="85"/>
    <n v="18.32"/>
    <n v="0.4252059881629337"/>
    <n v="2.36"/>
    <n v="5.4775443889984912E-2"/>
    <n v="0"/>
    <n v="0"/>
  </r>
  <r>
    <n v="563"/>
    <s v="แขวงทางหลวงเพชรบูรณ์ที่ 1"/>
    <n v="551"/>
    <n v="2302"/>
    <n v="101"/>
    <s v="กอไผ่ - แก้วงอย"/>
    <s v="0+000"/>
    <n v="3320"/>
    <n v="3.2"/>
    <n v="2"/>
    <s v="L1"/>
    <d v="2015-08-08T00:00:00"/>
    <s v="A.C."/>
    <n v="1.93"/>
    <n v="0.88"/>
    <n v="0.23"/>
    <n v="0.18"/>
    <n v="2.7149999999999999"/>
    <n v="2.5"/>
    <n v="3.1"/>
    <n v="0.1"/>
    <n v="0"/>
    <n v="0"/>
    <n v="3.47"/>
    <n v="3.5"/>
    <n v="0"/>
    <n v="0"/>
    <n v="3.2"/>
    <n v="1.2689999999999999"/>
    <n v="395"/>
    <n v="8.34"/>
    <n v="3.5640178571428565"/>
    <x v="85"/>
    <n v="255"/>
    <n v="2.276785714285714"/>
    <n v="0"/>
    <n v="0"/>
    <n v="46"/>
    <n v="0.41071428571428559"/>
  </r>
  <r>
    <n v="1401"/>
    <s v="แขวงทางหลวงชัยนาท"/>
    <n v="446"/>
    <n v="3583"/>
    <n v="100"/>
    <s v="ทางเข้าหันคา"/>
    <n v="365"/>
    <n v="0"/>
    <n v="0.36499999999999999"/>
    <n v="4"/>
    <s v="R2"/>
    <d v="2015-08-04T00:00:00"/>
    <s v="A.C."/>
    <n v="0.19"/>
    <n v="0.05"/>
    <n v="0.05"/>
    <n v="7.0000000000000007E-2"/>
    <n v="6.9206700000000003"/>
    <n v="7"/>
    <n v="0.36"/>
    <n v="0"/>
    <n v="0"/>
    <n v="0"/>
    <n v="3.4398"/>
    <n v="3.5"/>
    <n v="0"/>
    <n v="0"/>
    <n v="0.37"/>
    <n v="1.1603600000000001"/>
    <n v="42.5"/>
    <n v="5.55"/>
    <n v="3.5440313111545994"/>
    <x v="86"/>
    <n v="54.2"/>
    <n v="4.2426614481409013"/>
    <n v="0"/>
    <n v="0"/>
    <n v="1.891"/>
    <n v="0.14802348336594914"/>
  </r>
  <r>
    <n v="304"/>
    <s v="แขวงทางหลวงบึงกาฬ"/>
    <n v="643"/>
    <n v="2094"/>
    <n v="200"/>
    <s v="ท่าก้อน - เซกา"/>
    <s v="81+243"/>
    <s v="63+644"/>
    <n v="17.599"/>
    <n v="2"/>
    <s v="R1"/>
    <d v="2015-06-08T00:00:00"/>
    <s v="A.C."/>
    <n v="10"/>
    <n v="5"/>
    <n v="1.875"/>
    <n v="0.625"/>
    <n v="2.7221099999999998"/>
    <n v="2.5"/>
    <n v="16.45"/>
    <n v="0.92500000000000004"/>
    <n v="0.125"/>
    <n v="0"/>
    <n v="3.5813100000000002"/>
    <n v="3.5"/>
    <n v="0"/>
    <n v="0"/>
    <n v="17.5"/>
    <n v="1.12077"/>
    <n v="738"/>
    <n v="2875"/>
    <n v="3.53186"/>
    <x v="86"/>
    <n v="0"/>
    <n v="0"/>
    <n v="3.53"/>
    <n v="5.731E-3"/>
    <n v="0"/>
    <n v="0"/>
  </r>
  <r>
    <n v="1896"/>
    <s v="แขวงทางหลวงนครปฐม"/>
    <n v="336"/>
    <n v="3231"/>
    <n v="100"/>
    <s v="เด่นมะขาม - บางเลน"/>
    <s v="0+000"/>
    <s v="28+629"/>
    <n v="28.629000000000001"/>
    <n v="2"/>
    <s v="L1"/>
    <d v="2015-03-26T00:00:00"/>
    <s v="A.C."/>
    <n v="16.27"/>
    <n v="5.57"/>
    <n v="3.61"/>
    <n v="3.18"/>
    <n v="2.8639600000000001"/>
    <n v="3"/>
    <n v="24.88"/>
    <n v="2.4300000000000002"/>
    <n v="0.67"/>
    <n v="0.64"/>
    <n v="5.9870799999999997"/>
    <n v="6"/>
    <n v="0"/>
    <n v="0"/>
    <n v="28.63"/>
    <n v="1.1939299999999999"/>
    <n v="3505.31"/>
    <n v="53.3"/>
    <n v="3.5248574123141863"/>
    <x v="86"/>
    <n v="155.96"/>
    <n v="0.15564637255929301"/>
    <n v="597.46"/>
    <n v="0.59625853904382664"/>
    <n v="11.09"/>
    <n v="1.1067698587346495E-2"/>
  </r>
  <r>
    <n v="1424"/>
    <s v="แขวงทางหลวงอุทัยธานี"/>
    <n v="447"/>
    <n v="3438"/>
    <n v="102"/>
    <s v="ดินแดง - ไผ่งาม"/>
    <s v="32+200"/>
    <s v="34+200"/>
    <n v="2"/>
    <n v="2"/>
    <s v="L1"/>
    <d v="2015-07-31T00:00:00"/>
    <s v="A.C."/>
    <n v="0.6"/>
    <n v="0.75"/>
    <n v="0.6"/>
    <n v="0.1"/>
    <n v="3.2711000000000001"/>
    <n v="3.5"/>
    <n v="2.0249999999999999"/>
    <n v="2.5000000000000001E-2"/>
    <n v="0"/>
    <n v="0"/>
    <n v="3.38401"/>
    <n v="3.5"/>
    <n v="0"/>
    <n v="0"/>
    <n v="2.0500000000000003"/>
    <n v="1.37913"/>
    <n v="232.53"/>
    <n v="25.664999999999999"/>
    <n v="3.5051785714285715"/>
    <x v="86"/>
    <n v="44.64"/>
    <n v="0.63771428571428568"/>
    <n v="0"/>
    <n v="0"/>
    <n v="0"/>
    <n v="0"/>
  </r>
  <r>
    <n v="188"/>
    <s v="แขวงทางหลวงเชียงรายที่ 1"/>
    <n v="533"/>
    <n v="1378"/>
    <n v="100"/>
    <s v="สามัคคีใหม่ - ห้วยปู"/>
    <s v="0+000"/>
    <s v="12+925"/>
    <n v="12.925000000000001"/>
    <n v="2"/>
    <s v="L1"/>
    <d v="2015-07-17T00:00:00"/>
    <s v="A.C."/>
    <n v="0.53"/>
    <n v="3.07"/>
    <n v="4.57"/>
    <n v="4.75"/>
    <n v="5.0119999999999996"/>
    <n v="5"/>
    <n v="9.1300000000000008"/>
    <n v="2.42"/>
    <n v="0.75"/>
    <n v="0.63"/>
    <n v="8.7100000000000009"/>
    <n v="8.5"/>
    <n v="0"/>
    <n v="0"/>
    <n v="12.93"/>
    <n v="2.2909999999999999"/>
    <n v="1122.7"/>
    <n v="915"/>
    <n v="3.4931196463111354"/>
    <x v="86"/>
    <n v="0"/>
    <n v="0"/>
    <n v="0"/>
    <n v="0"/>
    <n v="0"/>
    <n v="0"/>
  </r>
  <r>
    <n v="237"/>
    <s v="แขวงทางหลวงเชียงรายที่ 2"/>
    <n v="537"/>
    <n v="1152"/>
    <n v="201"/>
    <s v="บ้านดอน - พญาเม็งราย"/>
    <n v="19000"/>
    <n v="39500"/>
    <n v="20.5"/>
    <n v="2"/>
    <s v="R1"/>
    <d v="2015-07-13T00:00:00"/>
    <s v="A.C."/>
    <n v="11.7"/>
    <n v="5.53"/>
    <n v="2.38"/>
    <n v="0.9"/>
    <n v="2.6645699999999999"/>
    <n v="2.5"/>
    <n v="19.43"/>
    <n v="0.85"/>
    <n v="0.2"/>
    <n v="0.03"/>
    <n v="4.30593"/>
    <n v="4.5"/>
    <n v="0"/>
    <n v="0"/>
    <n v="20.5"/>
    <n v="1.1075299999999999"/>
    <n v="2382"/>
    <n v="6.34"/>
    <n v="3.3242787456445995"/>
    <x v="87"/>
    <n v="398"/>
    <n v="0.55470383275261326"/>
    <n v="77"/>
    <n v="0.10731707317073172"/>
    <n v="9"/>
    <n v="1.2543554006968643E-2"/>
  </r>
  <r>
    <n v="1932"/>
    <s v="แขวงทางหลวงเพชรบุรี"/>
    <n v="338"/>
    <n v="3416"/>
    <n v="100"/>
    <s v="โป่งแย้ - หุบเฉลา"/>
    <n v="0"/>
    <n v="11550"/>
    <n v="11.55"/>
    <n v="2"/>
    <s v="L1"/>
    <d v="2015-04-02T00:00:00"/>
    <s v="A.C."/>
    <n v="9.26"/>
    <n v="1"/>
    <n v="0.45"/>
    <n v="0.85"/>
    <n v="2.1209699999999998"/>
    <n v="2"/>
    <n v="11.33"/>
    <n v="0.17"/>
    <n v="0.02"/>
    <n v="0.02"/>
    <n v="1.4897100000000001"/>
    <n v="1.5"/>
    <n v="0"/>
    <n v="0"/>
    <n v="11.55"/>
    <n v="1.2693700000000001"/>
    <n v="500"/>
    <n v="1620.13"/>
    <n v="3.2407297464440314"/>
    <x v="88"/>
    <n v="2.79"/>
    <n v="6.9016697588126143E-3"/>
    <n v="27"/>
    <n v="6.6790352504638204E-2"/>
    <n v="0"/>
    <n v="0"/>
  </r>
  <r>
    <n v="700"/>
    <s v="แขวงทางหลวงชัยภูมิ"/>
    <n v="626"/>
    <n v="225"/>
    <n v="401"/>
    <s v="น้ำอ้อม - หนองบัวระเหว"/>
    <n v="224582"/>
    <n v="160582"/>
    <n v="64"/>
    <n v="4"/>
    <s v="R1"/>
    <d v="2015-06-19T00:00:00"/>
    <s v="A.C."/>
    <n v="29.175000000000001"/>
    <n v="18.725000000000001"/>
    <n v="9.9"/>
    <n v="5.85"/>
    <n v="2.9153600000000002"/>
    <n v="3"/>
    <n v="56.174999999999997"/>
    <n v="4.2750000000000004"/>
    <n v="2.3250000000000002"/>
    <n v="0.875"/>
    <n v="5.1779799999999998"/>
    <n v="5"/>
    <n v="0"/>
    <n v="2.5000000000000001E-2"/>
    <n v="64.474999999999994"/>
    <n v="1.24089"/>
    <n v="7165.66"/>
    <n v="9.2100000000000009"/>
    <n v="3.2010111607142857"/>
    <x v="88"/>
    <n v="0"/>
    <n v="0"/>
    <n v="1932.99"/>
    <n v="0.86294196428571435"/>
    <n v="0"/>
    <n v="0"/>
  </r>
  <r>
    <n v="748"/>
    <s v="แขวงทางหลวงชัยภูมิ"/>
    <n v="626"/>
    <n v="225"/>
    <n v="401"/>
    <s v="น้ำอ้อม - หนองบัวระเหว"/>
    <n v="224582"/>
    <n v="160582"/>
    <n v="64"/>
    <n v="4"/>
    <s v="R1"/>
    <d v="2015-06-19T00:00:00"/>
    <s v="A.C."/>
    <n v="29.175000000000001"/>
    <n v="18.725000000000001"/>
    <n v="9.9"/>
    <n v="5.85"/>
    <n v="2.9153600000000002"/>
    <n v="3"/>
    <n v="56.174999999999997"/>
    <n v="4.2750000000000004"/>
    <n v="2.3250000000000002"/>
    <n v="0.875"/>
    <n v="5.1779799999999998"/>
    <n v="5"/>
    <n v="0"/>
    <n v="2.5000000000000001E-2"/>
    <n v="64.474999999999994"/>
    <n v="1.24089"/>
    <n v="7165.66"/>
    <n v="9.2100000000000009"/>
    <n v="3.2010111607142857"/>
    <x v="88"/>
    <n v="0"/>
    <n v="0"/>
    <n v="1932.99"/>
    <n v="0.86294196428571435"/>
    <n v="0"/>
    <n v="0"/>
  </r>
  <r>
    <n v="1065"/>
    <s v="แขวงทางหลวงสระแก้ว (วัฒนานคร)"/>
    <n v="619"/>
    <n v="348"/>
    <n v="102"/>
    <s v="แก้วเพชรพลอย - ช่องตะโก"/>
    <s v="80+061"/>
    <s v="45+870"/>
    <n v="34.191000000000003"/>
    <n v="2"/>
    <s v="R1"/>
    <d v="2015-03-30T00:00:00"/>
    <s v="A.C."/>
    <n v="21.68"/>
    <n v="6.89"/>
    <n v="3.25"/>
    <n v="2.38"/>
    <n v="2.6379299999999999"/>
    <n v="2.5"/>
    <n v="33.119999999999997"/>
    <n v="1"/>
    <n v="0.08"/>
    <n v="0"/>
    <n v="4.53118"/>
    <n v="4.5"/>
    <n v="0"/>
    <n v="0"/>
    <n v="34.200000000000003"/>
    <n v="1.2197899999999999"/>
    <n v="3672.89"/>
    <n v="0"/>
    <n v="3.0692203879884845"/>
    <x v="89"/>
    <n v="1612.82"/>
    <n v="1.3477397978582499"/>
    <n v="0"/>
    <n v="0"/>
    <n v="0"/>
    <n v="0"/>
  </r>
  <r>
    <n v="1369"/>
    <s v="แขวงทางหลวงสุพรรณบุรีที่ 2 (อู่ทอง)"/>
    <n v="445"/>
    <n v="3356"/>
    <n v="100"/>
    <s v="ทุ่งคอก - พระแท่นดงรัง"/>
    <n v="0"/>
    <n v="24056"/>
    <n v="24.056000000000001"/>
    <n v="2"/>
    <s v="L1"/>
    <d v="2015-07-03T00:00:00"/>
    <s v="A.C."/>
    <n v="12.3"/>
    <n v="7.9"/>
    <n v="2.95"/>
    <n v="0.72499999999999998"/>
    <n v="2.6236899999999999"/>
    <n v="2.5"/>
    <n v="21.274999999999999"/>
    <n v="1.8"/>
    <n v="0.52500000000000002"/>
    <n v="0.27500000000000002"/>
    <n v="5.0508899999999999"/>
    <n v="5"/>
    <n v="0"/>
    <n v="0"/>
    <n v="23.875000000000004"/>
    <n v="1.0365599999999999"/>
    <n v="2584"/>
    <n v="0"/>
    <n v="3.0690294075728062"/>
    <x v="89"/>
    <n v="0"/>
    <n v="0"/>
    <n v="0"/>
    <n v="0"/>
    <n v="0"/>
    <n v="0"/>
  </r>
  <r>
    <n v="437"/>
    <s v="แขวงทางหลวงสุโขทัย"/>
    <n v="513"/>
    <n v="1187"/>
    <n v="100"/>
    <s v="ศรีสัชนาลัย - ข้ามแม่น้ำยม"/>
    <s v="0+000"/>
    <s v="0+568"/>
    <n v="0.56799999999999995"/>
    <s v="L1"/>
    <n v="2"/>
    <d v="2015-09-16T00:00:00"/>
    <s v="A.C."/>
    <n v="0"/>
    <n v="0.2"/>
    <n v="0.17"/>
    <n v="0.2"/>
    <n v="6.6704299999999996"/>
    <n v="6.5"/>
    <n v="0.56999999999999995"/>
    <n v="0"/>
    <n v="0"/>
    <n v="0"/>
    <n v="1.79352"/>
    <n v="2"/>
    <n v="0"/>
    <n v="0"/>
    <n v="0.56999999999999995"/>
    <n v="1.1112599999999999"/>
    <n v="55.24"/>
    <n v="11.12"/>
    <n v="3.0583501006036222"/>
    <x v="89"/>
    <n v="86.54"/>
    <n v="4.3531187122736421"/>
    <n v="4"/>
    <n v="0.2012072434607646"/>
    <n v="0"/>
    <n v="0"/>
  </r>
  <r>
    <n v="1069"/>
    <s v="แขวงทางหลวงสระแก้ว (วัฒนานคร)"/>
    <n v="619"/>
    <n v="359"/>
    <n v="102"/>
    <s v="สระขวัญ - เขามะกา"/>
    <n v="10396"/>
    <n v="26793"/>
    <n v="16.396999999999998"/>
    <n v="4"/>
    <s v="R2"/>
    <d v="2015-03-31T00:00:00"/>
    <s v="A.C."/>
    <n v="12"/>
    <n v="2.96"/>
    <n v="1.03"/>
    <n v="0.42"/>
    <n v="2.3813599999999999"/>
    <n v="2.5"/>
    <n v="15.64"/>
    <n v="0.66"/>
    <n v="0.1"/>
    <n v="0"/>
    <n v="5.6247600000000002"/>
    <n v="5.5"/>
    <n v="0"/>
    <n v="0"/>
    <n v="16.399999999999999"/>
    <n v="1.36073"/>
    <n v="1747.48"/>
    <n v="0"/>
    <n v="3.0449472464475211"/>
    <x v="90"/>
    <n v="83.38"/>
    <n v="0.14528790109689055"/>
    <n v="0"/>
    <n v="0"/>
    <n v="0"/>
    <n v="0"/>
  </r>
  <r>
    <n v="975"/>
    <s v="แขวงทางหลวงนครราชสีมาที่ 2"/>
    <n v="612"/>
    <n v="2243"/>
    <n v="200"/>
    <s v="อีเหลอ - ปากช่อง"/>
    <n v="61000"/>
    <n v="72138"/>
    <n v="11.138"/>
    <n v="2"/>
    <s v="L1"/>
    <d v="2015-04-23T00:00:00"/>
    <s v="A.C."/>
    <n v="9.7249999999999996"/>
    <n v="1"/>
    <n v="0.27500000000000002"/>
    <n v="7.4999999999999997E-2"/>
    <n v="1.63429"/>
    <n v="1.5"/>
    <n v="11.074999999999999"/>
    <n v="0"/>
    <n v="0"/>
    <n v="0"/>
    <n v="4.1472899999999999"/>
    <n v="4"/>
    <n v="0"/>
    <n v="0"/>
    <n v="11.074999999999999"/>
    <n v="1.0806199999999999"/>
    <n v="1184.93"/>
    <n v="0"/>
    <n v="3.0396100000000001"/>
    <x v="90"/>
    <n v="0"/>
    <n v="0"/>
    <n v="0"/>
    <n v="0"/>
    <n v="1"/>
    <n v="2.5699999999999998E-3"/>
  </r>
  <r>
    <n v="1773"/>
    <s v="แขวงทางหลวงระยอง"/>
    <n v="426"/>
    <n v="3191"/>
    <n v="102"/>
    <s v="แยกนิคมพัฒนา - อ่างเก็บน้ำหนองปลาไหล"/>
    <n v="13600"/>
    <n v="25545"/>
    <n v="11.945"/>
    <n v="4"/>
    <s v="L2"/>
    <d v="2015-08-17T00:00:00"/>
    <s v="A.C."/>
    <n v="5.4"/>
    <n v="4.1500000000000004"/>
    <n v="1.7749999999999999"/>
    <n v="0.7"/>
    <n v="2.9723099999999998"/>
    <n v="3"/>
    <n v="10.199999999999999"/>
    <n v="1.65"/>
    <n v="0.1"/>
    <n v="7.4999999999999997E-2"/>
    <n v="6.8276199999999996"/>
    <n v="7"/>
    <n v="0"/>
    <n v="0"/>
    <n v="12.024999999999999"/>
    <n v="1.3114399999999999"/>
    <n v="1243.78"/>
    <n v="40.86"/>
    <n v="3.0238800000000001"/>
    <x v="90"/>
    <n v="37.159999999999997"/>
    <n v="8.8880000000000001E-2"/>
    <n v="2253"/>
    <n v="5.3889849999999999"/>
    <n v="207.38"/>
    <n v="0.49603999999999998"/>
  </r>
  <r>
    <n v="203"/>
    <s v="แขวงทางหลวงพะเยา"/>
    <n v="535"/>
    <n v="1148"/>
    <n v="200"/>
    <s v="สบทุ - บ้านหย่วน"/>
    <n v="113079"/>
    <n v="98495"/>
    <n v="14.584"/>
    <n v="2"/>
    <s v="R1"/>
    <d v="2015-07-24T00:00:00"/>
    <s v="A.C."/>
    <n v="8.64"/>
    <n v="2.5499999999999998"/>
    <n v="2.2999999999999998"/>
    <n v="1.1000000000000001"/>
    <n v="2.90517"/>
    <n v="3"/>
    <n v="14.06"/>
    <n v="0.35"/>
    <n v="0.18"/>
    <n v="0"/>
    <n v="3.9901800000000001"/>
    <n v="4"/>
    <n v="0"/>
    <n v="0"/>
    <n v="14.58"/>
    <n v="1.3144"/>
    <n v="0"/>
    <n v="3081.58"/>
    <n v="3.0185526212679257"/>
    <x v="90"/>
    <n v="6"/>
    <n v="1.1754564689287674E-2"/>
    <n v="0"/>
    <n v="0"/>
    <n v="0"/>
    <n v="0"/>
  </r>
  <r>
    <n v="1776"/>
    <s v="แขวงทางหลวงระยอง"/>
    <n v="426"/>
    <n v="3245"/>
    <n v="100"/>
    <s v="อ่างเก็บน้ำหนองปลาไหล - เขาน้อย"/>
    <n v="16800"/>
    <n v="0"/>
    <n v="16.8"/>
    <n v="4"/>
    <s v="R2"/>
    <d v="2015-08-17T00:00:00"/>
    <s v="A.C."/>
    <n v="8.8000000000000007"/>
    <n v="4.5999999999999996"/>
    <n v="2.0750000000000002"/>
    <n v="1.25"/>
    <n v="2.8448000000000002"/>
    <n v="3"/>
    <n v="11.65"/>
    <n v="4.1500000000000004"/>
    <n v="0.75"/>
    <n v="0.17499999999999999"/>
    <n v="8.7875599999999991"/>
    <n v="9"/>
    <n v="0"/>
    <n v="0"/>
    <n v="16.725000000000001"/>
    <n v="1.3169299999999999"/>
    <n v="1739.72"/>
    <n v="54.38"/>
    <n v="3.00495"/>
    <x v="90"/>
    <n v="15246.5"/>
    <n v="25.929400000000001"/>
    <n v="2187"/>
    <n v="3.7193879999999999"/>
    <n v="149.94999999999999"/>
    <n v="0.25502000000000002"/>
  </r>
  <r>
    <n v="2230"/>
    <s v="แขวงทางหลวงสงขลาที่ 2"/>
    <n v="319"/>
    <n v="430"/>
    <n v="201"/>
    <s v="นาหม่อม - จะนะ"/>
    <n v="42939"/>
    <n v="7206"/>
    <n v="35.732999999999997"/>
    <n v="4"/>
    <s v="R2"/>
    <d v="2015-05-25T00:00:00"/>
    <s v="A.C."/>
    <n v="19.350000000000001"/>
    <n v="8.0749999999999993"/>
    <n v="4.9000000000000004"/>
    <n v="3.5"/>
    <n v="2.83725"/>
    <n v="3"/>
    <n v="32.975000000000001"/>
    <n v="2.0750000000000002"/>
    <n v="0.6"/>
    <n v="0.17499999999999999"/>
    <n v="4.9507700000000003"/>
    <n v="5"/>
    <n v="0"/>
    <n v="0"/>
    <n v="35.825000000000003"/>
    <n v="1.58606"/>
    <n v="3723.54"/>
    <n v="20.399999999999999"/>
    <n v="2.9854276359187786"/>
    <x v="90"/>
    <n v="0"/>
    <n v="0"/>
    <n v="26.12"/>
    <n v="2.0885056230535201E-2"/>
    <n v="0"/>
    <n v="0"/>
  </r>
  <r>
    <n v="460"/>
    <s v="แขวงทางหลวงพิษณุโลกที่ 2 (วังทอง)"/>
    <n v="515"/>
    <n v="126"/>
    <n v="100"/>
    <s v="ถนนวงแหวนรอบเมืองพิษณุโลกด้านทิศใต้"/>
    <s v="30+203"/>
    <s v="29+203"/>
    <n v="1"/>
    <s v="R2"/>
    <n v="2"/>
    <d v="2015-09-22T00:00:00"/>
    <s v="A.C."/>
    <n v="0.67500000000000004"/>
    <n v="0.2"/>
    <n v="0.125"/>
    <n v="0"/>
    <n v="2.0825"/>
    <n v="2"/>
    <n v="1"/>
    <n v="0"/>
    <n v="0"/>
    <n v="0"/>
    <n v="1.18588"/>
    <n v="1"/>
    <n v="0"/>
    <n v="0"/>
    <n v="1"/>
    <n v="1.0675699999999999"/>
    <n v="95.156000000000006"/>
    <n v="18.45"/>
    <n v="2.9823142857142857"/>
    <x v="90"/>
    <n v="94.67"/>
    <n v="2.7048571428571431"/>
    <n v="0"/>
    <n v="0"/>
    <n v="0"/>
    <n v="0"/>
  </r>
  <r>
    <n v="2109"/>
    <s v="แขวงทางหลวงภูเก็ต"/>
    <n v="324"/>
    <n v="4020"/>
    <n v="100"/>
    <s v="เมืองภูเก็ต - กะทู้"/>
    <n v="0"/>
    <n v="1642"/>
    <n v="1.6419999999999999"/>
    <n v="3"/>
    <s v="L2"/>
    <d v="2015-05-15T00:00:00"/>
    <s v="A.C."/>
    <n v="0.6"/>
    <n v="0.375"/>
    <n v="0.32500000000000001"/>
    <n v="0.35"/>
    <n v="3.94773"/>
    <n v="4"/>
    <n v="1.625"/>
    <n v="2.5000000000000001E-2"/>
    <n v="0"/>
    <n v="0"/>
    <n v="3.6662400000000002"/>
    <n v="3.5"/>
    <n v="0"/>
    <n v="0"/>
    <n v="1.65"/>
    <n v="1.06552"/>
    <n v="163.22"/>
    <n v="15.96"/>
    <n v="2.9789455368018096"/>
    <x v="90"/>
    <n v="2.1"/>
    <n v="3.6540803897685749E-2"/>
    <n v="1.9"/>
    <n v="3.3060727336001391E-2"/>
    <n v="1.2"/>
    <n v="2.0880459370106141E-2"/>
  </r>
  <r>
    <n v="1498"/>
    <s v="แขวงทางหลวงกรุงเทพ"/>
    <n v="411"/>
    <n v="3902"/>
    <n v="602"/>
    <s v="คู้บอน - ประเวศ"/>
    <s v="62+500"/>
    <s v="55+599"/>
    <n v="6.9009999999999998"/>
    <n v="2"/>
    <s v="R1"/>
    <d v="2015-09-01T00:00:00"/>
    <s v="A.C."/>
    <n v="2.2749999999999999"/>
    <n v="1.8"/>
    <n v="1.35"/>
    <n v="1.4750000000000001"/>
    <n v="3.6850000000000001"/>
    <n v="3.5"/>
    <n v="6.625"/>
    <n v="0.25"/>
    <n v="2.5000000000000001E-2"/>
    <n v="0"/>
    <n v="5.0780000000000003"/>
    <n v="5"/>
    <n v="0"/>
    <n v="0"/>
    <n v="6.9"/>
    <n v="1.363"/>
    <n v="676"/>
    <n v="86.71"/>
    <n v="2.9782640197072889"/>
    <x v="90"/>
    <n v="3559"/>
    <n v="14.734924545096984"/>
    <n v="397.1"/>
    <n v="1.6440681474734511"/>
    <n v="54"/>
    <n v="0.22357008301074377"/>
  </r>
  <r>
    <n v="272"/>
    <s v="แขวงทางหลวงสกลนครที่ 1"/>
    <n v="641"/>
    <n v="223"/>
    <n v="100"/>
    <s v="สกลนคร - นาแก"/>
    <n v="0"/>
    <n v="42807"/>
    <n v="42.807000000000002"/>
    <n v="2"/>
    <s v="L1"/>
    <d v="2015-06-04T00:00:00"/>
    <s v="A.C."/>
    <n v="31.375"/>
    <n v="8.4"/>
    <n v="2.125"/>
    <n v="0.95"/>
    <n v="2.3203100000000001"/>
    <n v="2.5"/>
    <n v="40.825000000000003"/>
    <n v="1.6"/>
    <n v="0.32500000000000001"/>
    <n v="0.1"/>
    <n v="4.5830000000000002"/>
    <n v="4.5"/>
    <n v="0"/>
    <n v="0"/>
    <n v="42.850000000000009"/>
    <n v="1.2504900000000001"/>
    <n v="4388"/>
    <n v="137"/>
    <n v="2.9744801417658659"/>
    <x v="90"/>
    <n v="0"/>
    <n v="0"/>
    <n v="689.46"/>
    <n v="0"/>
    <n v="0"/>
    <n v="0"/>
  </r>
  <r>
    <n v="1738"/>
    <s v="แขวงทางหลวงจันทบุรี"/>
    <n v="423"/>
    <n v="3210"/>
    <n v="100"/>
    <s v="พังงอน - จางวาง"/>
    <n v="14518"/>
    <n v="0"/>
    <n v="14.518000000000001"/>
    <n v="2"/>
    <s v="R1"/>
    <d v="2015-08-18T00:00:00"/>
    <s v="A.C."/>
    <n v="6.6"/>
    <n v="3.9"/>
    <n v="2.5249999999999999"/>
    <n v="1.4750000000000001"/>
    <n v="3.0503300000000002"/>
    <n v="3"/>
    <n v="13.074999999999999"/>
    <n v="1.1000000000000001"/>
    <n v="0.27500000000000002"/>
    <n v="0.05"/>
    <n v="5.2534099999999997"/>
    <n v="5.5"/>
    <n v="0"/>
    <n v="0"/>
    <n v="14.518000000000001"/>
    <n v="1.21716"/>
    <n v="1115.68"/>
    <n v="785.91"/>
    <n v="2.9689899999999998"/>
    <x v="90"/>
    <n v="0"/>
    <n v="0"/>
    <n v="1406"/>
    <n v="2.7670084427213508"/>
    <n v="346.19"/>
    <n v="0.68130000000000002"/>
  </r>
  <r>
    <n v="1683"/>
    <s v="แขวงทางหลวงฉะเชิงเทรา"/>
    <n v="421"/>
    <n v="315"/>
    <n v="100"/>
    <s v="ฉะเชิงเทรา - หัวไผ่"/>
    <n v="0"/>
    <n v="10880"/>
    <n v="10.88"/>
    <n v="6"/>
    <s v="L2"/>
    <d v="2015-08-10T00:00:00"/>
    <s v="A.C."/>
    <n v="3.0750000000000002"/>
    <n v="2.5499999999999998"/>
    <n v="2.125"/>
    <n v="3.15"/>
    <n v="4.1990999999999996"/>
    <n v="4"/>
    <n v="4.7"/>
    <n v="2.0249999999999999"/>
    <n v="1.2250000000000001"/>
    <n v="2.95"/>
    <n v="14.9702"/>
    <n v="15"/>
    <n v="0"/>
    <n v="0"/>
    <n v="10.88"/>
    <n v="1.28931"/>
    <n v="1129.77"/>
    <n v="0"/>
    <n v="2.9668329831932767"/>
    <x v="90"/>
    <n v="76.12"/>
    <n v="0.19989495798319323"/>
    <n v="563"/>
    <n v="1.4784663865546217"/>
    <n v="0"/>
    <n v="0"/>
  </r>
  <r>
    <n v="167"/>
    <s v="แขวงทางหลวงเชียงรายที่ 1"/>
    <n v="533"/>
    <n v="118"/>
    <n v="201"/>
    <s v="ดอยนางแก้ว - แม่สรวย"/>
    <s v="52+750"/>
    <s v="113+000"/>
    <n v="60.25"/>
    <n v="4"/>
    <s v="L1"/>
    <d v="2015-07-21T00:00:00"/>
    <s v="A.C."/>
    <n v="38.89"/>
    <n v="14.68"/>
    <n v="4.88"/>
    <n v="1.8"/>
    <n v="2.6414200000000001"/>
    <n v="2.5"/>
    <n v="52.72"/>
    <n v="6.08"/>
    <n v="1.25"/>
    <n v="0.2"/>
    <n v="6.5142800000000003"/>
    <n v="6.5"/>
    <n v="0.05"/>
    <n v="0.1"/>
    <n v="60.1"/>
    <n v="1.18391"/>
    <n v="5960"/>
    <n v="499.76"/>
    <n v="2.9448156490812094"/>
    <x v="91"/>
    <n v="953"/>
    <n v="0.4519264967397747"/>
    <n v="208"/>
    <n v="9.8636633076467112E-2"/>
    <n v="2960"/>
    <n v="1.4036751630112625"/>
  </r>
  <r>
    <n v="2137"/>
    <s v="แขวงทางหลวงภูเก็ต"/>
    <n v="324"/>
    <n v="4304"/>
    <n v="100"/>
    <s v="ท่านุ่น - สามแยกสะพานสารสิน"/>
    <n v="0"/>
    <n v="2171"/>
    <n v="2.1709999999999998"/>
    <n v="4"/>
    <s v="R1"/>
    <d v="2015-05-15T00:00:00"/>
    <s v="A.C."/>
    <n v="0.1"/>
    <n v="0.125"/>
    <n v="0.125"/>
    <n v="1.825"/>
    <n v="7.9742699999999997"/>
    <n v="8"/>
    <n v="1.6"/>
    <n v="0.57499999999999996"/>
    <n v="0"/>
    <n v="0"/>
    <n v="8.2112700000000007"/>
    <n v="8"/>
    <n v="0"/>
    <n v="0"/>
    <n v="2.1749999999999998"/>
    <n v="3.00163"/>
    <n v="219.3"/>
    <n v="0"/>
    <n v="2.8860959399881558"/>
    <x v="91"/>
    <n v="26.33"/>
    <n v="0.34651575968941234"/>
    <n v="2.85"/>
    <n v="3.7507402776863853E-2"/>
    <n v="0"/>
    <n v="0"/>
  </r>
  <r>
    <n v="62"/>
    <s v="แขวงทางหลวงลำปางที่ 1"/>
    <n v="523"/>
    <n v="1393"/>
    <n v="100"/>
    <s v="บ้านจว๊าก - แม่ทะ"/>
    <s v="1+513"/>
    <s v="0+000"/>
    <n v="1.5129999999999999"/>
    <n v="3"/>
    <s v="R1"/>
    <d v="2015-08-06T00:00:00"/>
    <s v="A.C."/>
    <n v="0.7"/>
    <n v="0.95"/>
    <n v="0.67500000000000004"/>
    <n v="0.625"/>
    <n v="3.6760199999999998"/>
    <n v="3.5"/>
    <n v="2.2000000000000002"/>
    <n v="0.55000000000000004"/>
    <n v="0.2"/>
    <n v="0"/>
    <n v="7.2668699999999999"/>
    <n v="7.5"/>
    <n v="0"/>
    <n v="0"/>
    <n v="1.5129999999999999"/>
    <n v="1.16334"/>
    <n v="152.36000000000001"/>
    <n v="0"/>
    <n v="2.8771598527051272"/>
    <x v="91"/>
    <n v="0"/>
    <n v="0"/>
    <n v="0"/>
    <n v="0"/>
    <n v="0"/>
    <n v="0"/>
  </r>
  <r>
    <n v="1298"/>
    <s v="แขวงทางหลวงสุพรรณบุรีที่ 1"/>
    <n v="441"/>
    <n v="3557"/>
    <n v="100"/>
    <s v="ทางเข้าสุพรรณบุรี"/>
    <n v="0"/>
    <n v="726"/>
    <n v="0.72599999999999998"/>
    <n v="4"/>
    <s v="L2"/>
    <d v="2015-07-02T00:00:00"/>
    <s v="A.C."/>
    <n v="0.6701538461538461"/>
    <n v="5.5846153846153851E-2"/>
    <n v="0"/>
    <n v="0"/>
    <n v="1.98654"/>
    <n v="2"/>
    <n v="0.72599999999999998"/>
    <n v="0"/>
    <n v="0"/>
    <n v="0"/>
    <n v="2.4887700000000001"/>
    <n v="2.5"/>
    <n v="0"/>
    <n v="0"/>
    <n v="0.65"/>
    <n v="1.0184200000000001"/>
    <n v="64.3"/>
    <n v="16.3"/>
    <n v="2.8512396694214877"/>
    <x v="91"/>
    <n v="54.3"/>
    <n v="2.1369539551357732"/>
    <n v="0"/>
    <n v="0"/>
    <n v="0"/>
    <n v="0"/>
  </r>
  <r>
    <n v="2070"/>
    <s v="แขวงทางหลวงสุราษฎร์ธานีที่ 3 (เวียงสระ)"/>
    <n v="329"/>
    <n v="415"/>
    <n v="200"/>
    <s v="บางคราม - พนม"/>
    <n v="48161"/>
    <n v="21381"/>
    <n v="26.78"/>
    <n v="4"/>
    <s v="R2"/>
    <d v="2015-04-27T00:00:00"/>
    <s v="A.C."/>
    <n v="15.125"/>
    <n v="6.125"/>
    <n v="4.1500000000000004"/>
    <n v="1.2749999999999999"/>
    <n v="2.6231300000000002"/>
    <n v="2.5"/>
    <n v="25.375"/>
    <n v="0.9"/>
    <n v="0.3"/>
    <n v="0.1"/>
    <n v="4.1655300000000004"/>
    <n v="4"/>
    <n v="0"/>
    <n v="0"/>
    <n v="26.674999999999997"/>
    <n v="1.3693299999999999"/>
    <n v="2611.4899999999998"/>
    <n v="80.66"/>
    <n v="2.8292115651338947"/>
    <x v="92"/>
    <n v="121.74"/>
    <n v="0.12988370852448522"/>
    <n v="68.400000000000006"/>
    <n v="7.2975568121199194E-2"/>
    <n v="0"/>
    <n v="0"/>
  </r>
  <r>
    <n v="224"/>
    <s v="แขวงทางหลวงน่านที่ 1"/>
    <n v="536"/>
    <n v="1243"/>
    <n v="201"/>
    <s v="ห้วยไผ่ - หาดไร่"/>
    <s v="96+433"/>
    <s v="49+708"/>
    <n v="46.725000000000001"/>
    <n v="2"/>
    <s v="R1"/>
    <d v="2015-08-04T00:00:00"/>
    <s v="A.C."/>
    <n v="5.86"/>
    <n v="10.73"/>
    <n v="12.65"/>
    <n v="17.489999999999998"/>
    <n v="3.9992299999999998"/>
    <n v="4"/>
    <n v="15.83"/>
    <n v="6.96"/>
    <n v="4.47"/>
    <n v="19.47"/>
    <n v="21.088799999999999"/>
    <n v="21"/>
    <n v="0"/>
    <n v="7.0000000000000007E-2"/>
    <n v="46.66"/>
    <n v="1.5954200000000001"/>
    <n v="4471"/>
    <n v="261.20999999999998"/>
    <n v="2.813791943743789"/>
    <x v="92"/>
    <n v="5145"/>
    <n v="3.1460674157303372"/>
    <n v="5198"/>
    <n v="3.1784758847359167"/>
    <n v="139"/>
    <n v="8.4995796071237487E-2"/>
  </r>
  <r>
    <n v="1502"/>
    <s v="แขวงทางหลวงอยุธยา"/>
    <n v="413"/>
    <n v="309"/>
    <n v="101"/>
    <s v="วังน้อย - ทางแยกต่างระดับอยุธยา"/>
    <s v="11+600"/>
    <s v="0+000"/>
    <n v="11.6"/>
    <n v="4"/>
    <s v="R2"/>
    <d v="2015-09-19T00:00:00"/>
    <s v="A.C."/>
    <n v="6.1749999999999998"/>
    <n v="2.6749999999999998"/>
    <n v="1.7"/>
    <n v="1.0249999999999999"/>
    <n v="2.5158"/>
    <n v="2.5"/>
    <n v="6.8250000000000002"/>
    <n v="2.375"/>
    <n v="1.5249999999999999"/>
    <n v="0.85"/>
    <n v="8.5688999999999993"/>
    <n v="8.5"/>
    <n v="0"/>
    <n v="0"/>
    <n v="11.6"/>
    <n v="1.1004499999999999"/>
    <n v="1101"/>
    <n v="81.12"/>
    <n v="2.8117241379310345"/>
    <x v="92"/>
    <n v="642"/>
    <n v="1.5812807881773399"/>
    <n v="167.89"/>
    <n v="0.41352216748768467"/>
    <n v="170"/>
    <n v="0.41871921182266003"/>
  </r>
  <r>
    <n v="171"/>
    <s v="แขวงทางหลวงเชียงรายที่ 1"/>
    <n v="533"/>
    <n v="1016"/>
    <n v="100"/>
    <s v="แม่จัน - กิ่วพร้าว"/>
    <n v="100"/>
    <s v="10+000"/>
    <n v="9.9"/>
    <n v="4"/>
    <s v="L2"/>
    <d v="2015-07-16T00:00:00"/>
    <s v="A.C."/>
    <n v="5.66"/>
    <n v="2.66"/>
    <n v="1.3"/>
    <n v="0.28000000000000003"/>
    <n v="2.3618000000000001"/>
    <n v="2.5"/>
    <n v="6.98"/>
    <n v="2.5299999999999998"/>
    <n v="0.39"/>
    <n v="0"/>
    <n v="8.3744599999999991"/>
    <n v="8.5"/>
    <n v="0"/>
    <n v="0"/>
    <n v="9.9"/>
    <n v="1.19251"/>
    <n v="962"/>
    <n v="23.01"/>
    <n v="2.8095382395382398"/>
    <x v="92"/>
    <n v="0"/>
    <n v="0"/>
    <n v="358"/>
    <n v="1.0331890331890332"/>
    <n v="38"/>
    <n v="0.10966810966810966"/>
  </r>
  <r>
    <n v="10"/>
    <s v="แขวงทางหลวงเชียงใหม่ที่ 1"/>
    <n v="521"/>
    <n v="1010"/>
    <n v="100"/>
    <s v="ปากทางท่าลี่  -  ร้องธาร"/>
    <n v="0"/>
    <n v="2140"/>
    <n v="2.14"/>
    <n v="2"/>
    <s v="L1"/>
    <d v="2015-08-15T00:00:00"/>
    <s v="A.C."/>
    <n v="1.5249999999999999"/>
    <n v="0.5"/>
    <n v="7.4999999999999997E-2"/>
    <n v="0.05"/>
    <n v="2.2637200000000002"/>
    <n v="2.5"/>
    <n v="2.15"/>
    <n v="0"/>
    <n v="0"/>
    <n v="0"/>
    <n v="1.0586199999999999"/>
    <n v="1"/>
    <n v="0"/>
    <n v="0"/>
    <n v="2.15"/>
    <n v="1.0601"/>
    <n v="197.36"/>
    <n v="24.63"/>
    <n v="2.7993991989319094"/>
    <x v="92"/>
    <n v="14.62"/>
    <n v="0.19519359145527368"/>
    <n v="1"/>
    <n v="1.335113484646195E-2"/>
    <n v="0"/>
    <n v="0"/>
  </r>
  <r>
    <n v="459"/>
    <s v="แขวงทางหลวงพิษณุโลกที่ 2 (วังทอง)"/>
    <n v="515"/>
    <n v="126"/>
    <n v="100"/>
    <s v="ถนนวงแหวนรอบเมืองพิษณุโลกด้านทิศใต้"/>
    <s v="29+203"/>
    <s v="30+203"/>
    <n v="1"/>
    <s v="L2"/>
    <n v="2"/>
    <d v="2015-09-22T00:00:00"/>
    <s v="A.C."/>
    <n v="0.57499999999999996"/>
    <n v="0.22500000000000001"/>
    <n v="0.125"/>
    <n v="0.08"/>
    <n v="4.3872499999999999"/>
    <n v="4.5"/>
    <n v="1"/>
    <n v="0"/>
    <n v="0"/>
    <n v="0"/>
    <n v="2.7749999999999999"/>
    <n v="3"/>
    <n v="0"/>
    <n v="0"/>
    <n v="1.0049999999999999"/>
    <n v="1.0499499999999999"/>
    <n v="85.34"/>
    <n v="24.6"/>
    <n v="2.7897142857142856"/>
    <x v="92"/>
    <n v="97.58"/>
    <n v="2.7879999999999998"/>
    <n v="0"/>
    <n v="0"/>
    <n v="0"/>
    <n v="0"/>
  </r>
  <r>
    <n v="453"/>
    <s v="แขวงทางหลวงสุโขทัย"/>
    <n v="513"/>
    <n v="1369"/>
    <n v="100"/>
    <s v="ชุมชนแม่ย่า - หรรษา"/>
    <s v="0+000"/>
    <s v="0+950"/>
    <n v="0.95"/>
    <s v="L1"/>
    <n v="2"/>
    <d v="2015-09-17T00:00:00"/>
    <s v="A.C."/>
    <n v="0.26"/>
    <n v="0.39"/>
    <n v="0.26"/>
    <n v="0.03"/>
    <n v="3.2002799999999998"/>
    <n v="3"/>
    <n v="0.03"/>
    <n v="0.87"/>
    <n v="0.05"/>
    <n v="0"/>
    <n v="12.249700000000001"/>
    <n v="12"/>
    <n v="0"/>
    <n v="0"/>
    <n v="0.95"/>
    <n v="3.8466100000000001"/>
    <n v="82.653999999999996"/>
    <n v="16.48"/>
    <n v="2.7336541353383459"/>
    <x v="93"/>
    <n v="57.68"/>
    <n v="1.7347368421052631"/>
    <n v="0"/>
    <n v="0"/>
    <n v="0"/>
    <n v="0"/>
  </r>
  <r>
    <n v="1731"/>
    <s v="แขวงทางหลวงจันทบุรี"/>
    <n v="423"/>
    <n v="317"/>
    <n v="102"/>
    <s v="หน้าค่าย ตชด. - พังงอน"/>
    <n v="26200"/>
    <n v="10000"/>
    <n v="16.2"/>
    <n v="4"/>
    <s v="R2"/>
    <d v="2015-08-18T00:00:00"/>
    <s v="A.C."/>
    <n v="13.177"/>
    <n v="1.6830000000000001"/>
    <n v="0.88400000000000001"/>
    <n v="0.45600000000000002"/>
    <n v="2.01701"/>
    <n v="2"/>
    <n v="15.14"/>
    <n v="0.94599999999999995"/>
    <n v="0.114"/>
    <n v="0"/>
    <n v="5.5019299999999998"/>
    <n v="5.5"/>
    <n v="0"/>
    <n v="0"/>
    <n v="16.2"/>
    <n v="1.28471"/>
    <n v="1110.83"/>
    <n v="444.03"/>
    <n v="2.6817799999999998"/>
    <x v="93"/>
    <n v="0"/>
    <n v="0"/>
    <n v="4243"/>
    <n v="7.4832451499118173"/>
    <n v="1469.92"/>
    <n v="2.9575900000000002"/>
  </r>
  <r>
    <n v="308"/>
    <s v="แขวงทางหลวงบึงกาฬ"/>
    <n v="643"/>
    <n v="2281"/>
    <n v="200"/>
    <s v="ชัยยานนท์ - ท่าห้วยหลัว"/>
    <n v="12200"/>
    <n v="21156"/>
    <n v="8.9559999999999995"/>
    <n v="2"/>
    <s v="L1"/>
    <d v="2015-06-08T00:00:00"/>
    <s v="A.C."/>
    <n v="5.625"/>
    <n v="1.5"/>
    <n v="0.75"/>
    <n v="0.77500000000000002"/>
    <n v="2.3593899999999999"/>
    <n v="2.5"/>
    <n v="8.375"/>
    <n v="0.22500000000000001"/>
    <n v="0.05"/>
    <n v="0"/>
    <n v="3.2237200000000001"/>
    <n v="3"/>
    <n v="0"/>
    <n v="0"/>
    <n v="8.65"/>
    <n v="1.4133500000000001"/>
    <n v="837"/>
    <n v="0"/>
    <n v="2.6701999999999999"/>
    <x v="93"/>
    <n v="0"/>
    <n v="0"/>
    <n v="645.79"/>
    <n v="2.0601989999999999"/>
    <n v="0"/>
    <n v="0"/>
  </r>
  <r>
    <n v="1222"/>
    <s v="แขวงทางหลวงลพบุรีที่ 2 (ลำนารายณ์)"/>
    <n v="435"/>
    <n v="3624"/>
    <n v="100"/>
    <s v="วังเชื่อม - อ่างเก็บน้ำกุดตาเพชร"/>
    <s v="0+000"/>
    <s v="0+750"/>
    <n v="0.75"/>
    <n v="2"/>
    <s v="L1"/>
    <d v="2015-10-05T00:00:00"/>
    <s v="A.C."/>
    <n v="0.55000000000000004"/>
    <n v="0.17499999999999999"/>
    <n v="2.5000000000000001E-2"/>
    <n v="2.5000000000000001E-2"/>
    <n v="2.2832300000000001"/>
    <n v="2.5"/>
    <n v="0.77500000000000002"/>
    <n v="0"/>
    <n v="0"/>
    <n v="0"/>
    <n v="2.9547699999999999"/>
    <n v="3"/>
    <n v="0"/>
    <n v="0"/>
    <n v="0.75"/>
    <n v="1.19258"/>
    <n v="64.548000000000002"/>
    <n v="10.199999999999999"/>
    <n v="2.6532571428571425"/>
    <x v="93"/>
    <n v="63.25"/>
    <n v="2.4095240000000002"/>
    <n v="0"/>
    <n v="0"/>
    <n v="0"/>
    <n v="0"/>
  </r>
  <r>
    <n v="1359"/>
    <s v="แขวงทางหลวงสุพรรณบุรีที่ 2 (อู่ทอง)"/>
    <n v="445"/>
    <n v="346"/>
    <n v="400"/>
    <s v="หนองกระทุ่ม - พนมทวน"/>
    <n v="111406"/>
    <n v="91506"/>
    <n v="19.899999999999999"/>
    <n v="4"/>
    <s v="R2"/>
    <d v="2015-07-03T00:00:00"/>
    <s v="A.C."/>
    <n v="6.9749999999999996"/>
    <n v="6.4"/>
    <n v="4.2249999999999996"/>
    <n v="2.3250000000000002"/>
    <n v="3.2825000000000002"/>
    <n v="3.5"/>
    <n v="10.725"/>
    <n v="4.0999999999999996"/>
    <n v="3.125"/>
    <n v="1.9750000000000001"/>
    <n v="10.835000000000001"/>
    <n v="11"/>
    <n v="0"/>
    <n v="0"/>
    <n v="19.925000000000001"/>
    <n v="1.0051399999999999"/>
    <n v="1802"/>
    <n v="39"/>
    <n v="2.6152189519023694"/>
    <x v="94"/>
    <n v="1"/>
    <n v="1.4357501794687727E-3"/>
    <n v="623"/>
    <n v="0.89447236180904532"/>
    <n v="0"/>
    <n v="0"/>
  </r>
  <r>
    <n v="257"/>
    <s v="แขวงทางหลวงน่านที่ 2"/>
    <n v="539"/>
    <n v="1081"/>
    <n v="101"/>
    <s v="ปัว - ดอนมูล"/>
    <s v="0+000"/>
    <s v="13+000"/>
    <n v="13"/>
    <n v="2"/>
    <s v="R1"/>
    <d v="2015-07-27T00:00:00"/>
    <s v="A.C."/>
    <n v="5.8"/>
    <n v="4.7"/>
    <n v="1.84"/>
    <n v="0.68"/>
    <n v="2.69414"/>
    <n v="2.5"/>
    <n v="12.5"/>
    <n v="0.43"/>
    <n v="0.08"/>
    <n v="0"/>
    <n v="4.8373600000000003"/>
    <n v="5"/>
    <n v="0"/>
    <n v="0"/>
    <n v="13"/>
    <n v="1.2202999999999999"/>
    <n v="1160"/>
    <n v="46.57"/>
    <n v="2.6006263736263739"/>
    <x v="94"/>
    <n v="62"/>
    <n v="0.13626373626373628"/>
    <n v="618"/>
    <n v="1.3582417582417583"/>
    <n v="0"/>
    <n v="0"/>
  </r>
  <r>
    <n v="2025"/>
    <s v="แขวงทางหลวงสุราษฎร์ธานี ที่ 1 (พุนพิน)"/>
    <n v="325"/>
    <n v="4265"/>
    <n v="100"/>
    <s v="หนองนิล - คลองสงค์"/>
    <n v="14395"/>
    <n v="28686"/>
    <n v="14.291"/>
    <n v="2"/>
    <s v="L1"/>
    <d v="2015-04-22T00:00:00"/>
    <s v="A.C."/>
    <n v="7.74"/>
    <n v="3.42"/>
    <n v="1.88"/>
    <n v="1.26"/>
    <n v="2.8226300000000002"/>
    <n v="3"/>
    <n v="13.36"/>
    <n v="0.68"/>
    <n v="0.15"/>
    <n v="0.11"/>
    <n v="3.9866000000000001"/>
    <n v="4"/>
    <n v="0"/>
    <n v="0"/>
    <n v="14.29"/>
    <n v="1.3109999999999999"/>
    <n v="1282.3699999999999"/>
    <n v="33.340000000000003"/>
    <n v="2.5971190659456003"/>
    <x v="94"/>
    <n v="501"/>
    <n v="1.0016293971230645"/>
    <n v="769.59"/>
    <n v="1.5386107140358067"/>
    <n v="0"/>
    <n v="0"/>
  </r>
  <r>
    <n v="1078"/>
    <s v="แขวงทางหลวงสระแก้ว (วัฒนานคร)"/>
    <n v="619"/>
    <n v="3384"/>
    <n v="100"/>
    <s v="โนนสาวเอ้ - ไทรเดี่ยว"/>
    <n v="0"/>
    <n v="15528"/>
    <n v="15.528"/>
    <n v="2"/>
    <s v="L1"/>
    <d v="2015-04-01T00:00:00"/>
    <s v="A.C."/>
    <n v="10.81"/>
    <n v="3.32"/>
    <n v="1"/>
    <n v="0.4"/>
    <n v="2.3732600000000001"/>
    <n v="2.5"/>
    <n v="12.96"/>
    <n v="1.55"/>
    <n v="0.63"/>
    <n v="0.4"/>
    <n v="5.1649900000000004"/>
    <n v="5"/>
    <n v="0"/>
    <n v="0"/>
    <n v="15.53"/>
    <n v="1.1395999999999999"/>
    <n v="1397.94"/>
    <n v="0"/>
    <n v="2.5722013689556196"/>
    <x v="94"/>
    <n v="2.7"/>
    <n v="4.9679841024508724E-3"/>
    <n v="0"/>
    <n v="0"/>
    <n v="9"/>
    <n v="1.6559947008169575E-2"/>
  </r>
  <r>
    <n v="508"/>
    <s v="แขวงทางหลวงพิจิตร"/>
    <n v="519"/>
    <n v="1376"/>
    <n v="100"/>
    <s v="ทางเข้าอนามัยทับหมัน"/>
    <s v="0+000"/>
    <s v="0+800"/>
    <n v="0.8"/>
    <s v="L1"/>
    <n v="2"/>
    <d v="2015-09-29T00:00:00"/>
    <s v="A.C."/>
    <n v="0.6"/>
    <n v="0.11"/>
    <n v="0.03"/>
    <n v="0.05"/>
    <n v="3.1228099999999999"/>
    <n v="3"/>
    <n v="0.8"/>
    <n v="0"/>
    <n v="0"/>
    <n v="0"/>
    <n v="4.2823399999999996"/>
    <n v="4.5"/>
    <n v="0"/>
    <n v="0"/>
    <n v="0.49"/>
    <n v="1.1712499999999999"/>
    <n v="56.26"/>
    <n v="31.24"/>
    <n v="2.5671430000000002"/>
    <x v="94"/>
    <n v="68.984999999999999"/>
    <n v="2.4637500000000001"/>
    <n v="0"/>
    <n v="0"/>
    <n v="0"/>
    <n v="0"/>
  </r>
  <r>
    <n v="580"/>
    <s v="แขวงทางหลวงเพชรบูรณ์ที่ 2 (บึงสามพัน)"/>
    <n v="552"/>
    <n v="1301"/>
    <n v="200"/>
    <s v="หนองระมาน - วังโป่ง"/>
    <n v="6255"/>
    <n v="23973"/>
    <n v="17.718"/>
    <n v="2"/>
    <s v="L1"/>
    <d v="2015-07-10T00:00:00"/>
    <s v="A.C."/>
    <n v="9.6999999999999993"/>
    <n v="4.95"/>
    <n v="2.3250000000000002"/>
    <n v="0.77500000000000002"/>
    <n v="2.7206000000000001"/>
    <n v="2.5"/>
    <n v="17.2"/>
    <n v="0.47499999999999998"/>
    <n v="7.4999999999999997E-2"/>
    <n v="0"/>
    <n v="4.64419"/>
    <n v="4.5"/>
    <n v="0"/>
    <n v="0"/>
    <n v="17.749999999999996"/>
    <n v="1.16557"/>
    <n v="1561"/>
    <n v="1.1399999999999999"/>
    <n v="2.5181332946317707"/>
    <x v="95"/>
    <n v="0"/>
    <n v="0"/>
    <n v="3"/>
    <n v="4.8376953219486235E-3"/>
    <n v="29"/>
    <n v="4.6764388112170027E-2"/>
  </r>
  <r>
    <n v="602"/>
    <s v="แขวงทางหลวงเลยที่ 1"/>
    <n v="554"/>
    <n v="211"/>
    <n v="202"/>
    <s v="ปากชม - เชียงคาน"/>
    <n v="146419"/>
    <n v="184360"/>
    <n v="36.78"/>
    <n v="2"/>
    <s v="L1"/>
    <d v="2015-06-26T00:00:00"/>
    <s v="A.C."/>
    <n v="15.37"/>
    <n v="10.11"/>
    <n v="6.56"/>
    <n v="4.74"/>
    <n v="3.1153499999999998"/>
    <n v="3"/>
    <n v="33.369999999999997"/>
    <n v="1.96"/>
    <n v="0.87"/>
    <n v="0.57999999999999996"/>
    <n v="4.5472400000000004"/>
    <n v="4.5"/>
    <n v="0"/>
    <n v="0"/>
    <n v="36.78"/>
    <n v="1.2001900000000001"/>
    <n v="3332"/>
    <n v="0"/>
    <n v="2.5091589573284838"/>
    <x v="95"/>
    <n v="480"/>
    <n v="0.36146347524539985"/>
    <n v="2332"/>
    <n v="1.756110050567234"/>
    <n v="3"/>
    <n v="2.3304591004427869E-3"/>
  </r>
  <r>
    <n v="973"/>
    <s v="แขวงทางหลวงนครราชสีมาที่ 2"/>
    <n v="612"/>
    <n v="2220"/>
    <n v="100"/>
    <s v="กลางดง - วัดเทพพิทักษ์ปุณณาราม"/>
    <s v="0+000"/>
    <s v="2+450"/>
    <n v="2.4500000000000002"/>
    <n v="2"/>
    <s v="L1"/>
    <d v="2015-04-23T00:00:00"/>
    <s v="A.C."/>
    <n v="1.05"/>
    <n v="0.625"/>
    <n v="0.45"/>
    <n v="0.3"/>
    <n v="3.46"/>
    <n v="3.5"/>
    <n v="2.35"/>
    <n v="7.4999999999999997E-2"/>
    <n v="0"/>
    <n v="0"/>
    <n v="4.05"/>
    <n v="4"/>
    <n v="0"/>
    <n v="0"/>
    <n v="2.4249999999999998"/>
    <n v="1.45"/>
    <n v="214.67"/>
    <n v="0"/>
    <n v="2.5034402332361512"/>
    <x v="95"/>
    <n v="75"/>
    <n v="0.87463556851311941"/>
    <n v="0"/>
    <n v="0"/>
    <n v="0"/>
    <n v="0"/>
  </r>
  <r>
    <n v="142"/>
    <s v="แขวงทางหลวงแพร่"/>
    <n v="531"/>
    <n v="103"/>
    <n v="100"/>
    <s v="ร้องกวาง - แม่ตีบ"/>
    <s v="0+000"/>
    <n v="40554"/>
    <n v="40.554000000000002"/>
    <n v="4"/>
    <s v="L1"/>
    <d v="2015-08-05T00:00:00"/>
    <s v="A.C."/>
    <n v="29.43"/>
    <n v="7"/>
    <n v="2.97"/>
    <n v="1.1599999999999999"/>
    <n v="2.1859999999999999"/>
    <n v="2"/>
    <n v="6.85"/>
    <n v="6.93"/>
    <n v="8.76"/>
    <n v="18.02"/>
    <n v="20.46"/>
    <n v="20.5"/>
    <n v="0"/>
    <n v="0"/>
    <n v="40.56"/>
    <n v="1.2070000000000001"/>
    <n v="3266.8"/>
    <n v="492.05"/>
    <n v="2.4748835767477573"/>
    <x v="95"/>
    <n v="8245"/>
    <n v="5.8088333720823719"/>
    <n v="3054"/>
    <n v="2.151628516475387"/>
    <n v="443.2"/>
    <n v="0.31224681024947332"/>
  </r>
  <r>
    <n v="20"/>
    <s v="แขวงทางหลวงเชียงใหม่ที่ 1"/>
    <n v="521"/>
    <n v="1263"/>
    <n v="200"/>
    <s v="ปางอุ๋ง  -  แม่นาจร"/>
    <n v="20524"/>
    <n v="35000"/>
    <n v="14.475"/>
    <n v="2"/>
    <s v="L1"/>
    <d v="2015-08-28T00:00:00"/>
    <s v="A.C."/>
    <n v="2"/>
    <n v="6.0250000000000004"/>
    <n v="4.45"/>
    <n v="2.0249999999999999"/>
    <n v="3.73143"/>
    <n v="3.5"/>
    <n v="13.6"/>
    <n v="0.67500000000000004"/>
    <n v="0.15"/>
    <n v="7.4999999999999997E-2"/>
    <n v="4.8136000000000001"/>
    <n v="5"/>
    <n v="0"/>
    <n v="0"/>
    <n v="14.500000000000002"/>
    <n v="1.4733799999999999"/>
    <n v="1142.32"/>
    <n v="214.5"/>
    <n v="2.4664594127806563"/>
    <x v="95"/>
    <n v="97.57"/>
    <n v="0.19258820626696274"/>
    <n v="112.57"/>
    <n v="0.2221959042684431"/>
    <n v="5.8"/>
    <n v="1.1448309893905748E-2"/>
  </r>
  <r>
    <n v="1882"/>
    <s v="แขวงทางหลวงราชบุรี"/>
    <n v="335"/>
    <n v="3338"/>
    <n v="100"/>
    <s v="คูบัว - ราชบุรี"/>
    <n v="0"/>
    <n v="1198"/>
    <n v="1.198"/>
    <n v="2"/>
    <s v="L1"/>
    <d v="2015-04-01T00:00:00"/>
    <s v="A.C."/>
    <n v="0.13"/>
    <n v="0.32"/>
    <n v="0.19"/>
    <n v="0.56000000000000005"/>
    <n v="5.1937499999999996"/>
    <n v="5"/>
    <n v="1.2"/>
    <n v="0"/>
    <n v="0"/>
    <n v="0"/>
    <n v="2.3725499999999999"/>
    <n v="2.5"/>
    <n v="0"/>
    <n v="0"/>
    <n v="1.2"/>
    <n v="1.25007"/>
    <n v="102.33"/>
    <n v="2.06"/>
    <n v="2.4650608156451228"/>
    <x v="95"/>
    <n v="3.6"/>
    <n v="8.5857381349868825E-2"/>
    <n v="0"/>
    <n v="0"/>
    <n v="0"/>
    <n v="0"/>
  </r>
  <r>
    <n v="1180"/>
    <s v="แขวงทางหลวงสิงห์บุรี"/>
    <n v="433"/>
    <n v="369"/>
    <n v="100"/>
    <s v="ทางเลี่ยงเมืองสิงห์บุรี"/>
    <s v="1+434"/>
    <s v="0+000"/>
    <n v="1.4339999999999999"/>
    <n v="4"/>
    <s v="R2"/>
    <d v="2015-10-05T00:00:00"/>
    <s v="A.C."/>
    <n v="0.77500000000000002"/>
    <n v="0.32500000000000001"/>
    <n v="0.15"/>
    <n v="7.4999999999999997E-2"/>
    <n v="2.7486799999999998"/>
    <n v="2.5"/>
    <n v="1.175"/>
    <n v="0.15"/>
    <n v="0"/>
    <n v="0"/>
    <n v="4.4945700000000004"/>
    <n v="4.5"/>
    <n v="0"/>
    <n v="0"/>
    <n v="1.4339999999999999"/>
    <n v="1.3208299999999999"/>
    <n v="115.5"/>
    <n v="11.678000000000001"/>
    <n v="2.4175931460450291"/>
    <x v="96"/>
    <n v="14.36"/>
    <n v="0.28611277146842001"/>
    <n v="0"/>
    <n v="0"/>
    <n v="0"/>
    <n v="0"/>
  </r>
  <r>
    <n v="618"/>
    <s v="แขวงทางหลวงเลยที่ 2 (ด่านซ้าย)"/>
    <n v="555"/>
    <n v="2099"/>
    <n v="100"/>
    <s v="อาฮี - ท่าลี่"/>
    <n v="0"/>
    <n v="9358"/>
    <n v="9.3580000000000005"/>
    <n v="2"/>
    <s v="L1"/>
    <d v="2015-07-02T00:00:00"/>
    <s v="A.C."/>
    <n v="5.125"/>
    <n v="3.2749999999999999"/>
    <n v="0.77500000000000002"/>
    <n v="0.2"/>
    <n v="2.5404800000000001"/>
    <n v="2.5"/>
    <n v="8.8000000000000007"/>
    <n v="0.35"/>
    <n v="0.2"/>
    <n v="2.5000000000000001E-2"/>
    <n v="3.8231999999999999"/>
    <n v="4"/>
    <n v="0"/>
    <n v="0"/>
    <n v="9.375"/>
    <n v="1.14323"/>
    <n v="539"/>
    <n v="504.14"/>
    <n v="2.4152596708698439"/>
    <x v="96"/>
    <n v="0"/>
    <n v="0"/>
    <n v="61"/>
    <n v="0.1862424816047385"/>
    <n v="0"/>
    <n v="0"/>
  </r>
  <r>
    <n v="1397"/>
    <s v="แขวงทางหลวงชัยนาท"/>
    <n v="446"/>
    <n v="3244"/>
    <n v="100"/>
    <s v="ดักคะนน - ท่าหาด"/>
    <n v="0"/>
    <n v="4565"/>
    <n v="4.5650000000000004"/>
    <n v="2"/>
    <s v="L1"/>
    <d v="2015-08-04T00:00:00"/>
    <s v="A.C."/>
    <n v="3.55"/>
    <n v="0.72"/>
    <n v="0.17"/>
    <n v="0.12"/>
    <n v="2.2687499999999998"/>
    <n v="2.5"/>
    <n v="4.5599999999999996"/>
    <n v="0"/>
    <n v="0"/>
    <n v="0"/>
    <n v="1.8448"/>
    <n v="2"/>
    <n v="0"/>
    <n v="0"/>
    <n v="4.57"/>
    <n v="1.2012100000000001"/>
    <n v="379.25400000000002"/>
    <n v="10.54"/>
    <n v="2.4066593647316536"/>
    <x v="96"/>
    <n v="87.42"/>
    <n v="0.54714442184321699"/>
    <n v="0"/>
    <n v="0"/>
    <n v="0"/>
    <n v="0"/>
  </r>
  <r>
    <n v="974"/>
    <s v="แขวงทางหลวงนครราชสีมาที่ 2"/>
    <n v="612"/>
    <n v="2220"/>
    <n v="100"/>
    <s v="หนองสาหร่าย - หนองสองห้อง"/>
    <s v="0+000"/>
    <s v="25+000"/>
    <n v="25"/>
    <n v="2"/>
    <s v="L1"/>
    <d v="2015-04-23T00:00:00"/>
    <s v="A.C."/>
    <n v="19.2"/>
    <n v="5.0750000000000002"/>
    <n v="2.2000000000000002"/>
    <n v="0.77500000000000002"/>
    <n v="2.1873900000000002"/>
    <n v="2"/>
    <n v="26.524999999999999"/>
    <n v="0.625"/>
    <n v="0.1"/>
    <n v="0"/>
    <n v="3.2499199999999999"/>
    <n v="3"/>
    <n v="0"/>
    <n v="0"/>
    <n v="27.249999999999996"/>
    <n v="1.1603600000000001"/>
    <n v="2099.98"/>
    <n v="0"/>
    <n v="2.3999799999999998"/>
    <x v="96"/>
    <n v="81"/>
    <n v="9.257E-2"/>
    <n v="0"/>
    <n v="0"/>
    <n v="0"/>
    <n v="0"/>
  </r>
  <r>
    <n v="1366"/>
    <s v="แขวงทางหลวงสุพรรณบุรีที่ 2 (อู่ทอง)"/>
    <n v="445"/>
    <n v="3342"/>
    <n v="100"/>
    <s v="วังขอน - บ่อพลอย"/>
    <n v="0"/>
    <n v="38776"/>
    <n v="38.776000000000003"/>
    <n v="2"/>
    <s v="L1"/>
    <d v="2015-07-03T00:00:00"/>
    <s v="A.C."/>
    <n v="27.925000000000001"/>
    <n v="6.1749999999999998"/>
    <n v="2.9750000000000001"/>
    <n v="1.7250000000000001"/>
    <n v="2.2662800000000001"/>
    <n v="2.5"/>
    <n v="36.274999999999999"/>
    <n v="1.9"/>
    <n v="0.42499999999999999"/>
    <n v="0.2"/>
    <n v="4.4993400000000001"/>
    <n v="4.5"/>
    <n v="0"/>
    <n v="0"/>
    <n v="38.800000000000004"/>
    <n v="1.0771999999999999"/>
    <n v="3218"/>
    <n v="23"/>
    <n v="2.3796015208228947"/>
    <x v="96"/>
    <n v="0"/>
    <n v="0"/>
    <n v="0"/>
    <n v="0"/>
    <n v="0"/>
    <n v="0"/>
  </r>
  <r>
    <n v="2027"/>
    <s v="แขวงทางหลวงสุราษฎร์ธานี ที่ 1 (พุนพิน)"/>
    <n v="325"/>
    <n v="4333"/>
    <n v="100"/>
    <s v="หนองไทร  - ท่าข้าม"/>
    <n v="0"/>
    <n v="750"/>
    <n v="0.75"/>
    <n v="2"/>
    <s v="L2"/>
    <d v="2015-04-23T00:00:00"/>
    <s v="A.C."/>
    <n v="0.41"/>
    <n v="0.19"/>
    <n v="0.06"/>
    <n v="0.08"/>
    <n v="2.9619200000000001"/>
    <n v="3"/>
    <n v="0.75"/>
    <n v="0"/>
    <n v="0"/>
    <n v="0"/>
    <n v="4.9701300000000002"/>
    <n v="5"/>
    <n v="0"/>
    <n v="0"/>
    <n v="0.75"/>
    <n v="1.0094000000000001"/>
    <n v="32.51"/>
    <n v="59.665999999999997"/>
    <n v="2.3749714285714285"/>
    <x v="96"/>
    <n v="11.962"/>
    <n v="0.4556952380952381"/>
    <n v="0"/>
    <n v="0"/>
    <n v="0"/>
    <n v="0"/>
  </r>
  <r>
    <n v="1533"/>
    <s v="แขวงทางหลวงนครนายก"/>
    <n v="414"/>
    <n v="3051"/>
    <n v="102"/>
    <s v="บางอ้อ - สำนักงานพลังงานปรมาณูเพื่อสันติ"/>
    <s v="18+800"/>
    <s v="5+881"/>
    <n v="12.919"/>
    <n v="2"/>
    <s v="R1"/>
    <d v="2015-09-19T00:00:00"/>
    <s v="A.C."/>
    <n v="5.375"/>
    <n v="3.75"/>
    <n v="2.35"/>
    <n v="1.4"/>
    <n v="3.1480000000000001"/>
    <n v="3"/>
    <n v="11.775"/>
    <n v="0.85"/>
    <n v="0.17499999999999999"/>
    <n v="7.4999999999999997E-2"/>
    <n v="5.13"/>
    <n v="5"/>
    <n v="0"/>
    <n v="0"/>
    <n v="12.919"/>
    <n v="1.163"/>
    <n v="734"/>
    <n v="648.12"/>
    <n v="2.3399865093494632"/>
    <x v="97"/>
    <n v="16"/>
    <n v="3.538531288357126E-2"/>
    <n v="1344.89"/>
    <n v="2.9743345902491352"/>
    <n v="340"/>
    <n v="0.75193789877588935"/>
  </r>
  <r>
    <n v="248"/>
    <s v="แขวงทางหลวงเชียงรายที่ 2"/>
    <n v="537"/>
    <n v="1326"/>
    <n v="100"/>
    <s v="ร่องบัวทอง - สบเปา"/>
    <n v="0"/>
    <n v="13896"/>
    <n v="13.896000000000001"/>
    <n v="2"/>
    <s v="L1"/>
    <d v="2015-07-15T00:00:00"/>
    <s v="A.C."/>
    <n v="8.99"/>
    <n v="3.3"/>
    <n v="1.1000000000000001"/>
    <n v="0.5"/>
    <n v="2.4630100000000001"/>
    <n v="2.5"/>
    <n v="12.07"/>
    <n v="1.2"/>
    <n v="0.45"/>
    <n v="0.18"/>
    <n v="6.01227"/>
    <n v="6"/>
    <n v="0"/>
    <n v="0"/>
    <n v="13.9"/>
    <n v="1.15299"/>
    <n v="1092"/>
    <n v="71.06"/>
    <n v="2.318303314417304"/>
    <x v="97"/>
    <n v="247"/>
    <n v="0.50785426433094827"/>
    <n v="156"/>
    <n v="0.32075006168270415"/>
    <n v="41"/>
    <n v="8.429969569865943E-2"/>
  </r>
  <r>
    <n v="545"/>
    <s v="แขวงทางหลวงอุตรดิตถ์ที่ 2"/>
    <n v="558"/>
    <n v="1341"/>
    <n v="100"/>
    <s v="ทางเข้าเขื่อนดิน"/>
    <s v="0+000"/>
    <s v="1+659"/>
    <n v="1.659"/>
    <s v="L1"/>
    <n v="2"/>
    <d v="2015-09-24T00:00:00"/>
    <s v="A.C."/>
    <n v="1.0900000000000001"/>
    <n v="0.19"/>
    <n v="0.23"/>
    <n v="0.18"/>
    <n v="2.8565499999999999"/>
    <n v="3"/>
    <n v="1.59"/>
    <n v="0"/>
    <n v="0"/>
    <n v="7.0000000000000007E-2"/>
    <n v="3.7763399999999998"/>
    <n v="4"/>
    <n v="0"/>
    <n v="0"/>
    <n v="0.72999999999999987"/>
    <n v="1.85524"/>
    <n v="133.21"/>
    <n v="1.78"/>
    <n v="2.3094809999999999"/>
    <x v="97"/>
    <n v="88.49"/>
    <n v="1.5239819999999999"/>
    <n v="0"/>
    <n v="0"/>
    <n v="0"/>
    <n v="0"/>
  </r>
  <r>
    <n v="1199"/>
    <s v="แขวงทางหลวงลพบุรีที่ 2 (ลำนารายณ์)"/>
    <n v="435"/>
    <n v="2129"/>
    <n v="100"/>
    <s v="ทางเข้าลำนารายณ์"/>
    <s v="1+200"/>
    <s v="0+000"/>
    <n v="1.2"/>
    <n v="6"/>
    <s v="R3"/>
    <d v="2015-10-05T00:00:00"/>
    <s v="A.C."/>
    <n v="0.22500000000000001"/>
    <n v="0.2"/>
    <n v="0.35"/>
    <n v="0.17499999999999999"/>
    <n v="4.4594699999999996"/>
    <n v="4.5"/>
    <n v="0.9"/>
    <n v="0.05"/>
    <n v="0"/>
    <n v="0"/>
    <n v="5.3997900000000003"/>
    <n v="5.5"/>
    <n v="0"/>
    <n v="0"/>
    <n v="1.2"/>
    <n v="1.1755"/>
    <n v="95.203999999999994"/>
    <n v="2.0099999999999998"/>
    <n v="2.2906904761904761"/>
    <x v="97"/>
    <n v="48.96"/>
    <n v="1.1657139999999999"/>
    <n v="0"/>
    <n v="0"/>
    <n v="0"/>
    <n v="0"/>
  </r>
  <r>
    <n v="1477"/>
    <s v="แขวงทางหลวงกรุงเทพ"/>
    <n v="411"/>
    <n v="351"/>
    <n v="100"/>
    <s v="มหาวิทยาลัยเกษตรศาสตร์ - คันนายาว"/>
    <n v="9425"/>
    <s v="12+328"/>
    <n v="2.903"/>
    <n v="8"/>
    <s v="L2"/>
    <d v="2015-08-31T00:00:00"/>
    <s v="A.C."/>
    <n v="0.77100000000000002"/>
    <n v="0.45400000000000001"/>
    <n v="0.65800000000000003"/>
    <n v="1.0209999999999999"/>
    <n v="4.2160000000000002"/>
    <n v="4"/>
    <n v="1.925"/>
    <n v="0.25"/>
    <n v="0.35"/>
    <n v="2.5000000000000001E-2"/>
    <n v="7.3730000000000002"/>
    <n v="7.5"/>
    <n v="0"/>
    <n v="0"/>
    <n v="2.5499999999999998"/>
    <n v="1.286"/>
    <n v="220"/>
    <n v="24.42"/>
    <n v="2.2854190246542987"/>
    <x v="97"/>
    <n v="0"/>
    <n v="0"/>
    <n v="14.46"/>
    <n v="0.14231583091383299"/>
    <n v="0"/>
    <n v="0"/>
  </r>
  <r>
    <n v="1067"/>
    <s v="แขวงทางหลวงสระแก้ว (วัฒนานคร)"/>
    <n v="619"/>
    <n v="359"/>
    <n v="101"/>
    <s v="คลองยาง - สระขวัญ"/>
    <s v="10+396"/>
    <s v="0+000"/>
    <n v="10.396000000000001"/>
    <n v="4"/>
    <s v="R2"/>
    <d v="2015-03-31T00:00:00"/>
    <s v="A.C."/>
    <n v="8.09"/>
    <n v="1.01"/>
    <n v="0.74"/>
    <n v="0.56999999999999995"/>
    <n v="2.3618100000000002"/>
    <n v="2.5"/>
    <n v="9.5399999999999991"/>
    <n v="0.76"/>
    <n v="0.08"/>
    <n v="0.03"/>
    <n v="6.2090800000000002"/>
    <n v="6"/>
    <n v="0"/>
    <n v="0"/>
    <n v="10.4"/>
    <n v="1.28962"/>
    <n v="814.18"/>
    <n v="0"/>
    <n v="2.237618864398395"/>
    <x v="98"/>
    <n v="0"/>
    <n v="0"/>
    <n v="0"/>
    <n v="0"/>
    <n v="0"/>
    <n v="0"/>
  </r>
  <r>
    <n v="1272"/>
    <s v="แขวงทางหลวงนครสวรรค์ที่ 2 (ตากฟ้า)"/>
    <n v="438"/>
    <n v="3420"/>
    <n v="100"/>
    <s v="ทางเข้าหนองไผ่"/>
    <s v="0+000"/>
    <s v="4+100"/>
    <n v="4.0999999999999996"/>
    <n v="2"/>
    <s v="L1"/>
    <d v="2015-10-05T00:00:00"/>
    <s v="A.C."/>
    <n v="1.75"/>
    <n v="1.4"/>
    <n v="0.57499999999999996"/>
    <n v="0.35"/>
    <n v="3.1023900000000002"/>
    <n v="3"/>
    <n v="3.9"/>
    <n v="0.125"/>
    <n v="0.05"/>
    <n v="0"/>
    <n v="4.5577699999999997"/>
    <n v="4.5"/>
    <n v="0"/>
    <n v="0"/>
    <n v="4.0999999999999996"/>
    <n v="1.4407399999999999"/>
    <n v="305.60000000000002"/>
    <n v="20.32"/>
    <n v="2.2004181184668998"/>
    <x v="98"/>
    <n v="175.21"/>
    <n v="1.2209756097560978"/>
    <n v="2.4700000000000002"/>
    <n v="1.7212999999999999E-2"/>
    <n v="0"/>
    <n v="0"/>
  </r>
  <r>
    <n v="1198"/>
    <s v="แขวงทางหลวงลพบุรีที่ 2 (ลำนารายณ์)"/>
    <n v="435"/>
    <n v="2129"/>
    <n v="100"/>
    <s v="ทางเข้าลำนารายณ์"/>
    <s v="0+000"/>
    <s v="1+200"/>
    <n v="1.2"/>
    <n v="6"/>
    <s v="L3"/>
    <d v="2015-10-05T00:00:00"/>
    <s v="A.C."/>
    <n v="0.45"/>
    <n v="0.125"/>
    <n v="0.32500000000000001"/>
    <n v="0.17499999999999999"/>
    <n v="3.83209"/>
    <n v="4"/>
    <n v="1"/>
    <n v="7.4999999999999997E-2"/>
    <n v="0"/>
    <n v="0"/>
    <n v="4.3232299999999997"/>
    <n v="4.5"/>
    <n v="0"/>
    <n v="0"/>
    <n v="1.2"/>
    <n v="1.19719"/>
    <n v="88.745000000000005"/>
    <n v="6.47"/>
    <n v="2.19"/>
    <x v="98"/>
    <n v="16.324999999999999"/>
    <n v="0.38868999999999998"/>
    <n v="0"/>
    <n v="0"/>
    <n v="1.02"/>
    <n v="2.4285999999999999E-2"/>
  </r>
  <r>
    <n v="1509"/>
    <s v="แขวงทางหลวงอยุธยา"/>
    <n v="413"/>
    <n v="352"/>
    <n v="201"/>
    <s v="คลองระพีพัฒน์ - ทางแยกต่างระดับวังน้อย"/>
    <s v="24+600"/>
    <s v="22+000"/>
    <n v="2.6"/>
    <n v="2"/>
    <s v="R1"/>
    <d v="2015-09-19T00:00:00"/>
    <s v="A.C."/>
    <n v="0.32500000000000001"/>
    <n v="0.8"/>
    <n v="0.52500000000000002"/>
    <n v="0.875"/>
    <n v="4.4742600000000001"/>
    <n v="4.5"/>
    <n v="2.15"/>
    <n v="0.27500000000000002"/>
    <n v="0.1"/>
    <n v="0"/>
    <n v="7.1023699999999996"/>
    <n v="7"/>
    <n v="0"/>
    <n v="0"/>
    <n v="2.6"/>
    <n v="0.99827699999999997"/>
    <n v="101"/>
    <n v="194.32"/>
    <n v="2.1775824175824172"/>
    <x v="98"/>
    <n v="0"/>
    <n v="0"/>
    <n v="802.32"/>
    <n v="8.816703296703297"/>
    <n v="305"/>
    <n v="3.3516483516483517"/>
  </r>
  <r>
    <n v="683"/>
    <s v="แขวงทางหลวงอุดรธานีที่ 2"/>
    <n v="624"/>
    <n v="2230"/>
    <n v="100"/>
    <s v="เหล่าอุดม - บ้านปัก"/>
    <n v="0"/>
    <n v="3144"/>
    <n v="3.1440000000000001"/>
    <n v="2"/>
    <s v="L1"/>
    <d v="2015-06-15T00:00:00"/>
    <s v="A.C."/>
    <n v="2.0499999999999998"/>
    <n v="0.6"/>
    <n v="0.27500000000000002"/>
    <n v="0.25"/>
    <n v="2.6804700000000001"/>
    <n v="2.5"/>
    <n v="3.0750000000000002"/>
    <n v="7.4999999999999997E-2"/>
    <n v="2.5000000000000001E-2"/>
    <n v="0"/>
    <n v="2.5075099999999999"/>
    <n v="2.5"/>
    <n v="0"/>
    <n v="0"/>
    <n v="3.1749999999999998"/>
    <n v="1.19268"/>
    <n v="189.42"/>
    <n v="96.9"/>
    <n v="2.16167"/>
    <x v="98"/>
    <n v="0"/>
    <n v="0"/>
    <n v="183.09"/>
    <n v="1.6638500000000001"/>
    <n v="0"/>
    <n v="0"/>
  </r>
  <r>
    <n v="25"/>
    <s v="แขวงทางหลวงเชียงใหม่ที่ 2"/>
    <n v="522"/>
    <n v="121"/>
    <n v="101"/>
    <s v="เหมืองกุง - ต้นเปา"/>
    <n v="0"/>
    <n v="15315"/>
    <n v="15.315"/>
    <n v="2"/>
    <s v="L1"/>
    <d v="2015-08-19T00:00:00"/>
    <s v="A.C."/>
    <n v="7.45"/>
    <n v="4.2"/>
    <n v="2.4750000000000001"/>
    <n v="1.2250000000000001"/>
    <n v="2.9459900000000001"/>
    <n v="3"/>
    <n v="15.275"/>
    <n v="7.4999999999999997E-2"/>
    <n v="0"/>
    <n v="0"/>
    <n v="2.3554200000000001"/>
    <n v="2.5"/>
    <n v="0"/>
    <n v="0"/>
    <n v="15.35"/>
    <n v="1.0471900000000001"/>
    <n v="947.01"/>
    <n v="371.84"/>
    <n v="2.1135767921272328"/>
    <x v="99"/>
    <n v="0"/>
    <n v="0"/>
    <n v="121"/>
    <n v="0.22573573993750293"/>
    <n v="0"/>
    <n v="0"/>
  </r>
  <r>
    <n v="345"/>
    <s v="แขวงทางหลวงมุกดาหาร"/>
    <n v="639"/>
    <n v="2339"/>
    <n v="200"/>
    <s v="กวนบุ่น - สามแยกกวนบุ่น"/>
    <n v="36975"/>
    <n v="37959"/>
    <n v="0.98399999999999999"/>
    <n v="2"/>
    <s v="R1"/>
    <d v="2015-06-02T00:00:00"/>
    <s v="A.C."/>
    <n v="0.59"/>
    <n v="0.16"/>
    <n v="0.18"/>
    <n v="0.06"/>
    <n v="2.7509399999999999"/>
    <n v="3"/>
    <n v="0.96"/>
    <n v="0.04"/>
    <n v="0"/>
    <n v="0"/>
    <n v="3.1702499999999998"/>
    <n v="3"/>
    <n v="0"/>
    <n v="0"/>
    <n v="0.99"/>
    <n v="1.10687"/>
    <n v="21"/>
    <n v="103"/>
    <n v="2.105110336817654"/>
    <x v="99"/>
    <n v="0.78"/>
    <n v="2.2648083623693381E-2"/>
    <n v="0"/>
    <n v="0"/>
    <n v="0"/>
    <n v="0"/>
  </r>
  <r>
    <n v="183"/>
    <s v="แขวงทางหลวงเชียงรายที่ 1"/>
    <n v="533"/>
    <n v="1306"/>
    <n v="100"/>
    <s v="ห้วยสัก - บ้านดอน"/>
    <n v="0"/>
    <n v="15579"/>
    <n v="15.579000000000001"/>
    <n v="2"/>
    <s v="L1"/>
    <d v="2015-07-18T00:00:00"/>
    <s v="A.C."/>
    <n v="9.43"/>
    <n v="4.01"/>
    <n v="1.5"/>
    <n v="0.64"/>
    <n v="2.52935"/>
    <n v="2.5"/>
    <n v="14.94"/>
    <n v="0.44"/>
    <n v="0.1"/>
    <n v="0.1"/>
    <n v="3.7551299999999999"/>
    <n v="4"/>
    <n v="0"/>
    <n v="0"/>
    <n v="15.58"/>
    <n v="1.1500999999999999"/>
    <n v="1139"/>
    <n v="14.41"/>
    <n v="2.1021063152778923"/>
    <x v="99"/>
    <n v="0"/>
    <n v="0"/>
    <n v="0"/>
    <n v="0"/>
    <n v="0"/>
    <n v="0"/>
  </r>
  <r>
    <n v="1071"/>
    <s v="แขวงทางหลวงสระแก้ว (วัฒนานคร)"/>
    <n v="619"/>
    <n v="3067"/>
    <n v="100"/>
    <s v="อรัญประเทศ - ไผ่ล้อม"/>
    <n v="1255"/>
    <n v="32691"/>
    <n v="31.436"/>
    <n v="2"/>
    <s v="L1"/>
    <d v="2015-04-01T00:00:00"/>
    <s v="A.C."/>
    <n v="23.07"/>
    <n v="5.33"/>
    <n v="1.98"/>
    <n v="1.08"/>
    <n v="2.4537900000000001"/>
    <n v="2.5"/>
    <n v="27.87"/>
    <n v="2.0299999999999998"/>
    <n v="0.95"/>
    <n v="0.6"/>
    <n v="6.3853600000000004"/>
    <n v="6.5"/>
    <n v="0"/>
    <n v="0"/>
    <n v="31.44"/>
    <n v="1.1883900000000001"/>
    <n v="1769.52"/>
    <n v="1053.7"/>
    <n v="2.0871157726355589"/>
    <x v="99"/>
    <n v="4117.04"/>
    <n v="3.7418791921909369"/>
    <n v="1769.52"/>
    <n v="1.6082744078672315"/>
    <n v="8"/>
    <n v="7.2710086706778395E-3"/>
  </r>
  <r>
    <n v="1155"/>
    <s v="แขวงทางหลวงสระบุรี"/>
    <n v="432"/>
    <n v="3188"/>
    <n v="102"/>
    <s v="ขอนหอม - บ้านเหนือ"/>
    <s v="9+810"/>
    <s v="7+751"/>
    <n v="2.0590000000000002"/>
    <n v="2"/>
    <s v="R1"/>
    <d v="2015-10-05T00:00:00"/>
    <s v="A.C."/>
    <n v="1.5"/>
    <n v="0.25"/>
    <n v="0.1"/>
    <n v="0.22500000000000001"/>
    <n v="3.2858999999999998"/>
    <n v="3.5"/>
    <n v="1.7749999999999999"/>
    <n v="0.2"/>
    <n v="7.4999999999999997E-2"/>
    <n v="2.5000000000000001E-2"/>
    <n v="5.88408"/>
    <n v="6"/>
    <n v="0"/>
    <n v="0"/>
    <n v="2.0750000000000002"/>
    <n v="0.94733999999999996"/>
    <n v="148.62"/>
    <n v="3.5"/>
    <n v="2.0865879999999999"/>
    <x v="99"/>
    <n v="145.26"/>
    <n v="2.0156800000000001"/>
    <n v="0"/>
    <n v="0"/>
    <n v="0"/>
    <n v="0"/>
  </r>
  <r>
    <n v="1691"/>
    <s v="แขวงทางหลวงฉะเชิงเทรา"/>
    <n v="421"/>
    <n v="3245"/>
    <n v="400"/>
    <s v="หนองไม้แก่น - ลาดกระทิง"/>
    <n v="81317"/>
    <n v="92292"/>
    <n v="10.975"/>
    <n v="2"/>
    <s v="L1"/>
    <d v="2015-08-10T00:00:00"/>
    <s v="A.C."/>
    <n v="2.7"/>
    <n v="4.2"/>
    <n v="2.3250000000000002"/>
    <n v="1.75"/>
    <n v="3.6799300000000001"/>
    <n v="3.5"/>
    <n v="8.4749999999999996"/>
    <n v="1.825"/>
    <n v="0.45"/>
    <n v="0.22500000000000001"/>
    <n v="7.2781099999999999"/>
    <n v="7.5"/>
    <n v="0"/>
    <n v="0"/>
    <n v="10.975"/>
    <n v="1.3354699999999999"/>
    <n v="800.99"/>
    <n v="0"/>
    <n v="2.0852326716563621"/>
    <x v="99"/>
    <n v="0"/>
    <n v="0"/>
    <n v="416"/>
    <n v="1.0829808005206638"/>
    <n v="0"/>
    <n v="0"/>
  </r>
  <r>
    <n v="982"/>
    <s v="แขวงทางหลวงนครราชสีมาที่ 3"/>
    <n v="614"/>
    <n v="206"/>
    <n v="200"/>
    <s v="วังหิน - หินดาด"/>
    <n v="12210"/>
    <n v="36576"/>
    <n v="24.38"/>
    <n v="2"/>
    <s v="L1"/>
    <d v="2015-05-07T00:00:00"/>
    <s v="A.C."/>
    <n v="18.492000000000001"/>
    <n v="4.8129999999999997"/>
    <n v="0.96299999999999997"/>
    <n v="0.113"/>
    <n v="2.12384"/>
    <n v="2"/>
    <n v="21.256"/>
    <n v="2.4670000000000001"/>
    <n v="0.6"/>
    <n v="5.7000000000000002E-2"/>
    <n v="5.2315100000000001"/>
    <n v="5"/>
    <n v="0"/>
    <n v="0"/>
    <n v="24.381"/>
    <n v="1.70512"/>
    <n v="1758.52"/>
    <n v="0"/>
    <n v="2.0608461268018283"/>
    <x v="99"/>
    <n v="0"/>
    <n v="0"/>
    <n v="0"/>
    <n v="0"/>
    <n v="0"/>
    <n v="0"/>
  </r>
  <r>
    <n v="1315"/>
    <s v="แขวงทางหลวงกาญจนบุรี"/>
    <n v="444"/>
    <n v="323"/>
    <n v="208"/>
    <s v="ท่าขนุน - เจดีย์สามองค์"/>
    <n v="204826"/>
    <n v="287167"/>
    <n v="82.340999999999994"/>
    <n v="2"/>
    <s v="L1"/>
    <d v="2015-07-25T00:00:00"/>
    <s v="A.C."/>
    <n v="36.950000000000003"/>
    <n v="22.975000000000001"/>
    <n v="13.6"/>
    <n v="9.1"/>
    <n v="3.1640299999999999"/>
    <n v="3"/>
    <n v="77.474999999999994"/>
    <n v="3.3"/>
    <n v="0.85"/>
    <n v="0.97499999999999998"/>
    <n v="3.6281099999999999"/>
    <n v="3.5"/>
    <n v="0"/>
    <n v="0"/>
    <n v="82.625"/>
    <n v="1.1949799999999999"/>
    <n v="5839"/>
    <n v="145"/>
    <n v="2.0512259991984552"/>
    <x v="99"/>
    <n v="957"/>
    <n v="0.33206855810419039"/>
    <n v="836"/>
    <n v="0.29008287834389046"/>
    <n v="3"/>
    <n v="1.0409672667842959E-3"/>
  </r>
  <r>
    <n v="401"/>
    <s v="แขวงทางหลวงพิษณุโลกที่ 1"/>
    <n v="511"/>
    <n v="1061"/>
    <n v="100"/>
    <s v="แยกเรือนแพ - พิษณุโลก"/>
    <s v="0+000"/>
    <s v="2+376"/>
    <n v="2.3759999999999999"/>
    <s v="L4"/>
    <n v="8"/>
    <d v="2015-09-19T00:00:00"/>
    <s v="A.C."/>
    <n v="0.66"/>
    <n v="1.03"/>
    <n v="0.4"/>
    <n v="0.28000000000000003"/>
    <n v="3.8103199999999999"/>
    <n v="4"/>
    <n v="2.38"/>
    <n v="0"/>
    <n v="0"/>
    <n v="0"/>
    <n v="1.94503"/>
    <n v="2"/>
    <n v="0"/>
    <n v="0"/>
    <n v="2.38"/>
    <n v="1.056"/>
    <n v="163.25299999999999"/>
    <n v="14.336"/>
    <n v="2.049315"/>
    <x v="100"/>
    <n v="125"/>
    <n v="1.5031270000000001"/>
    <n v="1"/>
    <n v="1.2024999999999999E-2"/>
    <n v="0"/>
    <n v="0"/>
  </r>
  <r>
    <n v="169"/>
    <s v="แขวงทางหลวงเชียงรายที่ 1"/>
    <n v="533"/>
    <n v="109"/>
    <n v="100"/>
    <s v="แม่สรวย - ห้วยป่าไร่"/>
    <s v="0+000"/>
    <s v="31+425"/>
    <n v="31.425000000000001"/>
    <n v="2"/>
    <s v="L1"/>
    <d v="2015-07-14T00:00:00"/>
    <s v="A.C."/>
    <n v="16.5"/>
    <n v="9.4600000000000009"/>
    <n v="3.61"/>
    <n v="1.86"/>
    <n v="2.4620000000000002"/>
    <n v="2.5"/>
    <n v="29.08"/>
    <n v="1.61"/>
    <n v="0.55000000000000004"/>
    <n v="0.18"/>
    <n v="5.12"/>
    <n v="5"/>
    <n v="0.02"/>
    <n v="7.0000000000000007E-2"/>
    <n v="31.33"/>
    <n v="1.226"/>
    <n v="1717.1"/>
    <n v="1072.6199999999999"/>
    <n v="2.0487873622002497"/>
    <x v="100"/>
    <n v="268.73"/>
    <n v="0.24432776451869531"/>
    <n v="112.54"/>
    <n v="0.10232071826343904"/>
    <n v="356.62"/>
    <n v="0.32423684509603368"/>
  </r>
  <r>
    <n v="464"/>
    <s v="แขวงทางหลวงพิษณุโลกที่ 2 (วังทอง)"/>
    <n v="515"/>
    <n v="1121"/>
    <n v="100"/>
    <s v="วัดโบสถ์ - แม่น้ำแควน้อย"/>
    <s v="0+000"/>
    <s v="0+806"/>
    <n v="0.80600000000000005"/>
    <s v="L1"/>
    <n v="2"/>
    <d v="2015-09-22T00:00:00"/>
    <s v="A.C."/>
    <n v="0.56999999999999995"/>
    <n v="0.17"/>
    <n v="0.03"/>
    <n v="0.04"/>
    <n v="2.37243"/>
    <n v="2.5"/>
    <n v="0.81"/>
    <n v="0"/>
    <n v="0"/>
    <n v="0"/>
    <n v="2.6680799999999998"/>
    <n v="2.5"/>
    <n v="0"/>
    <n v="0"/>
    <n v="0.92500000000000016"/>
    <n v="0.90367600000000003"/>
    <n v="56.21"/>
    <n v="2.6349999999999998"/>
    <n v="2.0392591279688057"/>
    <x v="100"/>
    <n v="86.956999999999994"/>
    <n v="3.0824884792626723"/>
    <n v="0"/>
    <n v="0"/>
    <n v="0"/>
    <n v="0"/>
  </r>
  <r>
    <n v="76"/>
    <s v="แขวงทางหลวงลำพูน"/>
    <n v="524"/>
    <n v="1103"/>
    <n v="100"/>
    <s v="ลี้ - พระบาทตะเมาะ"/>
    <s v="0+000"/>
    <s v="6+000"/>
    <n v="6"/>
    <n v="2"/>
    <s v="L1"/>
    <d v="2015-08-11T00:00:00"/>
    <s v="A.C."/>
    <n v="3.375"/>
    <n v="2.0750000000000002"/>
    <n v="0.5"/>
    <n v="0.05"/>
    <n v="2.5478299999999998"/>
    <n v="2.5"/>
    <n v="5.8250000000000002"/>
    <n v="0.17499999999999999"/>
    <n v="0"/>
    <n v="0"/>
    <n v="3.54549"/>
    <n v="3.5"/>
    <n v="0"/>
    <n v="0"/>
    <n v="6"/>
    <n v="1.3838999999999999"/>
    <n v="418.83"/>
    <n v="0"/>
    <n v="1.9944285714285712"/>
    <x v="100"/>
    <n v="0"/>
    <n v="0"/>
    <n v="0"/>
    <n v="0"/>
    <n v="0"/>
    <n v="0"/>
  </r>
  <r>
    <n v="573"/>
    <s v="แขวงทางหลวงเพชรบูรณ์ที่ 1"/>
    <n v="551"/>
    <n v="2474"/>
    <n v="100"/>
    <s v="ดงขวาง - ห้วยลาน"/>
    <n v="0"/>
    <n v="4043"/>
    <n v="4.0430000000000001"/>
    <n v="2"/>
    <s v="L1"/>
    <d v="2015-08-07T00:00:00"/>
    <s v="A.C."/>
    <n v="3.04"/>
    <n v="0.68"/>
    <n v="0.27"/>
    <n v="0.05"/>
    <n v="2.09497"/>
    <n v="2"/>
    <n v="3.94"/>
    <n v="0.11"/>
    <n v="0.05"/>
    <n v="0"/>
    <n v="4.3889800000000001"/>
    <n v="4.5"/>
    <n v="0"/>
    <n v="0"/>
    <n v="4.0999999999999996"/>
    <n v="1.1559200000000001"/>
    <n v="280"/>
    <n v="0"/>
    <n v="1.9787286668315605"/>
    <x v="100"/>
    <n v="0"/>
    <n v="0"/>
    <n v="0"/>
    <n v="0"/>
    <n v="0"/>
    <n v="0"/>
  </r>
  <r>
    <n v="1092"/>
    <s v="แขวงทางหลวงสระแก้ว (วัฒนานคร)"/>
    <n v="619"/>
    <n v="3618"/>
    <n v="100"/>
    <s v="ทางเดิมเข้าห้วยโจด"/>
    <s v="6+050"/>
    <s v="0+000"/>
    <n v="6.05"/>
    <n v="2"/>
    <s v="R1"/>
    <d v="2015-03-31T00:00:00"/>
    <s v="A.C."/>
    <n v="4.42"/>
    <n v="1.21"/>
    <n v="0.27"/>
    <n v="0.17"/>
    <n v="2.3416700000000001"/>
    <n v="2.5"/>
    <n v="4.75"/>
    <n v="0.92"/>
    <n v="0.32"/>
    <n v="0.08"/>
    <n v="7.0513300000000001"/>
    <n v="7"/>
    <n v="0"/>
    <n v="0"/>
    <n v="6.05"/>
    <n v="1.1413"/>
    <n v="415.48"/>
    <n v="0"/>
    <n v="1.9621251475796933"/>
    <x v="100"/>
    <n v="6.55"/>
    <n v="3.0932703659976388E-2"/>
    <n v="0"/>
    <n v="0"/>
    <n v="0"/>
    <n v="0"/>
  </r>
  <r>
    <n v="1538"/>
    <s v="แขวงทางหลวงนครนายก"/>
    <n v="414"/>
    <n v="3288"/>
    <n v="100"/>
    <s v="ท่าแดง - วังม่วง"/>
    <n v="0"/>
    <n v="14573"/>
    <n v="14.573"/>
    <n v="2"/>
    <s v="L1"/>
    <d v="2015-09-19T00:00:00"/>
    <s v="A.C."/>
    <n v="8.5749999999999993"/>
    <n v="3.5750000000000002"/>
    <n v="1.5"/>
    <n v="0.85"/>
    <n v="2.6467399999999999"/>
    <n v="2.5"/>
    <n v="14.3"/>
    <n v="0.17499999999999999"/>
    <n v="2.5000000000000001E-2"/>
    <n v="0"/>
    <n v="3.70051"/>
    <n v="3.5"/>
    <n v="0"/>
    <n v="0"/>
    <n v="14.573"/>
    <n v="1.2902"/>
    <n v="202"/>
    <n v="1591.46"/>
    <n v="1.9561223789591318"/>
    <x v="100"/>
    <n v="13199"/>
    <n v="25.877601435139347"/>
    <n v="1280.0999999999999"/>
    <n v="2.5097293429139995"/>
    <n v="417"/>
    <n v="0.8175588907078648"/>
  </r>
  <r>
    <n v="2126"/>
    <s v="แขวงทางหลวงภูเก็ต"/>
    <n v="324"/>
    <n v="4029"/>
    <n v="100"/>
    <s v="กะทู้ - ป่าตอง"/>
    <n v="2836"/>
    <n v="0"/>
    <n v="2.8359999999999999"/>
    <n v="4"/>
    <s v="R2"/>
    <d v="2015-05-14T00:00:00"/>
    <s v="A.C."/>
    <n v="0.95"/>
    <n v="1.05"/>
    <n v="1"/>
    <n v="0.72499999999999998"/>
    <n v="3.66201"/>
    <n v="3.5"/>
    <n v="3.5750000000000002"/>
    <n v="0.1"/>
    <n v="0.05"/>
    <n v="0"/>
    <n v="4.55403"/>
    <n v="4.5"/>
    <n v="0"/>
    <n v="0"/>
    <n v="3.7250000000000001"/>
    <n v="1.2876399999999999"/>
    <n v="162.96"/>
    <n v="62.33"/>
    <n v="1.9557223453556316"/>
    <x v="100"/>
    <n v="258.20999999999998"/>
    <n v="2.6013499899254482"/>
    <n v="1.2"/>
    <n v="1.2089462018940157E-2"/>
    <n v="0"/>
    <n v="0"/>
  </r>
  <r>
    <n v="1322"/>
    <s v="แขวงทางหลวงกาญจนบุรี"/>
    <n v="444"/>
    <n v="3085"/>
    <n v="101"/>
    <s v="ยางเกาะ - ลำทราย"/>
    <n v="0"/>
    <n v="20738"/>
    <n v="20.738"/>
    <n v="2"/>
    <s v="L1"/>
    <d v="2015-07-28T00:00:00"/>
    <s v="A.C."/>
    <n v="12.775"/>
    <n v="6.55"/>
    <n v="1.05"/>
    <n v="0.45"/>
    <n v="2.5072399999999999"/>
    <n v="2.5"/>
    <n v="20.5"/>
    <n v="0.3"/>
    <n v="2.5000000000000001E-2"/>
    <n v="0"/>
    <n v="2.9802200000000001"/>
    <n v="3"/>
    <n v="0"/>
    <n v="0"/>
    <n v="20.824999999999999"/>
    <n v="1.13713"/>
    <n v="562"/>
    <n v="1710"/>
    <n v="1.9522477715167463"/>
    <x v="100"/>
    <n v="3"/>
    <n v="4.1331992339804086E-3"/>
    <n v="0"/>
    <n v="0"/>
    <n v="0"/>
    <n v="0"/>
  </r>
  <r>
    <n v="1774"/>
    <s v="แขวงทางหลวงระยอง"/>
    <n v="426"/>
    <n v="3191"/>
    <n v="102"/>
    <s v="แยกนิคมพัฒนา - อ่างเก็บน้ำหนองปลาไหล"/>
    <n v="25545"/>
    <n v="13600"/>
    <n v="11.945"/>
    <n v="4"/>
    <s v="R2"/>
    <d v="2015-08-17T00:00:00"/>
    <s v="A.C."/>
    <n v="5.6749999999999998"/>
    <n v="4.0250000000000004"/>
    <n v="1.7"/>
    <n v="0.6"/>
    <n v="2.8227699999999998"/>
    <n v="3"/>
    <n v="10.074999999999999"/>
    <n v="1.45"/>
    <n v="0.4"/>
    <n v="7.4999999999999997E-2"/>
    <n v="7.3393699999999997"/>
    <n v="7.5"/>
    <n v="0"/>
    <n v="0"/>
    <n v="11.999999999999998"/>
    <n v="1.28416"/>
    <n v="804.99"/>
    <n v="17.510000000000002"/>
    <n v="1.94641"/>
    <x v="101"/>
    <n v="0"/>
    <n v="0"/>
    <n v="2420"/>
    <n v="5.7884349999999998"/>
    <n v="200.75"/>
    <n v="0.48018"/>
  </r>
  <r>
    <n v="1769"/>
    <s v="แขวงทางหลวงระยอง"/>
    <n v="426"/>
    <n v="3139"/>
    <n v="100"/>
    <s v="บ้านแลง - หาดใหญ่"/>
    <n v="0"/>
    <n v="21234"/>
    <n v="21.234000000000002"/>
    <n v="2"/>
    <s v="L1"/>
    <d v="2015-08-17T00:00:00"/>
    <s v="A.C."/>
    <n v="17.3"/>
    <n v="2.875"/>
    <n v="0.82499999999999996"/>
    <n v="0.2"/>
    <n v="2.0503300000000002"/>
    <n v="2"/>
    <n v="20.875"/>
    <n v="0.32500000000000001"/>
    <n v="0"/>
    <n v="0"/>
    <n v="4.5953099999999996"/>
    <n v="4.5"/>
    <n v="0"/>
    <n v="0"/>
    <n v="21.2"/>
    <n v="1.33389"/>
    <n v="1434.24"/>
    <n v="21.78"/>
    <n v="1.9444999999999999"/>
    <x v="101"/>
    <n v="5071.63"/>
    <n v="6.8241399999999999"/>
    <n v="6619"/>
    <n v="8.9062020000000004"/>
    <n v="414.59"/>
    <n v="0.55784999999999996"/>
  </r>
  <r>
    <n v="1290"/>
    <s v="แขวงทางหลวงสุพรรณบุรีที่ 1"/>
    <n v="441"/>
    <n v="3373"/>
    <n v="200"/>
    <s v="คลองลี่ - ศรีประจันต์"/>
    <n v="17200"/>
    <n v="11670"/>
    <n v="5.53"/>
    <n v="2"/>
    <s v="R1"/>
    <d v="2015-06-29T00:00:00"/>
    <s v="A.C."/>
    <n v="4.5250000000000004"/>
    <n v="0.6"/>
    <n v="0.25"/>
    <n v="2.5000000000000001E-2"/>
    <n v="2.0363000000000002"/>
    <n v="2"/>
    <n v="5.2750000000000004"/>
    <n v="0.125"/>
    <n v="0"/>
    <n v="0"/>
    <n v="4.4304699999999997"/>
    <n v="4.5"/>
    <n v="0"/>
    <n v="0"/>
    <n v="5.4"/>
    <n v="0.98384300000000002"/>
    <n v="354.77"/>
    <n v="34.700000000000003"/>
    <n v="1.9226039783001809"/>
    <x v="101"/>
    <n v="127.54"/>
    <n v="0.65895117540687165"/>
    <n v="3.4"/>
    <n v="1.7566520278997674E-2"/>
    <n v="0"/>
    <n v="0"/>
  </r>
  <r>
    <n v="153"/>
    <s v="แขวงทางหลวงแพร่"/>
    <n v="531"/>
    <n v="1154"/>
    <n v="100"/>
    <s v="สอง - แก่งเสือเต้น"/>
    <s v="0+000"/>
    <s v="30+788"/>
    <n v="30.788"/>
    <n v="2"/>
    <s v="L1"/>
    <d v="2015-08-06T00:00:00"/>
    <s v="A.C."/>
    <n v="12.64"/>
    <n v="6.18"/>
    <n v="7.56"/>
    <n v="4.42"/>
    <n v="3.2549999999999999"/>
    <n v="3.5"/>
    <n v="12.6"/>
    <n v="6.45"/>
    <n v="4.0999999999999996"/>
    <n v="7.66"/>
    <n v="14.74"/>
    <n v="14.5"/>
    <n v="0"/>
    <n v="0"/>
    <n v="30.79"/>
    <n v="1.597"/>
    <n v="1539.2"/>
    <n v="1034.2500000000007"/>
    <n v="1.9082805916962085"/>
    <x v="101"/>
    <n v="157.32"/>
    <n v="0.14599380092429332"/>
    <n v="3414.1400000000003"/>
    <n v="3.1683401696393778"/>
    <n v="7563.6200000000035"/>
    <n v="7.0190797898995934"/>
  </r>
  <r>
    <n v="1368"/>
    <s v="แขวงทางหลวงสุพรรณบุรีที่ 2 (อู่ทอง)"/>
    <n v="445"/>
    <n v="3351"/>
    <n v="200"/>
    <s v="บางแม่หม้าย - บางน้อยใน"/>
    <n v="35602"/>
    <n v="18500"/>
    <n v="17.001999999999999"/>
    <n v="2"/>
    <s v="R1"/>
    <d v="2015-07-22T00:00:00"/>
    <s v="A.C."/>
    <n v="13.875"/>
    <n v="1.7749999999999999"/>
    <n v="0.57499999999999996"/>
    <n v="0.95"/>
    <n v="2.2474099999999999"/>
    <n v="2"/>
    <n v="16.725000000000001"/>
    <n v="0.4"/>
    <n v="2.5000000000000001E-2"/>
    <n v="2.5000000000000001E-2"/>
    <n v="4.3209"/>
    <n v="4.5"/>
    <n v="0"/>
    <n v="0"/>
    <n v="17.175000000000001"/>
    <n v="1.0817000000000001"/>
    <n v="892"/>
    <n v="484"/>
    <n v="1.9056581578637808"/>
    <x v="101"/>
    <n v="0"/>
    <n v="0"/>
    <n v="92"/>
    <n v="0.15460366007360479"/>
    <n v="0"/>
    <n v="0"/>
  </r>
  <r>
    <n v="969"/>
    <s v="แขวงทางหลวงนครราชสีมาที่ 2"/>
    <n v="612"/>
    <n v="2161"/>
    <n v="100"/>
    <s v="มอสูง - โสกแจ้ง"/>
    <n v="15514"/>
    <n v="0"/>
    <n v="15.513999999999999"/>
    <n v="2"/>
    <s v="R1"/>
    <d v="2015-04-22T00:00:00"/>
    <s v="A.C."/>
    <n v="5.15"/>
    <n v="5.8"/>
    <n v="3.4249999999999998"/>
    <n v="1.2749999999999999"/>
    <n v="3.2352699999999999"/>
    <n v="3"/>
    <n v="13.475"/>
    <n v="1.6"/>
    <n v="0.32500000000000001"/>
    <n v="0.25"/>
    <n v="5.9111799999999999"/>
    <n v="6"/>
    <n v="0"/>
    <n v="0"/>
    <n v="15.65"/>
    <n v="1.7061500000000001"/>
    <n v="1027.8399999999999"/>
    <n v="0"/>
    <n v="1.89293"/>
    <x v="101"/>
    <n v="406"/>
    <n v="0.74770999999999999"/>
    <n v="0"/>
    <n v="0"/>
    <n v="103"/>
    <n v="0.18969"/>
  </r>
  <r>
    <n v="517"/>
    <s v="แขวงทางหลวงอุตรดิตถ์ที่ 1"/>
    <n v="557"/>
    <n v="1104"/>
    <n v="100"/>
    <s v="ทางเข้าวังกะพี้"/>
    <s v="0+946"/>
    <s v="0+000"/>
    <n v="0.94599999999999995"/>
    <s v="R1"/>
    <n v="2"/>
    <d v="2015-09-23T00:00:00"/>
    <s v="A.C."/>
    <n v="0.57499999999999996"/>
    <n v="0.3"/>
    <n v="0.05"/>
    <n v="0.03"/>
    <n v="2.5552600000000001"/>
    <n v="2.5"/>
    <n v="0.95"/>
    <n v="0"/>
    <n v="0"/>
    <n v="0"/>
    <n v="0.75463199999999997"/>
    <n v="1"/>
    <n v="0"/>
    <n v="0"/>
    <n v="0.95500000000000007"/>
    <n v="0.907053"/>
    <n v="49.32"/>
    <n v="25.65"/>
    <n v="1.876925"/>
    <x v="101"/>
    <n v="65.739999999999995"/>
    <n v="1.985503"/>
    <n v="0"/>
    <n v="0"/>
    <n v="0"/>
    <n v="0"/>
  </r>
  <r>
    <n v="916"/>
    <s v="แขวงทางหลวงศรีสะเกษที่ 1"/>
    <n v="638"/>
    <n v="226"/>
    <n v="402"/>
    <s v="ศรีสะเกษ - ห้วยขะยุง"/>
    <n v="277679"/>
    <n v="313384"/>
    <n v="35.704999999999998"/>
    <n v="4"/>
    <s v="L2"/>
    <d v="2015-05-12T00:00:00"/>
    <s v="A.C."/>
    <n v="19.100000000000001"/>
    <n v="10.85"/>
    <n v="4.125"/>
    <n v="1.45"/>
    <n v="2.6782400000000002"/>
    <n v="2.5"/>
    <n v="23.375"/>
    <n v="9.6"/>
    <n v="2.2250000000000001"/>
    <n v="0.32500000000000001"/>
    <n v="8.7358200000000004"/>
    <n v="8.5"/>
    <n v="0"/>
    <n v="0"/>
    <n v="35.525000000000006"/>
    <n v="1.49569"/>
    <n v="2461.8200000000002"/>
    <n v="0"/>
    <n v="1.84623"/>
    <x v="102"/>
    <n v="2.2000000000000002"/>
    <n v="1.65E-3"/>
    <n v="173.9"/>
    <n v="0.130416"/>
    <n v="0"/>
    <n v="0"/>
  </r>
  <r>
    <n v="1252"/>
    <s v="แขวงทางหลวงนครสวรรค์ที่ 1"/>
    <n v="437"/>
    <n v="3628"/>
    <n v="100"/>
    <s v="ทางเข้าตลาดเจริญผล"/>
    <s v="0+000"/>
    <s v="0+230"/>
    <n v="0.23"/>
    <n v="2"/>
    <s v="L1"/>
    <d v="2015-10-05T00:00:00"/>
    <s v="A.C."/>
    <n v="0.17499999999999999"/>
    <n v="0"/>
    <n v="0"/>
    <n v="7.4999999999999997E-2"/>
    <n v="3.8260000000000001"/>
    <n v="4"/>
    <n v="0.25"/>
    <n v="0"/>
    <n v="0"/>
    <n v="0"/>
    <n v="1.3948"/>
    <n v="1.5"/>
    <n v="0"/>
    <n v="0"/>
    <n v="0.23"/>
    <n v="1.1564000000000001"/>
    <n v="14.6"/>
    <n v="0.33600000000000002"/>
    <n v="1.8345341614906832"/>
    <x v="102"/>
    <n v="2.0019999999999998"/>
    <n v="0.24869565217391301"/>
    <n v="0"/>
    <n v="0"/>
    <n v="0"/>
    <n v="0"/>
  </r>
  <r>
    <n v="95"/>
    <s v="แขวงทางหลวงแม่ฮ่องสอน"/>
    <n v="526"/>
    <n v="1250"/>
    <n v="100"/>
    <s v="ไม้แงะ - ท่าโป่งแดง"/>
    <s v="0+000"/>
    <s v="2+300"/>
    <n v="2.2999999999999998"/>
    <n v="2"/>
    <s v="L1"/>
    <d v="2015-08-28T00:00:00"/>
    <s v="A.C."/>
    <n v="0.22"/>
    <n v="0.71"/>
    <n v="1.04"/>
    <n v="0.33"/>
    <n v="3.9197600000000001"/>
    <n v="4"/>
    <n v="2.2999999999999998"/>
    <n v="0"/>
    <n v="0"/>
    <n v="0"/>
    <n v="2.3868900000000002"/>
    <n v="2.5"/>
    <n v="0"/>
    <n v="0"/>
    <n v="2.2999999999999998"/>
    <n v="1.1698500000000001"/>
    <n v="145.19999999999999"/>
    <n v="0"/>
    <n v="1.8037267080745343"/>
    <x v="102"/>
    <n v="0"/>
    <n v="0"/>
    <n v="0"/>
    <n v="0"/>
    <n v="0"/>
    <n v="0"/>
  </r>
  <r>
    <n v="1747"/>
    <s v="แขวงทางหลวงจันทบุรี"/>
    <n v="423"/>
    <n v="3448"/>
    <n v="100"/>
    <s v="ทุ่งขนาน - ตาเรือง"/>
    <n v="10908"/>
    <n v="0"/>
    <n v="10.907999999999999"/>
    <n v="2"/>
    <s v="R1"/>
    <d v="2015-08-18T00:00:00"/>
    <s v="A.C."/>
    <n v="7.1"/>
    <n v="2.75"/>
    <n v="0.77500000000000002"/>
    <n v="0.4"/>
    <n v="2.3109799999999998"/>
    <n v="2.5"/>
    <n v="10.375"/>
    <n v="0.45"/>
    <n v="0.05"/>
    <n v="0.15"/>
    <n v="2.7364799999999998"/>
    <n v="2.5"/>
    <n v="0"/>
    <n v="0"/>
    <n v="10.907999999999999"/>
    <n v="1.24837"/>
    <n v="4.41"/>
    <n v="1356.12"/>
    <n v="1.7876001885902875"/>
    <x v="102"/>
    <n v="0"/>
    <n v="0"/>
    <n v="914"/>
    <n v="2.3940489287023943"/>
    <n v="18.38"/>
    <n v="4.8140000000000002E-2"/>
  </r>
  <r>
    <n v="2020"/>
    <s v="แขวงทางหลวงสุราษฎร์ธานี ที่ 1 (พุนพิน)"/>
    <n v="325"/>
    <n v="4256"/>
    <n v="100"/>
    <s v="ต้นปาบ - วิภาวดี"/>
    <n v="0"/>
    <n v="24159"/>
    <n v="24.158999999999999"/>
    <n v="2"/>
    <s v="L1"/>
    <d v="2015-04-23T00:00:00"/>
    <s v="A.C."/>
    <n v="9.08"/>
    <n v="8.9600000000000009"/>
    <n v="4.16"/>
    <n v="1.96"/>
    <n v="3.0972"/>
    <n v="3"/>
    <n v="20.66"/>
    <n v="2.67"/>
    <n v="0.47"/>
    <n v="0.36"/>
    <n v="6.0231500000000002"/>
    <n v="6"/>
    <n v="0"/>
    <n v="0"/>
    <n v="24.16"/>
    <n v="1.33846"/>
    <n v="1504.21"/>
    <n v="0"/>
    <n v="1.77894070828381"/>
    <x v="102"/>
    <n v="6"/>
    <n v="7.0958471554522715E-3"/>
    <n v="371.12"/>
    <n v="0.43890179938857449"/>
    <n v="0"/>
    <n v="0"/>
  </r>
  <r>
    <n v="2107"/>
    <s v="แขวงทางหลวงภูเก็ต"/>
    <n v="324"/>
    <n v="402"/>
    <n v="102"/>
    <s v="หมากปรก - เมืองภูเก็ต"/>
    <n v="21856"/>
    <n v="48958"/>
    <n v="27.102"/>
    <n v="4"/>
    <s v="L2"/>
    <d v="2015-05-15T00:00:00"/>
    <s v="A.C."/>
    <n v="16.5"/>
    <n v="5.2249999999999996"/>
    <n v="3.5"/>
    <n v="1.925"/>
    <n v="2.6863199999999998"/>
    <n v="2.5"/>
    <n v="24"/>
    <n v="2.375"/>
    <n v="0.55000000000000004"/>
    <n v="0.22500000000000001"/>
    <n v="5.9686500000000002"/>
    <n v="6"/>
    <n v="0"/>
    <n v="0"/>
    <n v="27.150000000000002"/>
    <n v="1.22926"/>
    <n v="1674"/>
    <n v="0"/>
    <n v="1.7647616939182136"/>
    <x v="102"/>
    <n v="25"/>
    <n v="2.6355461378706896E-2"/>
    <n v="0"/>
    <n v="0"/>
    <n v="0"/>
    <n v="0"/>
  </r>
  <r>
    <n v="621"/>
    <s v="แขวงทางหลวงเลยที่ 2 (ด่านซ้าย)"/>
    <n v="555"/>
    <n v="2115"/>
    <n v="102"/>
    <s v="โคกใหญ่ - ปากห้วย"/>
    <n v="27450"/>
    <n v="47821"/>
    <n v="20.370999999999999"/>
    <n v="2"/>
    <s v="L1"/>
    <d v="2015-07-01T00:00:00"/>
    <s v="A.C."/>
    <n v="9.3000000000000007"/>
    <n v="6.2"/>
    <n v="2.5249999999999999"/>
    <n v="1.1000000000000001"/>
    <n v="2.8134399999999999"/>
    <n v="3"/>
    <n v="18.7"/>
    <n v="0.32500000000000001"/>
    <n v="0.1"/>
    <n v="0"/>
    <n v="2.7690100000000002"/>
    <n v="3"/>
    <n v="0"/>
    <n v="0"/>
    <n v="19.125"/>
    <n v="1.2171799999999999"/>
    <n v="1142"/>
    <n v="224.6"/>
    <n v="1.7592235460774073"/>
    <x v="102"/>
    <n v="0"/>
    <n v="0"/>
    <n v="19"/>
    <n v="2.664852696760802E-2"/>
    <n v="0"/>
    <n v="0"/>
  </r>
  <r>
    <n v="1908"/>
    <s v="แขวงทางหลวงสมุทรสงคราม"/>
    <n v="337"/>
    <n v="3335"/>
    <n v="100"/>
    <s v="บ้านสิงห์ - บ้านแพ้ว"/>
    <n v="0"/>
    <n v="26398"/>
    <n v="26.398"/>
    <n v="2"/>
    <s v="L1"/>
    <d v="2015-03-28T00:00:00"/>
    <s v="A.C."/>
    <n v="11.37"/>
    <n v="8.9600000000000009"/>
    <n v="3.82"/>
    <n v="2.25"/>
    <n v="3.0329899999999999"/>
    <n v="3"/>
    <n v="20.62"/>
    <n v="2.97"/>
    <n v="1.36"/>
    <n v="1.44"/>
    <n v="7.4954400000000003"/>
    <n v="7.5"/>
    <n v="0"/>
    <n v="0"/>
    <n v="26.4"/>
    <n v="1.15825"/>
    <n v="1480.36"/>
    <n v="268.83999999999997"/>
    <n v="1.7477298063706126"/>
    <x v="103"/>
    <n v="88.79"/>
    <n v="9.6100353922916257E-2"/>
    <n v="165.46"/>
    <n v="0.17908283095039668"/>
    <n v="1"/>
    <n v="1.0823330771811718E-3"/>
  </r>
  <r>
    <n v="2181"/>
    <s v="แขวงทางหลวงสงขลาที่ 1"/>
    <n v="311"/>
    <n v="4208"/>
    <n v="100"/>
    <s v="ทางเข้าสถานีรถไฟบางกล่ำ"/>
    <n v="0"/>
    <n v="6225"/>
    <n v="6.2249999999999996"/>
    <n v="2"/>
    <s v="L1"/>
    <d v="2015-05-21T00:00:00"/>
    <s v="A.C."/>
    <n v="4.7750000000000004"/>
    <n v="0.85"/>
    <n v="0.47499999999999998"/>
    <n v="0.125"/>
    <n v="2.22715"/>
    <n v="2"/>
    <n v="5.375"/>
    <n v="0.65"/>
    <n v="0.1"/>
    <n v="0.1"/>
    <n v="5.7255799999999999"/>
    <n v="5.5"/>
    <n v="0"/>
    <n v="0"/>
    <n v="6.2249999999999996"/>
    <n v="1.3399000000000001"/>
    <n v="378.3"/>
    <n v="0"/>
    <n v="1.7363166953528402"/>
    <x v="103"/>
    <n v="34.01"/>
    <n v="0.15609868043602984"/>
    <n v="36.53"/>
    <n v="0.16766494549627081"/>
    <n v="0"/>
    <n v="0"/>
  </r>
  <r>
    <n v="1841"/>
    <s v="แขวงทางหลวงชุมพร"/>
    <n v="332"/>
    <n v="3181"/>
    <n v="100"/>
    <s v="ทางเข้าตลาดท่าแซะ"/>
    <n v="0"/>
    <n v="2852"/>
    <n v="2.8519999999999999"/>
    <n v="4"/>
    <s v="L2"/>
    <d v="2015-04-07T00:00:00"/>
    <s v="A.C."/>
    <n v="2.35"/>
    <n v="0.2"/>
    <n v="0.17499999999999999"/>
    <n v="0.1"/>
    <n v="2.15646"/>
    <n v="2"/>
    <n v="2.75"/>
    <n v="7.4999999999999997E-2"/>
    <n v="0"/>
    <n v="0"/>
    <n v="3.1776300000000002"/>
    <n v="3"/>
    <n v="0"/>
    <n v="0"/>
    <n v="2.8250000000000002"/>
    <n v="1.1333"/>
    <n v="158.94"/>
    <n v="26.22"/>
    <n v="1.7236024844720497"/>
    <x v="103"/>
    <n v="102.75"/>
    <n v="1.0293528351031858"/>
    <n v="0"/>
    <n v="0"/>
    <n v="12.369"/>
    <n v="0.12391304347826088"/>
  </r>
  <r>
    <n v="2116"/>
    <s v="แขวงทางหลวงภูเก็ต"/>
    <n v="324"/>
    <n v="4024"/>
    <n v="101"/>
    <s v="บางคู  - ตีนเขา"/>
    <n v="11650"/>
    <n v="0"/>
    <n v="11.65"/>
    <n v="4"/>
    <s v="R3"/>
    <d v="2015-05-14T00:00:00"/>
    <s v="A.C."/>
    <n v="5.55"/>
    <n v="2.5249999999999999"/>
    <n v="2.0499999999999998"/>
    <n v="1.5249999999999999"/>
    <n v="3.14303"/>
    <n v="3"/>
    <n v="10.199999999999999"/>
    <n v="0.72499999999999998"/>
    <n v="0.25"/>
    <n v="0.47499999999999998"/>
    <n v="5.8225499999999997"/>
    <n v="6"/>
    <n v="0"/>
    <n v="0"/>
    <n v="11.65"/>
    <n v="1.1543099999999999"/>
    <n v="638.79"/>
    <n v="125.88"/>
    <n v="1.7209809932556714"/>
    <x v="103"/>
    <n v="14.752000000000001"/>
    <n v="3.6179031269160028E-2"/>
    <n v="7.53"/>
    <n v="1.8467198038013489E-2"/>
    <n v="0"/>
    <n v="0"/>
  </r>
  <r>
    <n v="1390"/>
    <s v="แขวงทางหลวงชัยนาท"/>
    <n v="446"/>
    <n v="3183"/>
    <n v="102"/>
    <s v="คลองมอญ - หนองบัว"/>
    <n v="21963"/>
    <n v="28460"/>
    <n v="6.4969999999999999"/>
    <n v="2"/>
    <s v="L1"/>
    <d v="2015-08-04T00:00:00"/>
    <s v="A.C."/>
    <n v="4.3899999999999997"/>
    <n v="1.48"/>
    <n v="0.48"/>
    <n v="0.15"/>
    <n v="2.4633600000000002"/>
    <n v="2.5"/>
    <n v="5.54"/>
    <n v="0.78"/>
    <n v="0.1"/>
    <n v="0.08"/>
    <n v="6.7824900000000001"/>
    <n v="7"/>
    <n v="0"/>
    <n v="0"/>
    <n v="6.5"/>
    <n v="1.44278"/>
    <n v="352.65"/>
    <n v="75.400000000000006"/>
    <n v="1.7166164603443346"/>
    <x v="103"/>
    <n v="32.6"/>
    <n v="0.14336287077552279"/>
    <n v="0"/>
    <n v="0"/>
    <n v="0"/>
    <n v="0"/>
  </r>
  <r>
    <n v="1304"/>
    <s v="แขวงทางหลวงสุพรรณบุรีที่ 1"/>
    <n v="441"/>
    <n v="3605"/>
    <n v="100"/>
    <s v="โพธิ์พระยา - วังยาง"/>
    <n v="888"/>
    <n v="0"/>
    <n v="0.88800000000000001"/>
    <n v="2"/>
    <s v="R1"/>
    <d v="2015-07-01T00:00:00"/>
    <s v="A.C."/>
    <n v="0.32500000000000001"/>
    <n v="0.22500000000000001"/>
    <n v="7.4999999999999997E-2"/>
    <n v="0.2"/>
    <n v="4.6399999999999997"/>
    <n v="4.5"/>
    <n v="0.82499999999999996"/>
    <n v="0"/>
    <n v="0"/>
    <n v="0"/>
    <n v="3.6504799999999999"/>
    <n v="3.5"/>
    <n v="0"/>
    <n v="0"/>
    <n v="0.82499999999999996"/>
    <n v="1.31803"/>
    <n v="45.2"/>
    <n v="16.3"/>
    <n v="1.7165379665379665"/>
    <x v="103"/>
    <n v="245.3"/>
    <n v="7.8925353925353923"/>
    <n v="0"/>
    <n v="0"/>
    <n v="0"/>
    <n v="0"/>
  </r>
  <r>
    <n v="1240"/>
    <s v="แขวงทางหลวงนครสวรรค์ที่ 1"/>
    <n v="437"/>
    <n v="3220"/>
    <n v="200"/>
    <s v="เขาพะแวง - โกรกพระ"/>
    <s v="17+941"/>
    <s v="13+707"/>
    <n v="4.234"/>
    <n v="4"/>
    <s v="R1"/>
    <d v="2015-10-05T00:00:00"/>
    <s v="A.C."/>
    <n v="1.65"/>
    <n v="1.75"/>
    <n v="0.7"/>
    <n v="0.17499999999999999"/>
    <n v="2.96427"/>
    <n v="3"/>
    <n v="3.1749999999999998"/>
    <n v="0.65"/>
    <n v="0.25"/>
    <n v="0.2"/>
    <n v="7.5772599999999999"/>
    <n v="7.5"/>
    <n v="0"/>
    <n v="0"/>
    <n v="4.234"/>
    <n v="1.4245699999999999"/>
    <n v="241.67"/>
    <n v="18.963999999999999"/>
    <n v="1.6947972197854106"/>
    <x v="103"/>
    <n v="147.86000000000001"/>
    <n v="0.997773129091032"/>
    <n v="0"/>
    <n v="0"/>
    <n v="0"/>
    <n v="0"/>
  </r>
  <r>
    <n v="163"/>
    <s v="แขวงทางหลวงเชียงรายที่ 1"/>
    <n v="533"/>
    <n v="1"/>
    <n v="1403"/>
    <s v="เชียงราย - บ้านเด่น"/>
    <s v="929+117"/>
    <s v="944+000"/>
    <n v="14.052"/>
    <n v="4"/>
    <s v="L2"/>
    <d v="2015-07-18T00:00:00"/>
    <s v="A.C."/>
    <n v="7.14"/>
    <n v="3.64"/>
    <n v="2.42"/>
    <n v="0.86"/>
    <n v="3.2080000000000002"/>
    <n v="3"/>
    <n v="9.24"/>
    <n v="3.84"/>
    <n v="0.61"/>
    <n v="0.37"/>
    <n v="8.4749999999999996"/>
    <n v="8.5"/>
    <n v="0"/>
    <n v="0"/>
    <n v="14.05"/>
    <n v="0.98699999999999999"/>
    <n v="652.54999999999995"/>
    <n v="348.28"/>
    <n v="1.6808791834410961"/>
    <x v="103"/>
    <n v="0.84"/>
    <n v="1.7079419299743809E-3"/>
    <n v="291.39"/>
    <n v="0.59247285592289856"/>
    <n v="0"/>
    <n v="0"/>
  </r>
  <r>
    <n v="1962"/>
    <s v="แขวงทางหลวงนครศรีธรรมราชที่ 1"/>
    <n v="321"/>
    <n v="4186"/>
    <n v="100"/>
    <s v="โรงเหล็ก - ห้วยพาน"/>
    <n v="16564"/>
    <n v="0"/>
    <n v="16.564"/>
    <n v="2"/>
    <s v="R1"/>
    <d v="2015-04-30T00:00:00"/>
    <s v="A.C."/>
    <n v="5.3"/>
    <n v="5.2"/>
    <n v="3.0249999999999999"/>
    <n v="2.95"/>
    <n v="3.4941900000000001"/>
    <n v="3.5"/>
    <n v="8.3000000000000007"/>
    <n v="3.8"/>
    <n v="2"/>
    <n v="2.375"/>
    <n v="12.115500000000001"/>
    <n v="12"/>
    <n v="0"/>
    <n v="0"/>
    <n v="16.475000000000001"/>
    <n v="1.5343500000000001"/>
    <n v="824.87"/>
    <n v="289.86"/>
    <n v="1.6728188498292336"/>
    <x v="103"/>
    <n v="1659.91"/>
    <n v="2.8631972953392899"/>
    <n v="414.39"/>
    <n v="1.1258664894122116E-3"/>
    <n v="12"/>
    <n v="2.0698934004898747E-2"/>
  </r>
  <r>
    <n v="1930"/>
    <s v="แขวงทางหลวงเพชรบุรี"/>
    <n v="338"/>
    <n v="3400"/>
    <n v="100"/>
    <s v="หนองเอื้อง - ทุ่งขาม"/>
    <n v="0"/>
    <n v="7853"/>
    <n v="7.8529999999999998"/>
    <n v="2"/>
    <s v="L1"/>
    <d v="2015-04-02T00:00:00"/>
    <s v="A.C."/>
    <n v="4.38"/>
    <n v="2.16"/>
    <n v="1.01"/>
    <n v="0.3"/>
    <n v="2.65821"/>
    <n v="2.5"/>
    <n v="6.49"/>
    <n v="1.06"/>
    <n v="0.25"/>
    <n v="0.05"/>
    <n v="6.9544199999999998"/>
    <n v="7"/>
    <n v="0"/>
    <n v="0"/>
    <n v="7.85"/>
    <n v="1.6739999999999999"/>
    <n v="352.65"/>
    <n v="211.1"/>
    <n v="1.6670608138836842"/>
    <x v="103"/>
    <n v="99.3"/>
    <n v="0.36128140292154043"/>
    <n v="1.5"/>
    <n v="5.4574230048571063E-3"/>
    <n v="0"/>
    <n v="0"/>
  </r>
  <r>
    <n v="1297"/>
    <s v="แขวงทางหลวงสุพรรณบุรีที่ 1"/>
    <n v="441"/>
    <n v="3534"/>
    <n v="100"/>
    <s v="คลองคันทด - ที่ทำการประตูน้ำคันทด"/>
    <n v="0"/>
    <n v="1041"/>
    <n v="1.0409999999999999"/>
    <n v="2"/>
    <s v="L1"/>
    <d v="2015-07-02T00:00:00"/>
    <s v="A.C."/>
    <n v="0.7"/>
    <n v="0.125"/>
    <n v="0.1"/>
    <n v="7.4999999999999997E-2"/>
    <n v="2.6577500000000001"/>
    <n v="2.5"/>
    <n v="1"/>
    <n v="0"/>
    <n v="0"/>
    <n v="0"/>
    <n v="3.3399299999999998"/>
    <n v="3.5"/>
    <n v="0"/>
    <n v="0"/>
    <n v="0.99999999999999989"/>
    <n v="1.1204799999999999"/>
    <n v="57.8"/>
    <n v="3.9"/>
    <n v="1.6399066831343492"/>
    <x v="104"/>
    <n v="125.57"/>
    <n v="3.4464114175929739"/>
    <n v="0"/>
    <n v="0"/>
    <n v="0"/>
    <n v="0"/>
  </r>
  <r>
    <n v="210"/>
    <s v="แขวงทางหลวงพะเยา"/>
    <n v="535"/>
    <n v="1251"/>
    <n v="101"/>
    <s v="ดอกคำใต้ - บ้านปิน"/>
    <n v="0"/>
    <n v="30000"/>
    <n v="30"/>
    <n v="2"/>
    <s v="L1"/>
    <d v="2015-07-25T00:00:00"/>
    <s v="A.C."/>
    <n v="18.68"/>
    <n v="6.68"/>
    <n v="2.96"/>
    <n v="1.69"/>
    <n v="2.5928100000000001"/>
    <n v="2.5"/>
    <n v="26.56"/>
    <n v="2.14"/>
    <n v="1.18"/>
    <n v="0.13"/>
    <n v="5.3227599999999997"/>
    <n v="5.5"/>
    <n v="0"/>
    <n v="0"/>
    <n v="30"/>
    <n v="1.2984800000000001"/>
    <n v="1600"/>
    <n v="242.01"/>
    <n v="1.6390523809523809"/>
    <x v="104"/>
    <n v="197"/>
    <n v="0.18761904761904763"/>
    <n v="743"/>
    <n v="0.70761904761904759"/>
    <n v="0"/>
    <n v="0"/>
  </r>
  <r>
    <n v="2145"/>
    <s v="แขวงทางหลวงพังงา"/>
    <n v="327"/>
    <n v="4118"/>
    <n v="100"/>
    <s v="บางเหรียง - พนม"/>
    <n v="0"/>
    <n v="45279"/>
    <n v="45.279000000000003"/>
    <n v="2"/>
    <s v="L1"/>
    <d v="2015-05-11T00:00:00"/>
    <s v="A.C."/>
    <n v="24.375"/>
    <n v="13.3"/>
    <n v="4.7"/>
    <n v="2.7"/>
    <n v="2.7037800000000001"/>
    <n v="2.5"/>
    <n v="43.075000000000003"/>
    <n v="1.7749999999999999"/>
    <n v="0.2"/>
    <n v="2.5000000000000001E-2"/>
    <n v="3.8184999999999998"/>
    <n v="4"/>
    <n v="0"/>
    <n v="0"/>
    <n v="45.075000000000003"/>
    <n v="1.3684099999999999"/>
    <n v="2476"/>
    <n v="230"/>
    <n v="1.6349427202140376"/>
    <x v="104"/>
    <n v="0"/>
    <n v="0"/>
    <n v="1221"/>
    <n v="0.77046123557751445"/>
    <n v="0"/>
    <n v="0"/>
  </r>
  <r>
    <n v="1622"/>
    <s v="แขวงทางหลวงสมุทรปราการ"/>
    <n v="417"/>
    <n v="370"/>
    <n v="100"/>
    <s v="ทางเข้าท่าอากาศยานสุวรรณภูมิด้านถนนบางนา - บางวัว"/>
    <s v="0+000"/>
    <s v="2+742"/>
    <n v="2.742"/>
    <n v="4"/>
    <s v="L2"/>
    <d v="2015-08-24T00:00:00"/>
    <s v="A.C."/>
    <n v="0.55000000000000004"/>
    <n v="0.85"/>
    <n v="0.57499999999999996"/>
    <n v="0.8"/>
    <n v="4.0570000000000004"/>
    <n v="4"/>
    <n v="2.4500000000000002"/>
    <n v="0.3"/>
    <n v="2.5000000000000001E-2"/>
    <n v="0"/>
    <n v="6.7069999999999999"/>
    <n v="6.5"/>
    <n v="0"/>
    <n v="0"/>
    <n v="2.7749999999999999"/>
    <n v="1.306"/>
    <n v="154"/>
    <n v="5.55"/>
    <n v="1.633583411482755"/>
    <x v="104"/>
    <n v="0"/>
    <n v="0"/>
    <n v="48.35"/>
    <n v="0.50380327185578833"/>
    <n v="0"/>
    <n v="0"/>
  </r>
  <r>
    <n v="1289"/>
    <s v="แขวงทางหลวงสุพรรณบุรีที่ 1"/>
    <n v="441"/>
    <n v="3365"/>
    <n v="100"/>
    <s v="สามชุก  -  หนองอีพัง"/>
    <n v="1500"/>
    <n v="35107"/>
    <n v="33.606999999999999"/>
    <n v="2"/>
    <s v="R1"/>
    <d v="2015-06-29T00:00:00"/>
    <s v="A.C."/>
    <n v="17.574999999999999"/>
    <n v="8.9"/>
    <n v="4.5"/>
    <n v="2.35"/>
    <n v="2.8132899999999998"/>
    <n v="3"/>
    <n v="31.6"/>
    <n v="1.1499999999999999"/>
    <n v="0.52500000000000002"/>
    <n v="0.05"/>
    <n v="3.8947500000000002"/>
    <n v="4"/>
    <n v="0"/>
    <n v="0"/>
    <n v="33.325000000000003"/>
    <n v="1.18485"/>
    <n v="1877"/>
    <n v="42"/>
    <n v="1.6136094096042917"/>
    <x v="104"/>
    <n v="114"/>
    <n v="9.6918584138508568E-2"/>
    <n v="0"/>
    <n v="0"/>
    <n v="5"/>
    <n v="5"/>
  </r>
  <r>
    <n v="478"/>
    <s v="แขวงทางหลวงพิษณุโลกที่ 2 (วังทอง)"/>
    <n v="515"/>
    <n v="2475"/>
    <n v="100"/>
    <s v="ทางเข้าร่องกล้า"/>
    <s v="0+000"/>
    <s v="1+683"/>
    <n v="1.6830000000000001"/>
    <s v="L1"/>
    <n v="2"/>
    <d v="2015-09-21T00:00:00"/>
    <s v="A.C."/>
    <n v="0.62"/>
    <n v="0.62"/>
    <n v="0.19"/>
    <n v="0.26"/>
    <n v="3.52826"/>
    <n v="3.5"/>
    <n v="1.61"/>
    <n v="7.0000000000000007E-2"/>
    <n v="0"/>
    <n v="0"/>
    <n v="4.4547400000000001"/>
    <n v="4.5"/>
    <n v="0"/>
    <n v="0"/>
    <n v="1.155"/>
    <n v="1.43059"/>
    <n v="88.64"/>
    <n v="12.686999999999999"/>
    <n v="1.6124862066038539"/>
    <x v="104"/>
    <n v="65.98"/>
    <n v="1.1201086495204142"/>
    <n v="0"/>
    <n v="0"/>
    <n v="0"/>
    <n v="0"/>
  </r>
  <r>
    <n v="687"/>
    <s v="แขวงทางหลวงอุดรธานีที่ 2"/>
    <n v="624"/>
    <n v="2270"/>
    <n v="100"/>
    <s v="มีชัย - ลำน้ำสงคราม"/>
    <n v="0"/>
    <n v="17750"/>
    <n v="17.75"/>
    <n v="2"/>
    <s v="L1"/>
    <d v="2015-06-15T00:00:00"/>
    <s v="A.C."/>
    <n v="10.199999999999999"/>
    <n v="3.2"/>
    <n v="2.25"/>
    <n v="2.0499999999999998"/>
    <n v="2.9622600000000001"/>
    <n v="3"/>
    <n v="16"/>
    <n v="1.45"/>
    <n v="0.2"/>
    <n v="2.5000000000000001E-2"/>
    <n v="5.6189400000000003"/>
    <n v="5.5"/>
    <n v="0"/>
    <n v="0"/>
    <n v="17.7"/>
    <n v="1.3929800000000001"/>
    <n v="949.84"/>
    <n v="68.62"/>
    <n v="1.5841400000000001"/>
    <x v="104"/>
    <n v="1620.13"/>
    <n v="2.6078600000000001"/>
    <n v="1108.9000000000001"/>
    <n v="1.78495"/>
    <n v="69.739999999999995"/>
    <n v="0.11226"/>
  </r>
  <r>
    <n v="2056"/>
    <s v="แขวงทางหลวงสุราษฎร์ธานีที่ 2 (กาญจนดิษฐ์)"/>
    <n v="328"/>
    <n v="4143"/>
    <n v="100"/>
    <s v="ซอยสิบ - บ้านกรูด"/>
    <n v="0"/>
    <n v="29895"/>
    <n v="29.895"/>
    <n v="2"/>
    <s v="L1"/>
    <d v="2015-04-25T00:00:00"/>
    <s v="A.C."/>
    <n v="19.7"/>
    <n v="5.125"/>
    <n v="2.9750000000000001"/>
    <n v="1.9750000000000001"/>
    <n v="2.4944000000000002"/>
    <n v="2.5"/>
    <n v="29.05"/>
    <n v="0.57499999999999996"/>
    <n v="0.125"/>
    <n v="2.5000000000000001E-2"/>
    <n v="2.9998100000000001"/>
    <n v="3"/>
    <n v="0"/>
    <n v="0"/>
    <n v="29.775000000000002"/>
    <n v="1.45444"/>
    <n v="1501.75"/>
    <n v="304.79000000000002"/>
    <n v="1.58090937328268"/>
    <x v="104"/>
    <n v="128.86000000000001"/>
    <n v="0.12315485150407379"/>
    <n v="12.18"/>
    <n v="1.1640742599096839E-2"/>
    <n v="2"/>
    <n v="1.9114519867154086E-3"/>
  </r>
  <r>
    <n v="1729"/>
    <s v="แขวงทางหลวงจันทบุรี"/>
    <n v="423"/>
    <n v="317"/>
    <n v="101"/>
    <s v="ปากแซง - หน้าค่าย ตชด."/>
    <n v="10000"/>
    <n v="0"/>
    <n v="10"/>
    <n v="4"/>
    <s v="R2"/>
    <d v="2015-08-18T00:00:00"/>
    <s v="A.C."/>
    <n v="5.4"/>
    <n v="2.9249999999999998"/>
    <n v="1.425"/>
    <n v="0.25"/>
    <n v="2.7399399999999998"/>
    <n v="2.5"/>
    <n v="9.4749999999999996"/>
    <n v="0.5"/>
    <n v="0"/>
    <n v="2.5000000000000001E-2"/>
    <n v="7.0833700000000004"/>
    <n v="7"/>
    <n v="0"/>
    <n v="0"/>
    <n v="10"/>
    <n v="1.19814"/>
    <n v="467.28"/>
    <n v="171.91"/>
    <n v="1.58067"/>
    <x v="104"/>
    <n v="7839.71"/>
    <n v="22.3992"/>
    <n v="10192.33"/>
    <n v="29.120942857142857"/>
    <n v="0"/>
    <n v="0"/>
  </r>
  <r>
    <n v="261"/>
    <s v="แขวงทางหลวงน่านที่ 2"/>
    <n v="539"/>
    <n v="1170"/>
    <n v="100"/>
    <s v="ท่าวังผา - ดอนมูล"/>
    <s v="0+000"/>
    <s v="14+620"/>
    <n v="14.62"/>
    <n v="2"/>
    <s v="F1"/>
    <d v="2015-07-27T00:00:00"/>
    <s v="A.C."/>
    <n v="5.83"/>
    <n v="5.23"/>
    <n v="2.2599999999999998"/>
    <n v="1.31"/>
    <n v="3.0769899999999999"/>
    <n v="3"/>
    <n v="12.36"/>
    <n v="1.36"/>
    <n v="0.57999999999999996"/>
    <n v="0.33"/>
    <n v="6.6578400000000002"/>
    <n v="6.5"/>
    <n v="0"/>
    <n v="0"/>
    <n v="14.62"/>
    <n v="1.09253"/>
    <n v="793"/>
    <n v="17.170000000000002"/>
    <n v="1.5665135821770573"/>
    <x v="104"/>
    <n v="2"/>
    <n v="3.9085401602501476E-3"/>
    <n v="434"/>
    <n v="0.84815321477428196"/>
    <n v="0"/>
    <n v="0"/>
  </r>
  <r>
    <n v="2144"/>
    <s v="แขวงทางหลวงพังงา"/>
    <n v="327"/>
    <n v="4090"/>
    <n v="100"/>
    <s v="นบปริง - นิคม"/>
    <n v="0"/>
    <n v="13963"/>
    <n v="13.962999999999999"/>
    <n v="2"/>
    <s v="L1"/>
    <d v="2015-05-11T00:00:00"/>
    <s v="A.C."/>
    <n v="5.4249999999999998"/>
    <n v="4.7249999999999996"/>
    <n v="2.65"/>
    <n v="1.175"/>
    <n v="3.1149399999999998"/>
    <n v="3"/>
    <n v="13.175000000000001"/>
    <n v="0.625"/>
    <n v="0.125"/>
    <n v="0.05"/>
    <n v="4.0747900000000001"/>
    <n v="4"/>
    <n v="0"/>
    <n v="0"/>
    <n v="13.975"/>
    <n v="1.2237800000000001"/>
    <n v="657"/>
    <n v="215"/>
    <n v="1.5643384045589874"/>
    <x v="104"/>
    <n v="2"/>
    <n v="4.0924484095722366E-3"/>
    <n v="42"/>
    <n v="8.5941416601016979E-2"/>
    <n v="0"/>
    <n v="0"/>
  </r>
  <r>
    <n v="2148"/>
    <s v="แขวงทางหลวงพังงา"/>
    <n v="327"/>
    <n v="4283"/>
    <n v="100"/>
    <s v="ทางเข้ากะไหล"/>
    <n v="1842"/>
    <n v="0"/>
    <n v="1.8420000000000001"/>
    <n v="4"/>
    <s v="R2"/>
    <d v="2015-05-11T00:00:00"/>
    <s v="A.C."/>
    <n v="0.72499999999999998"/>
    <n v="0.22500000000000001"/>
    <n v="0.32500000000000001"/>
    <n v="0.22500000000000001"/>
    <n v="2.9649999999999999"/>
    <n v="3"/>
    <n v="1.45"/>
    <n v="2.5000000000000001E-2"/>
    <n v="2.5000000000000001E-2"/>
    <n v="0"/>
    <n v="3.1498200000000001"/>
    <n v="3"/>
    <n v="0"/>
    <n v="0"/>
    <n v="1.5"/>
    <n v="0.97796700000000003"/>
    <n v="98.66"/>
    <n v="4.0199999999999996"/>
    <n v="1.5615014735535908"/>
    <x v="104"/>
    <n v="63.58"/>
    <n v="0.98619512951760513"/>
    <n v="0"/>
    <n v="0"/>
    <n v="1.0580000000000001"/>
    <n v="1.6410733674577321E-2"/>
  </r>
  <r>
    <n v="1413"/>
    <s v="แขวงทางหลวงอุทัยธานี"/>
    <n v="447"/>
    <n v="3213"/>
    <n v="200"/>
    <s v="บ้านโคก - แยกเขาตะพาบ"/>
    <n v="41101"/>
    <n v="32068"/>
    <n v="9.0329999999999995"/>
    <n v="2"/>
    <s v="R1"/>
    <d v="2015-07-30T00:00:00"/>
    <s v="A.C."/>
    <n v="5.7"/>
    <n v="1.3"/>
    <n v="0.625"/>
    <n v="2.5000000000000001E-2"/>
    <n v="2.4294699999999998"/>
    <n v="2.5"/>
    <n v="8.85"/>
    <n v="7.4999999999999997E-2"/>
    <n v="0"/>
    <n v="2.5000000000000001E-2"/>
    <n v="2.6190199999999999"/>
    <n v="2.5"/>
    <n v="0"/>
    <n v="0"/>
    <n v="7.65"/>
    <n v="1.09575"/>
    <n v="0"/>
    <n v="983"/>
    <n v="1.5546171972608376"/>
    <x v="104"/>
    <n v="0"/>
    <n v="0"/>
    <n v="0"/>
    <n v="0"/>
    <n v="0"/>
    <n v="0"/>
  </r>
  <r>
    <n v="11"/>
    <s v="แขวงทางหลวงเชียงใหม่ที่ 1"/>
    <n v="521"/>
    <n v="1010"/>
    <n v="100"/>
    <s v="ปากทางท่าลี่  -  ร้องธาร"/>
    <n v="2140"/>
    <n v="0"/>
    <n v="2.14"/>
    <n v="2"/>
    <s v="R1"/>
    <d v="2015-08-16T00:00:00"/>
    <s v="A.C."/>
    <n v="1.675"/>
    <n v="0.375"/>
    <n v="0.125"/>
    <n v="0"/>
    <n v="2.2637200000000002"/>
    <n v="2.5"/>
    <n v="2.1749999999999998"/>
    <n v="0"/>
    <n v="0"/>
    <n v="0"/>
    <n v="1.1240000000000001"/>
    <n v="1"/>
    <n v="0"/>
    <n v="0"/>
    <n v="2.1749999999999998"/>
    <n v="1.0209999999999999"/>
    <n v="36.94"/>
    <n v="158.13999999999999"/>
    <n v="1.5488651535380507"/>
    <x v="105"/>
    <n v="9.6"/>
    <n v="0.12817089452603472"/>
    <n v="0"/>
    <n v="0"/>
    <n v="0"/>
    <n v="0"/>
  </r>
  <r>
    <n v="1452"/>
    <s v="แขวงทางหลวงอ่างทอง"/>
    <n v="448"/>
    <n v="3027"/>
    <n v="200"/>
    <s v="มหานาม - บ้านเบิก"/>
    <n v="17436"/>
    <n v="15900"/>
    <n v="1.536"/>
    <n v="2"/>
    <s v="R1"/>
    <d v="2015-06-26T00:00:00"/>
    <s v="A.C."/>
    <n v="0.875"/>
    <n v="0.42499999999999999"/>
    <n v="0.1"/>
    <n v="0.15"/>
    <n v="2.7885499999999999"/>
    <n v="3"/>
    <n v="1.175"/>
    <n v="0.375"/>
    <n v="0"/>
    <n v="0"/>
    <n v="5.4619799999999996"/>
    <n v="5.5"/>
    <n v="0"/>
    <n v="0"/>
    <n v="1.55"/>
    <n v="1.3530500000000001"/>
    <n v="78"/>
    <n v="6"/>
    <n v="1.5066964285714286"/>
    <x v="105"/>
    <n v="1"/>
    <n v="1.8601190476190476E-2"/>
    <n v="0"/>
    <n v="0"/>
    <n v="1"/>
    <n v="1.8601190476190476E-2"/>
  </r>
  <r>
    <n v="570"/>
    <s v="แขวงทางหลวงเพชรบูรณ์ที่ 1"/>
    <n v="551"/>
    <n v="2385"/>
    <n v="100"/>
    <s v="นายม - เพชรบูรณ์"/>
    <n v="16973"/>
    <n v="0"/>
    <n v="16.972999999999999"/>
    <n v="2"/>
    <s v="R1"/>
    <d v="2015-08-07T00:00:00"/>
    <s v="A.C."/>
    <n v="10.11"/>
    <n v="2.91"/>
    <n v="2.44"/>
    <n v="1.53"/>
    <n v="2.72275"/>
    <n v="2.5"/>
    <n v="16.37"/>
    <n v="0.59"/>
    <n v="0.03"/>
    <n v="0"/>
    <n v="5.0111100000000004"/>
    <n v="5"/>
    <n v="0"/>
    <n v="0"/>
    <n v="16.990000000000002"/>
    <n v="1.1914400000000001"/>
    <n v="554"/>
    <n v="664.48"/>
    <n v="1.4918483978756176"/>
    <x v="105"/>
    <n v="0"/>
    <n v="0"/>
    <n v="436"/>
    <n v="0.73393877671259389"/>
    <n v="0"/>
    <n v="0"/>
  </r>
  <r>
    <n v="298"/>
    <s v="แขวงทางหลวงสกลนครที่ 2 (สว่างแดนดิน)"/>
    <n v="642"/>
    <n v="2342"/>
    <n v="100"/>
    <s v="สว่างแดนดิน - ส่องดาว"/>
    <n v="0"/>
    <n v="19213"/>
    <n v="19.213000000000001"/>
    <n v="2"/>
    <s v="L1"/>
    <d v="2015-06-08T00:00:00"/>
    <s v="A.C."/>
    <n v="14.45"/>
    <n v="3.1"/>
    <n v="1.05"/>
    <n v="0.52500000000000002"/>
    <n v="2.2282500000000001"/>
    <n v="2"/>
    <n v="18.425000000000001"/>
    <n v="0.67500000000000004"/>
    <n v="2.5000000000000001E-2"/>
    <n v="0"/>
    <n v="3.5363600000000002"/>
    <n v="3.5"/>
    <n v="0"/>
    <n v="0"/>
    <n v="19.125"/>
    <n v="1.3480700000000001"/>
    <n v="778"/>
    <n v="447"/>
    <n v="1.4893189878876654"/>
    <x v="105"/>
    <n v="0"/>
    <n v="0"/>
    <n v="135.55000000000001"/>
    <n v="0.2015748265683206"/>
    <n v="0"/>
    <n v="0"/>
  </r>
  <r>
    <n v="874"/>
    <s v="แขวงทางหลวงอุบลราชธานีที่ 1"/>
    <n v="631"/>
    <n v="2406"/>
    <n v="100"/>
    <s v="บ้านโคก - ธาตุกลาง"/>
    <n v="0"/>
    <n v="24020"/>
    <n v="24.02"/>
    <n v="2"/>
    <s v="L1"/>
    <d v="2015-05-15T00:00:00"/>
    <s v="A.C."/>
    <n v="16.125"/>
    <n v="5.0750000000000002"/>
    <n v="1.575"/>
    <n v="0.7"/>
    <n v="2.3891"/>
    <n v="2.5"/>
    <n v="21.25"/>
    <n v="1.5249999999999999"/>
    <n v="0.625"/>
    <n v="7.4999999999999997E-2"/>
    <n v="5.4947699999999999"/>
    <n v="5.5"/>
    <n v="0"/>
    <n v="0"/>
    <n v="23.474999999999998"/>
    <n v="1.3265499999999999"/>
    <n v="2.16"/>
    <n v="2492.1799999999998"/>
    <n v="1.4847699999999999"/>
    <x v="105"/>
    <n v="0"/>
    <n v="0"/>
    <n v="0"/>
    <n v="0"/>
    <n v="0"/>
    <n v="0"/>
  </r>
  <r>
    <n v="1314"/>
    <s v="แขวงทางหลวงกาญจนบุรี"/>
    <n v="444"/>
    <n v="323"/>
    <n v="207"/>
    <s v="ทองผาภูมิ - ท่าขนุน"/>
    <n v="199826"/>
    <n v="204826"/>
    <n v="5"/>
    <n v="2"/>
    <s v="L1"/>
    <d v="2015-07-24T00:00:00"/>
    <s v="A.C."/>
    <n v="0"/>
    <n v="1.7"/>
    <n v="2.2749999999999999"/>
    <n v="1.075"/>
    <n v="4.69564"/>
    <n v="4.5"/>
    <n v="5"/>
    <n v="2.5000000000000001E-2"/>
    <n v="2.5000000000000001E-2"/>
    <n v="0"/>
    <n v="4.8779300000000001"/>
    <n v="5"/>
    <n v="0"/>
    <n v="0"/>
    <n v="5.05"/>
    <n v="1.68943"/>
    <n v="235.7"/>
    <n v="45.13"/>
    <n v="1.4757999999999998"/>
    <x v="105"/>
    <n v="76.319999999999993"/>
    <n v="0.43611428571428568"/>
    <n v="0"/>
    <n v="0"/>
    <n v="0"/>
    <n v="0"/>
  </r>
  <r>
    <n v="601"/>
    <s v="แขวงทางหลวงเลยที่ 1"/>
    <n v="554"/>
    <n v="211"/>
    <n v="201"/>
    <s v="ห้วยเชียงดา - ปากชม"/>
    <n v="112000"/>
    <n v="146419"/>
    <n v="34.418999999999997"/>
    <n v="2"/>
    <s v="L1"/>
    <d v="2015-06-26T00:00:00"/>
    <s v="A.C."/>
    <n v="16.47"/>
    <n v="10.19"/>
    <n v="4.93"/>
    <n v="2.85"/>
    <n v="2.6610900000000002"/>
    <n v="2.5"/>
    <n v="32.96"/>
    <n v="1.1000000000000001"/>
    <n v="0.23"/>
    <n v="0.13"/>
    <n v="4.0807799999999999"/>
    <n v="4"/>
    <n v="0"/>
    <n v="0"/>
    <n v="34.42"/>
    <n v="1.1188400000000001"/>
    <n v="1716"/>
    <n v="120.01"/>
    <n v="1.4742729306487696"/>
    <x v="105"/>
    <n v="6"/>
    <n v="4.9806377706665336E-3"/>
    <n v="2142"/>
    <n v="1.7780876841279527"/>
    <n v="0"/>
    <n v="0"/>
  </r>
  <r>
    <n v="819"/>
    <s v="แขวงทางหลวงกาฬสินธุ์"/>
    <n v="647"/>
    <n v="2009"/>
    <n v="100"/>
    <s v="ห้วยเม็ก - ท่าคันโท"/>
    <n v="0"/>
    <n v="16687"/>
    <n v="16.687000000000001"/>
    <n v="2"/>
    <s v="L1"/>
    <d v="2015-05-30T00:00:00"/>
    <s v="A.C."/>
    <n v="12.324999999999999"/>
    <n v="2.5750000000000002"/>
    <n v="1.2250000000000001"/>
    <n v="0.55000000000000004"/>
    <n v="2.5510000000000002"/>
    <n v="2.5"/>
    <n v="15.975"/>
    <n v="0.57499999999999996"/>
    <n v="7.4999999999999997E-2"/>
    <n v="0.05"/>
    <n v="4.4950000000000001"/>
    <n v="4.5"/>
    <n v="0"/>
    <n v="0"/>
    <n v="16.675000000000001"/>
    <n v="1.1160000000000001"/>
    <n v="46"/>
    <n v="1611"/>
    <n v="1.4579356042770675"/>
    <x v="105"/>
    <n v="35"/>
    <n v="5.9926889195181875E-2"/>
    <n v="53"/>
    <n v="9.0746432209846836E-2"/>
    <n v="34"/>
    <n v="5.8214692361033812E-2"/>
  </r>
  <r>
    <n v="1168"/>
    <s v="แขวงทางหลวงสระบุรี"/>
    <n v="432"/>
    <n v="3566"/>
    <n v="100"/>
    <s v="โพนทอง - ขอนชะโงก"/>
    <s v="2+805"/>
    <s v="0+000"/>
    <n v="2.903"/>
    <n v="2"/>
    <s v="R1"/>
    <d v="2015-10-05T00:00:00"/>
    <s v="A.C."/>
    <n v="1.4"/>
    <n v="0.8"/>
    <n v="0.47499999999999998"/>
    <n v="0.15"/>
    <n v="2.98726"/>
    <n v="3"/>
    <n v="2.8"/>
    <n v="2.5000000000000001E-2"/>
    <n v="0"/>
    <n v="0"/>
    <n v="3.9791099999999999"/>
    <n v="4"/>
    <n v="0"/>
    <n v="0"/>
    <n v="2.8250000000000002"/>
    <n v="1.0760000000000001"/>
    <n v="147.59"/>
    <n v="0.33600000000000002"/>
    <n v="1.4542390000000001"/>
    <x v="105"/>
    <n v="159.6"/>
    <n v="1.570789"/>
    <n v="0"/>
    <n v="0"/>
    <n v="0"/>
    <n v="0"/>
  </r>
  <r>
    <n v="562"/>
    <s v="แขวงทางหลวงเพชรบูรณ์ที่ 1"/>
    <n v="551"/>
    <n v="2278"/>
    <n v="100"/>
    <s v="หัวนา - กกโอ"/>
    <n v="18252"/>
    <n v="0"/>
    <n v="18.251999999999999"/>
    <n v="2"/>
    <s v="R1"/>
    <d v="2015-08-07T00:00:00"/>
    <s v="A.C."/>
    <n v="14.04"/>
    <n v="2.52"/>
    <n v="1.28"/>
    <n v="0.43"/>
    <n v="2.1307499999999999"/>
    <n v="2"/>
    <n v="17.93"/>
    <n v="0.23"/>
    <n v="0.08"/>
    <n v="0.03"/>
    <n v="3.2053500000000001"/>
    <n v="3"/>
    <n v="0"/>
    <n v="0"/>
    <n v="18.27"/>
    <n v="1.06463"/>
    <n v="273"/>
    <n v="1311.18"/>
    <n v="1.4536019536019538"/>
    <x v="105"/>
    <n v="7"/>
    <n v="1.0957703265395573E-2"/>
    <n v="28"/>
    <n v="4.3830813061582291E-2"/>
    <n v="20"/>
    <n v="3.1307723615415922E-2"/>
  </r>
  <r>
    <n v="267"/>
    <s v="แขวงทางหลวงสกลนครที่ 1"/>
    <n v="641"/>
    <n v="213"/>
    <n v="304"/>
    <s v="ทางเข้าพระตำหนักภูพานราชนิเวศน์"/>
    <s v="0+000"/>
    <s v="1+630"/>
    <n v="1.63"/>
    <n v="2"/>
    <s v="L1"/>
    <d v="2015-06-05T00:00:00"/>
    <s v="A.C."/>
    <n v="0.27500000000000002"/>
    <n v="0.6"/>
    <n v="0.4"/>
    <n v="0.25"/>
    <n v="3.8069999999999999"/>
    <n v="4"/>
    <n v="1.5"/>
    <n v="2.5000000000000001E-2"/>
    <n v="0"/>
    <n v="0"/>
    <n v="2.165"/>
    <n v="2"/>
    <m/>
    <m/>
    <m/>
    <n v="0"/>
    <n v="0"/>
    <n v="0"/>
    <n v="0"/>
    <x v="106"/>
    <n v="0"/>
    <n v="0"/>
    <n v="0"/>
    <n v="0"/>
    <n v="0"/>
    <n v="0"/>
  </r>
  <r>
    <n v="2052"/>
    <s v="แขวงทางหลวงสุราษฎร์ธานีที่ 2 (กาญจนดิษฐ์)"/>
    <n v="328"/>
    <n v="4009"/>
    <n v="100"/>
    <s v="บางใหญ่ - นาสาร"/>
    <n v="41000"/>
    <n v="3450"/>
    <n v="37.549999999999997"/>
    <n v="4"/>
    <s v="R2"/>
    <d v="2015-04-26T00:00:00"/>
    <s v="A.C."/>
    <n v="19.574999999999999"/>
    <n v="10.125"/>
    <n v="5.2249999999999996"/>
    <n v="2.2000000000000002"/>
    <n v="2.8328899999999999"/>
    <n v="3"/>
    <n v="31.75"/>
    <n v="3.8"/>
    <n v="1.125"/>
    <n v="0.45"/>
    <n v="6.2343200000000003"/>
    <n v="6"/>
    <n v="0"/>
    <n v="0"/>
    <n v="37.125"/>
    <n v="1.27525"/>
    <n v="1861.74"/>
    <n v="93.86"/>
    <n v="1.4522883774015602"/>
    <x v="105"/>
    <n v="550.86"/>
    <n v="0.41914399847821959"/>
    <n v="169.22"/>
    <n v="0.12875784668061635"/>
    <n v="0"/>
    <n v="0"/>
  </r>
  <r>
    <n v="269"/>
    <s v="แขวงทางหลวงสกลนครที่ 1"/>
    <n v="641"/>
    <n v="213"/>
    <n v="308"/>
    <s v="ทางเข้าอ่างเก็บน้ำตาดโตน"/>
    <s v="0+000"/>
    <s v="0+873"/>
    <n v="0.873"/>
    <n v="2"/>
    <s v="L1"/>
    <d v="2015-06-05T00:00:00"/>
    <s v="A.C."/>
    <n v="0.17499999999999999"/>
    <n v="0.22500000000000001"/>
    <n v="0.17499999999999999"/>
    <n v="0.22500000000000001"/>
    <n v="4.5599999999999996"/>
    <n v="4.5"/>
    <n v="0.77500000000000002"/>
    <n v="2.5000000000000001E-2"/>
    <n v="0"/>
    <n v="0"/>
    <n v="3.6139999999999999"/>
    <n v="3.5"/>
    <m/>
    <m/>
    <n v="0.8"/>
    <n v="0"/>
    <n v="0"/>
    <n v="0"/>
    <n v="0"/>
    <x v="106"/>
    <n v="0"/>
    <n v="0"/>
    <n v="0"/>
    <n v="0"/>
    <n v="0"/>
    <n v="0"/>
  </r>
  <r>
    <n v="270"/>
    <s v="แขวงทางหลวงสกลนครที่ 1"/>
    <n v="641"/>
    <n v="213"/>
    <n v="309"/>
    <s v="ทางเข้าสำนักสงฆ์"/>
    <n v="0"/>
    <n v="576"/>
    <n v="0.57599999999999996"/>
    <n v="2"/>
    <s v="L1"/>
    <d v="2015-06-05T00:00:00"/>
    <s v="A.C."/>
    <n v="0"/>
    <n v="0.1"/>
    <n v="7.4999999999999997E-2"/>
    <n v="0.375"/>
    <n v="7.3789999999999996"/>
    <n v="7.5"/>
    <n v="0.55000000000000004"/>
    <n v="0"/>
    <n v="0"/>
    <n v="0"/>
    <n v="2.7410000000000001"/>
    <n v="2.5"/>
    <m/>
    <m/>
    <n v="0.55000000000000004"/>
    <n v="1.175"/>
    <n v="0"/>
    <n v="0"/>
    <n v="0"/>
    <x v="106"/>
    <n v="0"/>
    <n v="0"/>
    <n v="0"/>
    <n v="0"/>
    <n v="0"/>
    <n v="0"/>
  </r>
  <r>
    <n v="271"/>
    <s v="แขวงทางหลวงสกลนครที่ 1"/>
    <n v="641"/>
    <n v="213"/>
    <n v="310"/>
    <s v="ทางรอบสนามเฮริคอปเตอร์"/>
    <n v="0"/>
    <n v="189"/>
    <n v="0.189"/>
    <n v="2"/>
    <s v="L1"/>
    <d v="2015-06-05T00:00:00"/>
    <s v="A.C."/>
    <n v="2.5000000000000001E-2"/>
    <n v="2.5000000000000001E-2"/>
    <n v="2.5000000000000001E-2"/>
    <n v="0.1"/>
    <n v="6.4889999999999999"/>
    <n v="6.5"/>
    <n v="0.17499999999999999"/>
    <n v="0"/>
    <n v="0"/>
    <n v="0"/>
    <n v="1.893"/>
    <n v="2"/>
    <m/>
    <m/>
    <n v="0.17499999999999999"/>
    <n v="1.032"/>
    <n v="0"/>
    <n v="0"/>
    <n v="0"/>
    <x v="106"/>
    <n v="0"/>
    <n v="0"/>
    <n v="0"/>
    <n v="0"/>
    <n v="0"/>
    <n v="0"/>
  </r>
  <r>
    <n v="284"/>
    <s v="แขวงทางหลวงสกลนครที่ 1"/>
    <n v="641"/>
    <n v="2358"/>
    <n v="100"/>
    <s v="โนนหอม - เต่างอย"/>
    <n v="0"/>
    <n v="11532"/>
    <n v="11.532"/>
    <n v="2"/>
    <s v="L1"/>
    <d v="2015-06-04T00:00:00"/>
    <s v="A.C."/>
    <n v="8.3249999999999993"/>
    <n v="2.2749999999999999"/>
    <n v="0.57499999999999996"/>
    <n v="0.32500000000000001"/>
    <n v="4.4115700000000002"/>
    <n v="4.5"/>
    <n v="11.4"/>
    <n v="0.1"/>
    <n v="0"/>
    <n v="0"/>
    <n v="4.43377"/>
    <n v="4.5"/>
    <n v="0"/>
    <n v="0"/>
    <n v="11.5"/>
    <n v="1.09392"/>
    <n v="462"/>
    <n v="248"/>
    <n v="1.4518606610177891"/>
    <x v="105"/>
    <n v="0"/>
    <n v="0"/>
    <n v="5.26"/>
    <n v="0"/>
    <n v="0"/>
    <n v="0"/>
  </r>
  <r>
    <n v="774"/>
    <s v="แขวงทางหลวงมหาสารคาม"/>
    <n v="622"/>
    <n v="2322"/>
    <n v="102"/>
    <s v="โกสุมพิสัย - โคกสูง"/>
    <n v="42396"/>
    <n v="24396"/>
    <n v="14.781000000000001"/>
    <n v="2"/>
    <s v="R1"/>
    <d v="2015-05-28T00:00:00"/>
    <s v="A.C."/>
    <n v="13.3"/>
    <n v="2.375"/>
    <n v="1.25"/>
    <n v="1.1499999999999999"/>
    <n v="2.2280000000000002"/>
    <n v="2"/>
    <n v="14.07"/>
    <n v="0.6"/>
    <n v="0.08"/>
    <n v="0.04"/>
    <n v="5.5179999999999998"/>
    <n v="5.5"/>
    <n v="0"/>
    <n v="0"/>
    <n v="14.79"/>
    <n v="1.0960000000000001"/>
    <n v="149"/>
    <n v="1196"/>
    <n v="1.4439386471048741"/>
    <x v="107"/>
    <n v="9537"/>
    <n v="18.434863289744559"/>
    <n v="201"/>
    <n v="0.38852967612862072"/>
    <n v="728"/>
    <n v="1.4072119613016711"/>
  </r>
  <r>
    <n v="1906"/>
    <s v="แขวงทางหลวงสมุทรสงคราม"/>
    <n v="337"/>
    <n v="3236"/>
    <n v="100"/>
    <s v="ทางเข้าเทศบาลตำบลโพหัก"/>
    <n v="0"/>
    <n v="468"/>
    <n v="0.46800000000000003"/>
    <n v="2"/>
    <s v="L1"/>
    <d v="2015-03-28T00:00:00"/>
    <s v="A.C."/>
    <n v="0"/>
    <n v="7.0000000000000007E-2"/>
    <n v="0.13"/>
    <n v="0.27"/>
    <n v="6.1114300000000004"/>
    <n v="6"/>
    <n v="0.37"/>
    <n v="0.03"/>
    <n v="7.0000000000000007E-2"/>
    <n v="0"/>
    <n v="7.8474300000000001"/>
    <n v="8"/>
    <n v="0"/>
    <n v="0"/>
    <n v="0.47"/>
    <n v="1.3747100000000001"/>
    <n v="18.09"/>
    <n v="11.1"/>
    <n v="1.4432234432234401"/>
    <x v="107"/>
    <n v="0"/>
    <n v="0"/>
    <n v="0"/>
    <n v="0"/>
    <n v="0"/>
    <n v="0"/>
  </r>
  <r>
    <n v="2111"/>
    <s v="แขวงทางหลวงภูเก็ต"/>
    <n v="324"/>
    <n v="4021"/>
    <n v="100"/>
    <s v="เมืองภูเก็ต - ห้าแยกฉลอง"/>
    <n v="0"/>
    <n v="6473"/>
    <n v="6.4729999999999999"/>
    <n v="4"/>
    <s v="L1"/>
    <d v="2015-05-14T00:00:00"/>
    <s v="A.C."/>
    <n v="1.1499999999999999"/>
    <n v="2.1"/>
    <n v="1.7250000000000001"/>
    <n v="1.7749999999999999"/>
    <n v="4.2638100000000003"/>
    <n v="4.5"/>
    <n v="6.35"/>
    <n v="0.3"/>
    <n v="0.1"/>
    <n v="0"/>
    <n v="4.0716200000000002"/>
    <n v="4"/>
    <n v="0"/>
    <n v="0"/>
    <n v="6.75"/>
    <n v="1.0724800000000001"/>
    <n v="325.99"/>
    <n v="1.62"/>
    <n v="1.442475337114608"/>
    <x v="107"/>
    <n v="8.31"/>
    <n v="3.6679834918673174E-2"/>
    <n v="0"/>
    <n v="0"/>
    <n v="0"/>
    <n v="0"/>
  </r>
  <r>
    <n v="17"/>
    <s v="แขวงทางหลวงเชียงใหม่ที่ 1"/>
    <n v="521"/>
    <n v="1099"/>
    <n v="100"/>
    <s v="บ่อหลวง - แม่ตื่น"/>
    <s v="0+000"/>
    <s v="49+899"/>
    <n v="49.899000000000001"/>
    <n v="2"/>
    <s v="L1"/>
    <d v="2015-08-14T00:00:00"/>
    <s v="A.C."/>
    <n v="9.4"/>
    <n v="21"/>
    <n v="12.53"/>
    <n v="7.05"/>
    <n v="3.6147300000000002"/>
    <n v="3.5"/>
    <n v="11.475"/>
    <n v="14.85"/>
    <n v="15.525"/>
    <n v="8.125"/>
    <n v="14.2727"/>
    <n v="14.5"/>
    <n v="0"/>
    <n v="0"/>
    <n v="49.98"/>
    <n v="1.4278200000000001"/>
    <n v="2504.84"/>
    <n v="0"/>
    <n v="1.4342342961353363"/>
    <x v="107"/>
    <n v="0"/>
    <n v="0"/>
    <n v="0"/>
    <n v="0"/>
    <n v="1.1499999999999999"/>
    <n v="6.5847297254740286E-4"/>
  </r>
  <r>
    <n v="2105"/>
    <s v="แขวงทางหลวงภูเก็ต"/>
    <n v="324"/>
    <n v="402"/>
    <n v="101"/>
    <s v="โคกกลอย - หมากปรก"/>
    <n v="0"/>
    <n v="21856"/>
    <n v="21.856000000000002"/>
    <n v="4"/>
    <s v="L2"/>
    <d v="2015-05-12T00:00:00"/>
    <s v="A.C."/>
    <n v="13.275"/>
    <n v="4.5999999999999996"/>
    <n v="2.7"/>
    <n v="1.45"/>
    <n v="2.6217299999999999"/>
    <n v="2.5"/>
    <n v="20.925000000000001"/>
    <n v="0.97499999999999998"/>
    <n v="0.1"/>
    <n v="2.5000000000000001E-2"/>
    <n v="5.0276399999999999"/>
    <n v="5"/>
    <n v="0"/>
    <n v="0"/>
    <n v="22.024999999999999"/>
    <n v="1.3154999999999999"/>
    <n v="892"/>
    <n v="42"/>
    <n v="1.4286496678741598"/>
    <x v="107"/>
    <n v="0"/>
    <n v="0"/>
    <n v="41"/>
    <n v="6.4156228239693899E-2"/>
    <n v="2"/>
    <n v="2.614515791675381E-3"/>
  </r>
  <r>
    <n v="2069"/>
    <s v="แขวงทางหลวงสุราษฎร์ธานีที่ 3 (เวียงสระ)"/>
    <n v="329"/>
    <n v="415"/>
    <n v="200"/>
    <s v="บางคราม - พนม"/>
    <n v="21381"/>
    <n v="48161"/>
    <n v="26.78"/>
    <n v="4"/>
    <s v="L1"/>
    <d v="2015-04-27T00:00:00"/>
    <s v="A.C."/>
    <n v="17.425000000000001"/>
    <n v="6.3"/>
    <n v="2.4"/>
    <n v="0.57499999999999996"/>
    <n v="2.3181600000000002"/>
    <n v="2.5"/>
    <n v="25.725000000000001"/>
    <n v="0.85"/>
    <n v="0.125"/>
    <n v="0"/>
    <n v="3.7921900000000002"/>
    <n v="4"/>
    <n v="0"/>
    <n v="0"/>
    <n v="26.7"/>
    <n v="1.4297800000000001"/>
    <n v="1226.78"/>
    <n v="211.52"/>
    <n v="1.4216792915822043"/>
    <x v="107"/>
    <n v="50.83"/>
    <n v="5.423023578363384E-2"/>
    <n v="23.44"/>
    <n v="2.5008001707030835E-2"/>
    <n v="0"/>
    <n v="0"/>
  </r>
  <r>
    <n v="1476"/>
    <s v="แขวงทางหลวงกรุงเทพ"/>
    <n v="411"/>
    <n v="351"/>
    <n v="100"/>
    <s v="มหาวิทยาลัยเกษตรศาสตร์ - คันนายาว"/>
    <s v="12+328"/>
    <n v="9425"/>
    <n v="2.903"/>
    <n v="8"/>
    <s v="R2"/>
    <d v="2015-08-31T00:00:00"/>
    <s v="A.C."/>
    <n v="0.875"/>
    <n v="0.65"/>
    <n v="0.5"/>
    <n v="0.97499999999999998"/>
    <n v="4.0599999999999996"/>
    <n v="4"/>
    <n v="2.6749999999999998"/>
    <n v="0.25"/>
    <n v="0.05"/>
    <n v="2.5000000000000001E-2"/>
    <n v="6.3920000000000003"/>
    <n v="6.5"/>
    <n v="0"/>
    <n v="0"/>
    <n v="2.9999999999999996"/>
    <n v="1.3129999999999999"/>
    <n v="126"/>
    <n v="35.72"/>
    <n v="1.415875202991979"/>
    <x v="107"/>
    <n v="0"/>
    <n v="0"/>
    <n v="3.02"/>
    <n v="2.9722946705378676E-2"/>
    <n v="0"/>
    <n v="0"/>
  </r>
  <r>
    <n v="1901"/>
    <s v="แขวงทางหลวงนครปฐม"/>
    <n v="336"/>
    <n v="3351"/>
    <n v="300"/>
    <s v="บางน้อยใน - บางหลวง"/>
    <s v="39+029"/>
    <s v="35+602"/>
    <n v="3.427"/>
    <n v="2"/>
    <s v="R1"/>
    <d v="2015-03-26T00:00:00"/>
    <s v="A.C."/>
    <n v="1.7"/>
    <n v="0.9"/>
    <n v="0.4"/>
    <n v="0.43"/>
    <n v="2.9660500000000001"/>
    <n v="3"/>
    <n v="3.08"/>
    <n v="0.21"/>
    <n v="0.05"/>
    <n v="0.08"/>
    <n v="4.8582299999999998"/>
    <n v="5"/>
    <n v="0"/>
    <n v="0"/>
    <n v="3.43"/>
    <n v="1.1489499999999999"/>
    <n v="167.98"/>
    <n v="1.23"/>
    <n v="1.4056025678435951"/>
    <x v="107"/>
    <n v="19.3"/>
    <n v="0.16090708241277252"/>
    <n v="86.53"/>
    <n v="0.72141398140814539"/>
    <n v="0.3"/>
    <n v="2.501146358747759E-3"/>
  </r>
  <r>
    <n v="2114"/>
    <s v="แขวงทางหลวงภูเก็ต"/>
    <n v="324"/>
    <n v="4022"/>
    <n v="100"/>
    <s v="โรงเรียนวิชิตสงคราม - สนามสุรกุล"/>
    <n v="488"/>
    <n v="0"/>
    <n v="0.48799999999999999"/>
    <n v="4"/>
    <s v="R2"/>
    <d v="2015-05-15T00:00:00"/>
    <s v="A.C."/>
    <n v="0.1"/>
    <n v="0.05"/>
    <n v="0.125"/>
    <n v="0.125"/>
    <n v="4.3337500000000002"/>
    <n v="4.5"/>
    <n v="0.4"/>
    <n v="0"/>
    <n v="0"/>
    <n v="0"/>
    <n v="4.18119"/>
    <n v="4"/>
    <n v="0"/>
    <n v="0"/>
    <n v="0.4"/>
    <n v="1.27756"/>
    <n v="10.62"/>
    <n v="26.77"/>
    <n v="1.4054449648711944"/>
    <x v="107"/>
    <n v="19.02"/>
    <n v="1.1135831381733021"/>
    <n v="0"/>
    <n v="0"/>
    <n v="0"/>
    <n v="0"/>
  </r>
  <r>
    <n v="560"/>
    <s v="แขวงทางหลวงเพชรบูรณ์ที่ 1"/>
    <n v="551"/>
    <n v="2275"/>
    <n v="301"/>
    <s v="ห้วยไร่ - บ้านกลาง"/>
    <n v="118800"/>
    <n v="177738"/>
    <n v="58.938000000000002"/>
    <n v="2"/>
    <s v="L2"/>
    <d v="2015-08-07T00:00:00"/>
    <s v="A.C."/>
    <n v="44.11"/>
    <n v="11.56"/>
    <n v="5.68"/>
    <n v="2.59"/>
    <n v="2.2000000000000002"/>
    <n v="2"/>
    <n v="58.71"/>
    <n v="3.85"/>
    <n v="0.9"/>
    <n v="0.48"/>
    <n v="3.1019999999999999"/>
    <n v="3"/>
    <n v="0"/>
    <n v="0"/>
    <n v="58.94"/>
    <n v="1.101"/>
    <n v="1045"/>
    <n v="3706.42"/>
    <n v="1.4049679324035427"/>
    <x v="107"/>
    <n v="97"/>
    <n v="4.7022779385601329E-2"/>
    <n v="500"/>
    <n v="0.24238546075052234"/>
    <n v="642"/>
    <n v="0.31122293160367065"/>
  </r>
  <r>
    <n v="303"/>
    <s v="แขวงทางหลวงบึงกาฬ"/>
    <n v="643"/>
    <n v="2026"/>
    <n v="100"/>
    <s v="หนองหิ้ง - เหล่าหลวง"/>
    <n v="0"/>
    <n v="47000"/>
    <n v="47"/>
    <n v="2"/>
    <s v="L1"/>
    <d v="2015-06-08T00:00:00"/>
    <s v="A.C."/>
    <n v="32.274999999999999"/>
    <n v="9.9"/>
    <n v="2.8250000000000002"/>
    <n v="1.75"/>
    <n v="3.5011399999999999"/>
    <n v="3.5"/>
    <n v="45.75"/>
    <n v="0.9"/>
    <n v="0.1"/>
    <n v="0"/>
    <n v="4.3227399999999996"/>
    <n v="4.5"/>
    <n v="2.5000000000000001E-2"/>
    <n v="2.5000000000000001E-2"/>
    <n v="46.725000000000001"/>
    <n v="1.1653800000000001"/>
    <n v="1145"/>
    <n v="2293"/>
    <n v="1.3930100000000001"/>
    <x v="107"/>
    <n v="0"/>
    <n v="0"/>
    <n v="182.77"/>
    <n v="0.111106"/>
    <n v="0"/>
    <n v="0"/>
  </r>
  <r>
    <n v="2189"/>
    <s v="แขวงทางหลวงพัทลุง"/>
    <n v="314"/>
    <n v="4018"/>
    <n v="200"/>
    <s v="ไม้เสียบ - หัวถนน"/>
    <s v="38+312"/>
    <s v="42+762"/>
    <n v="4.45"/>
    <n v="2"/>
    <s v="L1"/>
    <d v="2015-05-20T00:00:00"/>
    <s v="A.C."/>
    <n v="0.6"/>
    <n v="1.45"/>
    <n v="1.2749999999999999"/>
    <n v="1.075"/>
    <n v="4.2332400000000003"/>
    <n v="4"/>
    <n v="4.0750000000000002"/>
    <n v="0.27500000000000002"/>
    <n v="0.05"/>
    <n v="0"/>
    <n v="4.8555900000000003"/>
    <n v="5"/>
    <n v="0"/>
    <n v="0"/>
    <n v="4.3999999999999995"/>
    <n v="1.24373"/>
    <n v="142.84"/>
    <n v="147.43"/>
    <n v="1.3904012841091491"/>
    <x v="107"/>
    <n v="12.46"/>
    <n v="7.9999999999999988E-2"/>
    <n v="18.95"/>
    <n v="1.284710923093611E-5"/>
    <n v="0"/>
    <n v="0"/>
  </r>
  <r>
    <n v="1730"/>
    <s v="แขวงทางหลวงจันทบุรี"/>
    <n v="423"/>
    <n v="317"/>
    <n v="102"/>
    <s v="หน้าค่าย ตชด. - พังงอน"/>
    <n v="10000"/>
    <n v="26200"/>
    <n v="16.2"/>
    <n v="4"/>
    <s v="L2"/>
    <d v="2015-08-18T00:00:00"/>
    <s v="A.C."/>
    <n v="11.371"/>
    <n v="3.286"/>
    <n v="0.8"/>
    <n v="0.74299999999999999"/>
    <n v="2.4351099999999999"/>
    <n v="2.5"/>
    <n v="14.337999999999999"/>
    <n v="1.542"/>
    <n v="0.20599999999999999"/>
    <n v="0.114"/>
    <n v="6.5087700000000002"/>
    <n v="6.5"/>
    <n v="0"/>
    <n v="0"/>
    <n v="16.2"/>
    <n v="1.2682800000000001"/>
    <n v="687.84"/>
    <n v="4.09"/>
    <n v="1.3880999999999999"/>
    <x v="107"/>
    <n v="33.93"/>
    <n v="6.8269999999999997E-2"/>
    <n v="838"/>
    <n v="1.4779541446208113"/>
    <n v="17.3"/>
    <n v="3.4810000000000001E-2"/>
  </r>
  <r>
    <n v="2186"/>
    <s v="แขวงทางหลวงสงขลาที่ 1"/>
    <n v="311"/>
    <n v="4310"/>
    <n v="100"/>
    <s v="ทางเข้าหาดใหญ่"/>
    <n v="0"/>
    <n v="278"/>
    <n v="0.27800000000000002"/>
    <n v="6"/>
    <s v="L1"/>
    <d v="2015-05-23T00:00:00"/>
    <s v="A.C."/>
    <n v="7.4999999999999997E-2"/>
    <n v="0.125"/>
    <n v="2.5000000000000001E-2"/>
    <n v="0.05"/>
    <n v="3.2063600000000001"/>
    <n v="3"/>
    <n v="0.27500000000000002"/>
    <n v="0"/>
    <n v="0"/>
    <n v="0"/>
    <n v="3.8421799999999999"/>
    <n v="4"/>
    <n v="0"/>
    <n v="0"/>
    <n v="0.27500000000000002"/>
    <n v="0.99690900000000005"/>
    <n v="13.33"/>
    <n v="0"/>
    <n v="1.369989722507708"/>
    <x v="107"/>
    <n v="0"/>
    <n v="0"/>
    <n v="0"/>
    <n v="0"/>
    <n v="0"/>
    <n v="0"/>
  </r>
  <r>
    <n v="917"/>
    <s v="แขวงทางหลวงศรีสะเกษที่ 1"/>
    <n v="638"/>
    <n v="226"/>
    <n v="402"/>
    <s v="ศรีสะเกษ - ห้วยขะยุง"/>
    <n v="313384"/>
    <n v="277679"/>
    <n v="35.704999999999998"/>
    <n v="4"/>
    <s v="R2"/>
    <d v="2015-05-12T00:00:00"/>
    <s v="A.C."/>
    <n v="21.35"/>
    <n v="10.35"/>
    <n v="3.0249999999999999"/>
    <n v="0.85"/>
    <n v="2.36036"/>
    <n v="2.5"/>
    <n v="25.225000000000001"/>
    <n v="8.7750000000000004"/>
    <n v="1.5"/>
    <n v="7.4999999999999997E-2"/>
    <n v="8.0691100000000002"/>
    <n v="8"/>
    <n v="0"/>
    <n v="0"/>
    <n v="35.575000000000003"/>
    <n v="1.45442"/>
    <n v="1686.26"/>
    <n v="38.96"/>
    <n v="1.3649500000000001"/>
    <x v="107"/>
    <n v="0"/>
    <n v="0"/>
    <n v="73.31"/>
    <n v="5.8663E-2"/>
    <n v="0"/>
    <n v="0"/>
  </r>
  <r>
    <n v="1356"/>
    <s v="แขวงทางหลวงสุพรรณบุรีที่ 2 (อู่ทอง)"/>
    <n v="445"/>
    <n v="324"/>
    <n v="202"/>
    <s v="ตลาดเขต - จรเข้สามพัน"/>
    <n v="51935"/>
    <n v="44000"/>
    <n v="7.9349999999999996"/>
    <n v="4"/>
    <s v="R2"/>
    <d v="2015-07-03T00:00:00"/>
    <s v="A.C."/>
    <n v="4.3499999999999996"/>
    <n v="2.65"/>
    <n v="0.8"/>
    <n v="0.22500000000000001"/>
    <n v="2.6312500000000001"/>
    <n v="2.5"/>
    <n v="5.9249999999999998"/>
    <n v="1.5249999999999999"/>
    <n v="0.375"/>
    <n v="0.2"/>
    <n v="7.8031499999999996"/>
    <n v="8"/>
    <n v="0"/>
    <n v="0"/>
    <n v="8.0250000000000004"/>
    <n v="1.03504"/>
    <n v="342.57"/>
    <n v="66.2"/>
    <n v="1.3526690071113514"/>
    <x v="107"/>
    <n v="16.7"/>
    <n v="6.0131424970744446E-2"/>
    <n v="0"/>
    <n v="0"/>
    <n v="0"/>
    <n v="0"/>
  </r>
  <r>
    <n v="628"/>
    <s v="แขวงทางหลวงเลยที่ 2 (ด่านซ้าย)"/>
    <n v="555"/>
    <n v="2476"/>
    <n v="100"/>
    <s v="วังขาม - ห้วยไคร้"/>
    <n v="0"/>
    <n v="1016"/>
    <n v="1.016"/>
    <n v="2"/>
    <s v="L1"/>
    <d v="2015-07-02T00:00:00"/>
    <s v="A.C."/>
    <n v="0.45"/>
    <n v="0.27500000000000002"/>
    <n v="0.22500000000000001"/>
    <n v="0.1"/>
    <n v="3.1970000000000001"/>
    <n v="3"/>
    <n v="1"/>
    <n v="2.5000000000000001E-2"/>
    <n v="0"/>
    <n v="0"/>
    <n v="3.0910000000000002"/>
    <n v="3"/>
    <n v="0"/>
    <n v="0"/>
    <n v="1.05"/>
    <n v="1.1479999999999999"/>
    <n v="48"/>
    <n v="0"/>
    <n v="1.3498312710911136"/>
    <x v="108"/>
    <n v="0"/>
    <n v="0"/>
    <n v="44"/>
    <n v="1.2373453318335208"/>
    <n v="0"/>
    <n v="0"/>
  </r>
  <r>
    <n v="661"/>
    <s v="แขวงทางหลวงอุดรธานีที่ 1"/>
    <n v="623"/>
    <n v="2021"/>
    <n v="101"/>
    <s v="ดงไร่ - หนองหัวคู"/>
    <n v="0"/>
    <n v="20000"/>
    <n v="20"/>
    <n v="2"/>
    <s v="L1"/>
    <d v="2015-06-12T00:00:00"/>
    <s v="A.C."/>
    <n v="10.69"/>
    <n v="6.14"/>
    <n v="1.93"/>
    <n v="1.25"/>
    <n v="2.7706400000000002"/>
    <n v="3"/>
    <n v="18.48"/>
    <n v="0.9"/>
    <n v="0.43"/>
    <n v="0.2"/>
    <n v="5.2200800000000003"/>
    <n v="5"/>
    <n v="0"/>
    <n v="0"/>
    <n v="20.010000000000002"/>
    <n v="1.13822"/>
    <n v="923.44"/>
    <n v="34.97"/>
    <n v="1.3441799999999999"/>
    <x v="108"/>
    <n v="146.9"/>
    <n v="0.20985999999999999"/>
    <n v="155.69"/>
    <n v="0.222414"/>
    <n v="2.64"/>
    <n v="3.7699999999999999E-3"/>
  </r>
  <r>
    <n v="1923"/>
    <s v="แขวงทางหลวงเพชรบุรี"/>
    <n v="338"/>
    <n v="3178"/>
    <n v="100"/>
    <s v="เพชรบุรี - บ้านแหลมฝั่งตะวันออก"/>
    <n v="12675"/>
    <n v="0"/>
    <n v="12.675000000000001"/>
    <n v="2"/>
    <s v="R1"/>
    <d v="2015-04-03T00:00:00"/>
    <s v="A.C."/>
    <n v="8.82"/>
    <n v="2.64"/>
    <n v="0.61"/>
    <n v="0.61"/>
    <n v="2.4316599999999999"/>
    <n v="2.5"/>
    <n v="12.35"/>
    <n v="0.25"/>
    <n v="0.05"/>
    <n v="0.03"/>
    <n v="2.20905"/>
    <n v="2"/>
    <n v="0"/>
    <n v="0"/>
    <n v="12.68"/>
    <n v="1.3391500000000001"/>
    <n v="546"/>
    <n v="96.69"/>
    <n v="1.3397464074387151"/>
    <x v="108"/>
    <n v="292.57"/>
    <n v="0.65949845026768095"/>
    <n v="0"/>
    <n v="0"/>
    <n v="0"/>
    <n v="0"/>
  </r>
  <r>
    <n v="936"/>
    <s v="แขวงทางหลวงนครราชสีมาที่ 1"/>
    <n v="611"/>
    <n v="202"/>
    <n v="202"/>
    <s v="ดอนตะหนิน - ตลาดไทร"/>
    <s v="74+394"/>
    <s v="94+878"/>
    <n v="19.911999999999999"/>
    <n v="2"/>
    <s v="L1"/>
    <d v="2015-04-24T00:00:00"/>
    <s v="A.C."/>
    <n v="9.4"/>
    <n v="6.5750000000000002"/>
    <n v="2.9249999999999998"/>
    <n v="1.6"/>
    <n v="2.8860000000000001"/>
    <n v="3"/>
    <n v="17.649999999999999"/>
    <n v="2.1749999999999998"/>
    <n v="0.625"/>
    <n v="0.05"/>
    <n v="5.609"/>
    <n v="5.5"/>
    <n v="0"/>
    <n v="0"/>
    <n v="19.911999999999999"/>
    <n v="1.1819999999999999"/>
    <n v="930.95"/>
    <n v="0"/>
    <n v="1.3358061183493084"/>
    <x v="108"/>
    <n v="812.09"/>
    <n v="1.1652556964931413"/>
    <n v="0"/>
    <n v="0"/>
    <n v="0"/>
    <n v="0"/>
  </r>
  <r>
    <n v="1914"/>
    <s v="แขวงทางหลวงเพชรบุรี"/>
    <n v="338"/>
    <n v="4"/>
    <n v="501"/>
    <s v="สระพัง - เขาวัง"/>
    <n v="134587"/>
    <n v="162217"/>
    <n v="27.63"/>
    <n v="7"/>
    <s v="L3"/>
    <d v="2015-04-01T00:00:00"/>
    <s v="A.C."/>
    <n v="16.73"/>
    <n v="6.05"/>
    <n v="3.45"/>
    <n v="1.4"/>
    <n v="2.5562200000000002"/>
    <n v="2.5"/>
    <n v="19.64"/>
    <n v="4.83"/>
    <n v="2.2000000000000002"/>
    <n v="0.97"/>
    <n v="8.1508199999999995"/>
    <n v="8"/>
    <n v="0"/>
    <n v="0"/>
    <n v="27.63"/>
    <n v="1.5338099999999999"/>
    <n v="1061"/>
    <n v="454.5"/>
    <n v="1.3321441497337263"/>
    <x v="108"/>
    <n v="124.59"/>
    <n v="0.12883511710873274"/>
    <n v="153"/>
    <n v="0.15821312238250301"/>
    <n v="8"/>
    <n v="8.2725815624838418E-3"/>
  </r>
  <r>
    <n v="1339"/>
    <s v="แขวงทางหลวงกาญจนบุรี"/>
    <n v="444"/>
    <n v="3457"/>
    <n v="100"/>
    <s v="ไทรโยค - ท่าทุ่งนา"/>
    <n v="15705"/>
    <n v="0"/>
    <n v="15.705"/>
    <n v="2"/>
    <s v="R1"/>
    <d v="2015-07-27T00:00:00"/>
    <s v="A.C."/>
    <n v="7.75"/>
    <n v="5.05"/>
    <n v="2.15"/>
    <n v="0.75"/>
    <n v="2.7698999999999998"/>
    <n v="3"/>
    <n v="14.85"/>
    <n v="0.7"/>
    <n v="0.125"/>
    <n v="2.5000000000000001E-2"/>
    <n v="3.9232800000000001"/>
    <n v="4"/>
    <n v="0"/>
    <n v="0"/>
    <n v="15.700000000000001"/>
    <n v="1.2943"/>
    <n v="678"/>
    <n v="108"/>
    <n v="1.3316960021831081"/>
    <x v="108"/>
    <n v="0"/>
    <n v="0"/>
    <n v="73"/>
    <n v="0.1328057488515941"/>
    <n v="1"/>
    <n v="1.8192568335834813E-3"/>
  </r>
  <r>
    <n v="1164"/>
    <s v="แขวงทางหลวงสระบุรี"/>
    <n v="432"/>
    <n v="3385"/>
    <n v="100"/>
    <s v="หน้าพระลาน - หนองจาน"/>
    <s v="0+000"/>
    <s v="2+350"/>
    <n v="2.35"/>
    <n v="4"/>
    <s v="L2"/>
    <d v="2015-10-05T00:00:00"/>
    <s v="A.C."/>
    <n v="1.7749999999999999"/>
    <n v="0.375"/>
    <n v="0.2"/>
    <n v="0.05"/>
    <n v="2.25969"/>
    <n v="2.5"/>
    <n v="2.0499999999999998"/>
    <n v="0.22500000000000001"/>
    <n v="7.4999999999999997E-2"/>
    <n v="0.05"/>
    <n v="5.9194000000000004"/>
    <n v="6"/>
    <n v="0"/>
    <n v="0"/>
    <n v="2.4"/>
    <n v="1.4595499999999999"/>
    <n v="105.67"/>
    <n v="3.65"/>
    <n v="1.3069299999999999"/>
    <x v="108"/>
    <n v="87.65"/>
    <n v="1.065653"/>
    <n v="0"/>
    <n v="0"/>
    <n v="0"/>
    <n v="0"/>
  </r>
  <r>
    <n v="402"/>
    <s v="แขวงทางหลวงพิษณุโลกที่ 1"/>
    <n v="511"/>
    <n v="1061"/>
    <n v="100"/>
    <s v="แยกเรือนแพ - พิษณุโลก"/>
    <s v="2+376"/>
    <s v="0+000"/>
    <n v="2.3759999999999999"/>
    <s v="R4"/>
    <n v="8"/>
    <d v="2015-09-19T00:00:00"/>
    <s v="A.C."/>
    <n v="0.64"/>
    <n v="1.1499999999999999"/>
    <n v="0.33"/>
    <n v="0.26"/>
    <n v="3.82376"/>
    <n v="4"/>
    <n v="2.38"/>
    <n v="0"/>
    <n v="0"/>
    <n v="0"/>
    <n v="1.5960099999999999"/>
    <n v="1.5"/>
    <n v="0"/>
    <n v="0"/>
    <n v="2.38"/>
    <n v="1.1405799999999999"/>
    <n v="98.65"/>
    <n v="18.63"/>
    <n v="1.2982800000000001"/>
    <x v="108"/>
    <n v="26.37"/>
    <n v="0.31709999999999999"/>
    <n v="1.85"/>
    <n v="2.2245999999999998E-2"/>
    <n v="0"/>
    <n v="0"/>
  </r>
  <r>
    <n v="1149"/>
    <s v="แขวงทางหลวงสระบุรี"/>
    <n v="432"/>
    <n v="3043"/>
    <n v="200"/>
    <s v="หนองตาโล่ - สะพานใหม่"/>
    <s v="20+903"/>
    <s v="0+000"/>
    <n v="20.902999999999999"/>
    <n v="2"/>
    <s v="R1"/>
    <d v="2015-10-05T00:00:00"/>
    <s v="A.C."/>
    <n v="1.65"/>
    <n v="0.75"/>
    <n v="0.22500000000000001"/>
    <n v="0.3"/>
    <n v="3.00359"/>
    <n v="3"/>
    <n v="1.9750000000000001"/>
    <n v="0.57499999999999996"/>
    <n v="0.27500000000000002"/>
    <n v="0.1"/>
    <n v="8.49343"/>
    <n v="8.5"/>
    <n v="0"/>
    <n v="0"/>
    <n v="2.9249999999999998"/>
    <n v="1.2325200000000001"/>
    <n v="123.6"/>
    <n v="15.25"/>
    <n v="1.2915209999999999"/>
    <x v="108"/>
    <n v="8.69"/>
    <n v="8.5527000000000006E-2"/>
    <n v="0"/>
    <n v="0"/>
    <n v="4.8"/>
    <n v="4.7241999999999999E-2"/>
  </r>
  <r>
    <n v="1541"/>
    <s v="แขวงทางหลวงนครนายก"/>
    <n v="414"/>
    <n v="3369"/>
    <n v="100"/>
    <s v="วัดอำภาศิริวงศ์ - คลอง 16"/>
    <n v="0"/>
    <n v="14843"/>
    <n v="14.843"/>
    <n v="2"/>
    <s v="L1"/>
    <d v="2015-09-19T00:00:00"/>
    <s v="A.C."/>
    <n v="9.4499999999999993"/>
    <n v="3.0750000000000002"/>
    <n v="1.55"/>
    <n v="0.82499999999999996"/>
    <n v="2.5390799999999998"/>
    <n v="2.5"/>
    <n v="14.324999999999999"/>
    <n v="0.42499999999999999"/>
    <n v="7.4999999999999997E-2"/>
    <n v="7.4999999999999997E-2"/>
    <n v="3.8401800000000001"/>
    <n v="4"/>
    <n v="0"/>
    <n v="0"/>
    <n v="14.843"/>
    <n v="1.18679"/>
    <n v="88"/>
    <n v="1165.77"/>
    <n v="1.2913927681158024"/>
    <x v="108"/>
    <n v="245"/>
    <n v="0.47160277571919423"/>
    <n v="2638"/>
    <n v="5.0779107034580999"/>
    <n v="94"/>
    <n v="0.1809414731330786"/>
  </r>
  <r>
    <n v="22"/>
    <s v="แขวงทางหลวงเชียงใหม่ที่ 1"/>
    <n v="521"/>
    <n v="1362"/>
    <n v="100"/>
    <s v="นิคมดอยเต่า  -  ท่าน้ำ"/>
    <n v="0"/>
    <n v="3860"/>
    <n v="3.86"/>
    <n v="2"/>
    <s v="L1"/>
    <d v="2015-08-15T00:00:00"/>
    <s v="A.C."/>
    <n v="1.325"/>
    <n v="1.575"/>
    <n v="0.57499999999999996"/>
    <n v="0.35"/>
    <n v="3.24248"/>
    <n v="3"/>
    <n v="3.8250000000000002"/>
    <n v="0"/>
    <n v="0"/>
    <n v="0"/>
    <n v="2.3165100000000001"/>
    <n v="2.5"/>
    <n v="0"/>
    <n v="0"/>
    <n v="3.8249999999999997"/>
    <n v="1.3901399999999999"/>
    <n v="158.38"/>
    <n v="31.52"/>
    <n v="1.2889711324944484"/>
    <x v="108"/>
    <n v="10.11"/>
    <n v="7.4833456698741668E-2"/>
    <n v="53.2"/>
    <n v="0.39378238341968913"/>
    <n v="0"/>
    <n v="0"/>
  </r>
  <r>
    <n v="970"/>
    <s v="แขวงทางหลวงนครราชสีมาที่ 2"/>
    <n v="612"/>
    <n v="2164"/>
    <n v="100"/>
    <s v="ตะเคียน - ท่าขี้เหล็ก"/>
    <n v="4522"/>
    <n v="0"/>
    <n v="4.5220000000000002"/>
    <n v="2"/>
    <s v="R1"/>
    <d v="2015-04-22T00:00:00"/>
    <s v="A.C."/>
    <n v="3.05"/>
    <n v="0.75"/>
    <n v="0.375"/>
    <n v="0.375"/>
    <n v="2.7475299999999998"/>
    <n v="2.5"/>
    <n v="4.2"/>
    <n v="0.2"/>
    <n v="0.1"/>
    <n v="0.05"/>
    <n v="3.8512499999999998"/>
    <n v="4"/>
    <n v="0"/>
    <n v="0"/>
    <n v="4.55"/>
    <n v="1.2978700000000001"/>
    <n v="203.3"/>
    <n v="0"/>
    <n v="1.28451"/>
    <x v="108"/>
    <n v="60"/>
    <n v="0.37909999999999999"/>
    <n v="0"/>
    <n v="0"/>
    <n v="5"/>
    <n v="3.159E-2"/>
  </r>
  <r>
    <n v="1999"/>
    <s v="แขวงทางหลวงตรัง"/>
    <n v="322"/>
    <n v="4270"/>
    <n v="101"/>
    <s v="ห้วยยอด - ท่างิ้ว"/>
    <n v="0"/>
    <n v="15000"/>
    <n v="15"/>
    <n v="2"/>
    <s v="L2"/>
    <d v="2015-05-07T00:00:00"/>
    <s v="A.C."/>
    <n v="6.05"/>
    <n v="3.85"/>
    <n v="3.2250000000000001"/>
    <n v="2.8"/>
    <n v="3.49783"/>
    <n v="3.5"/>
    <n v="13.75"/>
    <n v="1.2749999999999999"/>
    <n v="0.47499999999999998"/>
    <n v="0.42499999999999999"/>
    <n v="4.8523100000000001"/>
    <n v="5"/>
    <n v="0"/>
    <n v="0"/>
    <n v="15.925000000000001"/>
    <n v="1.5370699999999999"/>
    <n v="638"/>
    <n v="63.55"/>
    <n v="1.2757619047619047"/>
    <x v="108"/>
    <n v="125.37"/>
    <n v="0.23879999999999998"/>
    <n v="2.98"/>
    <n v="5.6761904761904762E-3"/>
    <n v="1.63"/>
    <n v="3.1047619047619044E-3"/>
  </r>
  <r>
    <n v="1501"/>
    <s v="แขวงทางหลวงอยุธยา"/>
    <n v="413"/>
    <n v="309"/>
    <n v="101"/>
    <s v="วังน้อย - ทางแยกต่างระดับอยุธยา"/>
    <s v="0+000"/>
    <s v="11+600"/>
    <n v="11.6"/>
    <n v="4"/>
    <s v="L2"/>
    <d v="2015-09-18T00:00:00"/>
    <s v="A.C."/>
    <n v="6.9"/>
    <n v="2.9750000000000001"/>
    <n v="1.1000000000000001"/>
    <n v="0.6"/>
    <n v="2.7884699999999998"/>
    <n v="3"/>
    <n v="5"/>
    <n v="3"/>
    <n v="2.2000000000000002"/>
    <n v="1.375"/>
    <n v="10.778700000000001"/>
    <n v="11"/>
    <n v="0"/>
    <n v="0"/>
    <n v="11.6"/>
    <n v="1.05352"/>
    <n v="499"/>
    <n v="34"/>
    <n v="1.270935960591133"/>
    <x v="108"/>
    <n v="1"/>
    <n v="2.4630541871921183E-3"/>
    <n v="0"/>
    <n v="0"/>
    <n v="6"/>
    <n v="1.4778325123152709E-2"/>
  </r>
  <r>
    <n v="869"/>
    <s v="แขวงทางหลวงอุบลราชธานีที่ 1"/>
    <n v="631"/>
    <n v="226"/>
    <n v="500"/>
    <s v="ห้วยขะยุง - วารินชำราบ"/>
    <n v="313384"/>
    <n v="334224"/>
    <n v="20.84"/>
    <n v="4"/>
    <s v="L2"/>
    <d v="2015-05-16T00:00:00"/>
    <s v="A.C."/>
    <n v="14.875"/>
    <n v="3.95"/>
    <n v="1.25"/>
    <n v="0.625"/>
    <n v="2.2672500000000002"/>
    <n v="2.5"/>
    <n v="13.1"/>
    <n v="5.0750000000000002"/>
    <n v="1.55"/>
    <n v="0.97499999999999998"/>
    <n v="9.51999"/>
    <n v="9.5"/>
    <n v="0"/>
    <n v="0"/>
    <n v="20.7"/>
    <n v="1.1829499999999999"/>
    <n v="911.77"/>
    <n v="20.079999999999998"/>
    <n v="1.26379"/>
    <x v="108"/>
    <n v="0"/>
    <n v="0"/>
    <n v="50.08"/>
    <n v="6.8658999999999998E-2"/>
    <n v="0"/>
    <n v="0"/>
  </r>
  <r>
    <n v="1408"/>
    <s v="แขวงทางหลวงอุทัยธานี"/>
    <n v="447"/>
    <n v="3012"/>
    <n v="100"/>
    <s v="ทางเข้าตลาดหนองฉาง"/>
    <n v="34"/>
    <n v="0"/>
    <n v="3.4000000000000002E-2"/>
    <n v="6"/>
    <s v="R1"/>
    <d v="2015-07-31T00:00:00"/>
    <s v="A.C."/>
    <n v="0"/>
    <n v="2.5000000000000001E-2"/>
    <n v="0"/>
    <n v="2.5000000000000001E-2"/>
    <n v="4.6550000000000002"/>
    <n v="4.5"/>
    <n v="0.05"/>
    <n v="0"/>
    <n v="0"/>
    <n v="0"/>
    <n v="2.0190000000000001"/>
    <n v="2"/>
    <n v="0"/>
    <n v="0"/>
    <n v="0.05"/>
    <n v="1.1895"/>
    <n v="0"/>
    <n v="3"/>
    <n v="1.2605042016806722"/>
    <x v="108"/>
    <n v="0"/>
    <n v="0"/>
    <n v="7"/>
    <n v="5.8823529411764701"/>
    <n v="0"/>
    <n v="0"/>
  </r>
  <r>
    <n v="2066"/>
    <s v="แขวงทางหลวงสุราษฎร์ธานีที่ 2 (กาญจนดิษฐ์)"/>
    <n v="328"/>
    <n v="4338"/>
    <n v="100"/>
    <s v="วัดไทร - ปากน้ำกะแดะ"/>
    <n v="0"/>
    <n v="4030"/>
    <n v="4.03"/>
    <n v="2"/>
    <s v="L1"/>
    <d v="2015-04-25T00:00:00"/>
    <s v="A.C."/>
    <n v="2.85"/>
    <n v="0.77500000000000002"/>
    <n v="0.35"/>
    <n v="0.05"/>
    <n v="2.3158400000000001"/>
    <n v="2.5"/>
    <n v="4.0250000000000004"/>
    <n v="0"/>
    <n v="0"/>
    <n v="0"/>
    <n v="2.8799000000000001"/>
    <n v="3"/>
    <n v="0"/>
    <n v="0"/>
    <n v="4.0250000000000004"/>
    <n v="1.2495700000000001"/>
    <n v="129.34"/>
    <n v="95.7"/>
    <n v="1.256221198156682"/>
    <x v="108"/>
    <n v="0"/>
    <n v="0"/>
    <n v="9.5500000000000007"/>
    <n v="6.7706487061325774E-2"/>
    <n v="4"/>
    <n v="2.8358738036157391E-2"/>
  </r>
  <r>
    <n v="1895"/>
    <s v="แขวงทางหลวงนครปฐม"/>
    <n v="336"/>
    <n v="375"/>
    <n v="103"/>
    <s v="ดอนตูม - ลำลูกบัว"/>
    <s v="59+515"/>
    <s v="69+324"/>
    <n v="9.8089999999999993"/>
    <n v="2"/>
    <s v="L1"/>
    <d v="2015-03-26T00:00:00"/>
    <s v="A.C."/>
    <n v="6.7"/>
    <n v="1.85"/>
    <n v="0.96"/>
    <n v="0.28999999999999998"/>
    <n v="2.3433600000000001"/>
    <n v="2.5"/>
    <n v="8.92"/>
    <n v="0.67"/>
    <n v="0.19"/>
    <n v="0.03"/>
    <n v="4.4227299999999996"/>
    <n v="4.5"/>
    <n v="0"/>
    <n v="0"/>
    <n v="9.81"/>
    <n v="1.21838"/>
    <n v="376.3"/>
    <n v="109.45"/>
    <n v="1.2554796615353248"/>
    <x v="108"/>
    <n v="223.87"/>
    <n v="0.65208336367475928"/>
    <n v="5.09"/>
    <n v="1.482603439989514E-2"/>
    <n v="3.15"/>
    <n v="9.1752472219390358E-3"/>
  </r>
  <r>
    <n v="1542"/>
    <s v="แขวงทางหลวงนครนายก"/>
    <n v="414"/>
    <n v="3428"/>
    <n v="100"/>
    <s v="เขาชะโงก - ท้ายทอง"/>
    <n v="0"/>
    <n v="1827"/>
    <n v="1.827"/>
    <n v="2"/>
    <s v="L1"/>
    <d v="2015-09-19T00:00:00"/>
    <s v="A.C."/>
    <n v="1.575"/>
    <n v="0.17499999999999999"/>
    <n v="0.05"/>
    <n v="0.05"/>
    <n v="2.1798600000000001"/>
    <n v="2"/>
    <n v="1.825"/>
    <n v="2.5000000000000001E-2"/>
    <n v="0"/>
    <n v="0"/>
    <n v="5.1674600000000002"/>
    <n v="5"/>
    <n v="0"/>
    <n v="0"/>
    <n v="1.827"/>
    <n v="1.22397"/>
    <n v="67"/>
    <n v="25.23"/>
    <n v="1.2450543435765109"/>
    <x v="109"/>
    <n v="28"/>
    <n v="0.4378762999452655"/>
    <n v="100.55"/>
    <n v="1.5724450699820158"/>
    <n v="16"/>
    <n v="0.25021502854015171"/>
  </r>
  <r>
    <n v="1391"/>
    <s v="แขวงทางหลวงชัยนาท"/>
    <n v="446"/>
    <n v="3184"/>
    <n v="100"/>
    <s v="ดงคอน - ปากน้ำ"/>
    <n v="11518"/>
    <n v="0"/>
    <n v="11.518000000000001"/>
    <n v="2"/>
    <s v="R1"/>
    <d v="2015-08-03T00:00:00"/>
    <s v="A.C."/>
    <n v="8.09"/>
    <n v="2.06"/>
    <n v="1"/>
    <n v="0.36"/>
    <n v="2.36591"/>
    <n v="2.5"/>
    <n v="10.64"/>
    <n v="0.8"/>
    <n v="0.08"/>
    <n v="0"/>
    <n v="4.2961099999999997"/>
    <n v="4.5"/>
    <n v="0"/>
    <n v="0"/>
    <n v="11.52"/>
    <n v="1.1351899999999999"/>
    <n v="463.21"/>
    <n v="76.2"/>
    <n v="1.2435442661176295"/>
    <x v="109"/>
    <n v="87.43"/>
    <n v="0.21687793019621462"/>
    <n v="0"/>
    <n v="0"/>
    <n v="0"/>
    <n v="0"/>
  </r>
  <r>
    <n v="1141"/>
    <s v="แขวงทางหลวงสระบุรี"/>
    <n v="432"/>
    <n v="3020"/>
    <n v="100"/>
    <s v="พระพุทธบาท - หนองโดน"/>
    <s v="0+000"/>
    <s v="9+600"/>
    <n v="9.6"/>
    <n v="2"/>
    <s v="L1"/>
    <d v="2015-10-05T00:00:00"/>
    <s v="A.C."/>
    <n v="4.0999999999999996"/>
    <n v="2.1749999999999998"/>
    <n v="1.35"/>
    <n v="1.45"/>
    <n v="3.50488"/>
    <n v="3.5"/>
    <n v="8.15"/>
    <n v="0.625"/>
    <n v="0.15"/>
    <n v="0.15"/>
    <n v="4.7065599999999996"/>
    <n v="4.5"/>
    <n v="0"/>
    <n v="0"/>
    <n v="9.0749999999999993"/>
    <n v="1.44635"/>
    <n v="398.36"/>
    <n v="37.26"/>
    <n v="1.241042"/>
    <x v="109"/>
    <n v="124.68"/>
    <n v="0.37107099999999998"/>
    <n v="0"/>
    <n v="0"/>
    <n v="0"/>
    <n v="0"/>
  </r>
  <r>
    <n v="278"/>
    <s v="แขวงทางหลวงสกลนครที่ 1"/>
    <n v="641"/>
    <n v="2291"/>
    <n v="101"/>
    <s v="กุฉินารายณ์ - เขาวง"/>
    <s v="0+000"/>
    <s v="49+283"/>
    <n v="49.283000000000001"/>
    <n v="2"/>
    <s v="L1"/>
    <d v="2015-06-05T00:00:00"/>
    <s v="A.C."/>
    <n v="34.200000000000003"/>
    <n v="9.75"/>
    <n v="3.5"/>
    <n v="1.75"/>
    <n v="2.7011400000000001"/>
    <n v="2.5"/>
    <n v="44.225000000000001"/>
    <n v="2.25"/>
    <n v="1.575"/>
    <n v="1.1499999999999999"/>
    <n v="4.80959"/>
    <n v="5"/>
    <n v="0"/>
    <n v="0"/>
    <n v="49.2"/>
    <n v="1.14069"/>
    <n v="421"/>
    <n v="3439"/>
    <n v="1.2409379067252979"/>
    <x v="109"/>
    <n v="35"/>
    <n v="2.0290972546314144E-2"/>
    <n v="35.11"/>
    <n v="0"/>
    <n v="0"/>
    <n v="0"/>
  </r>
  <r>
    <n v="1087"/>
    <s v="แขวงทางหลวงสระแก้ว (วัฒนานคร)"/>
    <n v="619"/>
    <n v="3486"/>
    <n v="101"/>
    <s v="กุดเตย - โคคลาน"/>
    <s v="7+465"/>
    <s v="13+465"/>
    <n v="8.7680000000000007"/>
    <n v="2"/>
    <s v="L1"/>
    <d v="2015-03-30T00:00:00"/>
    <s v="A.C."/>
    <n v="7.37"/>
    <n v="0.98"/>
    <n v="0.26"/>
    <n v="0.16"/>
    <n v="2.35541"/>
    <n v="2.5"/>
    <n v="8.77"/>
    <n v="0"/>
    <n v="0"/>
    <n v="0"/>
    <n v="4.1662299999999997"/>
    <n v="4"/>
    <n v="0"/>
    <n v="0"/>
    <n v="8.77"/>
    <n v="1.1200399999999999"/>
    <n v="379.82"/>
    <n v="0"/>
    <n v="1.2376824817518246"/>
    <x v="109"/>
    <n v="17.670000000000002"/>
    <n v="5.7579509906152238E-2"/>
    <n v="0"/>
    <n v="0"/>
    <n v="0"/>
    <n v="0"/>
  </r>
  <r>
    <n v="1388"/>
    <s v="แขวงทางหลวงชัยนาท"/>
    <n v="446"/>
    <n v="3039"/>
    <n v="100"/>
    <s v="สะเดาดู่ - แยกปากน้ำ"/>
    <s v="0+000"/>
    <s v="2+803"/>
    <n v="2.8029999999999999"/>
    <n v="2"/>
    <s v="L1"/>
    <d v="2015-08-03T00:00:00"/>
    <s v="A.C."/>
    <n v="1.86"/>
    <n v="0.52"/>
    <n v="0.17"/>
    <n v="0.25"/>
    <n v="2.5203500000000001"/>
    <n v="2.5"/>
    <n v="2.8"/>
    <n v="0"/>
    <n v="0"/>
    <n v="0"/>
    <n v="1.6201300000000001"/>
    <n v="1.5"/>
    <n v="0"/>
    <n v="0"/>
    <n v="2.8"/>
    <n v="1.30145"/>
    <n v="163.98"/>
    <n v="9.2449999999999992"/>
    <n v="1.2351831501831501"/>
    <x v="109"/>
    <n v="321.64999999999998"/>
    <n v="3.2786300392436671"/>
    <n v="0"/>
    <n v="0"/>
    <n v="0"/>
    <n v="0"/>
  </r>
  <r>
    <n v="1422"/>
    <s v="แขวงทางหลวงอุทัยธานี"/>
    <n v="447"/>
    <n v="3319"/>
    <n v="200"/>
    <s v="บันไดสามขั้น - ทัพทัน"/>
    <n v="24453"/>
    <n v="14390"/>
    <n v="10.063000000000001"/>
    <n v="2"/>
    <s v="R3"/>
    <d v="2015-07-31T00:00:00"/>
    <s v="A.C."/>
    <n v="7.4"/>
    <n v="1.85"/>
    <n v="0.52500000000000002"/>
    <n v="0.25"/>
    <n v="2.2844899999999999"/>
    <n v="2.5"/>
    <n v="9.6999999999999993"/>
    <n v="0.3"/>
    <n v="0"/>
    <n v="2.5000000000000001E-2"/>
    <n v="3.4043399999999999"/>
    <n v="3.5"/>
    <n v="0"/>
    <n v="0"/>
    <n v="10.025"/>
    <n v="1.31928"/>
    <n v="2"/>
    <n v="866"/>
    <n v="1.2350761630300535"/>
    <x v="109"/>
    <n v="0"/>
    <n v="0"/>
    <n v="0"/>
    <n v="0"/>
    <n v="0"/>
    <n v="0"/>
  </r>
  <r>
    <n v="515"/>
    <s v="แขวงทางหลวงอุตรดิตถ์ที่ 1"/>
    <n v="557"/>
    <n v="1040"/>
    <n v="100"/>
    <s v="ท่าทอง - หาดกรวด"/>
    <s v="0+000"/>
    <s v="2+061"/>
    <n v="2.0609999999999999"/>
    <s v="L1"/>
    <n v="4"/>
    <d v="2015-09-23T00:00:00"/>
    <s v="A.C."/>
    <n v="0.3"/>
    <n v="0.47499999999999998"/>
    <n v="0.6"/>
    <n v="0.68"/>
    <n v="4.6234099999999998"/>
    <n v="4.5"/>
    <n v="1.85"/>
    <n v="0.17499999999999999"/>
    <n v="2.5000000000000001E-2"/>
    <n v="0"/>
    <n v="5.50624"/>
    <n v="5.5"/>
    <n v="0"/>
    <n v="0"/>
    <n v="2.0550000000000002"/>
    <n v="1.1268499999999999"/>
    <n v="85.2"/>
    <n v="7.68"/>
    <n v="1.2343519999999999"/>
    <x v="109"/>
    <n v="125.94"/>
    <n v="1.7458929999999999"/>
    <n v="0"/>
    <n v="0"/>
    <n v="0"/>
    <n v="0"/>
  </r>
  <r>
    <n v="906"/>
    <s v="แขวงทางหลวงอำนาจเจริญ"/>
    <n v="634"/>
    <n v="2454"/>
    <n v="102"/>
    <s v="ทางเข้าพนา - ดอนขวัญ"/>
    <n v="3776"/>
    <n v="4926"/>
    <n v="1.1499999999999999"/>
    <n v="2"/>
    <s v="L1"/>
    <d v="2015-05-22T00:00:00"/>
    <s v="A.C."/>
    <n v="0.2"/>
    <n v="0.5"/>
    <n v="0.32500000000000001"/>
    <n v="7.4999999999999997E-2"/>
    <n v="3.3327300000000002"/>
    <n v="3.5"/>
    <n v="1.1000000000000001"/>
    <n v="0"/>
    <n v="0"/>
    <n v="0"/>
    <n v="2.6898200000000001"/>
    <n v="2.5"/>
    <n v="0"/>
    <n v="0"/>
    <n v="1.0999999999999999"/>
    <n v="1.61002"/>
    <n v="42.11"/>
    <n v="15.14"/>
    <n v="1.2342900000000001"/>
    <x v="109"/>
    <n v="0"/>
    <n v="0"/>
    <n v="3.56"/>
    <n v="8.8446999999999998E-2"/>
    <n v="0"/>
    <n v="0"/>
  </r>
  <r>
    <n v="1171"/>
    <s v="แขวงทางหลวงสิงห์บุรี"/>
    <n v="433"/>
    <n v="309"/>
    <n v="302"/>
    <s v="ทางแยกวัดสว่างอารมณ์ - ทางแยกศาลหลักเมือง"/>
    <s v="96+968"/>
    <s v="93+300"/>
    <n v="3.6680000000000001"/>
    <n v="4"/>
    <s v="R2"/>
    <d v="2015-10-05T00:00:00"/>
    <s v="A.C."/>
    <n v="1.7749999999999999"/>
    <n v="0.97499999999999998"/>
    <n v="0.52500000000000002"/>
    <n v="0.45"/>
    <n v="4.4086600000000002"/>
    <n v="4.5"/>
    <n v="3.7250000000000001"/>
    <n v="0"/>
    <n v="0"/>
    <n v="0"/>
    <n v="2.7500499999999999"/>
    <n v="3"/>
    <n v="0"/>
    <n v="0"/>
    <n v="3.6680000000000001"/>
    <n v="1.1887799999999999"/>
    <n v="156.69"/>
    <n v="2.2999999999999998"/>
    <n v="1.2294749961053122"/>
    <x v="109"/>
    <n v="146.9"/>
    <n v="1.144259230409721"/>
    <n v="120.2"/>
    <n v="0.93628291011060905"/>
    <n v="1.5"/>
    <n v="0.93628291011060905"/>
  </r>
  <r>
    <n v="2125"/>
    <s v="แขวงทางหลวงภูเก็ต"/>
    <n v="324"/>
    <n v="4029"/>
    <n v="100"/>
    <s v="กะทู้ - ป่าตอง"/>
    <n v="0"/>
    <n v="2836"/>
    <n v="2.8359999999999999"/>
    <n v="4"/>
    <s v="L1"/>
    <d v="2015-05-14T00:00:00"/>
    <s v="A.C."/>
    <n v="0.65"/>
    <n v="1"/>
    <n v="1"/>
    <n v="0.77500000000000002"/>
    <n v="3.8807999999999998"/>
    <n v="4"/>
    <n v="3.125"/>
    <n v="0.22500000000000001"/>
    <n v="7.4999999999999997E-2"/>
    <n v="0"/>
    <n v="5.4831700000000003"/>
    <n v="5.5"/>
    <n v="0"/>
    <n v="0"/>
    <n v="3.4249999999999998"/>
    <n v="1.3382000000000001"/>
    <n v="44.25"/>
    <n v="153.22"/>
    <n v="1.2176103163409229"/>
    <x v="109"/>
    <n v="185.19"/>
    <n v="1.8657062260729398"/>
    <n v="0"/>
    <n v="0"/>
    <n v="5.48"/>
    <n v="5.5208543219826718E-2"/>
  </r>
  <r>
    <n v="701"/>
    <s v="แขวงทางหลวงชัยภูมิ"/>
    <n v="626"/>
    <n v="225"/>
    <n v="401"/>
    <s v="น้ำอ้อม - หนองบัวระเหว"/>
    <n v="160582"/>
    <n v="224582"/>
    <n v="64"/>
    <n v="4"/>
    <s v="L1"/>
    <d v="2015-06-19T00:00:00"/>
    <s v="A.C."/>
    <n v="27.774999999999999"/>
    <n v="19.45"/>
    <n v="10.475"/>
    <n v="6.8"/>
    <n v="2.9771000000000001"/>
    <n v="3"/>
    <n v="56.55"/>
    <n v="5.35"/>
    <n v="1.7250000000000001"/>
    <n v="0.875"/>
    <n v="5.8155999999999999"/>
    <n v="6"/>
    <n v="2.5000000000000001E-2"/>
    <n v="7.4999999999999997E-2"/>
    <n v="63.575000000000003"/>
    <n v="1.1629700000000001"/>
    <n v="2727.29"/>
    <n v="0"/>
    <n v="1.2175401785714286"/>
    <x v="109"/>
    <n v="0"/>
    <n v="0"/>
    <n v="66.069999999999993"/>
    <n v="2.9495535714285714E-2"/>
    <n v="0"/>
    <n v="0"/>
  </r>
  <r>
    <n v="749"/>
    <s v="แขวงทางหลวงชัยภูมิ"/>
    <n v="626"/>
    <n v="225"/>
    <n v="401"/>
    <s v="น้ำอ้อม - หนองบัวระเหว"/>
    <n v="160582"/>
    <n v="224582"/>
    <n v="64"/>
    <n v="4"/>
    <s v="L1"/>
    <d v="2015-06-19T00:00:00"/>
    <s v="A.C."/>
    <n v="27.774999999999999"/>
    <n v="19.45"/>
    <n v="10.475"/>
    <n v="6.8"/>
    <n v="2.9771000000000001"/>
    <n v="3"/>
    <n v="56.55"/>
    <n v="5.35"/>
    <n v="1.7250000000000001"/>
    <n v="0.875"/>
    <n v="5.8155999999999999"/>
    <n v="6"/>
    <n v="2.5000000000000001E-2"/>
    <n v="7.4999999999999997E-2"/>
    <n v="63.575000000000003"/>
    <n v="1.1629700000000001"/>
    <n v="2727.29"/>
    <n v="0"/>
    <n v="1.2175401785714286"/>
    <x v="109"/>
    <n v="0"/>
    <n v="0"/>
    <n v="66.069999999999993"/>
    <n v="2.9495535714285714E-2"/>
    <n v="0"/>
    <n v="0"/>
  </r>
  <r>
    <n v="566"/>
    <s v="แขวงทางหลวงเพชรบูรณ์ที่ 1"/>
    <n v="551"/>
    <n v="2325"/>
    <n v="100"/>
    <s v="เขาค้อ - หนองแม่นา"/>
    <n v="0"/>
    <n v="18044"/>
    <n v="18.044"/>
    <n v="2"/>
    <s v="L1"/>
    <d v="2015-08-08T00:00:00"/>
    <s v="A.C."/>
    <n v="11.93"/>
    <n v="3.51"/>
    <n v="1.64"/>
    <n v="0.98"/>
    <n v="2.4857"/>
    <n v="2.5"/>
    <n v="17.489999999999998"/>
    <n v="0.45"/>
    <n v="0.12"/>
    <n v="0"/>
    <n v="4.0526099999999996"/>
    <n v="4"/>
    <n v="0"/>
    <n v="0"/>
    <n v="18.059999999999999"/>
    <n v="1.1763399999999999"/>
    <n v="766"/>
    <n v="0"/>
    <n v="1.2129081293346424"/>
    <x v="109"/>
    <n v="0"/>
    <n v="0"/>
    <n v="0"/>
    <n v="0"/>
    <n v="1"/>
    <n v="1.5834309782436584E-3"/>
  </r>
  <r>
    <n v="1970"/>
    <s v="แขวงทางหลวงตรัง"/>
    <n v="322"/>
    <n v="403"/>
    <n v="301"/>
    <s v="กะปาง - ห้วยนาง"/>
    <n v="67076"/>
    <n v="82997"/>
    <n v="15.920999999999999"/>
    <n v="4"/>
    <s v="L2"/>
    <d v="2015-05-02T00:00:00"/>
    <s v="A.C."/>
    <n v="9.4250000000000007"/>
    <n v="4.1749999999999998"/>
    <n v="1.35"/>
    <n v="0.875"/>
    <n v="2.5872999999999999"/>
    <n v="2.5"/>
    <n v="9.2750000000000004"/>
    <n v="4"/>
    <n v="1.95"/>
    <n v="0.6"/>
    <n v="9.3113299999999999"/>
    <n v="9.5"/>
    <n v="0"/>
    <n v="0"/>
    <n v="15.825000000000001"/>
    <n v="1.18588"/>
    <n v="673.97"/>
    <n v="0"/>
    <n v="1.2094897125988138"/>
    <x v="109"/>
    <n v="466.02"/>
    <n v="0.83630784139546144"/>
    <n v="980.47"/>
    <n v="1.7595269500300592"/>
    <n v="0"/>
    <n v="0"/>
  </r>
  <r>
    <n v="2053"/>
    <s v="แขวงทางหลวงสุราษฎร์ธานีที่ 2 (กาญจนดิษฐ์)"/>
    <n v="328"/>
    <n v="4010"/>
    <n v="100"/>
    <s v="หนองสวน - คำสน"/>
    <n v="27767"/>
    <n v="3691"/>
    <n v="24.076000000000001"/>
    <n v="2"/>
    <s v="R1"/>
    <d v="2015-04-25T00:00:00"/>
    <s v="A.C."/>
    <n v="13.824999999999999"/>
    <n v="6.5750000000000002"/>
    <n v="2.7250000000000001"/>
    <n v="0.9"/>
    <n v="2.5932400000000002"/>
    <n v="2.5"/>
    <n v="21.475000000000001"/>
    <n v="1.4750000000000001"/>
    <n v="0.67500000000000004"/>
    <n v="0.4"/>
    <n v="4.5255299999999998"/>
    <n v="4.5"/>
    <n v="0"/>
    <n v="0"/>
    <n v="24.024999999999999"/>
    <n v="1.28047"/>
    <n v="627.61"/>
    <n v="774.26"/>
    <n v="1.2042104763487054"/>
    <x v="109"/>
    <n v="326.87"/>
    <n v="0.38790259416609307"/>
    <n v="166.02"/>
    <n v="0.19701896375762468"/>
    <n v="1"/>
    <n v="1.1867182493532386E-3"/>
  </r>
  <r>
    <n v="1546"/>
    <s v="แขวงทางหลวงสมุทรสาคร"/>
    <n v="415"/>
    <n v="3235"/>
    <n v="100"/>
    <s v="นครชัยศรี - เลียบแม่น้ำนครชัยศรี"/>
    <s v="0+000"/>
    <s v="6+239"/>
    <n v="6.2389999999999999"/>
    <n v="2"/>
    <s v="L1"/>
    <d v="2015-08-26T00:00:00"/>
    <s v="A.C."/>
    <n v="1.6"/>
    <n v="2.2999999999999998"/>
    <n v="1.6"/>
    <n v="0.75"/>
    <n v="3.4127999999999998"/>
    <n v="3.5"/>
    <n v="3.1749999999999998"/>
    <n v="1.45"/>
    <n v="1.125"/>
    <n v="0.5"/>
    <n v="10.9922"/>
    <n v="11"/>
    <n v="0"/>
    <n v="0"/>
    <n v="6.25"/>
    <n v="1.0427900000000001"/>
    <n v="258"/>
    <n v="6.99"/>
    <n v="1.1975100000000001"/>
    <x v="109"/>
    <n v="0"/>
    <n v="0"/>
    <n v="0"/>
    <n v="0"/>
    <n v="0"/>
    <n v="0"/>
  </r>
  <r>
    <n v="2005"/>
    <s v="แขวงทางหลวงสุราษฎร์ธานี ที่ 1 (พุนพิน)"/>
    <n v="325"/>
    <n v="420"/>
    <n v="101"/>
    <s v="วงแหวนรอบเมืองสุราษฎร์ธานี"/>
    <s v="36+270"/>
    <s v="33+841"/>
    <n v="2.4289999999999998"/>
    <n v="4"/>
    <s v="R2"/>
    <d v="2015-04-23T00:00:00"/>
    <s v="A.C."/>
    <n v="1.27"/>
    <n v="0.56000000000000005"/>
    <n v="0.3"/>
    <n v="0.3"/>
    <n v="2.9780199999999999"/>
    <n v="3"/>
    <n v="2.2000000000000002"/>
    <n v="0.13"/>
    <n v="0.08"/>
    <n v="0.03"/>
    <n v="5.6226599999999998"/>
    <n v="5.5"/>
    <n v="0"/>
    <n v="0"/>
    <n v="2.4300000000000002"/>
    <n v="1.39618"/>
    <n v="89.26"/>
    <n v="24.84"/>
    <n v="1.1960242310180558"/>
    <x v="109"/>
    <n v="12.43"/>
    <n v="0.14620949244251016"/>
    <n v="0.73"/>
    <n v="8.5867199905898962E-3"/>
    <n v="0"/>
    <n v="0"/>
  </r>
  <r>
    <n v="1340"/>
    <s v="แขวงทางหลวงกาญจนบุรี"/>
    <n v="444"/>
    <n v="3500"/>
    <n v="100"/>
    <s v="หนองบัว - ลาดหญ้า"/>
    <n v="0"/>
    <n v="4196"/>
    <n v="4.1959999999999997"/>
    <n v="2"/>
    <s v="L1"/>
    <d v="2015-07-27T00:00:00"/>
    <s v="A.C."/>
    <n v="2.5249999999999999"/>
    <n v="1.05"/>
    <n v="0.5"/>
    <n v="7.4999999999999997E-2"/>
    <n v="2.41777"/>
    <n v="2.5"/>
    <n v="3.9750000000000001"/>
    <n v="0.15"/>
    <n v="2.5000000000000001E-2"/>
    <n v="0"/>
    <n v="4.4976099999999999"/>
    <n v="4.5"/>
    <n v="0"/>
    <n v="0"/>
    <n v="4.1500000000000004"/>
    <n v="1.1928399999999999"/>
    <n v="166"/>
    <n v="18"/>
    <n v="1.1916110581506196"/>
    <x v="109"/>
    <n v="0"/>
    <n v="0"/>
    <n v="0"/>
    <n v="0"/>
    <n v="0"/>
    <n v="0"/>
  </r>
  <r>
    <n v="1196"/>
    <s v="แขวงทางหลวงลพบุรีที่ 2 (ลำนารายณ์)"/>
    <n v="435"/>
    <n v="2089"/>
    <n v="301"/>
    <s v="คลองท่าข้าม - น้ำตกวังก้านเหลือง"/>
    <s v="33+760"/>
    <s v="38+675"/>
    <n v="4.915"/>
    <n v="2"/>
    <s v="L1"/>
    <d v="2015-10-05T00:00:00"/>
    <s v="A.C."/>
    <n v="2.9"/>
    <n v="1.25"/>
    <n v="0.625"/>
    <n v="0.2"/>
    <n v="2.6776399999999998"/>
    <n v="2.5"/>
    <n v="4.5750000000000002"/>
    <n v="0.27500000000000002"/>
    <n v="0.05"/>
    <n v="7.4999999999999997E-2"/>
    <n v="5.18811"/>
    <n v="5"/>
    <n v="0"/>
    <n v="0"/>
    <n v="4.915"/>
    <n v="1.13079"/>
    <n v="203.55799999999999"/>
    <n v="2.35"/>
    <n v="1.1901351547740155"/>
    <x v="109"/>
    <n v="136.85"/>
    <n v="0.79552400000000001"/>
    <n v="0"/>
    <n v="0"/>
    <n v="0"/>
    <n v="0"/>
  </r>
  <r>
    <n v="295"/>
    <s v="แขวงทางหลวงสกลนครที่ 2 (สว่างแดนดิน)"/>
    <n v="642"/>
    <n v="2281"/>
    <n v="100"/>
    <s v="โคกคอน - ชัยยานนท์"/>
    <n v="0"/>
    <n v="12200"/>
    <n v="12.2"/>
    <n v="2"/>
    <s v="L1"/>
    <d v="2015-06-08T00:00:00"/>
    <s v="A.C."/>
    <n v="5.6"/>
    <n v="3.7250000000000001"/>
    <n v="1.925"/>
    <n v="0.97499999999999998"/>
    <n v="2.9464199999999998"/>
    <n v="3"/>
    <n v="12.05"/>
    <n v="0.125"/>
    <n v="0.05"/>
    <n v="0"/>
    <n v="3.4956900000000002"/>
    <n v="3.5"/>
    <n v="0"/>
    <n v="0"/>
    <n v="12.225000000000001"/>
    <n v="1.2599"/>
    <n v="422"/>
    <n v="170"/>
    <n v="1.187353629976581"/>
    <x v="109"/>
    <n v="0"/>
    <n v="0"/>
    <n v="0"/>
    <n v="0"/>
    <n v="0"/>
    <n v="0"/>
  </r>
  <r>
    <n v="1371"/>
    <s v="แขวงทางหลวงสุพรรณบุรีที่ 2 (อู่ทอง)"/>
    <n v="445"/>
    <n v="3363"/>
    <n v="100"/>
    <s v="ดอนแสลบ - ช่องด่าน"/>
    <s v="0+000"/>
    <s v="8+873"/>
    <n v="8.8729999999999993"/>
    <n v="2"/>
    <s v="L1"/>
    <d v="2015-07-23T00:00:00"/>
    <s v="A.C."/>
    <n v="7.35"/>
    <n v="0.8"/>
    <n v="0.32500000000000001"/>
    <n v="0.4"/>
    <n v="2.03389"/>
    <n v="2"/>
    <n v="8.4250000000000007"/>
    <n v="0.35"/>
    <n v="0.1"/>
    <n v="0"/>
    <n v="3.5710600000000001"/>
    <n v="3.5"/>
    <n v="0"/>
    <n v="0"/>
    <n v="8.875"/>
    <n v="1.1543399999999999"/>
    <n v="362"/>
    <n v="13"/>
    <n v="1.1865853069504597"/>
    <x v="109"/>
    <n v="0"/>
    <n v="0"/>
    <n v="420"/>
    <n v="1.3524174461850558"/>
    <n v="4"/>
    <n v="1.2880166154143389E-2"/>
  </r>
  <r>
    <n v="1036"/>
    <s v="แขวงทางหลวงบุรีรัมย์"/>
    <n v="617"/>
    <n v="2208"/>
    <n v="103"/>
    <s v="ระกา - กระสัง"/>
    <n v="42016"/>
    <n v="46496"/>
    <n v="4.4800000000000004"/>
    <n v="4"/>
    <s v="L2"/>
    <d v="2015-05-08T00:00:00"/>
    <s v="A.C."/>
    <n v="1.75"/>
    <n v="1.825"/>
    <n v="0.52500000000000002"/>
    <n v="0.3"/>
    <n v="2.6839200000000001"/>
    <n v="2.5"/>
    <n v="2.65"/>
    <n v="1.325"/>
    <n v="0.375"/>
    <n v="0.05"/>
    <n v="8.6624599999999994"/>
    <n v="8.5"/>
    <n v="0"/>
    <n v="0"/>
    <n v="4.4000000000000004"/>
    <n v="1.4379599999999999"/>
    <n v="185.85"/>
    <n v="0"/>
    <n v="1.185267857142857"/>
    <x v="109"/>
    <n v="12.89"/>
    <n v="8.2206632653061218E-2"/>
    <n v="79.7"/>
    <n v="0.5082908163265305"/>
    <n v="0"/>
    <n v="0"/>
  </r>
  <r>
    <n v="1374"/>
    <s v="แขวงทางหลวงสุพรรณบุรีที่ 2 (อู่ทอง)"/>
    <n v="445"/>
    <n v="3390"/>
    <n v="100"/>
    <s v="หนองรี - บ่อยาง"/>
    <n v="37173"/>
    <n v="0"/>
    <n v="37.173000000000002"/>
    <n v="2"/>
    <s v="R1"/>
    <d v="2015-07-23T00:00:00"/>
    <s v="A.C."/>
    <n v="24.95"/>
    <n v="6.875"/>
    <n v="3.7250000000000001"/>
    <n v="1.675"/>
    <n v="2.3832599999999999"/>
    <n v="2.5"/>
    <n v="34.700000000000003"/>
    <n v="2.0499999999999998"/>
    <n v="0.35"/>
    <n v="0.125"/>
    <n v="4.1823600000000001"/>
    <n v="4"/>
    <n v="0"/>
    <n v="0"/>
    <n v="37.224999999999994"/>
    <n v="1.20923"/>
    <n v="1508"/>
    <n v="65"/>
    <n v="1.1840391067249272"/>
    <x v="109"/>
    <n v="0"/>
    <n v="0"/>
    <n v="1413"/>
    <n v="1.0860417123027082"/>
    <n v="0"/>
    <n v="0"/>
  </r>
  <r>
    <n v="1002"/>
    <s v="แขวงทางหลวงบุรีรัมย์"/>
    <n v="617"/>
    <n v="219"/>
    <n v="302"/>
    <s v="หัวถนน - บุรีรัมย์"/>
    <n v="128082"/>
    <n v="137897"/>
    <n v="9.8149999999999995"/>
    <n v="4"/>
    <s v="R1"/>
    <d v="2015-05-05T00:00:00"/>
    <s v="A.C."/>
    <n v="2.6"/>
    <n v="3.2"/>
    <n v="2.4500000000000002"/>
    <n v="1.0249999999999999"/>
    <n v="3.7857400000000001"/>
    <n v="4"/>
    <n v="4.125"/>
    <n v="3"/>
    <n v="1.35"/>
    <n v="0.8"/>
    <n v="9.3877199999999998"/>
    <n v="9.5"/>
    <n v="0"/>
    <n v="0"/>
    <n v="9.2750000000000004"/>
    <n v="1.23956"/>
    <n v="322.2"/>
    <n v="155.06"/>
    <n v="1.1636125463940035"/>
    <x v="109"/>
    <n v="262.05"/>
    <n v="0.76282657739611381"/>
    <n v="179.96"/>
    <n v="0.52386289207481262"/>
    <n v="0.18"/>
    <n v="5.2397933192635179E-4"/>
  </r>
  <r>
    <n v="332"/>
    <s v="แขวงทางหลวงหนองคาย"/>
    <n v="646"/>
    <n v="202"/>
    <n v="100"/>
    <s v="ท่าบ่อ - บ้านว่าน"/>
    <n v="0"/>
    <n v="13175"/>
    <n v="13.175000000000001"/>
    <n v="2"/>
    <s v="L1"/>
    <d v="2015-06-10T00:00:00"/>
    <s v="A.C."/>
    <n v="9.375"/>
    <n v="2.375"/>
    <n v="0.97499999999999998"/>
    <n v="0.375"/>
    <n v="2.3650000000000002"/>
    <n v="2.5"/>
    <n v="11.875"/>
    <n v="1.125"/>
    <n v="7.4999999999999997E-2"/>
    <n v="2.5000000000000001E-2"/>
    <n v="4.4989999999999997"/>
    <n v="4.5"/>
    <n v="0"/>
    <n v="0"/>
    <n v="13.1"/>
    <n v="1.079"/>
    <n v="0"/>
    <n v="0"/>
    <n v="0"/>
    <x v="106"/>
    <n v="0"/>
    <n v="0"/>
    <n v="0"/>
    <n v="0"/>
    <n v="0"/>
    <n v="0"/>
  </r>
  <r>
    <n v="1136"/>
    <s v="แขวงทางหลวงสระบุรี"/>
    <n v="432"/>
    <n v="310"/>
    <n v="100"/>
    <s v="ทางเข้าพระพุทธบาทสระบุรี"/>
    <s v="1+975"/>
    <s v="0+000"/>
    <n v="1.9750000000000001"/>
    <n v="4"/>
    <s v="R2"/>
    <d v="2015-10-05T00:00:00"/>
    <s v="A.C."/>
    <n v="0.82499999999999996"/>
    <n v="0.8"/>
    <n v="0.27500000000000002"/>
    <n v="0.1"/>
    <n v="2.8608699999999998"/>
    <n v="3"/>
    <n v="1.55"/>
    <n v="0.35"/>
    <n v="7.4999999999999997E-2"/>
    <n v="2.5000000000000001E-2"/>
    <n v="7.5497899999999998"/>
    <n v="7.5"/>
    <n v="0"/>
    <n v="0"/>
    <n v="2"/>
    <n v="1.4815799999999999"/>
    <n v="78.956000000000003"/>
    <n v="2.64"/>
    <n v="1.161316"/>
    <x v="109"/>
    <n v="45.86"/>
    <n v="0.66343600000000003"/>
    <n v="0"/>
    <n v="0"/>
    <n v="0"/>
    <n v="0"/>
  </r>
  <r>
    <n v="1714"/>
    <s v="แขวงทางหลวงชลบุรีที่ 1"/>
    <n v="422"/>
    <n v="361"/>
    <n v="100"/>
    <s v="ทางเลี่ยงเมืองชลบุรี"/>
    <n v="9000"/>
    <n v="0"/>
    <n v="9"/>
    <n v="10"/>
    <s v="R2"/>
    <d v="2015-08-13T00:00:00"/>
    <s v="A.C."/>
    <n v="2.67"/>
    <n v="3.87"/>
    <n v="1.88"/>
    <n v="0.59"/>
    <n v="3.7328399999999999"/>
    <n v="3.5"/>
    <n v="7.05"/>
    <n v="1.75"/>
    <n v="0.2"/>
    <n v="0"/>
    <n v="8.1158699999999993"/>
    <n v="8"/>
    <n v="0"/>
    <n v="0"/>
    <n v="9"/>
    <n v="1.2652699999999999"/>
    <n v="0"/>
    <n v="727.82"/>
    <n v="1.15527"/>
    <x v="109"/>
    <n v="1.52"/>
    <n v="4.8300000000000001E-3"/>
    <n v="14"/>
    <n v="4.4443999999999997E-2"/>
    <n v="1.06"/>
    <n v="3.3700000000000002E-3"/>
  </r>
  <r>
    <n v="1363"/>
    <s v="แขวงทางหลวงสุพรรณบุรีที่ 2 (อู่ทอง)"/>
    <n v="445"/>
    <n v="3260"/>
    <n v="102"/>
    <s v="สองพี่น้อง - มะขามล้ม"/>
    <n v="11017"/>
    <n v="31856"/>
    <n v="20.838999999999999"/>
    <n v="2"/>
    <s v="L1"/>
    <d v="2015-07-22T00:00:00"/>
    <s v="A.C."/>
    <n v="13.025"/>
    <n v="4.45"/>
    <n v="1.9"/>
    <n v="1.325"/>
    <n v="2.5765699999999998"/>
    <n v="2.5"/>
    <n v="19.475000000000001"/>
    <n v="0.9"/>
    <n v="0.3"/>
    <n v="2.5000000000000001E-2"/>
    <n v="4.2553999999999998"/>
    <n v="4.5"/>
    <n v="0"/>
    <n v="0"/>
    <n v="20.7"/>
    <n v="1.18902"/>
    <n v="836"/>
    <n v="10"/>
    <n v="1.1530577968506852"/>
    <x v="109"/>
    <n v="0"/>
    <n v="0"/>
    <n v="887"/>
    <n v="1.2161263564881781"/>
    <n v="0"/>
    <n v="0"/>
  </r>
  <r>
    <n v="162"/>
    <s v="แขวงทางหลวงเชียงรายที่ 1"/>
    <n v="533"/>
    <n v="1"/>
    <n v="1402"/>
    <s v="สบห้วย - เชียงราย"/>
    <s v="928+817"/>
    <s v="912+300"/>
    <n v="16.117000000000001"/>
    <n v="4"/>
    <s v="R2"/>
    <d v="2015-07-18T00:00:00"/>
    <s v="A.C."/>
    <n v="12.3"/>
    <n v="2.29"/>
    <n v="0.85"/>
    <n v="0.68"/>
    <n v="2.2153499999999999"/>
    <n v="2"/>
    <n v="6.26"/>
    <n v="6.01"/>
    <n v="3.15"/>
    <n v="0.7"/>
    <n v="11.9909"/>
    <n v="12"/>
    <n v="0"/>
    <n v="0"/>
    <n v="16.12"/>
    <n v="1.1034200000000001"/>
    <n v="538"/>
    <n v="212"/>
    <n v="1.1416516721474221"/>
    <x v="0"/>
    <n v="1"/>
    <n v="1.7727510437071769E-3"/>
    <n v="232"/>
    <n v="0.41127824214006503"/>
    <n v="0"/>
    <n v="0"/>
  </r>
  <r>
    <n v="1689"/>
    <s v="แขวงทางหลวงฉะเชิงเทรา"/>
    <n v="421"/>
    <n v="3121"/>
    <n v="100"/>
    <s v="บางคล้า - แปลงยาว"/>
    <n v="17813"/>
    <n v="0"/>
    <n v="17.812999999999999"/>
    <n v="2"/>
    <s v="R1"/>
    <d v="2015-08-10T00:00:00"/>
    <s v="A.C."/>
    <n v="10.130000000000001"/>
    <n v="3.05"/>
    <n v="2"/>
    <n v="2.75"/>
    <n v="2.9608599999999998"/>
    <n v="3"/>
    <n v="7.9749999999999996"/>
    <n v="2.375"/>
    <n v="1.65"/>
    <n v="5.9249999999999998"/>
    <n v="18.722100000000001"/>
    <n v="18.5"/>
    <n v="0"/>
    <n v="0"/>
    <n v="17.812999999999999"/>
    <n v="1.13361"/>
    <n v="708.91"/>
    <n v="5.33"/>
    <n v="1.1413413959307408"/>
    <x v="0"/>
    <n v="294.95999999999998"/>
    <n v="0.47310551683762264"/>
    <n v="786"/>
    <n v="1.2607164911661628"/>
    <n v="0"/>
    <n v="0"/>
  </r>
  <r>
    <n v="2021"/>
    <s v="แขวงทางหลวงสุราษฎร์ธานี ที่ 1 (พุนพิน)"/>
    <n v="325"/>
    <n v="4259"/>
    <n v="101"/>
    <s v="ทุ่งตาเพชร - ห้วยสลิง"/>
    <n v="0"/>
    <n v="30000"/>
    <n v="30"/>
    <n v="2"/>
    <s v="L1"/>
    <d v="2015-04-22T00:00:00"/>
    <s v="A.C."/>
    <n v="13.45"/>
    <n v="9.3699999999999992"/>
    <n v="4.93"/>
    <n v="2.25"/>
    <n v="2.9922599999999999"/>
    <n v="3"/>
    <n v="28.53"/>
    <n v="1.06"/>
    <n v="0.28000000000000003"/>
    <n v="0.12"/>
    <n v="3.9763099999999998"/>
    <n v="4"/>
    <n v="0"/>
    <n v="0"/>
    <n v="30"/>
    <n v="1.3769"/>
    <n v="1091.7"/>
    <n v="202.58"/>
    <n v="1.1361809523809523"/>
    <x v="0"/>
    <n v="523"/>
    <n v="0.49809523809523809"/>
    <n v="918.62"/>
    <n v="0.87487619047619047"/>
    <n v="4"/>
    <n v="3.8095238095238091E-3"/>
  </r>
  <r>
    <n v="312"/>
    <s v="แขวงทางหลวงนครพนม"/>
    <n v="644"/>
    <n v="2030"/>
    <n v="100"/>
    <s v="ทางเลี่ยงองค์พระธาตุ"/>
    <n v="2155"/>
    <n v="0"/>
    <n v="2.1549999999999998"/>
    <n v="4"/>
    <s v="R2"/>
    <d v="2015-06-03T00:00:00"/>
    <s v="A.C."/>
    <n v="1.75"/>
    <n v="0.25"/>
    <n v="0.03"/>
    <n v="0.13"/>
    <n v="2.2547700000000002"/>
    <n v="2.5"/>
    <n v="2.1"/>
    <n v="0.03"/>
    <n v="0.03"/>
    <n v="0"/>
    <n v="3.5086300000000001"/>
    <n v="3.5"/>
    <n v="0"/>
    <n v="0"/>
    <n v="2.16"/>
    <n v="1.0871599999999999"/>
    <n v="82"/>
    <n v="5"/>
    <n v="1.12032"/>
    <x v="0"/>
    <n v="0"/>
    <n v="0"/>
    <n v="0"/>
    <n v="0"/>
    <n v="0"/>
    <n v="0"/>
  </r>
  <r>
    <n v="164"/>
    <s v="แขวงทางหลวงเชียงรายที่ 1"/>
    <n v="533"/>
    <n v="1"/>
    <n v="1403"/>
    <s v="เชียงราย - บ้านเด่น"/>
    <s v="944+000"/>
    <s v="929+117"/>
    <n v="14.052"/>
    <n v="4"/>
    <s v="R2"/>
    <d v="2015-07-18T00:00:00"/>
    <s v="A.C."/>
    <n v="8.26"/>
    <n v="3.55"/>
    <n v="1.8"/>
    <n v="0.44"/>
    <n v="2.8759999999999999"/>
    <n v="3"/>
    <n v="11.11"/>
    <n v="2.12"/>
    <n v="0.72"/>
    <n v="0.1"/>
    <n v="7.7430000000000003"/>
    <n v="7.5"/>
    <n v="0"/>
    <n v="0"/>
    <n v="14.05"/>
    <n v="0.92400000000000004"/>
    <n v="498.96"/>
    <n v="101.91"/>
    <n v="1.1181224838355495"/>
    <x v="0"/>
    <n v="0.49"/>
    <n v="9.9629945915172225E-4"/>
    <n v="19.95"/>
    <n v="4.0563620836891544E-2"/>
    <n v="0"/>
    <n v="0"/>
  </r>
  <r>
    <n v="1162"/>
    <s v="แขวงทางหลวงสระบุรี"/>
    <n v="432"/>
    <n v="3314"/>
    <n v="101"/>
    <s v="ท่าช้าง -  ป๊อกแป๊ก"/>
    <s v="0+000"/>
    <s v="4+187"/>
    <n v="4.1870000000000003"/>
    <n v="2"/>
    <s v="L1"/>
    <d v="2015-10-05T00:00:00"/>
    <s v="A.C."/>
    <n v="1.8"/>
    <n v="0.875"/>
    <n v="0.8"/>
    <n v="0.72499999999999998"/>
    <n v="3.6369600000000002"/>
    <n v="3.5"/>
    <n v="3.3250000000000002"/>
    <n v="0.625"/>
    <n v="0.15"/>
    <n v="0.1"/>
    <n v="6.4170999999999996"/>
    <n v="6.5"/>
    <n v="0.125"/>
    <n v="2.5000000000000001E-2"/>
    <n v="4.0750000000000002"/>
    <n v="1.1819900000000001"/>
    <n v="156.74"/>
    <n v="10.36"/>
    <n v="1.1049169999999999"/>
    <x v="0"/>
    <n v="125.63"/>
    <n v="0.85727900000000001"/>
    <n v="0"/>
    <n v="0"/>
    <n v="0"/>
    <n v="0"/>
  </r>
  <r>
    <n v="1010"/>
    <s v="แขวงทางหลวงบุรีรัมย์"/>
    <n v="617"/>
    <n v="226"/>
    <n v="204"/>
    <s v="กระสัง-ระกา"/>
    <s v="116+263"/>
    <s v="126+342"/>
    <n v="10.079000000000001"/>
    <n v="4"/>
    <s v="L2"/>
    <d v="2015-05-05T00:00:00"/>
    <s v="A.C."/>
    <n v="4.0750000000000002"/>
    <n v="2.7749999999999999"/>
    <n v="1.85"/>
    <n v="1.3"/>
    <n v="3.1602700000000001"/>
    <n v="3"/>
    <n v="6.7519999999999998"/>
    <n v="2.379"/>
    <n v="0.92100000000000004"/>
    <n v="2.7E-2"/>
    <n v="8.8466400000000007"/>
    <n v="9"/>
    <n v="0"/>
    <n v="0"/>
    <n v="10"/>
    <n v="1.3535900000000001"/>
    <n v="386.99"/>
    <n v="0"/>
    <n v="1.0970192621150057"/>
    <x v="0"/>
    <n v="133.76"/>
    <n v="0.37917593865604576"/>
    <n v="0"/>
    <n v="0"/>
    <n v="0"/>
    <n v="0"/>
  </r>
  <r>
    <n v="527"/>
    <s v="แขวงทางหลวงอุตรดิตถ์ที่ 1"/>
    <n v="557"/>
    <n v="1254"/>
    <n v="100"/>
    <s v="ทางเข้าดารา"/>
    <s v="0+000"/>
    <s v="2+401"/>
    <n v="2.4009999999999998"/>
    <s v="L1"/>
    <n v="2"/>
    <d v="2015-09-23T00:00:00"/>
    <s v="A.C."/>
    <n v="0.5"/>
    <n v="0.875"/>
    <n v="0.35"/>
    <n v="0.63"/>
    <n v="3.8838300000000001"/>
    <n v="4"/>
    <n v="2.2749999999999999"/>
    <n v="7.4999999999999997E-2"/>
    <n v="0"/>
    <n v="0"/>
    <n v="2.36144"/>
    <n v="2.5"/>
    <n v="0"/>
    <n v="0"/>
    <n v="2.355"/>
    <n v="1.2582899999999999"/>
    <n v="92.153999999999996"/>
    <n v="0"/>
    <n v="1.0966149999999999"/>
    <x v="0"/>
    <n v="67.48"/>
    <n v="0.80299900000000002"/>
    <n v="0"/>
    <n v="0"/>
    <n v="1.27"/>
    <n v="1.5113E-2"/>
  </r>
  <r>
    <n v="220"/>
    <s v="แขวงทางหลวงน่านที่ 1"/>
    <n v="536"/>
    <n v="1169"/>
    <n v="101"/>
    <s v="ท่าล้อ - เมืองหลวง"/>
    <n v="0"/>
    <n v="15000"/>
    <n v="15"/>
    <n v="2"/>
    <s v="L1"/>
    <d v="2015-07-29T00:00:00"/>
    <s v="A.C."/>
    <n v="8.59"/>
    <n v="3.52"/>
    <n v="1.84"/>
    <n v="1.06"/>
    <n v="2.66439"/>
    <n v="2.5"/>
    <n v="2.42"/>
    <n v="2.06"/>
    <n v="1.71"/>
    <n v="8.81"/>
    <n v="26.194500000000001"/>
    <n v="26"/>
    <n v="0"/>
    <n v="0"/>
    <n v="15"/>
    <n v="1.1261300000000001"/>
    <n v="305"/>
    <n v="536.11"/>
    <n v="1.0915333333333335"/>
    <x v="0"/>
    <n v="0"/>
    <n v="0"/>
    <n v="8"/>
    <n v="1.5238095238095236E-2"/>
    <n v="0"/>
    <n v="0"/>
  </r>
  <r>
    <n v="1903"/>
    <s v="แขวงทางหลวงนครปฐม"/>
    <n v="336"/>
    <n v="3404"/>
    <n v="100"/>
    <s v="หลักสาม - คลองยกกระบัตร"/>
    <s v="1+806"/>
    <s v="0+000"/>
    <n v="1.806"/>
    <n v="2"/>
    <s v="R1"/>
    <d v="2015-04-08T00:00:00"/>
    <s v="A.C."/>
    <n v="1.54"/>
    <n v="0.15"/>
    <n v="0.09"/>
    <n v="0.03"/>
    <n v="2.05661"/>
    <n v="2"/>
    <n v="1.78"/>
    <n v="0.03"/>
    <n v="0"/>
    <n v="0"/>
    <n v="5.6398400000000004"/>
    <n v="5.5"/>
    <n v="0"/>
    <n v="0"/>
    <n v="1.81"/>
    <n v="1.1737899999999999"/>
    <n v="65.98"/>
    <n v="4.8"/>
    <n v="1.0817908558772347"/>
    <x v="0"/>
    <n v="49.13"/>
    <n v="0.77725043505774405"/>
    <n v="0"/>
    <n v="0"/>
    <n v="2.5"/>
    <n v="3.9550704002531245E-2"/>
  </r>
  <r>
    <n v="1238"/>
    <s v="แขวงทางหลวงนครสวรรค์ที่ 1"/>
    <n v="437"/>
    <n v="3008"/>
    <n v="100"/>
    <s v="พยุหะคีรี - เนินมะกอก"/>
    <s v="4+254"/>
    <s v="0+601"/>
    <n v="3.653"/>
    <n v="2"/>
    <s v="R1"/>
    <d v="2015-10-05T00:00:00"/>
    <s v="A.C."/>
    <n v="2.2250000000000001"/>
    <n v="0.52500000000000002"/>
    <n v="0.45"/>
    <n v="0.52500000000000002"/>
    <n v="3.31765"/>
    <n v="3.5"/>
    <n v="3.625"/>
    <n v="0.1"/>
    <n v="0"/>
    <n v="0"/>
    <n v="3.3420800000000002"/>
    <n v="3.5"/>
    <n v="0"/>
    <n v="0"/>
    <n v="3.653"/>
    <n v="1.1205499999999999"/>
    <n v="119.63"/>
    <n v="34.86"/>
    <n v="1.0719956200383247"/>
    <x v="0"/>
    <n v="163.25"/>
    <n v="1.2768370419615971"/>
    <n v="1.98"/>
    <n v="1.5486293066364242E-2"/>
    <n v="0"/>
    <n v="1.5486293066364242E-2"/>
  </r>
  <r>
    <n v="202"/>
    <s v="แขวงทางหลวงพะเยา"/>
    <n v="535"/>
    <n v="1120"/>
    <n v="200"/>
    <s v="ป่าเลา - เชียงม่วน"/>
    <n v="45393"/>
    <n v="10000"/>
    <n v="35.393000000000001"/>
    <n v="2"/>
    <s v="R1"/>
    <d v="2015-07-25T00:00:00"/>
    <s v="A.C."/>
    <n v="17.22"/>
    <n v="10.27"/>
    <n v="4.8099999999999996"/>
    <n v="3.1"/>
    <n v="3.1293700000000002"/>
    <n v="3"/>
    <n v="31.52"/>
    <n v="2.87"/>
    <n v="0.76"/>
    <n v="0.25"/>
    <n v="6.0522"/>
    <n v="6"/>
    <n v="0"/>
    <n v="0"/>
    <n v="35.39"/>
    <n v="1.3259399999999999"/>
    <n v="1264"/>
    <n v="120.96"/>
    <n v="1.0692025461047585"/>
    <x v="0"/>
    <n v="351"/>
    <n v="0.28334900767302656"/>
    <n v="1078"/>
    <n v="0.87022857627214423"/>
    <n v="0"/>
    <n v="0"/>
  </r>
  <r>
    <n v="1690"/>
    <s v="แขวงทางหลวงฉะเชิงเทรา"/>
    <n v="421"/>
    <n v="3124"/>
    <n v="100"/>
    <s v="บางน้ำเปรี้ยว - บางขนาก"/>
    <n v="0"/>
    <n v="9006"/>
    <n v="9.0060000000000002"/>
    <n v="2"/>
    <s v="L1"/>
    <d v="2015-08-11T00:00:00"/>
    <s v="A.C."/>
    <n v="4.3499999999999996"/>
    <n v="2.1749999999999998"/>
    <n v="1.6"/>
    <n v="0.9"/>
    <n v="2.9851299999999998"/>
    <n v="3"/>
    <n v="7.6"/>
    <n v="1.05"/>
    <n v="0.25"/>
    <n v="0.125"/>
    <n v="7.4853199999999998"/>
    <n v="7.5"/>
    <n v="0"/>
    <n v="0"/>
    <n v="9.0060000000000002"/>
    <n v="1.1804600000000001"/>
    <n v="321.94"/>
    <n v="28.8"/>
    <n v="1.0670346752958344"/>
    <x v="0"/>
    <n v="5.83"/>
    <n v="1.8495606103867263E-2"/>
    <n v="129"/>
    <n v="0.40925097554011614"/>
    <n v="1.93"/>
    <n v="6.1229021921893343E-3"/>
  </r>
  <r>
    <n v="889"/>
    <s v="แขวงทางหลวงอุบลราชธานีที่ 2 (หนองหาน)"/>
    <n v="632"/>
    <n v="2368"/>
    <n v="100"/>
    <s v="ทางเข้าผาแต้ม"/>
    <n v="0"/>
    <n v="4621"/>
    <n v="4.6210000000000004"/>
    <n v="2"/>
    <s v="L1"/>
    <d v="2015-05-19T00:00:00"/>
    <s v="A.C."/>
    <n v="0.67500000000000004"/>
    <n v="1.675"/>
    <n v="1.175"/>
    <n v="1.2"/>
    <n v="4.7763200000000001"/>
    <n v="5"/>
    <n v="4.4000000000000004"/>
    <n v="0.3"/>
    <n v="2.5000000000000001E-2"/>
    <n v="0"/>
    <n v="4.6958000000000002"/>
    <n v="4.5"/>
    <n v="0"/>
    <n v="0"/>
    <n v="4.7250000000000005"/>
    <n v="1.7597799999999999"/>
    <n v="164.89"/>
    <n v="9.65"/>
    <n v="1.0493399999999999"/>
    <x v="110"/>
    <n v="994.62"/>
    <n v="6.1496890000000004"/>
    <n v="4"/>
    <n v="2.4732000000000001E-2"/>
    <n v="8.3699999999999992"/>
    <n v="5.1750999999999998E-2"/>
  </r>
  <r>
    <n v="137"/>
    <s v="แขวงทางหลวงลำปางที่ 2"/>
    <n v="528"/>
    <n v="1361"/>
    <n v="100"/>
    <s v="สวนดอกคำ - ม่วงงาม"/>
    <s v="1+970"/>
    <s v="5+595"/>
    <n v="3.625"/>
    <n v="2"/>
    <s v="L1"/>
    <d v="2015-08-08T00:00:00"/>
    <s v="A.C."/>
    <n v="1.75"/>
    <n v="1.3"/>
    <n v="0.4"/>
    <n v="0.2"/>
    <n v="2.8823300000000001"/>
    <n v="3"/>
    <n v="3.65"/>
    <n v="0"/>
    <n v="0"/>
    <n v="0"/>
    <n v="1.4521200000000001"/>
    <n v="1.5"/>
    <n v="0"/>
    <n v="0"/>
    <n v="3.65"/>
    <n v="0.94867100000000004"/>
    <n v="125.64"/>
    <n v="14.69"/>
    <n v="1.0481576354679805"/>
    <x v="110"/>
    <n v="0"/>
    <n v="0"/>
    <n v="0"/>
    <n v="0"/>
    <n v="0"/>
    <n v="0"/>
  </r>
  <r>
    <n v="1763"/>
    <s v="แขวงทางหลวงตราด"/>
    <n v="425"/>
    <n v="3447"/>
    <n v="102"/>
    <s v="คลองเวฬุ - นาวง"/>
    <n v="7569"/>
    <n v="13538"/>
    <n v="5.9690000000000003"/>
    <n v="2"/>
    <s v="L1"/>
    <d v="2015-08-19T00:00:00"/>
    <s v="A.C."/>
    <n v="2.4249999999999998"/>
    <n v="1.825"/>
    <n v="0.82499999999999996"/>
    <n v="0.9"/>
    <n v="3.38381"/>
    <n v="3.5"/>
    <n v="5.5750000000000002"/>
    <n v="0.35"/>
    <n v="2.5000000000000001E-2"/>
    <n v="2.5000000000000001E-2"/>
    <n v="4.8415499999999998"/>
    <n v="5"/>
    <n v="0"/>
    <n v="0"/>
    <n v="5.9750000000000005"/>
    <n v="1.28487"/>
    <n v="218.79"/>
    <n v="0"/>
    <n v="1.0472680276667545"/>
    <x v="110"/>
    <n v="0"/>
    <n v="0"/>
    <n v="0"/>
    <n v="0"/>
    <n v="50.92"/>
    <n v="0.24373549051049473"/>
  </r>
  <r>
    <n v="279"/>
    <s v="แขวงทางหลวงสกลนครที่ 1"/>
    <n v="641"/>
    <n v="2330"/>
    <n v="100"/>
    <s v="สร้างค้อ - ห้วยหวด"/>
    <n v="0"/>
    <n v="33221"/>
    <n v="33.220999999999997"/>
    <n v="2"/>
    <s v="L1"/>
    <d v="2015-06-05T00:00:00"/>
    <s v="A.C."/>
    <n v="20.75"/>
    <n v="8.4"/>
    <n v="3.0249999999999999"/>
    <n v="0.85"/>
    <n v="2.4596200000000001"/>
    <n v="2.5"/>
    <n v="32.85"/>
    <n v="0.17499999999999999"/>
    <n v="0"/>
    <n v="0"/>
    <n v="2.7362000000000002"/>
    <n v="2.5"/>
    <n v="0"/>
    <n v="0"/>
    <n v="33.024999999999999"/>
    <n v="1.2673399999999999"/>
    <n v="1077"/>
    <n v="276"/>
    <n v="1.044950053107544"/>
    <x v="110"/>
    <n v="35"/>
    <n v="3.0101441859065055E-2"/>
    <n v="35.61"/>
    <n v="0"/>
    <n v="0"/>
    <n v="0"/>
  </r>
  <r>
    <n v="1243"/>
    <s v="แขวงทางหลวงนครสวรรค์ที่ 1"/>
    <n v="437"/>
    <n v="3438"/>
    <n v="200"/>
    <s v="ไผ่งาม - ถนนสุด"/>
    <s v="57+723"/>
    <s v="55+725"/>
    <n v="1.998"/>
    <n v="2"/>
    <s v="R1"/>
    <d v="2015-10-05T00:00:00"/>
    <s v="A.C."/>
    <n v="1.675"/>
    <n v="0.25"/>
    <n v="7.4999999999999997E-2"/>
    <n v="0"/>
    <n v="1.9416199999999999"/>
    <n v="2"/>
    <n v="2"/>
    <n v="0"/>
    <n v="0"/>
    <n v="0"/>
    <n v="3.24594"/>
    <n v="3"/>
    <n v="0"/>
    <n v="0"/>
    <n v="1.998"/>
    <n v="1.4691399999999999"/>
    <n v="69.209999999999994"/>
    <n v="7.2249999999999996"/>
    <n v="1.0413627913627912"/>
    <x v="110"/>
    <n v="96.5"/>
    <n v="1.3799513799513801"/>
    <n v="0"/>
    <n v="0"/>
    <n v="0"/>
    <n v="0"/>
  </r>
  <r>
    <n v="671"/>
    <s v="แขวงทางหลวงอุดรธานีที่ 1"/>
    <n v="623"/>
    <n v="2348"/>
    <n v="102"/>
    <s v="น้ำซึม -   คีรีวงกต"/>
    <n v="28275"/>
    <n v="86500"/>
    <n v="58.225000000000001"/>
    <n v="2"/>
    <s v="L1"/>
    <d v="2015-05-12T00:00:00"/>
    <s v="A.C."/>
    <n v="30.1"/>
    <n v="16.16"/>
    <n v="6.65"/>
    <n v="5.33"/>
    <n v="2.6676000000000002"/>
    <n v="2.5"/>
    <n v="53.81"/>
    <n v="3.46"/>
    <n v="0.89"/>
    <n v="0.08"/>
    <n v="4.6490999999999998"/>
    <n v="4.5"/>
    <n v="0"/>
    <n v="0.03"/>
    <n v="58.2"/>
    <n v="1.1656"/>
    <n v="2015.31"/>
    <n v="201.26"/>
    <n v="1.0383100000000001"/>
    <x v="110"/>
    <n v="0"/>
    <n v="0"/>
    <n v="258.36"/>
    <n v="0.12678"/>
    <n v="0"/>
    <n v="0"/>
  </r>
  <r>
    <n v="441"/>
    <s v="แขวงทางหลวงสุโขทัย"/>
    <n v="513"/>
    <n v="1255"/>
    <n v="200"/>
    <s v="คลองกล้วย - ศรีนคร"/>
    <s v="8+751"/>
    <s v="6+640"/>
    <n v="2.1110000000000002"/>
    <s v="R1"/>
    <n v="2"/>
    <d v="2015-09-17T00:00:00"/>
    <s v="A.C."/>
    <n v="1.66"/>
    <n v="0.22"/>
    <n v="0.1"/>
    <n v="0.13"/>
    <n v="2.3580000000000001"/>
    <n v="2.5"/>
    <n v="1.86"/>
    <n v="0.26"/>
    <n v="0"/>
    <n v="0"/>
    <n v="5.8579999999999997"/>
    <n v="6"/>
    <n v="0"/>
    <n v="0"/>
    <n v="2.11"/>
    <n v="0.97099999999999997"/>
    <n v="69.62"/>
    <n v="13.65"/>
    <n v="1.0346484401434661"/>
    <x v="110"/>
    <n v="18.66"/>
    <n v="0.25255464573323405"/>
    <n v="0"/>
    <n v="0"/>
    <n v="0"/>
    <n v="0"/>
  </r>
  <r>
    <n v="1133"/>
    <s v="แขวงทางหลวงสระบุรี"/>
    <n v="432"/>
    <n v="1"/>
    <n v="403"/>
    <s v="ปากข้าวสาร - แยกสวนพฤกษศาสตร์พุแค"/>
    <s v="103+000"/>
    <s v="106+615"/>
    <n v="3.6150000000000002"/>
    <n v="6"/>
    <s v="L3"/>
    <d v="2015-10-05T00:00:00"/>
    <s v="A.C."/>
    <n v="3.05"/>
    <n v="0.375"/>
    <n v="0.42499999999999999"/>
    <n v="0.15"/>
    <n v="2.27413"/>
    <n v="2.5"/>
    <n v="4"/>
    <n v="0"/>
    <n v="0"/>
    <n v="0"/>
    <n v="1.7560100000000001"/>
    <n v="2"/>
    <n v="0"/>
    <n v="0"/>
    <n v="3.9999999999999996"/>
    <n v="1.5524"/>
    <n v="124.9"/>
    <n v="7.9"/>
    <n v="1.0183759999999999"/>
    <x v="110"/>
    <n v="8.25"/>
    <n v="6.5204999999999999E-2"/>
    <n v="0"/>
    <n v="0"/>
    <n v="1.4"/>
    <n v="1.1065E-2"/>
  </r>
  <r>
    <n v="670"/>
    <s v="แขวงทางหลวงอุดรธานีที่ 1"/>
    <n v="623"/>
    <n v="2348"/>
    <n v="101"/>
    <s v="บ้านผือ - น้ำซึม"/>
    <n v="0"/>
    <n v="28275"/>
    <n v="28.274999999999999"/>
    <n v="2"/>
    <s v="L1"/>
    <d v="2015-05-12T00:00:00"/>
    <s v="A.C."/>
    <n v="21.46"/>
    <n v="4.1900000000000004"/>
    <n v="1.6"/>
    <n v="1.03"/>
    <n v="3.6960899999999999"/>
    <n v="3.5"/>
    <n v="27.9"/>
    <n v="0.23"/>
    <n v="0.13"/>
    <n v="0.03"/>
    <n v="4.9538099999999998"/>
    <n v="5"/>
    <n v="0"/>
    <n v="0"/>
    <n v="28.28"/>
    <n v="1.1898899999999999"/>
    <n v="959.67"/>
    <n v="95.84"/>
    <n v="1.0181500000000001"/>
    <x v="110"/>
    <n v="0"/>
    <n v="0"/>
    <n v="123.03"/>
    <n v="0.12432"/>
    <n v="0"/>
    <n v="0"/>
  </r>
  <r>
    <n v="739"/>
    <s v="แขวงทางหลวงขอนแก่นที่ 3 (บ้านไผ่)"/>
    <n v="628"/>
    <n v="2246"/>
    <n v="100"/>
    <s v="บ่อตะครอง  -  โคกสำราญ"/>
    <n v="0"/>
    <n v="27175"/>
    <n v="27.175000000000001"/>
    <n v="2"/>
    <s v="L1"/>
    <d v="2015-06-18T00:00:00"/>
    <s v="A.C."/>
    <n v="15.824999999999999"/>
    <n v="7.75"/>
    <n v="2.5249999999999999"/>
    <n v="1"/>
    <n v="2.5907200000000001"/>
    <n v="2.5"/>
    <n v="25.5"/>
    <n v="1.2"/>
    <n v="0.2"/>
    <n v="0.2"/>
    <n v="4.5640599999999996"/>
    <n v="4.5"/>
    <n v="0"/>
    <n v="0"/>
    <n v="27.099999999999998"/>
    <n v="1.4421900000000001"/>
    <n v="959.3"/>
    <n v="7.04"/>
    <n v="1.0122959653042449"/>
    <x v="110"/>
    <n v="0"/>
    <n v="0"/>
    <n v="34.33"/>
    <n v="3.6094099093179129E-2"/>
    <n v="0"/>
    <n v="0"/>
  </r>
  <r>
    <n v="1085"/>
    <s v="แขวงทางหลวงสระแก้ว (วัฒนานคร)"/>
    <n v="619"/>
    <n v="3462"/>
    <n v="100"/>
    <s v="สระแก้ว - แซร์ออ"/>
    <n v="1277"/>
    <n v="63031"/>
    <n v="61.753999999999998"/>
    <n v="2"/>
    <s v="L1"/>
    <d v="2015-04-01T00:00:00"/>
    <s v="A.C."/>
    <n v="46.53"/>
    <n v="10.29"/>
    <n v="3.65"/>
    <n v="1.28"/>
    <n v="2.1055299999999999"/>
    <n v="2"/>
    <n v="60.53"/>
    <n v="1.1499999999999999"/>
    <n v="0.08"/>
    <n v="0"/>
    <n v="3.9012199999999999"/>
    <n v="4"/>
    <n v="0"/>
    <n v="0"/>
    <n v="61.76"/>
    <n v="1.2235"/>
    <n v="2185.34"/>
    <n v="0"/>
    <n v="1.0110808322422147"/>
    <x v="110"/>
    <n v="52.15"/>
    <n v="2.4127991709039093E-2"/>
    <n v="0"/>
    <n v="0"/>
    <n v="12"/>
    <n v="5.551982751840252E-3"/>
  </r>
  <r>
    <n v="2022"/>
    <s v="แขวงทางหลวงสุราษฎร์ธานี ที่ 1 (พุนพิน)"/>
    <n v="325"/>
    <n v="4259"/>
    <n v="102"/>
    <s v="ห้วยสลิง - น้ำดำ"/>
    <n v="30000"/>
    <n v="60970"/>
    <n v="30.97"/>
    <n v="2"/>
    <s v="L1"/>
    <d v="2015-04-22T00:00:00"/>
    <s v="A.C."/>
    <n v="12.58"/>
    <n v="12.18"/>
    <n v="4.8499999999999996"/>
    <n v="1.36"/>
    <n v="2.8521200000000002"/>
    <n v="3"/>
    <n v="28.63"/>
    <n v="1.98"/>
    <n v="0.25"/>
    <n v="0.1"/>
    <n v="5.2257899999999999"/>
    <n v="5"/>
    <n v="0"/>
    <n v="0"/>
    <n v="30.97"/>
    <n v="1.2817400000000001"/>
    <n v="1095.9000000000001"/>
    <n v="0"/>
    <n v="1.0110244937497117"/>
    <x v="110"/>
    <n v="0"/>
    <n v="0"/>
    <n v="420.44"/>
    <n v="0.38787766963420822"/>
    <n v="0"/>
    <n v="0"/>
  </r>
  <r>
    <n v="2135"/>
    <s v="แขวงทางหลวงภูเก็ต"/>
    <n v="324"/>
    <n v="4277"/>
    <n v="100"/>
    <s v="ท่านุ่น -ในหยง"/>
    <n v="0"/>
    <n v="5650"/>
    <n v="5.65"/>
    <n v="2"/>
    <s v="L1"/>
    <d v="2015-05-13T00:00:00"/>
    <s v="A.C."/>
    <n v="3.6"/>
    <n v="0.65"/>
    <n v="0.4"/>
    <n v="1"/>
    <n v="3.1480100000000002"/>
    <n v="3"/>
    <n v="5.2750000000000004"/>
    <n v="0.27500000000000002"/>
    <n v="0.05"/>
    <n v="0.05"/>
    <n v="3.63496"/>
    <n v="3.5"/>
    <n v="0"/>
    <n v="0"/>
    <n v="5.65"/>
    <n v="1.34015"/>
    <n v="185.99"/>
    <n v="26.31"/>
    <n v="1.0070543615676359"/>
    <x v="110"/>
    <n v="0"/>
    <n v="0"/>
    <n v="0"/>
    <n v="0"/>
    <n v="2.9"/>
    <n v="1.466498103666245E-2"/>
  </r>
  <r>
    <n v="221"/>
    <s v="แขวงทางหลวงน่านที่ 1"/>
    <n v="536"/>
    <n v="1169"/>
    <n v="102"/>
    <s v="เมืองหลวง - น้ำยาว"/>
    <n v="15000"/>
    <n v="38183"/>
    <n v="23.183"/>
    <n v="2"/>
    <s v="L1"/>
    <d v="2015-07-29T00:00:00"/>
    <s v="A.C."/>
    <n v="12.64"/>
    <n v="7.34"/>
    <n v="2.33"/>
    <n v="0.88"/>
    <n v="2.601"/>
    <n v="2.5"/>
    <n v="8.3000000000000007"/>
    <n v="3"/>
    <n v="2.31"/>
    <n v="9.59"/>
    <n v="22.047000000000001"/>
    <n v="22"/>
    <n v="0"/>
    <n v="0"/>
    <n v="23.19"/>
    <n v="1.1120000000000001"/>
    <n v="420.3"/>
    <n v="788.08199999999999"/>
    <n v="1.0036184149715617"/>
    <x v="110"/>
    <n v="0"/>
    <n v="0"/>
    <n v="11.76"/>
    <n v="1.4493378768925504E-2"/>
    <n v="0"/>
    <n v="0"/>
  </r>
  <r>
    <n v="2197"/>
    <s v="แขวงทางหลวงพัทลุง"/>
    <n v="314"/>
    <n v="4122"/>
    <n v="102"/>
    <s v="โหล๊ะจังกระ - บ้านนา"/>
    <n v="32323"/>
    <n v="64168"/>
    <n v="31.844999999999999"/>
    <n v="2"/>
    <s v="R1"/>
    <d v="2015-05-21T00:00:00"/>
    <s v="A.C."/>
    <n v="13.225"/>
    <n v="9.4250000000000007"/>
    <n v="5.9249999999999998"/>
    <n v="3.375"/>
    <n v="3.1738499999999998"/>
    <n v="3"/>
    <n v="28.524999999999999"/>
    <n v="2.2999999999999998"/>
    <n v="0.7"/>
    <n v="0.42499999999999999"/>
    <n v="4.8143700000000003"/>
    <n v="5"/>
    <n v="0"/>
    <n v="0"/>
    <n v="31.95"/>
    <n v="1.3947700000000001"/>
    <n v="1114.54"/>
    <n v="7.1"/>
    <n v="1.0031536684386424"/>
    <x v="110"/>
    <n v="337.15"/>
    <n v="0.30249198124845794"/>
    <n v="32.200000000000003"/>
    <n v="2.8889935625686924E-2"/>
    <n v="4"/>
    <n v="3.5888118789673194E-3"/>
  </r>
  <r>
    <n v="1615"/>
    <s v="แขวงทางหลวงสมุทรปราการ"/>
    <n v="417"/>
    <n v="3"/>
    <n v="102"/>
    <s v="บางปิ้ง - บางตำหรุ"/>
    <n v="26861"/>
    <n v="40550"/>
    <n v="13.689"/>
    <n v="6"/>
    <s v="R2"/>
    <d v="2015-08-22T00:00:00"/>
    <s v="A.C."/>
    <n v="6.35"/>
    <n v="3.5"/>
    <n v="1.925"/>
    <n v="1.825"/>
    <n v="3.25814"/>
    <n v="3.5"/>
    <n v="12.125"/>
    <n v="1.125"/>
    <n v="0.22500000000000001"/>
    <n v="0.125"/>
    <n v="5.9730600000000003"/>
    <n v="6"/>
    <n v="0"/>
    <n v="0"/>
    <n v="13.6"/>
    <n v="1.11181"/>
    <n v="462.33"/>
    <n v="34.96"/>
    <n v="1.0014505911941809"/>
    <x v="110"/>
    <n v="29.61"/>
    <n v="6.1801446416831017E-2"/>
    <n v="1765.3"/>
    <n v="3.6845016332195812"/>
    <n v="0"/>
    <n v="0"/>
  </r>
  <r>
    <n v="1486"/>
    <s v="แขวงทางหลวงกรุงเทพ"/>
    <n v="411"/>
    <n v="3701"/>
    <n v="100"/>
    <s v="ถนนศรีนครินทร์ - ลาดกระบัง"/>
    <s v="21+000"/>
    <n v="22375"/>
    <n v="1.375"/>
    <n v="2"/>
    <s v="L1"/>
    <d v="2015-09-01T00:00:00"/>
    <s v="A.C."/>
    <n v="1.153"/>
    <n v="0.18099999999999999"/>
    <n v="4.2000000000000003E-2"/>
    <n v="0"/>
    <n v="2.008"/>
    <n v="2"/>
    <n v="0.97499999999999998"/>
    <n v="0"/>
    <n v="0"/>
    <n v="0"/>
    <n v="3.6880000000000002"/>
    <n v="3.5"/>
    <n v="0"/>
    <n v="0"/>
    <n v="0.97499999999999998"/>
    <n v="1.171"/>
    <n v="47"/>
    <n v="2.15"/>
    <n v="0.99896103896103905"/>
    <x v="110"/>
    <n v="242"/>
    <n v="5.0285714285714285"/>
    <n v="5.58"/>
    <n v="0.11594805194805194"/>
    <n v="1"/>
    <n v="2.0779220779220779E-2"/>
  </r>
  <r>
    <n v="783"/>
    <s v="แขวงทางหลวงยโสธร"/>
    <n v="633"/>
    <n v="202"/>
    <n v="603"/>
    <s v="ยโสธร - สะพานคลองลำเซ"/>
    <n v="298560"/>
    <n v="266412"/>
    <n v="32.148000000000003"/>
    <n v="2"/>
    <s v="R1"/>
    <d v="2015-05-22T00:00:00"/>
    <s v="A.C."/>
    <n v="21.325000000000003"/>
    <n v="6.65"/>
    <n v="3.375"/>
    <n v="0.72499999999999998"/>
    <n v="2.404325"/>
    <n v="2.5"/>
    <n v="31.024999999999999"/>
    <n v="1.0249999999999999"/>
    <n v="2.5000000000000001E-2"/>
    <n v="0"/>
    <n v="4.3219650000000005"/>
    <n v="4.5"/>
    <n v="0"/>
    <n v="0"/>
    <n v="32.075000000000003"/>
    <n v="1.1896900000000001"/>
    <n v="1050"/>
    <n v="141"/>
    <n v="0.99584066549352102"/>
    <x v="110"/>
    <n v="36"/>
    <n v="3.1994880819068948E-2"/>
    <n v="127"/>
    <n v="0.11287082955615989"/>
    <n v="0"/>
    <n v="0"/>
  </r>
  <r>
    <n v="280"/>
    <s v="แขวงทางหลวงสกลนครที่ 1"/>
    <n v="641"/>
    <n v="2339"/>
    <n v="100"/>
    <s v="ศรีวิชา - กวนบุ่น"/>
    <n v="36975"/>
    <n v="0"/>
    <n v="36.975000000000001"/>
    <n v="2"/>
    <s v="R1"/>
    <d v="2015-06-04T00:00:00"/>
    <s v="A.C."/>
    <n v="26.7"/>
    <n v="7.35"/>
    <n v="2.4"/>
    <n v="0.57499999999999996"/>
    <n v="2.6032199999999999"/>
    <n v="2.5"/>
    <n v="36.375"/>
    <n v="0.47499999999999998"/>
    <n v="0.125"/>
    <n v="0.05"/>
    <n v="3.8266"/>
    <n v="4"/>
    <n v="0.05"/>
    <n v="0.05"/>
    <n v="36.924999999999997"/>
    <n v="1.13341"/>
    <n v="1131"/>
    <n v="273"/>
    <n v="0.97942625325992472"/>
    <x v="110"/>
    <n v="0"/>
    <n v="0"/>
    <n v="495.6"/>
    <n v="0"/>
    <n v="0"/>
    <n v="0"/>
  </r>
  <r>
    <n v="193"/>
    <s v="แขวงทางหลวงพะเยา"/>
    <n v="535"/>
    <n v="1021"/>
    <n v="101"/>
    <s v="แม่ต๋ำ - บ้านใหม่"/>
    <n v="0"/>
    <n v="12000"/>
    <n v="12"/>
    <n v="4"/>
    <s v="L2"/>
    <d v="2015-07-24T00:00:00"/>
    <s v="A.C."/>
    <n v="3.95"/>
    <n v="4.63"/>
    <n v="2.0099999999999998"/>
    <n v="1.42"/>
    <n v="2.56576"/>
    <n v="2.5"/>
    <n v="9.7799999999999994"/>
    <n v="1.82"/>
    <n v="0.4"/>
    <n v="0"/>
    <n v="7.01769"/>
    <n v="7"/>
    <n v="0"/>
    <n v="0"/>
    <n v="12"/>
    <n v="1.3774299999999999"/>
    <n v="377"/>
    <n v="67.75"/>
    <n v="0.9782738095238096"/>
    <x v="110"/>
    <n v="1315"/>
    <n v="3.1309523809523809"/>
    <n v="0"/>
    <n v="0"/>
    <n v="126"/>
    <n v="0.3"/>
  </r>
  <r>
    <n v="664"/>
    <s v="แขวงทางหลวงอุดรธานีที่ 1"/>
    <n v="623"/>
    <n v="2263"/>
    <n v="100"/>
    <s v="อุดรธานี  -  บ้านเพีย"/>
    <n v="0"/>
    <n v="21412"/>
    <n v="21.411999999999999"/>
    <n v="2"/>
    <s v="L1"/>
    <d v="2015-05-11T00:00:00"/>
    <s v="A.C."/>
    <n v="9.2799999999999994"/>
    <n v="7.82"/>
    <n v="3.51"/>
    <n v="0.8"/>
    <n v="2.8407499999999999"/>
    <n v="3"/>
    <n v="20.69"/>
    <n v="0.65"/>
    <n v="0"/>
    <n v="0.08"/>
    <n v="3.6991299999999998"/>
    <n v="3.5"/>
    <n v="0"/>
    <n v="0"/>
    <n v="21.41"/>
    <n v="1.10792"/>
    <n v="729.89"/>
    <n v="5.3"/>
    <n v="0.97748000000000002"/>
    <x v="110"/>
    <n v="0"/>
    <n v="0"/>
    <n v="64.28"/>
    <n v="8.5773000000000002E-2"/>
    <n v="0"/>
    <n v="0"/>
  </r>
  <r>
    <n v="1741"/>
    <s v="แขวงทางหลวงจันทบุรี"/>
    <n v="423"/>
    <n v="3274"/>
    <n v="100"/>
    <s v="โป่งน้ำร้อน - จางวาง"/>
    <s v="0+000"/>
    <s v="15+792"/>
    <n v="15.792"/>
    <n v="2"/>
    <s v="R1"/>
    <d v="2015-08-18T00:00:00"/>
    <s v="A.C."/>
    <n v="6.6749999999999998"/>
    <n v="4.2"/>
    <n v="2.7250000000000001"/>
    <n v="2.1749999999999998"/>
    <n v="3.839"/>
    <n v="4"/>
    <n v="14.05"/>
    <n v="1.425"/>
    <n v="0.22500000000000001"/>
    <n v="7.4999999999999997E-2"/>
    <n v="5.9649999999999999"/>
    <n v="6"/>
    <n v="0"/>
    <n v="0"/>
    <n v="15.792"/>
    <n v="1.5129999999999999"/>
    <n v="482.46"/>
    <n v="111.73"/>
    <n v="0.97395607179041821"/>
    <x v="110"/>
    <n v="218.94"/>
    <n v="0.39611376465479808"/>
    <n v="4918.53"/>
    <n v="8.8987733391228829"/>
    <n v="191.86"/>
    <n v="0.34711969894340716"/>
  </r>
  <r>
    <n v="16"/>
    <s v="แขวงทางหลวงเชียงใหม่ที่ 1"/>
    <n v="521"/>
    <n v="1088"/>
    <n v="100"/>
    <s v="สะพานแม่กิ้ดหลวง - แม่ซา"/>
    <n v="7400"/>
    <n v="45000"/>
    <n v="37.6"/>
    <n v="2"/>
    <s v="L1"/>
    <d v="2015-08-15T00:00:00"/>
    <s v="A.C."/>
    <n v="2.4500000000000002"/>
    <n v="10.15"/>
    <n v="13.725"/>
    <n v="11.3"/>
    <n v="4.6120000000000001"/>
    <n v="4.5"/>
    <n v="12.2"/>
    <n v="9.125"/>
    <n v="7.25"/>
    <n v="9.0500000000000007"/>
    <n v="14.461"/>
    <n v="14.5"/>
    <n v="0"/>
    <n v="0"/>
    <n v="37.625"/>
    <n v="1.2629999999999999"/>
    <n v="1253.32"/>
    <n v="56.36"/>
    <n v="0.97378419452887544"/>
    <x v="110"/>
    <n v="198.32"/>
    <n v="0.15069908814589666"/>
    <n v="129.30000000000001"/>
    <n v="9.8252279635258372E-2"/>
    <n v="26.31"/>
    <n v="1.9992401215805471E-2"/>
  </r>
  <r>
    <n v="1798"/>
    <s v="แขวงทางหลวงชลบุรีที่ 2"/>
    <n v="428"/>
    <n v="3245"/>
    <n v="200"/>
    <s v="เขาน้อย - หนองเสือช้าง"/>
    <s v="16+800"/>
    <s v="34+000"/>
    <n v="17.2"/>
    <n v="4"/>
    <s v="L2"/>
    <d v="2015-08-14T00:00:00"/>
    <s v="A.C."/>
    <n v="7.95"/>
    <n v="3.0249999999999999"/>
    <n v="2.8"/>
    <n v="3.35"/>
    <n v="3.476"/>
    <n v="3.5"/>
    <n v="14.675000000000001"/>
    <n v="2.125"/>
    <n v="0.32500000000000001"/>
    <n v="0"/>
    <n v="6.8570000000000002"/>
    <n v="7"/>
    <n v="0"/>
    <n v="0"/>
    <n v="17.125"/>
    <n v="1.6160000000000001"/>
    <n v="583.75"/>
    <n v="0"/>
    <n v="0.96968438538205992"/>
    <x v="110"/>
    <n v="2.94"/>
    <n v="4.8837209302325588E-3"/>
    <n v="51.85"/>
    <n v="8.612956810631231E-2"/>
    <n v="0.52"/>
    <n v="8.6378737541528249E-4"/>
  </r>
  <r>
    <n v="1933"/>
    <s v="แขวงทางหลวงเพชรบุรี"/>
    <n v="338"/>
    <n v="3432"/>
    <n v="100"/>
    <s v="หินลาด - เขื่อนแก่งกระจาน"/>
    <n v="31750"/>
    <n v="0"/>
    <n v="31.75"/>
    <n v="2"/>
    <s v="R1"/>
    <d v="2015-04-02T00:00:00"/>
    <s v="A.C."/>
    <n v="13.21"/>
    <n v="7.02"/>
    <n v="6.48"/>
    <n v="5.04"/>
    <n v="3.3533400000000002"/>
    <n v="3.5"/>
    <n v="29.16"/>
    <n v="1.74"/>
    <n v="0.74"/>
    <n v="0.1"/>
    <n v="4.0517599999999998"/>
    <n v="4"/>
    <n v="0"/>
    <n v="0"/>
    <n v="31.75"/>
    <n v="1.27085"/>
    <n v="536"/>
    <n v="1066.6600000000001"/>
    <n v="0.96227671541057358"/>
    <x v="110"/>
    <n v="456.18"/>
    <n v="0.41051068616422948"/>
    <n v="149"/>
    <n v="0.13408323959505061"/>
    <n v="18"/>
    <n v="1.6197975253093362E-2"/>
  </r>
  <r>
    <n v="1114"/>
    <s v="แขวงทางหลวงลพบุรีที่ 1"/>
    <n v="431"/>
    <n v="3019"/>
    <n v="100"/>
    <s v="สามแยกโคกกะเทียม - สถานีรถไฟโคกกะเทียม"/>
    <s v="0+000"/>
    <s v="2+050"/>
    <n v="2.0499999999999998"/>
    <n v="4"/>
    <s v="L2"/>
    <d v="2015-10-05T00:00:00"/>
    <s v="A.C."/>
    <n v="1.4750000000000001"/>
    <n v="0.25"/>
    <n v="0.17499999999999999"/>
    <n v="0.27500000000000002"/>
    <n v="3.7178200000000001"/>
    <n v="3.5"/>
    <n v="2.15"/>
    <n v="2.5000000000000001E-2"/>
    <n v="0"/>
    <n v="0"/>
    <n v="3.3997700000000002"/>
    <n v="3.5"/>
    <n v="0"/>
    <n v="0"/>
    <n v="2.1750000000000003"/>
    <n v="1.14778"/>
    <n v="66.869"/>
    <n v="4.32"/>
    <n v="0.96207665505226492"/>
    <x v="110"/>
    <n v="48.96"/>
    <n v="0.68236933797909416"/>
    <n v="0"/>
    <n v="0"/>
    <n v="2.2200000000000002"/>
    <n v="3.0940766550522653E-2"/>
  </r>
  <r>
    <n v="253"/>
    <s v="แขวงทางหลวงเชียงรายที่ 2"/>
    <n v="537"/>
    <n v="1410"/>
    <n v="100"/>
    <s v="ไชยเจริญ - บ้านด้าย"/>
    <n v="0"/>
    <n v="2617"/>
    <n v="2.617"/>
    <n v="2"/>
    <s v="L1"/>
    <d v="2015-07-15T00:00:00"/>
    <s v="A.C."/>
    <n v="1.89"/>
    <n v="0.4"/>
    <n v="0.18"/>
    <n v="0.15"/>
    <n v="2.33962"/>
    <n v="2.5"/>
    <n v="2.4900000000000002"/>
    <n v="0.13"/>
    <n v="0"/>
    <n v="0"/>
    <n v="5.7468700000000004"/>
    <n v="5.5"/>
    <n v="0"/>
    <n v="0"/>
    <n v="2.62"/>
    <n v="1.26122"/>
    <n v="88"/>
    <n v="0"/>
    <n v="0.96075113270375023"/>
    <x v="110"/>
    <n v="0"/>
    <n v="0"/>
    <n v="0"/>
    <n v="0"/>
    <n v="0"/>
    <n v="0"/>
  </r>
  <r>
    <n v="1131"/>
    <s v="แขวงทางหลวงลพบุรีที่ 1"/>
    <n v="431"/>
    <n v="3564"/>
    <n v="100"/>
    <s v="พัฒนานิคม - แก่งเสือเต้น"/>
    <s v="0+000"/>
    <s v="3+985"/>
    <n v="3.9849999999999999"/>
    <n v="2"/>
    <s v="L1"/>
    <d v="2015-10-05T00:00:00"/>
    <s v="A.C."/>
    <n v="0.9"/>
    <n v="1.2749999999999999"/>
    <n v="0.875"/>
    <n v="0.92500000000000004"/>
    <n v="4.0196899999999998"/>
    <n v="4"/>
    <n v="3.3250000000000002"/>
    <n v="0.5"/>
    <n v="0.125"/>
    <n v="2.5000000000000001E-2"/>
    <n v="6.1620100000000004"/>
    <n v="6"/>
    <n v="0"/>
    <n v="0"/>
    <n v="3.9749999999999996"/>
    <n v="1.31477"/>
    <n v="69.33"/>
    <n v="128.69800000000001"/>
    <n v="0.95844416562107915"/>
    <x v="110"/>
    <n v="48.956000000000003"/>
    <n v="0.35100197167951247"/>
    <n v="100.31"/>
    <n v="0.71919698870765381"/>
    <n v="0"/>
    <n v="0"/>
  </r>
  <r>
    <n v="73"/>
    <s v="แขวงทางหลวงลำพูน"/>
    <n v="524"/>
    <n v="1030"/>
    <n v="100"/>
    <s v="ป่าเห็ว - ริมปิง"/>
    <s v="12+516"/>
    <s v="0+000"/>
    <n v="12.516"/>
    <n v="2"/>
    <s v="R1"/>
    <d v="2015-08-10T00:00:00"/>
    <s v="A.C."/>
    <n v="4.7"/>
    <n v="4.9000000000000004"/>
    <n v="2.65"/>
    <n v="0.25"/>
    <n v="2.8860999999999999"/>
    <n v="3"/>
    <n v="12.375"/>
    <n v="0.1"/>
    <n v="2.5000000000000001E-2"/>
    <n v="0"/>
    <n v="1.97417"/>
    <n v="2"/>
    <n v="0"/>
    <n v="0"/>
    <n v="12.500000000000002"/>
    <n v="1.0190399999999999"/>
    <n v="418.83"/>
    <n v="0"/>
    <n v="0.95610190384878779"/>
    <x v="110"/>
    <n v="0"/>
    <n v="0"/>
    <n v="0"/>
    <n v="0"/>
    <n v="0"/>
    <n v="0"/>
  </r>
  <r>
    <n v="2011"/>
    <s v="แขวงทางหลวงสุราษฎร์ธานี ที่ 1 (พุนพิน)"/>
    <n v="325"/>
    <n v="4114"/>
    <n v="100"/>
    <s v="สมอทอง - ชายทะเล"/>
    <n v="10503"/>
    <n v="0"/>
    <n v="10.503"/>
    <n v="2"/>
    <s v="R1"/>
    <d v="2015-04-22T00:00:00"/>
    <s v="A.C."/>
    <n v="5.23"/>
    <n v="3.43"/>
    <n v="1.1499999999999999"/>
    <n v="0.69"/>
    <n v="2.9110200000000002"/>
    <n v="3"/>
    <n v="9.91"/>
    <n v="0.49"/>
    <n v="0.1"/>
    <n v="0"/>
    <n v="3.8813300000000002"/>
    <n v="4"/>
    <n v="0"/>
    <n v="0"/>
    <n v="10.5"/>
    <n v="1.0276000000000001"/>
    <n v="344.89"/>
    <n v="12.58"/>
    <n v="0.95531888848084212"/>
    <x v="110"/>
    <n v="0"/>
    <n v="0"/>
    <n v="135.72999999999999"/>
    <n v="0.36922783966485762"/>
    <n v="0"/>
    <n v="0"/>
  </r>
  <r>
    <n v="2074"/>
    <s v="แขวงทางหลวงสุราษฎร์ธานีที่ 3 (เวียงสระ)"/>
    <n v="329"/>
    <n v="4037"/>
    <n v="200"/>
    <s v="สองแพรก - ควนสว่าง"/>
    <n v="58735"/>
    <n v="33450"/>
    <n v="25.285"/>
    <n v="2"/>
    <s v="R2"/>
    <d v="2015-04-27T00:00:00"/>
    <s v="A.C."/>
    <n v="16.824999999999999"/>
    <n v="4.6500000000000004"/>
    <n v="2.4249999999999998"/>
    <n v="1.3"/>
    <n v="2.40313"/>
    <n v="2.5"/>
    <n v="19.600000000000001"/>
    <n v="4.4249999999999998"/>
    <n v="1.05"/>
    <n v="0.125"/>
    <n v="7.2369899999999996"/>
    <n v="7"/>
    <n v="0"/>
    <n v="0"/>
    <n v="25.200000000000003"/>
    <n v="1.35561"/>
    <n v="842.4"/>
    <n v="4.6900000000000004"/>
    <n v="0.95454108873132015"/>
    <x v="110"/>
    <n v="0"/>
    <n v="0"/>
    <n v="0"/>
    <n v="0"/>
    <n v="0"/>
    <n v="0"/>
  </r>
  <r>
    <n v="1988"/>
    <s v="แขวงทางหลวงตรัง"/>
    <n v="322"/>
    <n v="4159"/>
    <n v="100"/>
    <s v="นาวง - ต้นชด"/>
    <n v="22386"/>
    <n v="0"/>
    <n v="22.385999999999999"/>
    <n v="2"/>
    <s v="R2"/>
    <d v="2015-05-06T00:00:00"/>
    <s v="A.C."/>
    <n v="12.55"/>
    <n v="6.7249999999999996"/>
    <n v="2.375"/>
    <n v="0.625"/>
    <n v="2.5385300000000002"/>
    <n v="2.5"/>
    <n v="20.9"/>
    <n v="1.25"/>
    <n v="0.1"/>
    <n v="2.5000000000000001E-2"/>
    <n v="5.1005900000000004"/>
    <n v="5"/>
    <n v="0"/>
    <n v="0"/>
    <n v="22.274999999999999"/>
    <n v="1.33952"/>
    <n v="731.56"/>
    <n v="29"/>
    <n v="0.95220226927543983"/>
    <x v="110"/>
    <n v="149.69999999999999"/>
    <n v="0.19106329210858827"/>
    <n v="0"/>
    <n v="0"/>
    <n v="0"/>
    <n v="0"/>
  </r>
  <r>
    <n v="2102"/>
    <s v="แขวงทางหลวงกระบี่"/>
    <n v="323"/>
    <n v="4252"/>
    <n v="100"/>
    <s v="ทุ่งใหญ่ - ควนปริง"/>
    <n v="0"/>
    <n v="8500"/>
    <n v="8.5"/>
    <n v="2"/>
    <s v="L1"/>
    <d v="2015-04-08T00:00:00"/>
    <s v="A.C."/>
    <n v="6.61"/>
    <n v="1.41"/>
    <n v="0.4"/>
    <n v="0.08"/>
    <n v="2.0996700000000001"/>
    <n v="2"/>
    <n v="8.5"/>
    <n v="0"/>
    <n v="0"/>
    <n v="0"/>
    <n v="1.9810399999999999"/>
    <n v="2"/>
    <n v="0"/>
    <n v="0"/>
    <n v="8.5"/>
    <n v="1.39517"/>
    <n v="185.14"/>
    <n v="195.36"/>
    <n v="0.95065546218487396"/>
    <x v="110"/>
    <n v="36.270000000000003"/>
    <n v="0.12191596638655464"/>
    <n v="0"/>
    <n v="0"/>
    <n v="0"/>
    <n v="0"/>
  </r>
  <r>
    <n v="597"/>
    <s v="แขวงทางหลวงเลยที่ 1"/>
    <n v="554"/>
    <n v="201"/>
    <n v="404"/>
    <s v="ปากปวน - ปากภู"/>
    <n v="322036"/>
    <n v="341241"/>
    <n v="19.204999999999998"/>
    <n v="4"/>
    <s v="L2"/>
    <d v="2015-06-27T00:00:00"/>
    <s v="A.C."/>
    <n v="12.4"/>
    <n v="4.1399999999999997"/>
    <n v="1.78"/>
    <n v="0.9"/>
    <n v="2.7126000000000001"/>
    <n v="2.5"/>
    <n v="15.65"/>
    <n v="2.73"/>
    <n v="0.6"/>
    <n v="0.23"/>
    <n v="6.9739300000000002"/>
    <n v="7"/>
    <n v="0"/>
    <n v="0"/>
    <n v="19.21"/>
    <n v="1.0438499999999999"/>
    <n v="639"/>
    <n v="0"/>
    <n v="0.95064529326440284"/>
    <x v="110"/>
    <n v="0"/>
    <n v="0"/>
    <n v="738"/>
    <n v="1.097928366868747"/>
    <n v="0"/>
    <n v="0"/>
  </r>
  <r>
    <n v="1277"/>
    <s v="แขวงทางหลวงสุพรรณบุรีที่ 1"/>
    <n v="441"/>
    <n v="333"/>
    <n v="200"/>
    <s v="สระกระโจม - บ้านไร่"/>
    <n v="83075"/>
    <n v="33800"/>
    <n v="49.274999999999999"/>
    <n v="2"/>
    <s v="R1"/>
    <d v="2015-06-30T00:00:00"/>
    <s v="A.C."/>
    <n v="40.6"/>
    <n v="6.1"/>
    <n v="1.8"/>
    <n v="0.6"/>
    <n v="2.0171800000000002"/>
    <n v="2"/>
    <n v="44.174999999999997"/>
    <n v="3.4750000000000001"/>
    <n v="1.2"/>
    <n v="0.25"/>
    <n v="4.9706099999999998"/>
    <n v="5"/>
    <n v="0"/>
    <n v="0"/>
    <n v="49.1"/>
    <n v="1.07267"/>
    <n v="1624"/>
    <n v="28"/>
    <n v="0.94977168949771684"/>
    <x v="111"/>
    <n v="34"/>
    <n v="0"/>
    <n v="159"/>
    <n v="0"/>
    <n v="0"/>
    <n v="1"/>
  </r>
  <r>
    <n v="1786"/>
    <s v="แขวงทางหลวงชลบุรีที่ 2"/>
    <n v="428"/>
    <n v="331"/>
    <n v="103"/>
    <s v="พันเสด็จนอก - หนองปรือ"/>
    <s v="68+300"/>
    <s v="47+000"/>
    <n v="21.3"/>
    <n v="4"/>
    <s v="R2"/>
    <d v="2015-08-14T00:00:00"/>
    <s v="A.C."/>
    <n v="8.8000000000000007"/>
    <n v="4.4749999999999996"/>
    <n v="3.25"/>
    <n v="4.875"/>
    <n v="3.6321400000000001"/>
    <n v="3.5"/>
    <n v="15.2"/>
    <n v="4.7750000000000004"/>
    <n v="1.0249999999999999"/>
    <n v="0.4"/>
    <n v="8.7235999999999994"/>
    <n v="8.5"/>
    <n v="0"/>
    <n v="0"/>
    <n v="21.4"/>
    <n v="1.5423199999999999"/>
    <n v="705.08"/>
    <n v="0"/>
    <n v="0.94578135479543946"/>
    <x v="111"/>
    <n v="16.34"/>
    <n v="2.1918175720992625E-2"/>
    <n v="0"/>
    <n v="0"/>
    <n v="0.55000000000000004"/>
    <n v="7.3775989268947025E-4"/>
  </r>
  <r>
    <n v="1616"/>
    <s v="แขวงทางหลวงสมุทรปราการ"/>
    <n v="417"/>
    <n v="3"/>
    <n v="102"/>
    <s v="บางปิ้ง - บางตำหรุ"/>
    <n v="26861"/>
    <n v="40550"/>
    <n v="13.689"/>
    <n v="6"/>
    <s v="L2"/>
    <d v="2015-08-22T00:00:00"/>
    <s v="A.C."/>
    <n v="6.3915551470588232"/>
    <n v="3.5229044117647059"/>
    <n v="1.9375974264705884"/>
    <n v="1.8369430147058823"/>
    <n v="3.29"/>
    <n v="3.5"/>
    <n v="12.204347426470589"/>
    <n v="1.1323621323529411"/>
    <n v="0.22647242647058824"/>
    <n v="0.12581801470588236"/>
    <n v="5.9729999999999999"/>
    <n v="6"/>
    <n v="0"/>
    <n v="0"/>
    <n v="13.689"/>
    <n v="1.1120000000000001"/>
    <n v="411.07"/>
    <n v="81.25"/>
    <n v="0.94276948123101956"/>
    <x v="111"/>
    <n v="2.29"/>
    <n v="4.7796458052868302E-3"/>
    <n v="494.36"/>
    <n v="1.0318190831011342"/>
    <n v="0"/>
    <n v="0"/>
  </r>
  <r>
    <n v="1935"/>
    <s v="แขวงทางหลวงเพชรบุรี"/>
    <n v="338"/>
    <n v="3527"/>
    <n v="100"/>
    <s v="ด่านโง - หนองปืนแตก"/>
    <n v="0"/>
    <n v="11250"/>
    <n v="11.25"/>
    <n v="2"/>
    <s v="L1"/>
    <d v="2015-04-02T00:00:00"/>
    <s v="A.C."/>
    <n v="6.49"/>
    <n v="3.15"/>
    <n v="0.98"/>
    <n v="0.63"/>
    <n v="2.6609400000000001"/>
    <n v="2.5"/>
    <n v="10.65"/>
    <n v="0.55000000000000004"/>
    <n v="0.05"/>
    <n v="0"/>
    <n v="4.2858200000000002"/>
    <n v="4.5"/>
    <n v="0"/>
    <n v="0"/>
    <n v="11.25"/>
    <n v="1.26868"/>
    <n v="262"/>
    <n v="217.81"/>
    <n v="0.94198095238095203"/>
    <x v="111"/>
    <n v="567.67999999999995"/>
    <n v="1.441726984126984"/>
    <n v="4"/>
    <n v="1.0158730158730159E-2"/>
    <n v="0"/>
    <n v="0"/>
  </r>
  <r>
    <n v="551"/>
    <s v="แขวงทางหลวงเพชรบูรณ์ที่ 1"/>
    <n v="551"/>
    <n v="2007"/>
    <n v="100"/>
    <s v="นายม - ถ้ำน้ำบัง"/>
    <n v="0"/>
    <n v="4392"/>
    <n v="4.3920000000000003"/>
    <n v="2"/>
    <s v="L1"/>
    <d v="2015-07-07T00:00:00"/>
    <s v="A.C."/>
    <n v="3.34"/>
    <n v="0.7"/>
    <n v="0.23"/>
    <n v="0.13"/>
    <n v="2.1870500000000002"/>
    <n v="2"/>
    <n v="4.34"/>
    <n v="0.05"/>
    <n v="0"/>
    <n v="0"/>
    <n v="4.0083299999999999"/>
    <n v="4"/>
    <n v="0"/>
    <n v="0"/>
    <n v="4.3899999999999997"/>
    <n v="1.18773"/>
    <n v="0"/>
    <n v="288.08999999999997"/>
    <n v="0.93706088992974224"/>
    <x v="111"/>
    <n v="523"/>
    <n v="3.4022898776997135"/>
    <n v="0"/>
    <n v="0"/>
    <n v="0"/>
    <n v="0"/>
  </r>
  <r>
    <n v="702"/>
    <s v="แขวงทางหลวงชัยภูมิ"/>
    <n v="626"/>
    <n v="225"/>
    <n v="402"/>
    <s v="หนองบัวระเหว - ชัยภูมิ"/>
    <n v="253290"/>
    <n v="224582"/>
    <n v="28.707999999999998"/>
    <n v="2"/>
    <s v="R1"/>
    <d v="2015-06-19T00:00:00"/>
    <s v="A.C."/>
    <n v="11.525"/>
    <n v="9.625"/>
    <n v="5.625"/>
    <n v="1.675"/>
    <n v="2.7196799999999999"/>
    <n v="2.5"/>
    <n v="25.8"/>
    <n v="2.2999999999999998"/>
    <n v="0.32500000000000001"/>
    <n v="2.5000000000000001E-2"/>
    <n v="6.0094799999999999"/>
    <n v="6"/>
    <n v="0"/>
    <n v="0"/>
    <n v="28.45"/>
    <n v="1.0802099999999999"/>
    <n v="941.37"/>
    <n v="0"/>
    <n v="0.93689165787535589"/>
    <x v="111"/>
    <n v="0"/>
    <n v="0"/>
    <n v="1091.8699999999999"/>
    <n v="1.0866756902008399"/>
    <n v="0"/>
    <n v="0"/>
  </r>
  <r>
    <n v="750"/>
    <s v="แขวงทางหลวงชัยภูมิ"/>
    <n v="626"/>
    <n v="225"/>
    <n v="402"/>
    <s v="หนองบัวระเหว - ชัยภูมิ"/>
    <n v="253290"/>
    <n v="224582"/>
    <n v="28.707999999999998"/>
    <n v="2"/>
    <s v="R1"/>
    <d v="2015-06-19T00:00:00"/>
    <s v="A.C."/>
    <n v="11.525"/>
    <n v="9.625"/>
    <n v="5.625"/>
    <n v="1.675"/>
    <n v="2.7196799999999999"/>
    <n v="2.5"/>
    <n v="25.8"/>
    <n v="2.2999999999999998"/>
    <n v="0.32500000000000001"/>
    <n v="2.5000000000000001E-2"/>
    <n v="6.0094799999999999"/>
    <n v="6"/>
    <n v="0"/>
    <n v="0"/>
    <n v="28.45"/>
    <n v="1.0802099999999999"/>
    <n v="941.37"/>
    <n v="0"/>
    <n v="0.93689165787535589"/>
    <x v="111"/>
    <n v="0"/>
    <n v="0"/>
    <n v="1091.8699999999999"/>
    <n v="1.0866756902008399"/>
    <n v="0"/>
    <n v="0"/>
  </r>
  <r>
    <n v="1473"/>
    <s v="แขวงทางหลวงกรุงเทพ"/>
    <n v="411"/>
    <n v="304"/>
    <n v="203"/>
    <s v="แยกเข้ามีนบุรี - คลองหลวงแพ่ง"/>
    <s v="40+026"/>
    <s v="38+035"/>
    <n v="1.9910000000000001"/>
    <n v="5"/>
    <s v="R2"/>
    <d v="2015-08-30T00:00:00"/>
    <s v="A.C."/>
    <n v="1.075"/>
    <n v="0.5"/>
    <n v="0.22500000000000001"/>
    <n v="0.22500000000000001"/>
    <n v="2.9689999999999999"/>
    <n v="3"/>
    <n v="1.85"/>
    <n v="0.17499999999999999"/>
    <n v="0"/>
    <n v="0"/>
    <n v="5.1070000000000002"/>
    <n v="5"/>
    <n v="0"/>
    <n v="0"/>
    <n v="2.0249999999999999"/>
    <n v="1.5649999999999999"/>
    <n v="41.18"/>
    <n v="48.17"/>
    <n v="0.93657171557724028"/>
    <x v="111"/>
    <n v="0.4"/>
    <n v="5.7401162373538058E-3"/>
    <n v="31.01"/>
    <n v="0.44500251130085383"/>
    <n v="0"/>
    <n v="0"/>
  </r>
  <r>
    <n v="1520"/>
    <s v="แขวงทางหลวงอยุธยา"/>
    <n v="413"/>
    <n v="3454"/>
    <n v="400"/>
    <s v="หน้าโคก - เสนา"/>
    <n v="86609"/>
    <n v="111609"/>
    <n v="25"/>
    <n v="2"/>
    <s v="R1"/>
    <d v="2015-09-17T00:00:00"/>
    <s v="A.C."/>
    <n v="12.2"/>
    <n v="6.2249999999999996"/>
    <n v="4.45"/>
    <n v="2.2000000000000002"/>
    <n v="3.04311"/>
    <n v="3"/>
    <n v="24.574999999999999"/>
    <n v="0.32500000000000001"/>
    <n v="0.1"/>
    <n v="7.4999999999999997E-2"/>
    <n v="4.5056200000000004"/>
    <n v="4.5"/>
    <n v="0"/>
    <n v="0"/>
    <n v="25"/>
    <n v="1.2276100000000001"/>
    <n v="485"/>
    <n v="666.89"/>
    <n v="0.93536571428571424"/>
    <x v="111"/>
    <n v="1"/>
    <n v="1.1428571428571429E-3"/>
    <n v="77.150000000000006"/>
    <n v="8.8171428571428581E-2"/>
    <n v="2"/>
    <n v="2.2857142857142859E-3"/>
  </r>
  <r>
    <n v="1474"/>
    <s v="แขวงทางหลวงกรุงเทพ"/>
    <n v="411"/>
    <n v="304"/>
    <n v="203"/>
    <s v="แยกเข้ามีนบุรี - คลองหลวงแพ่ง"/>
    <s v="38+035"/>
    <s v="40+026"/>
    <n v="1.9910000000000001"/>
    <n v="5"/>
    <s v="L2"/>
    <d v="2015-08-30T00:00:00"/>
    <s v="A.C."/>
    <n v="1.1499999999999999"/>
    <n v="0.15"/>
    <n v="0.2"/>
    <n v="0.45"/>
    <n v="3.577"/>
    <n v="3.5"/>
    <n v="1.75"/>
    <n v="0.05"/>
    <n v="0.05"/>
    <n v="0.1"/>
    <n v="6.5229999999999997"/>
    <n v="6.5"/>
    <n v="0"/>
    <n v="0"/>
    <n v="1.9500000000000002"/>
    <n v="1.2130000000000001"/>
    <n v="41"/>
    <n v="48.17"/>
    <n v="0.93398866327043129"/>
    <x v="111"/>
    <n v="0"/>
    <n v="0"/>
    <n v="31.01"/>
    <n v="0.44500251130085383"/>
    <n v="0"/>
    <n v="0"/>
  </r>
  <r>
    <n v="2156"/>
    <s v="แขวงทางหลวงระนอง"/>
    <n v="331"/>
    <n v="4139"/>
    <n v="100"/>
    <s v="เขาค่าย - เขาทะลุ"/>
    <n v="0"/>
    <n v="7629"/>
    <n v="7.6289999999999996"/>
    <n v="2"/>
    <s v="L1"/>
    <d v="2015-10-26T00:00:00"/>
    <s v="A.C."/>
    <n v="2.2250000000000001"/>
    <n v="2.9"/>
    <n v="1.75"/>
    <n v="0.82499999999999996"/>
    <n v="3.5112700000000001"/>
    <n v="3.5"/>
    <n v="7.375"/>
    <n v="0.32500000000000001"/>
    <n v="0"/>
    <n v="0"/>
    <n v="1.5131399999999999"/>
    <n v="1.5"/>
    <n v="0"/>
    <n v="0"/>
    <n v="7.7"/>
    <n v="1.2148600000000001"/>
    <n v="156.358"/>
    <n v="184.124"/>
    <n v="0.93035971761886038"/>
    <x v="111"/>
    <n v="217.35"/>
    <n v="0.81399921352732985"/>
    <n v="0.57999999999999996"/>
    <n v="2.1721626125873078E-3"/>
    <n v="2"/>
    <n v="7.4902159054734754E-3"/>
  </r>
  <r>
    <n v="1842"/>
    <s v="แขวงทางหลวงชุมพร"/>
    <n v="332"/>
    <n v="3181"/>
    <n v="100"/>
    <s v="ทางเข้าตลาดท่าแซะ"/>
    <n v="2852"/>
    <n v="0"/>
    <n v="2.8519999999999999"/>
    <n v="4"/>
    <s v="R2"/>
    <d v="2015-04-07T00:00:00"/>
    <s v="A.C."/>
    <n v="2.4500000000000002"/>
    <n v="0.2"/>
    <n v="0.15"/>
    <n v="7.4999999999999997E-2"/>
    <n v="1.9968699999999999"/>
    <n v="2"/>
    <n v="2.875"/>
    <n v="0"/>
    <n v="0"/>
    <n v="0"/>
    <n v="2.78484"/>
    <n v="3"/>
    <n v="0"/>
    <n v="0"/>
    <n v="2.8750000000000004"/>
    <n v="1.0450299999999999"/>
    <n v="87.54"/>
    <n v="10.225"/>
    <n v="0.92819575235423768"/>
    <x v="111"/>
    <n v="26.21"/>
    <n v="0.26257263073532361"/>
    <n v="0"/>
    <n v="0"/>
    <n v="0"/>
    <n v="0"/>
  </r>
  <r>
    <n v="1082"/>
    <s v="แขวงทางหลวงสระแก้ว (วัฒนานคร)"/>
    <n v="619"/>
    <n v="3395"/>
    <n v="202"/>
    <s v="วัฒนานคร - โคคลาน"/>
    <s v="60+870"/>
    <s v="115+139"/>
    <n v="54.268999999999998"/>
    <n v="2"/>
    <s v="L1"/>
    <d v="2015-03-31T00:00:00"/>
    <s v="A.C."/>
    <n v="37.97"/>
    <n v="10.91"/>
    <n v="4.26"/>
    <n v="1.1299999999999999"/>
    <n v="2.2998699999999999"/>
    <n v="2.5"/>
    <n v="48.19"/>
    <n v="5.05"/>
    <n v="0.94"/>
    <n v="0.1"/>
    <n v="7.3041900000000002"/>
    <n v="7.5"/>
    <n v="0"/>
    <n v="0"/>
    <n v="54.27"/>
    <n v="1.2937099999999999"/>
    <n v="1761.13"/>
    <n v="0"/>
    <n v="0.92719600508577649"/>
    <x v="111"/>
    <n v="277.52999999999997"/>
    <n v="0.14611340860212221"/>
    <n v="0"/>
    <n v="0"/>
    <n v="0"/>
    <n v="0"/>
  </r>
  <r>
    <n v="2200"/>
    <s v="แขวงทางหลวงพัทลุง"/>
    <n v="314"/>
    <n v="4163"/>
    <n v="102"/>
    <s v="เขาปู่ - ป่าพะยอม"/>
    <n v="26767"/>
    <n v="51605"/>
    <n v="24.838000000000001"/>
    <n v="2"/>
    <s v="L1"/>
    <d v="2015-05-20T00:00:00"/>
    <s v="A.C."/>
    <n v="11.525"/>
    <n v="8.15"/>
    <n v="3.15"/>
    <n v="2.25"/>
    <n v="2.9741499999999998"/>
    <n v="3"/>
    <n v="21.175000000000001"/>
    <n v="2.8250000000000002"/>
    <n v="0.8"/>
    <n v="0.27500000000000002"/>
    <n v="5.5181899999999997"/>
    <n v="5.5"/>
    <n v="0"/>
    <n v="0"/>
    <n v="25.074999999999999"/>
    <n v="1.2116800000000001"/>
    <n v="779.26"/>
    <n v="45.73"/>
    <n v="0.92269333854807722"/>
    <x v="111"/>
    <n v="2896.32"/>
    <n v="3.3316692165230699"/>
    <n v="212.26"/>
    <n v="0.24416504664511751"/>
    <n v="3"/>
    <n v="3.4509334775056654E-3"/>
  </r>
  <r>
    <n v="1154"/>
    <s v="แขวงทางหลวงสระบุรี"/>
    <n v="432"/>
    <n v="3188"/>
    <n v="101"/>
    <s v="ท่าเยี่ยม - ขอนหอม"/>
    <s v="5+338"/>
    <s v="0+000"/>
    <n v="5.3380000000000001"/>
    <n v="6"/>
    <s v="R1"/>
    <d v="2015-10-05T00:00:00"/>
    <s v="A.C."/>
    <n v="1.3"/>
    <n v="2.25"/>
    <n v="1.1499999999999999"/>
    <n v="0.65"/>
    <n v="3.7494399999999999"/>
    <n v="3.5"/>
    <n v="5.25"/>
    <n v="0.1"/>
    <n v="0"/>
    <n v="0"/>
    <n v="4.3071999999999999"/>
    <n v="4.5"/>
    <n v="0"/>
    <n v="0"/>
    <n v="5.35"/>
    <n v="1.2783500000000001"/>
    <n v="169.66"/>
    <n v="4.75"/>
    <n v="0.92081000000000002"/>
    <x v="111"/>
    <n v="87.65"/>
    <n v="0.46914299999999998"/>
    <n v="42.311999999999998"/>
    <n v="0.22647300000000001"/>
    <n v="3"/>
    <n v="1.6056999999999998E-2"/>
  </r>
  <r>
    <n v="1134"/>
    <s v="แขวงทางหลวงสระบุรี"/>
    <n v="432"/>
    <n v="1"/>
    <n v="403"/>
    <s v="ปากข้าวสาร - แยกสวนพฤกษศาสตร์พุแค"/>
    <s v="106+615"/>
    <s v="103+000"/>
    <n v="3.6150000000000002"/>
    <n v="6"/>
    <s v="R3"/>
    <d v="2015-10-05T00:00:00"/>
    <s v="A.C."/>
    <n v="2.5499999999999998"/>
    <n v="0.75"/>
    <n v="0.92500000000000004"/>
    <n v="0.05"/>
    <n v="2.5488300000000002"/>
    <n v="2.5"/>
    <n v="4.2750000000000004"/>
    <n v="0"/>
    <n v="0"/>
    <n v="0"/>
    <n v="2.5486800000000001"/>
    <n v="2.5"/>
    <n v="0"/>
    <n v="0"/>
    <n v="4.2749999999999995"/>
    <n v="1.46519"/>
    <n v="114.2"/>
    <n v="4.21"/>
    <n v="0.91922499999999996"/>
    <x v="111"/>
    <n v="14.62"/>
    <n v="0.11555"/>
    <n v="0"/>
    <n v="0"/>
    <n v="2.87"/>
    <n v="2.2682999999999998E-2"/>
  </r>
  <r>
    <n v="698"/>
    <s v="แขวงทางหลวงชัยภูมิ"/>
    <n v="626"/>
    <n v="205"/>
    <n v="302"/>
    <s v="คำปิง - หนองบัวโคก"/>
    <n v="169172"/>
    <n v="151084"/>
    <n v="18.088000000000001"/>
    <n v="4"/>
    <s v="R1"/>
    <d v="2015-06-20T00:00:00"/>
    <s v="A.C."/>
    <n v="5.875"/>
    <n v="4.625"/>
    <n v="4.4000000000000004"/>
    <n v="3.125"/>
    <n v="3.5222199999999999"/>
    <n v="3.5"/>
    <n v="17.149999999999999"/>
    <n v="0.77500000000000002"/>
    <n v="7.4999999999999997E-2"/>
    <n v="2.5000000000000001E-2"/>
    <n v="4.6661299999999999"/>
    <n v="4.5"/>
    <n v="0"/>
    <n v="0"/>
    <n v="18.024999999999999"/>
    <n v="1.44442"/>
    <n v="525.12"/>
    <n v="109.5"/>
    <n v="0.91595059076262064"/>
    <x v="111"/>
    <n v="15.16"/>
    <n v="2.394642067353257E-2"/>
    <n v="0"/>
    <n v="0"/>
    <n v="0"/>
    <n v="0"/>
  </r>
  <r>
    <n v="746"/>
    <s v="แขวงทางหลวงชัยภูมิ"/>
    <n v="626"/>
    <n v="205"/>
    <n v="302"/>
    <s v="คำปิง - หนองบัวโคก"/>
    <n v="169172"/>
    <n v="151084"/>
    <n v="18.088000000000001"/>
    <n v="4"/>
    <s v="R1"/>
    <d v="2015-06-20T00:00:00"/>
    <s v="A.C."/>
    <n v="5.875"/>
    <n v="4.625"/>
    <n v="4.4000000000000004"/>
    <n v="3.125"/>
    <n v="3.5222199999999999"/>
    <n v="3.5"/>
    <n v="17.149999999999999"/>
    <n v="0.77500000000000002"/>
    <n v="7.4999999999999997E-2"/>
    <n v="2.5000000000000001E-2"/>
    <n v="4.6661299999999999"/>
    <n v="4.5"/>
    <n v="0"/>
    <n v="0"/>
    <n v="18.024999999999999"/>
    <n v="1.44442"/>
    <n v="525.12"/>
    <n v="109.5"/>
    <n v="0.91595059076262064"/>
    <x v="111"/>
    <n v="15.16"/>
    <n v="2.394642067353257E-2"/>
    <n v="0"/>
    <n v="0"/>
    <n v="0"/>
    <n v="0"/>
  </r>
  <r>
    <n v="1278"/>
    <s v="แขวงทางหลวงสุพรรณบุรีที่ 1"/>
    <n v="441"/>
    <n v="3032"/>
    <n v="200"/>
    <s v="ท่าศาล - นางบวช"/>
    <n v="42977"/>
    <n v="32362"/>
    <n v="10.615"/>
    <n v="2"/>
    <s v="R1"/>
    <d v="2015-06-30T00:00:00"/>
    <s v="A.C."/>
    <n v="6.7750000000000004"/>
    <n v="2.5"/>
    <n v="1.125"/>
    <n v="0.15"/>
    <n v="2.4208799999999999"/>
    <n v="2.5"/>
    <n v="9.625"/>
    <n v="0.82499999999999996"/>
    <n v="0.1"/>
    <n v="0"/>
    <n v="5.89032"/>
    <n v="6"/>
    <n v="0"/>
    <n v="0"/>
    <n v="10.55"/>
    <n v="1.0291600000000001"/>
    <n v="321.7"/>
    <n v="31.3"/>
    <n v="0.90801426552721887"/>
    <x v="111"/>
    <n v="428.3"/>
    <n v="1.9714430673334782E-2"/>
    <n v="0"/>
    <n v="9.2193955207653833E-2"/>
    <n v="0"/>
    <n v="0"/>
  </r>
  <r>
    <n v="1279"/>
    <s v="แขวงทางหลวงสุพรรณบุรีที่ 1"/>
    <n v="441"/>
    <n v="3038"/>
    <n v="100"/>
    <s v="ดอนเจดีย์  -  ศรีประจันต์"/>
    <n v="15945"/>
    <n v="0"/>
    <n v="15.945"/>
    <n v="2"/>
    <s v="R1"/>
    <d v="2015-07-01T00:00:00"/>
    <s v="A.C."/>
    <n v="12.525"/>
    <n v="1.7"/>
    <n v="0.92500000000000004"/>
    <n v="0.47499999999999998"/>
    <n v="2.02861"/>
    <n v="2"/>
    <n v="15.425000000000001"/>
    <n v="0.17499999999999999"/>
    <n v="2.5000000000000001E-2"/>
    <n v="0"/>
    <n v="4.1635799999999996"/>
    <n v="4"/>
    <n v="0"/>
    <n v="0"/>
    <n v="15.625"/>
    <n v="1.3001"/>
    <n v="394.2"/>
    <n v="224.6"/>
    <n v="0.90758410607893192"/>
    <x v="111"/>
    <n v="129.5"/>
    <n v="1.1528160958212772"/>
    <n v="3"/>
    <n v="0"/>
    <n v="0"/>
    <n v="0"/>
  </r>
  <r>
    <n v="933"/>
    <s v="แขวงทางหลวงศรีสะเกษที่ 1"/>
    <n v="638"/>
    <n v="2382"/>
    <n v="200"/>
    <s v="ธาตุน้อย -  ยางชุมน้อย"/>
    <n v="21130"/>
    <n v="23650"/>
    <n v="2.52"/>
    <n v="2"/>
    <s v="L1"/>
    <d v="2015-05-12T00:00:00"/>
    <s v="A.C."/>
    <n v="0.1"/>
    <n v="0.4"/>
    <n v="0.97499999999999998"/>
    <n v="1.05"/>
    <n v="5.09842"/>
    <n v="5"/>
    <n v="2.4500000000000002"/>
    <n v="0.05"/>
    <n v="2.5000000000000001E-2"/>
    <n v="0"/>
    <n v="5.0179600000000004"/>
    <n v="5"/>
    <n v="0"/>
    <n v="0"/>
    <n v="2.5250000000000004"/>
    <n v="1.4511799999999999"/>
    <n v="79.680000000000007"/>
    <n v="0"/>
    <n v="0.90339999999999998"/>
    <x v="111"/>
    <n v="0"/>
    <n v="0"/>
    <n v="0.34"/>
    <n v="3.8549999999999999E-3"/>
    <n v="0"/>
    <n v="0"/>
  </r>
  <r>
    <n v="2188"/>
    <s v="แขวงทางหลวงพัทลุง"/>
    <n v="314"/>
    <n v="4018"/>
    <n v="200"/>
    <s v="ไม้เสียบ - หัวถนน"/>
    <s v="35+233"/>
    <s v="36+293"/>
    <n v="1.06"/>
    <n v="2"/>
    <s v="L1"/>
    <d v="2015-05-20T00:00:00"/>
    <s v="A.C."/>
    <n v="0.375"/>
    <n v="0.25"/>
    <n v="0.1"/>
    <n v="0.27500000000000002"/>
    <n v="4.1377499999999996"/>
    <n v="4"/>
    <n v="1"/>
    <n v="0"/>
    <n v="0"/>
    <n v="0"/>
    <n v="1.57847"/>
    <n v="1.5"/>
    <n v="0"/>
    <n v="0"/>
    <n v="1"/>
    <n v="1.3521700000000001"/>
    <n v="0"/>
    <n v="66.849999999999994"/>
    <n v="0.90094339622641506"/>
    <x v="111"/>
    <n v="62.46"/>
    <n v="1.6835579514824797"/>
    <n v="0"/>
    <n v="0"/>
    <n v="0"/>
    <n v="0"/>
  </r>
  <r>
    <n v="1909"/>
    <s v="แขวงทางหลวงสมุทรสงคราม"/>
    <n v="337"/>
    <n v="3336"/>
    <n v="100"/>
    <s v="โคกวัด - บ้านไร่"/>
    <n v="0"/>
    <n v="6611"/>
    <n v="6.6109999999999998"/>
    <n v="2"/>
    <s v="L1"/>
    <d v="2015-03-28T00:00:00"/>
    <s v="A.C."/>
    <n v="3.63"/>
    <n v="2.1"/>
    <n v="0.62"/>
    <n v="0.27"/>
    <n v="2.6362999999999999"/>
    <n v="2.5"/>
    <n v="6.58"/>
    <n v="0.03"/>
    <n v="0"/>
    <n v="0"/>
    <n v="2.2315700000000001"/>
    <n v="2"/>
    <n v="0"/>
    <n v="0"/>
    <n v="6.61"/>
    <n v="1.3343100000000001"/>
    <n v="0"/>
    <n v="415.59"/>
    <n v="0.89804870670095283"/>
    <x v="111"/>
    <n v="0"/>
    <n v="0"/>
    <n v="0"/>
    <n v="0"/>
    <n v="0"/>
    <n v="0"/>
  </r>
  <r>
    <n v="1898"/>
    <s v="แขวงทางหลวงนครปฐม"/>
    <n v="336"/>
    <n v="3296"/>
    <n v="100"/>
    <s v="ดอนตูม - บางเลน"/>
    <s v="12+774"/>
    <s v="0+000"/>
    <n v="12.773999999999999"/>
    <n v="2"/>
    <s v="R1"/>
    <d v="2015-03-26T00:00:00"/>
    <s v="A.C."/>
    <n v="5.43"/>
    <n v="2.33"/>
    <n v="2.2000000000000002"/>
    <n v="2.81"/>
    <n v="3.4664700000000002"/>
    <n v="3.5"/>
    <n v="9.83"/>
    <n v="1.7"/>
    <n v="0.57999999999999996"/>
    <n v="0.66"/>
    <n v="6.7251700000000003"/>
    <n v="6.5"/>
    <n v="0"/>
    <n v="0"/>
    <n v="12.77"/>
    <n v="1.31782"/>
    <n v="376.887"/>
    <n v="46.26"/>
    <n v="0.89471247399852383"/>
    <x v="111"/>
    <n v="255.17"/>
    <n v="0.57073519872956235"/>
    <n v="3.3"/>
    <n v="7.3810642152586734E-3"/>
    <n v="5.98"/>
    <n v="1.3375383032499053E-2"/>
  </r>
  <r>
    <n v="1360"/>
    <s v="แขวงทางหลวงสุพรรณบุรีที่ 2 (อู่ทอง)"/>
    <n v="445"/>
    <n v="3040"/>
    <n v="200"/>
    <s v="จันทร์ลาด - พระแท่นดงรัง"/>
    <n v="23500"/>
    <n v="18644"/>
    <n v="4.8559999999999999"/>
    <n v="2"/>
    <s v="R1"/>
    <d v="2015-07-03T00:00:00"/>
    <s v="A.C."/>
    <n v="4.25"/>
    <n v="0.45"/>
    <n v="0.15"/>
    <n v="7.4999999999999997E-2"/>
    <n v="1.8369500000000001"/>
    <n v="2"/>
    <n v="4.5999999999999996"/>
    <n v="0.27500000000000002"/>
    <n v="0"/>
    <n v="0.05"/>
    <n v="4.1825400000000004"/>
    <n v="4"/>
    <n v="0"/>
    <n v="0"/>
    <n v="4.9250000000000007"/>
    <n v="1.0864"/>
    <n v="152"/>
    <n v="0"/>
    <n v="0.89432807719463403"/>
    <x v="111"/>
    <n v="0"/>
    <n v="0"/>
    <n v="0"/>
    <n v="0"/>
    <n v="0"/>
    <n v="0"/>
  </r>
  <r>
    <n v="1300"/>
    <s v="แขวงทางหลวงสุพรรณบุรีที่ 1"/>
    <n v="441"/>
    <n v="3558"/>
    <n v="100"/>
    <s v="แยกวัดลาวทอง - วังยาง"/>
    <n v="0"/>
    <n v="8843"/>
    <n v="8.843"/>
    <n v="2"/>
    <s v="L1"/>
    <d v="2015-07-01T00:00:00"/>
    <s v="A.C."/>
    <n v="6.6749999999999998"/>
    <n v="1.0249999999999999"/>
    <n v="0.25"/>
    <n v="0.22500000000000001"/>
    <n v="2.34979"/>
    <n v="2.5"/>
    <n v="8.1750000000000007"/>
    <n v="0"/>
    <n v="0"/>
    <n v="0"/>
    <n v="3.2683"/>
    <n v="3.5"/>
    <n v="0"/>
    <n v="0"/>
    <n v="8.1749999999999989"/>
    <n v="1.43964"/>
    <n v="253.4"/>
    <n v="37.299999999999997"/>
    <n v="0.87898418442351522"/>
    <x v="111"/>
    <n v="98.3"/>
    <n v="0.31760391593027582"/>
    <n v="0"/>
    <n v="0"/>
    <n v="0"/>
    <n v="0"/>
  </r>
  <r>
    <n v="1539"/>
    <s v="แขวงทางหลวงนครนายก"/>
    <n v="414"/>
    <n v="3312"/>
    <n v="200"/>
    <s v="ลำลูกกา - คลอง 16"/>
    <n v="16551"/>
    <n v="39206"/>
    <n v="22.655000000000001"/>
    <n v="6"/>
    <s v="L2"/>
    <d v="2015-09-19T00:00:00"/>
    <s v="A.C."/>
    <n v="14.8"/>
    <n v="3.95"/>
    <n v="1.95"/>
    <n v="1.925"/>
    <n v="2.5904500000000001"/>
    <n v="2.5"/>
    <n v="19.55"/>
    <n v="2.85"/>
    <n v="0.22500000000000001"/>
    <n v="0"/>
    <n v="6.1129899999999999"/>
    <n v="6"/>
    <n v="0"/>
    <n v="0"/>
    <n v="22.655000000000001"/>
    <n v="1.12601"/>
    <n v="524"/>
    <n v="345.42"/>
    <n v="0.87865813286250283"/>
    <x v="111"/>
    <n v="2018"/>
    <n v="2.5450074092757826"/>
    <n v="1008.7"/>
    <n v="1.2721253586404768"/>
    <n v="445"/>
    <n v="0.56121322949837626"/>
  </r>
  <r>
    <n v="276"/>
    <s v="แขวงทางหลวงสกลนครที่ 1"/>
    <n v="641"/>
    <n v="2132"/>
    <n v="100"/>
    <s v="ท่าแร่ - นาเพียง"/>
    <n v="20212"/>
    <n v="0"/>
    <n v="20.212"/>
    <n v="2"/>
    <s v="R1"/>
    <d v="2015-06-04T00:00:00"/>
    <s v="A.C."/>
    <n v="16.524999999999999"/>
    <n v="3"/>
    <n v="0.47499999999999998"/>
    <n v="0.17499999999999999"/>
    <n v="2.1611799999999999"/>
    <n v="2"/>
    <n v="20.125"/>
    <n v="0.05"/>
    <n v="0"/>
    <n v="0"/>
    <n v="2.5480100000000001"/>
    <n v="2.5"/>
    <n v="0"/>
    <n v="0"/>
    <n v="20.175000000000001"/>
    <n v="1.15839"/>
    <n v="0"/>
    <n v="1240"/>
    <n v="0.87642418930762489"/>
    <x v="111"/>
    <n v="0"/>
    <n v="0"/>
    <n v="0"/>
    <n v="0"/>
    <n v="0"/>
    <n v="0"/>
  </r>
  <r>
    <n v="214"/>
    <s v="แขวงทางหลวงน่านที่ 1"/>
    <n v="536"/>
    <n v="101"/>
    <n v="500"/>
    <s v="ห้วยเเก๊ต - สะพานพญาวัด"/>
    <s v="365+490"/>
    <s v="300+299"/>
    <n v="65.081000000000003"/>
    <n v="2"/>
    <s v="R1"/>
    <d v="2015-08-05T00:00:00"/>
    <s v="A.C."/>
    <n v="50.37"/>
    <n v="10.119999999999999"/>
    <n v="3.79"/>
    <n v="0.8"/>
    <n v="2.0333800000000002"/>
    <n v="2"/>
    <n v="33.729999999999997"/>
    <n v="11.98"/>
    <n v="6.5"/>
    <n v="12.88"/>
    <n v="12.3688"/>
    <n v="12.5"/>
    <n v="0"/>
    <n v="0"/>
    <n v="65.09"/>
    <n v="1.1740699999999999"/>
    <n v="1913"/>
    <n v="152.96"/>
    <n v="0.87340830218167687"/>
    <x v="111"/>
    <n v="1228"/>
    <n v="0.5391084077643904"/>
    <n v="4468"/>
    <n v="1.9615116986085472"/>
    <n v="392"/>
    <n v="0.17209323765768811"/>
  </r>
  <r>
    <n v="428"/>
    <s v="แขวงทางหลวงสุโขทัย"/>
    <n v="513"/>
    <n v="1053"/>
    <n v="100"/>
    <s v="ทางเข้าบ้านหลุม"/>
    <s v="0+000"/>
    <s v="4+000"/>
    <n v="4"/>
    <s v="L1"/>
    <n v="2"/>
    <d v="2015-09-18T00:00:00"/>
    <s v="A.C."/>
    <n v="1.8"/>
    <n v="1.03"/>
    <n v="0.63"/>
    <n v="0.55000000000000004"/>
    <n v="3.1742499999999998"/>
    <n v="3"/>
    <n v="3.95"/>
    <n v="0.05"/>
    <n v="0"/>
    <n v="0"/>
    <n v="2.3376600000000001"/>
    <n v="2.5"/>
    <n v="0"/>
    <n v="0"/>
    <n v="4"/>
    <n v="0.96429399999999998"/>
    <n v="120.32"/>
    <n v="3.54"/>
    <n v="0.8720714285714285"/>
    <x v="111"/>
    <n v="75.95"/>
    <n v="0.54249999999999998"/>
    <n v="0"/>
    <n v="0"/>
    <n v="0"/>
    <n v="0"/>
  </r>
  <r>
    <n v="1934"/>
    <s v="แขวงทางหลวงเพชรบุรี"/>
    <n v="338"/>
    <n v="3499"/>
    <n v="100"/>
    <s v="เขื่อนเพชร - เขื่อนแก่งกระจาน"/>
    <n v="0"/>
    <n v="26300"/>
    <n v="26.3"/>
    <n v="2"/>
    <s v="L1"/>
    <d v="2015-04-02T00:00:00"/>
    <s v="A.C."/>
    <n v="15.11"/>
    <n v="7.18"/>
    <n v="2.9"/>
    <n v="1.1100000000000001"/>
    <n v="2.60338"/>
    <n v="2.5"/>
    <n v="25.34"/>
    <n v="0.8"/>
    <n v="0.16"/>
    <n v="0"/>
    <n v="3.0167899999999999"/>
    <n v="3"/>
    <n v="0"/>
    <n v="0"/>
    <n v="26.3"/>
    <n v="1.24055"/>
    <n v="19"/>
    <n v="1559.42"/>
    <n v="0.86769147202607289"/>
    <x v="111"/>
    <n v="100.7"/>
    <n v="0.10939706681151548"/>
    <n v="28"/>
    <n v="3.0418250950570342E-2"/>
    <n v="0"/>
    <n v="0"/>
  </r>
  <r>
    <n v="1484"/>
    <s v="แขวงทางหลวงกรุงเทพ"/>
    <n v="411"/>
    <n v="3701"/>
    <n v="100"/>
    <s v="ถนนศรีนครินทร์ - ลาดกระบัง"/>
    <s v="7+218"/>
    <s v="10+526"/>
    <n v="3.3079999999999998"/>
    <n v="2"/>
    <s v="L1"/>
    <d v="2015-09-01T00:00:00"/>
    <s v="A.C."/>
    <n v="0.77500000000000002"/>
    <n v="0.72499999999999998"/>
    <n v="0.77500000000000002"/>
    <n v="1.0249999999999999"/>
    <n v="4.3579999999999997"/>
    <n v="4.5"/>
    <n v="2.95"/>
    <n v="0.32500000000000001"/>
    <n v="2.5000000000000001E-2"/>
    <n v="0"/>
    <n v="5.6509999999999998"/>
    <n v="5.5"/>
    <n v="0"/>
    <n v="0"/>
    <n v="3.3000000000000003"/>
    <n v="1.0860000000000001"/>
    <n v="93"/>
    <n v="13.41"/>
    <n v="0.86115909483503195"/>
    <x v="111"/>
    <n v="1561"/>
    <n v="13.482466747279323"/>
    <n v="32.65"/>
    <n v="0.28200034548281222"/>
    <n v="18"/>
    <n v="0.1554672655035412"/>
  </r>
  <r>
    <n v="2147"/>
    <s v="แขวงทางหลวงพังงา"/>
    <n v="327"/>
    <n v="4283"/>
    <n v="100"/>
    <s v="ทางเข้ากะไหล"/>
    <n v="1842"/>
    <n v="0"/>
    <n v="1.8420000000000001"/>
    <n v="4"/>
    <s v="R2"/>
    <d v="2015-05-11T00:00:00"/>
    <s v="A.C."/>
    <n v="0.57499999999999996"/>
    <n v="0.45"/>
    <n v="0.27500000000000002"/>
    <n v="0.25"/>
    <n v="3.3806500000000002"/>
    <n v="3.5"/>
    <n v="1.5249999999999999"/>
    <n v="2.5000000000000001E-2"/>
    <n v="0"/>
    <n v="0"/>
    <n v="2.6929400000000001"/>
    <n v="2.5"/>
    <n v="0"/>
    <n v="0"/>
    <n v="1.5499999999999998"/>
    <n v="1.1025499999999999"/>
    <n v="53.393999999999998"/>
    <n v="2.63"/>
    <n v="0.84859624631611597"/>
    <x v="112"/>
    <n v="11.26"/>
    <n v="0.17465487823794013"/>
    <n v="2.68"/>
    <n v="4.1569722351481313E-2"/>
    <n v="0"/>
    <n v="0"/>
  </r>
  <r>
    <n v="448"/>
    <s v="แขวงทางหลวงสุโขทัย"/>
    <n v="513"/>
    <n v="1324"/>
    <n v="100"/>
    <s v="ศรีสำโรง - ทุ่งป่ากระถิน"/>
    <s v="0+000"/>
    <s v="3+000"/>
    <n v="3"/>
    <s v="L1"/>
    <n v="2"/>
    <d v="2015-09-17T00:00:00"/>
    <s v="A.C."/>
    <n v="2.0099999999999998"/>
    <n v="0.64"/>
    <n v="0.31"/>
    <n v="0.05"/>
    <n v="2.4166099999999999"/>
    <n v="2.5"/>
    <n v="2.8"/>
    <n v="0.18"/>
    <n v="0.03"/>
    <n v="0"/>
    <n v="4.6535399999999996"/>
    <n v="4.5"/>
    <n v="0"/>
    <n v="0"/>
    <n v="3"/>
    <n v="1.1394599999999999"/>
    <n v="88.47"/>
    <n v="1.24"/>
    <n v="0.84847619047619049"/>
    <x v="112"/>
    <n v="57.19"/>
    <n v="0.54466666666666663"/>
    <n v="0"/>
    <n v="0"/>
    <n v="0"/>
    <n v="0"/>
  </r>
  <r>
    <n v="1048"/>
    <s v="แขวงทางหลวงบุรีรัมย์"/>
    <n v="617"/>
    <n v="2456"/>
    <n v="100"/>
    <s v="ทางเข้าประโคนชัย"/>
    <n v="0"/>
    <n v="278"/>
    <n v="0.27800000000000002"/>
    <n v="2"/>
    <s v="L1"/>
    <d v="2015-05-08T00:00:00"/>
    <s v="A.C."/>
    <n v="0"/>
    <n v="0.05"/>
    <n v="7.4999999999999997E-2"/>
    <n v="2.5000000000000001E-2"/>
    <n v="4.7766700000000002"/>
    <n v="5"/>
    <n v="0.15"/>
    <n v="0"/>
    <n v="0"/>
    <n v="0"/>
    <n v="6.5268300000000004"/>
    <n v="6.5"/>
    <n v="0"/>
    <n v="0"/>
    <n v="0.15"/>
    <n v="1.1198300000000001"/>
    <n v="0"/>
    <n v="16.46"/>
    <n v="0.84583761562178827"/>
    <x v="112"/>
    <n v="0"/>
    <n v="0"/>
    <n v="0"/>
    <n v="0"/>
    <n v="0"/>
    <n v="0"/>
  </r>
  <r>
    <n v="1178"/>
    <s v="แขวงทางหลวงสิงห์บุรี"/>
    <n v="433"/>
    <n v="335"/>
    <n v="100"/>
    <s v="แยกสิงห์เหนือ - สิงห์บุรี"/>
    <s v="1+040"/>
    <s v="0+000"/>
    <n v="1.04"/>
    <n v="5"/>
    <s v="R2"/>
    <d v="2015-10-05T00:00:00"/>
    <s v="A.C."/>
    <n v="0"/>
    <n v="0.25"/>
    <n v="0.42499999999999999"/>
    <n v="0.375"/>
    <n v="4.6950000000000003"/>
    <n v="4.5"/>
    <n v="1.05"/>
    <n v="0"/>
    <n v="0"/>
    <n v="0"/>
    <n v="1.9336199999999999"/>
    <n v="2"/>
    <n v="0"/>
    <n v="0"/>
    <n v="1.04"/>
    <n v="1.2421"/>
    <n v="25.96"/>
    <n v="9.58"/>
    <n v="0.84478021978021978"/>
    <x v="112"/>
    <n v="0.03"/>
    <n v="8.2417582417582407E-4"/>
    <n v="0"/>
    <n v="0"/>
    <n v="0"/>
    <n v="0"/>
  </r>
  <r>
    <n v="306"/>
    <s v="แขวงทางหลวงบึงกาฬ"/>
    <n v="643"/>
    <n v="2145"/>
    <n v="100"/>
    <s v="หนองยาง - บ้านซาง"/>
    <n v="6500"/>
    <n v="0"/>
    <n v="6.5"/>
    <n v="2"/>
    <s v="R1"/>
    <d v="2015-06-08T00:00:00"/>
    <s v="A.C."/>
    <n v="5.6749999999999998"/>
    <n v="0.57499999999999996"/>
    <n v="0.15"/>
    <n v="0.125"/>
    <n v="1.9469000000000001"/>
    <n v="2"/>
    <n v="6.5250000000000004"/>
    <n v="0"/>
    <n v="0"/>
    <n v="0"/>
    <n v="2.32056"/>
    <n v="2.5"/>
    <n v="0"/>
    <n v="0"/>
    <n v="6.5250000000000004"/>
    <n v="1.1539200000000001"/>
    <n v="0"/>
    <n v="384"/>
    <n v="0.84396000000000004"/>
    <x v="112"/>
    <n v="0"/>
    <n v="0"/>
    <n v="0"/>
    <n v="0"/>
    <n v="0"/>
    <n v="0"/>
  </r>
  <r>
    <n v="1417"/>
    <s v="แขวงทางหลวงอุทัยธานี"/>
    <n v="447"/>
    <n v="3221"/>
    <n v="100"/>
    <s v="อุทัยธานี -  ทัพทัน"/>
    <n v="15303"/>
    <n v="0"/>
    <n v="15.303000000000001"/>
    <n v="2"/>
    <s v="R1"/>
    <d v="2015-07-31T00:00:00"/>
    <s v="A.C."/>
    <n v="7.0250000000000004"/>
    <n v="5.05"/>
    <n v="2.2999999999999998"/>
    <n v="1"/>
    <n v="2.8992499999999999"/>
    <n v="3"/>
    <n v="13.5"/>
    <n v="1.2"/>
    <n v="0.47499999999999998"/>
    <n v="0.2"/>
    <n v="5.3030799999999996"/>
    <n v="5.5"/>
    <n v="0"/>
    <n v="0"/>
    <n v="15.375"/>
    <n v="1.2121299999999999"/>
    <n v="436"/>
    <n v="21"/>
    <n v="0.83363672855929272"/>
    <x v="112"/>
    <n v="0"/>
    <n v="0"/>
    <n v="3"/>
    <n v="5.601142633097151E-3"/>
    <n v="0"/>
    <n v="0"/>
  </r>
  <r>
    <n v="2058"/>
    <s v="แขวงทางหลวงสุราษฎร์ธานีที่ 2 (กาญจนดิษฐ์)"/>
    <n v="328"/>
    <n v="4177"/>
    <n v="100"/>
    <s v="เขาหมอน - บ้านพ่วง"/>
    <n v="27100"/>
    <n v="0"/>
    <n v="27.1"/>
    <n v="2"/>
    <s v="R1"/>
    <d v="2015-04-25T00:00:00"/>
    <s v="A.C."/>
    <n v="20.975000000000001"/>
    <n v="4.4000000000000004"/>
    <n v="1.1000000000000001"/>
    <n v="0.55000000000000004"/>
    <n v="2.0833900000000001"/>
    <n v="2"/>
    <n v="26.5"/>
    <n v="0.3"/>
    <n v="0.2"/>
    <n v="2.5000000000000001E-2"/>
    <n v="2.3391000000000002"/>
    <n v="2.5"/>
    <n v="0"/>
    <n v="0"/>
    <n v="27.025000000000002"/>
    <n v="1.25417"/>
    <n v="338.51"/>
    <n v="901.93"/>
    <n v="0.83234053769109095"/>
    <x v="112"/>
    <n v="73.59"/>
    <n v="7.758566157090141E-2"/>
    <n v="0"/>
    <n v="0"/>
    <n v="0"/>
    <n v="0"/>
  </r>
  <r>
    <n v="461"/>
    <s v="แขวงทางหลวงพิษณุโลกที่ 2 (วังทอง)"/>
    <n v="515"/>
    <n v="126"/>
    <n v="200"/>
    <s v="ถนนวงแหวนรอบเมืองพิษณุโลกด้านทิศเหนือ"/>
    <s v="25+297"/>
    <s v="21+297"/>
    <n v="4"/>
    <s v="R2"/>
    <n v="2"/>
    <d v="2015-09-18T00:00:00"/>
    <s v="A.C."/>
    <n v="2.95"/>
    <n v="0.47499999999999998"/>
    <n v="0.4"/>
    <n v="0.23"/>
    <n v="2.2075300000000002"/>
    <n v="2"/>
    <n v="3.7749999999999999"/>
    <n v="0.25"/>
    <n v="2.5000000000000001E-2"/>
    <n v="0"/>
    <n v="4.9116200000000001"/>
    <n v="5"/>
    <n v="0"/>
    <n v="0"/>
    <n v="4.0550000000000006"/>
    <n v="1.30359"/>
    <n v="110.32"/>
    <n v="12.358000000000001"/>
    <n v="0.8321357142857142"/>
    <x v="112"/>
    <n v="86.48"/>
    <n v="0.61771428571428577"/>
    <n v="0"/>
    <n v="0"/>
    <n v="0"/>
    <n v="0"/>
  </r>
  <r>
    <n v="46"/>
    <s v="แขวงทางหลวงลำปางที่ 1"/>
    <n v="523"/>
    <n v="106"/>
    <n v="100"/>
    <s v="ดอนไชย - ห้วยหญ้าไทร"/>
    <s v="0+000"/>
    <s v="28+507"/>
    <n v="28.507000000000001"/>
    <n v="4"/>
    <s v="L2"/>
    <d v="2015-08-06T00:00:00"/>
    <s v="A.C."/>
    <n v="12.85"/>
    <n v="7.25"/>
    <n v="4.875"/>
    <n v="3.35"/>
    <n v="3.1602199999999998"/>
    <n v="3"/>
    <n v="27.475000000000001"/>
    <n v="0.77500000000000002"/>
    <n v="2.5000000000000001E-2"/>
    <n v="0.05"/>
    <n v="3.8869600000000002"/>
    <n v="4"/>
    <n v="0"/>
    <n v="0"/>
    <n v="28.325000000000003"/>
    <n v="1.28026"/>
    <n v="818.57"/>
    <n v="20.9"/>
    <n v="0.83089366521506003"/>
    <x v="112"/>
    <n v="713.57"/>
    <n v="0.71518273707209756"/>
    <n v="163"/>
    <n v="0.16336839573237652"/>
    <n v="0.27"/>
    <n v="2.7061022605976478E-4"/>
  </r>
  <r>
    <n v="2115"/>
    <s v="แขวงทางหลวงภูเก็ต"/>
    <n v="324"/>
    <n v="4023"/>
    <n v="100"/>
    <s v="เมืองภูเก็ต - แหลมพันวา"/>
    <n v="0"/>
    <n v="8770"/>
    <n v="8.77"/>
    <n v="2"/>
    <s v="L2"/>
    <d v="2015-05-14T00:00:00"/>
    <s v="A.C."/>
    <n v="2.2749999999999999"/>
    <n v="3.45"/>
    <n v="2.2000000000000002"/>
    <n v="0.77500000000000002"/>
    <n v="3.34083"/>
    <n v="3.5"/>
    <n v="8.6999999999999993"/>
    <n v="0"/>
    <n v="0"/>
    <n v="0"/>
    <n v="1.62618"/>
    <n v="1.5"/>
    <n v="0"/>
    <n v="0"/>
    <n v="8.6999999999999993"/>
    <n v="1.11053"/>
    <n v="247"/>
    <n v="15.068"/>
    <n v="0.82923603192702389"/>
    <x v="112"/>
    <n v="14.99"/>
    <n v="4.8835315197914973E-2"/>
    <n v="0"/>
    <n v="0"/>
    <n v="0"/>
    <n v="0"/>
  </r>
  <r>
    <n v="1357"/>
    <s v="แขวงทางหลวงสุพรรณบุรีที่ 2 (อู่ทอง)"/>
    <n v="445"/>
    <n v="333"/>
    <n v="100"/>
    <s v="อู่ทอง - สระกระโจม"/>
    <n v="0"/>
    <n v="33800"/>
    <n v="33.799999999999997"/>
    <n v="2"/>
    <s v="L1"/>
    <d v="2015-07-03T00:00:00"/>
    <s v="A.C."/>
    <n v="24.625"/>
    <n v="6.2249999999999996"/>
    <n v="2.4750000000000001"/>
    <n v="0.5"/>
    <n v="2.18146"/>
    <n v="2"/>
    <n v="30.925000000000001"/>
    <n v="2.1749999999999998"/>
    <n v="0.6"/>
    <n v="0.125"/>
    <n v="4.01485"/>
    <n v="4"/>
    <n v="0"/>
    <n v="0"/>
    <n v="33.825000000000003"/>
    <n v="1.0637799999999999"/>
    <n v="967"/>
    <n v="22"/>
    <n v="0.8267117497886729"/>
    <x v="112"/>
    <n v="0"/>
    <n v="0"/>
    <n v="37"/>
    <n v="3.127641589180051E-2"/>
    <n v="0"/>
    <n v="0"/>
  </r>
  <r>
    <n v="2150"/>
    <s v="แขวงทางหลวงพังงา"/>
    <n v="327"/>
    <n v="4284"/>
    <n v="100"/>
    <s v="ทางเข้ากระโสม"/>
    <n v="1080"/>
    <n v="0"/>
    <n v="1.08"/>
    <n v="4"/>
    <s v="R2"/>
    <d v="2015-05-11T00:00:00"/>
    <s v="A.C."/>
    <n v="0.625"/>
    <n v="0.4"/>
    <n v="0.4"/>
    <n v="0.22500000000000001"/>
    <n v="3.3462100000000001"/>
    <n v="3.5"/>
    <n v="1.55"/>
    <n v="0.1"/>
    <n v="0"/>
    <n v="0"/>
    <n v="4.7594099999999999"/>
    <n v="5"/>
    <n v="0"/>
    <n v="0"/>
    <n v="1.65"/>
    <n v="0.94516699999999998"/>
    <n v="4.8600000000000003"/>
    <n v="52.66"/>
    <n v="0.82513227513227494"/>
    <x v="112"/>
    <n v="1.365"/>
    <n v="3.6111111111111101E-2"/>
    <n v="0"/>
    <n v="0"/>
    <n v="0"/>
    <n v="0"/>
  </r>
  <r>
    <n v="785"/>
    <s v="แขวงทางหลวงยโสธร"/>
    <n v="633"/>
    <n v="292"/>
    <n v="100"/>
    <s v="ทางเลี่ยงเมืองยโสธร"/>
    <n v="0"/>
    <n v="8191"/>
    <n v="8.1910000000000007"/>
    <n v="6"/>
    <s v="L1"/>
    <d v="2015-05-23T00:00:00"/>
    <s v="A.C."/>
    <n v="3.6500000000000004"/>
    <n v="2.15"/>
    <n v="1.2250000000000001"/>
    <n v="1.125"/>
    <n v="3.1178850000000002"/>
    <n v="3"/>
    <n v="7.1"/>
    <n v="0.79999999999999993"/>
    <n v="0.2"/>
    <n v="0.05"/>
    <n v="6.3601200000000002"/>
    <n v="6.5"/>
    <n v="0"/>
    <n v="0"/>
    <n v="8.15"/>
    <n v="1.1998150000000001"/>
    <n v="236"/>
    <n v="0"/>
    <n v="0.82320316723930453"/>
    <x v="112"/>
    <n v="31"/>
    <n v="0.10813261942550186"/>
    <n v="548"/>
    <n v="1.9115056595217748"/>
    <n v="0"/>
    <n v="0"/>
  </r>
  <r>
    <n v="1744"/>
    <s v="แขวงทางหลวงจันทบุรี"/>
    <n v="423"/>
    <n v="3395"/>
    <n v="100"/>
    <s v="ทุ่งขนาน - ทับทิมสยาม05"/>
    <n v="0"/>
    <s v="8+908"/>
    <n v="8.9079999999999995"/>
    <n v="2"/>
    <s v="L1"/>
    <d v="2015-08-18T00:00:00"/>
    <s v="A.C."/>
    <n v="5.45"/>
    <n v="2.5"/>
    <n v="0.67500000000000004"/>
    <n v="0.27500000000000002"/>
    <n v="2.4129999999999998"/>
    <n v="2.5"/>
    <n v="7.625"/>
    <n v="0.82499999999999996"/>
    <n v="0.375"/>
    <n v="7.4999999999999997E-2"/>
    <n v="6.3470000000000004"/>
    <n v="6.5"/>
    <n v="0"/>
    <n v="0"/>
    <n v="8.9079999999999995"/>
    <n v="1.1539999999999999"/>
    <n v="238.25"/>
    <n v="33.9"/>
    <n v="0.81852588363589729"/>
    <x v="112"/>
    <n v="133.31"/>
    <n v="0.42757713772531913"/>
    <n v="378.97"/>
    <n v="1.2155045224196552"/>
    <n v="7.13"/>
    <n v="2.2868689460517032E-2"/>
  </r>
  <r>
    <n v="1712"/>
    <s v="แขวงทางหลวงชลบุรีที่ 1"/>
    <n v="422"/>
    <n v="349"/>
    <n v="100"/>
    <s v="พนัสนิคม - หนองชาก"/>
    <n v="164"/>
    <n v="17484"/>
    <n v="17.32"/>
    <n v="2"/>
    <s v="L1"/>
    <d v="2015-08-13T00:00:00"/>
    <s v="A.C."/>
    <n v="10.66"/>
    <n v="4.6900000000000004"/>
    <n v="1.34"/>
    <n v="0.63"/>
    <n v="4.1092899999999997"/>
    <n v="4"/>
    <n v="16.5"/>
    <n v="0.6"/>
    <n v="0.15"/>
    <n v="0.08"/>
    <n v="8.9369099999999992"/>
    <n v="9"/>
    <n v="0"/>
    <n v="0"/>
    <n v="17.32"/>
    <n v="1.2760100000000001"/>
    <n v="492.54"/>
    <n v="0"/>
    <n v="0.8125"/>
    <x v="112"/>
    <n v="0"/>
    <n v="0"/>
    <n v="273"/>
    <n v="0.45034600000000002"/>
    <n v="0"/>
    <n v="0"/>
  </r>
  <r>
    <n v="1074"/>
    <s v="แขวงทางหลวงสระแก้ว (วัฒนานคร)"/>
    <n v="619"/>
    <n v="3198"/>
    <n v="100"/>
    <s v="ช่องกุ่ม - หนองสังข์"/>
    <s v="0+000"/>
    <s v="18+862"/>
    <n v="18.861999999999998"/>
    <n v="2"/>
    <s v="L1"/>
    <d v="2015-03-31T00:00:00"/>
    <s v="A.C."/>
    <n v="16.04"/>
    <n v="2.16"/>
    <n v="0.52"/>
    <n v="0.15"/>
    <n v="1.9095599999999999"/>
    <n v="2"/>
    <n v="18.86"/>
    <n v="0"/>
    <n v="0"/>
    <n v="0"/>
    <n v="2.8257300000000001"/>
    <n v="3"/>
    <n v="0"/>
    <n v="0"/>
    <n v="18.86"/>
    <n v="1.13626"/>
    <n v="535.70000000000005"/>
    <n v="0"/>
    <n v="0.81145765484647892"/>
    <x v="112"/>
    <n v="0"/>
    <n v="0"/>
    <n v="0"/>
    <n v="0"/>
    <n v="0"/>
    <n v="0"/>
  </r>
  <r>
    <n v="2075"/>
    <s v="แขวงทางหลวงสุราษฎร์ธานีที่ 3 (เวียงสระ)"/>
    <n v="329"/>
    <n v="4039"/>
    <n v="100"/>
    <s v="ยางอุง - นาสาร"/>
    <n v="0"/>
    <n v="4313"/>
    <n v="4.3129999999999997"/>
    <n v="4"/>
    <s v="L2"/>
    <d v="2015-04-28T00:00:00"/>
    <s v="A.C."/>
    <n v="3.3250000000000002"/>
    <n v="0.65"/>
    <n v="0.17499999999999999"/>
    <n v="7.4999999999999997E-2"/>
    <n v="2.1507700000000001"/>
    <n v="2"/>
    <n v="3.6"/>
    <n v="0.625"/>
    <n v="0"/>
    <n v="0"/>
    <n v="5.8866399999999999"/>
    <n v="6"/>
    <n v="0"/>
    <n v="0"/>
    <n v="4.2250000000000005"/>
    <n v="1.27704"/>
    <n v="121.32"/>
    <n v="2.2999999999999998"/>
    <n v="0.81130138120631967"/>
    <x v="112"/>
    <n v="0"/>
    <n v="0"/>
    <n v="0"/>
    <n v="0"/>
    <n v="0"/>
    <n v="0"/>
  </r>
  <r>
    <n v="694"/>
    <s v="แขวงทางหลวงอุดรธานีที่ 2"/>
    <n v="624"/>
    <n v="2393"/>
    <n v="102"/>
    <s v="คำกุ่ง-หนองกุงทับม้า"/>
    <n v="51265"/>
    <n v="22485"/>
    <n v="28.78"/>
    <n v="2"/>
    <s v="R1"/>
    <d v="2015-06-15T00:00:00"/>
    <s v="A.C."/>
    <n v="7.2"/>
    <n v="9.9749999999999996"/>
    <n v="7.7249999999999996"/>
    <n v="3.875"/>
    <n v="3.53966"/>
    <n v="3.5"/>
    <n v="25.574999999999999"/>
    <n v="2.7749999999999999"/>
    <n v="0.375"/>
    <n v="0.05"/>
    <n v="5.4627100000000004"/>
    <n v="5.5"/>
    <n v="0"/>
    <n v="2.5000000000000001E-2"/>
    <n v="28.75"/>
    <n v="1.1738999999999999"/>
    <n v="64.62"/>
    <n v="1502.08"/>
    <n v="0.80974999999999997"/>
    <x v="112"/>
    <n v="41.6"/>
    <n v="4.1300000000000003E-2"/>
    <n v="295.70999999999998"/>
    <n v="0.29356700000000002"/>
    <n v="2.02"/>
    <n v="2.0100000000000001E-3"/>
  </r>
  <r>
    <n v="1716"/>
    <s v="แขวงทางหลวงชลบุรีที่ 1"/>
    <n v="422"/>
    <n v="3245"/>
    <n v="301"/>
    <s v="หนองเสือช้าง - หนองเสือช่อ"/>
    <n v="34000"/>
    <n v="53317"/>
    <n v="19.317"/>
    <n v="2"/>
    <s v="L1"/>
    <d v="2015-08-14T00:00:00"/>
    <s v="A.C."/>
    <n v="6.09"/>
    <n v="5.45"/>
    <n v="4.8499999999999996"/>
    <n v="2.93"/>
    <n v="3.44983"/>
    <n v="3.5"/>
    <n v="17.690000000000001"/>
    <n v="1.38"/>
    <n v="0.25"/>
    <n v="0"/>
    <n v="5.6687700000000003"/>
    <n v="5.5"/>
    <n v="0"/>
    <n v="0"/>
    <n v="19.317"/>
    <n v="1.3539099999999999"/>
    <n v="546.44000000000005"/>
    <n v="0"/>
    <n v="0.80823"/>
    <x v="112"/>
    <n v="1.4"/>
    <n v="2.0699999999999998E-3"/>
    <n v="0"/>
    <n v="0"/>
    <n v="0"/>
    <n v="0"/>
  </r>
  <r>
    <n v="318"/>
    <s v="แขวงทางหลวงนครพนม"/>
    <n v="644"/>
    <n v="2132"/>
    <n v="200"/>
    <s v="นาเพียง - ศรีสงคราม"/>
    <n v="20212"/>
    <n v="43450"/>
    <n v="23.238"/>
    <n v="2"/>
    <s v="L1"/>
    <d v="2015-06-03T00:00:00"/>
    <s v="A.C."/>
    <n v="17.79"/>
    <n v="3.7"/>
    <n v="1.29"/>
    <n v="0.48"/>
    <n v="2.5417900000000002"/>
    <n v="2.5"/>
    <n v="22.46"/>
    <n v="0.65"/>
    <n v="0.13"/>
    <n v="0"/>
    <n v="2.6034999999999999"/>
    <n v="2.5"/>
    <n v="0"/>
    <n v="0"/>
    <n v="23.24"/>
    <n v="1.0013300000000001"/>
    <n v="325"/>
    <n v="654"/>
    <n v="0.80164000000000002"/>
    <x v="112"/>
    <n v="0"/>
    <n v="0"/>
    <n v="624"/>
    <n v="0.76721600000000001"/>
    <n v="0"/>
    <n v="0"/>
  </r>
  <r>
    <n v="71"/>
    <s v="แขวงทางหลวงลำพูน"/>
    <n v="524"/>
    <n v="116"/>
    <n v="102"/>
    <s v="สะปุ๋ง - บ้านเรือน"/>
    <s v="23+651"/>
    <s v="16+348"/>
    <n v="7.3029999999999999"/>
    <n v="2"/>
    <s v="R1"/>
    <d v="2015-08-11T00:00:00"/>
    <s v="A.C."/>
    <n v="5"/>
    <n v="1.75"/>
    <n v="0.57499999999999996"/>
    <n v="7.4999999999999997E-2"/>
    <n v="2.3179699999999999"/>
    <n v="2.5"/>
    <n v="7.25"/>
    <n v="0.125"/>
    <n v="2.5000000000000001E-2"/>
    <n v="0"/>
    <n v="3.3541500000000002"/>
    <n v="3.5"/>
    <n v="0"/>
    <n v="0"/>
    <n v="7.4"/>
    <n v="1.10771"/>
    <n v="204.62"/>
    <n v="0"/>
    <n v="0.8005320709688778"/>
    <x v="112"/>
    <n v="0"/>
    <n v="0"/>
    <n v="0"/>
    <n v="0"/>
    <n v="1.0049999999999999"/>
    <n v="3.9318479685452159E-3"/>
  </r>
  <r>
    <n v="2044"/>
    <s v="แขวงทางหลวงนครศรีธรรมราชที่ 2 (ทุ่งสง)"/>
    <n v="326"/>
    <n v="4270"/>
    <n v="300"/>
    <s v="ลานข่อย -ไม้เสียบ"/>
    <n v="50053"/>
    <n v="45165"/>
    <n v="4.8879999999999999"/>
    <n v="2"/>
    <s v="R1"/>
    <d v="2015-04-30T00:00:00"/>
    <s v="A.C."/>
    <n v="1.65"/>
    <n v="2.1"/>
    <n v="0.92500000000000004"/>
    <n v="0.3"/>
    <n v="3.0253800000000002"/>
    <n v="3"/>
    <n v="4.5999999999999996"/>
    <n v="0.32500000000000001"/>
    <n v="0.05"/>
    <n v="0"/>
    <n v="4.0490000000000004"/>
    <n v="4"/>
    <n v="0"/>
    <n v="0"/>
    <n v="4.9749999999999996"/>
    <n v="1.1991099999999999"/>
    <n v="132.37"/>
    <n v="8.75"/>
    <n v="0.79930441898527005"/>
    <x v="112"/>
    <n v="0"/>
    <n v="0"/>
    <n v="65.48"/>
    <n v="0.38274491465980831"/>
    <n v="0"/>
    <n v="0"/>
  </r>
  <r>
    <n v="282"/>
    <s v="แขวงทางหลวงสกลนครที่ 1"/>
    <n v="641"/>
    <n v="2347"/>
    <n v="100"/>
    <s v="ธาตุนาเวง - สกลนคร"/>
    <n v="0"/>
    <n v="5039"/>
    <n v="5.0389999999999997"/>
    <n v="4"/>
    <s v="L2"/>
    <d v="2015-06-04T00:00:00"/>
    <s v="A.C."/>
    <n v="4.125"/>
    <n v="0.6"/>
    <n v="0.25"/>
    <n v="7.4999999999999997E-2"/>
    <n v="1.99183"/>
    <n v="2"/>
    <n v="3.875"/>
    <n v="1.05"/>
    <n v="0.125"/>
    <n v="0"/>
    <n v="8.3570899999999995"/>
    <n v="8.5"/>
    <n v="0"/>
    <n v="0"/>
    <n v="5.05"/>
    <n v="1.19801"/>
    <n v="137"/>
    <n v="7"/>
    <n v="0.7966433249227457"/>
    <x v="112"/>
    <n v="0"/>
    <n v="0"/>
    <n v="0"/>
    <n v="0"/>
    <n v="0"/>
    <n v="0"/>
  </r>
  <r>
    <n v="1457"/>
    <s v="แขวงทางหลวงอ่างทอง"/>
    <n v="448"/>
    <n v="3195"/>
    <n v="202"/>
    <s v="วิเศษชัยชาญ - ป่างิ้ว"/>
    <n v="33357"/>
    <n v="25300"/>
    <n v="8.0570000000000004"/>
    <n v="4"/>
    <s v="R2"/>
    <d v="2015-06-27T00:00:00"/>
    <s v="A.C."/>
    <n v="5.4"/>
    <n v="1.6"/>
    <n v="0.625"/>
    <n v="0.4"/>
    <n v="2.6608999999999998"/>
    <n v="2.5"/>
    <n v="7.7"/>
    <n v="0.32500000000000001"/>
    <n v="0"/>
    <n v="0"/>
    <n v="5.2340799999999996"/>
    <n v="5"/>
    <n v="0"/>
    <n v="0"/>
    <n v="8.0250000000000004"/>
    <n v="0.99906200000000001"/>
    <n v="12"/>
    <n v="420"/>
    <n v="0.78724800085107882"/>
    <x v="112"/>
    <n v="14"/>
    <n v="4.9646270323941907E-2"/>
    <n v="179"/>
    <n v="0.63476302771325732"/>
    <n v="0"/>
    <n v="0"/>
  </r>
  <r>
    <n v="222"/>
    <s v="แขวงทางหลวงน่านที่ 1"/>
    <n v="536"/>
    <n v="1225"/>
    <n v="101"/>
    <s v="ภูแยง - ปางช้าง"/>
    <n v="12000"/>
    <n v="0"/>
    <n v="12"/>
    <n v="2"/>
    <s v="R1"/>
    <d v="2015-07-29T00:00:00"/>
    <s v="A.C."/>
    <n v="6.5"/>
    <n v="3.15"/>
    <n v="1.4"/>
    <n v="0.95"/>
    <n v="2.8515600000000001"/>
    <n v="3"/>
    <n v="3.93"/>
    <n v="2.35"/>
    <n v="1.68"/>
    <n v="4.05"/>
    <n v="16.525600000000001"/>
    <n v="16.5"/>
    <n v="0"/>
    <n v="0"/>
    <n v="12"/>
    <n v="1.16658"/>
    <n v="260"/>
    <n v="140.84"/>
    <n v="0.7867142857142857"/>
    <x v="112"/>
    <n v="0"/>
    <n v="0"/>
    <n v="281"/>
    <n v="0.669047619047619"/>
    <n v="0"/>
    <n v="0"/>
  </r>
  <r>
    <n v="2146"/>
    <s v="แขวงทางหลวงพังงา"/>
    <n v="327"/>
    <n v="4197"/>
    <n v="100"/>
    <s v="เขาต่อ - ปลายพระยา"/>
    <n v="15938"/>
    <n v="0"/>
    <n v="15.938000000000001"/>
    <n v="4"/>
    <s v="R1"/>
    <d v="2015-05-11T00:00:00"/>
    <s v="A.C."/>
    <n v="8.35"/>
    <n v="4.3499999999999996"/>
    <n v="2.15"/>
    <n v="1.0249999999999999"/>
    <n v="2.7715900000000002"/>
    <n v="3"/>
    <n v="13.425000000000001"/>
    <n v="1.85"/>
    <n v="0.45"/>
    <n v="0.15"/>
    <n v="6.5892099999999996"/>
    <n v="6.5"/>
    <n v="0"/>
    <n v="0"/>
    <n v="15.875"/>
    <n v="1.4576199999999999"/>
    <n v="435"/>
    <n v="2"/>
    <n v="0.78160012907158105"/>
    <x v="112"/>
    <n v="9"/>
    <n v="1.6133947618450068E-2"/>
    <n v="28"/>
    <n v="5.0194503701844653E-2"/>
    <n v="6"/>
    <n v="1.0755965078966711E-2"/>
  </r>
  <r>
    <n v="18"/>
    <s v="แขวงทางหลวงเชียงใหม่ที่ 1"/>
    <n v="521"/>
    <n v="1192"/>
    <n v="100"/>
    <s v="อินทนนท์ - แม่แจ่ม"/>
    <n v="0"/>
    <n v="20880"/>
    <n v="20.88"/>
    <n v="2"/>
    <s v="L1"/>
    <d v="2015-08-14T00:00:00"/>
    <s v="A.C."/>
    <n v="5.55"/>
    <n v="8.1999999999999993"/>
    <n v="5.8250000000000002"/>
    <n v="1.325"/>
    <n v="4.125"/>
    <n v="4"/>
    <n v="4.5750000000000002"/>
    <n v="9.3000000000000007"/>
    <n v="6.125"/>
    <n v="0.9"/>
    <n v="10.593999999999999"/>
    <n v="10.5"/>
    <n v="0"/>
    <n v="0"/>
    <n v="20.9"/>
    <n v="1.369"/>
    <n v="560.32000000000005"/>
    <n v="18.63"/>
    <n v="0.77946770662287912"/>
    <x v="112"/>
    <n v="56.98"/>
    <n v="7.7969348659003831E-2"/>
    <n v="125.3"/>
    <n v="0.17145593869731801"/>
    <n v="24.23"/>
    <n v="3.3155446086480571E-2"/>
  </r>
  <r>
    <n v="1225"/>
    <s v="แขวงทางหลวงนครสวรรค์ที่ 1"/>
    <n v="437"/>
    <n v="225"/>
    <n v="100"/>
    <s v="แยกบึงบอระเพ็ด - เกรียงไกรกลาง"/>
    <s v="10+000"/>
    <s v="0+000"/>
    <n v="10"/>
    <n v="2"/>
    <s v="R1"/>
    <d v="2015-10-05T00:00:00"/>
    <s v="A.C."/>
    <n v="6.5250000000000004"/>
    <n v="1.95"/>
    <n v="1.05"/>
    <n v="0.5"/>
    <n v="2.6124200000000002"/>
    <n v="2.5"/>
    <n v="9.85"/>
    <n v="0.05"/>
    <n v="0.125"/>
    <n v="0"/>
    <n v="2.2475399999999999"/>
    <n v="2"/>
    <n v="0"/>
    <n v="0"/>
    <n v="10"/>
    <n v="1.1401699999999999"/>
    <n v="269.10000000000002"/>
    <n v="3.3"/>
    <n v="0.77357142857142858"/>
    <x v="112"/>
    <n v="69.2"/>
    <n v="0.19771428571428573"/>
    <n v="0"/>
    <n v="0"/>
    <n v="0"/>
    <n v="0"/>
  </r>
  <r>
    <n v="494"/>
    <s v="แขวงทางหลวงพิจิตร"/>
    <n v="519"/>
    <n v="1067"/>
    <n v="101"/>
    <s v="บางมูลนาก - หอไกร"/>
    <s v="0+000"/>
    <s v="3+750"/>
    <n v="3.75"/>
    <s v="L1"/>
    <n v="2"/>
    <d v="2015-09-30T00:00:00"/>
    <s v="A.C."/>
    <n v="2.11"/>
    <n v="0.97"/>
    <n v="0.47"/>
    <n v="0.2"/>
    <n v="2.93099"/>
    <n v="3"/>
    <n v="3.75"/>
    <n v="0"/>
    <n v="0"/>
    <n v="0"/>
    <n v="2.032"/>
    <n v="2"/>
    <n v="0"/>
    <n v="0"/>
    <n v="3.75"/>
    <n v="1.1761200000000001"/>
    <n v="95.756"/>
    <n v="11.35"/>
    <n v="0.77280800000000005"/>
    <x v="112"/>
    <n v="94.26"/>
    <n v="0.718171"/>
    <n v="0"/>
    <n v="0"/>
    <n v="0"/>
    <n v="0"/>
  </r>
  <r>
    <n v="1017"/>
    <s v="แขวงทางหลวงบุรีรัมย์"/>
    <n v="617"/>
    <n v="348"/>
    <n v="203"/>
    <s v="ปะคำ - นางรอง"/>
    <n v="117825"/>
    <n v="140141"/>
    <n v="22.315999999999999"/>
    <n v="2"/>
    <s v="L1"/>
    <d v="2015-05-06T00:00:00"/>
    <s v="A.C."/>
    <n v="10.63"/>
    <n v="6.15"/>
    <n v="4.2750000000000004"/>
    <n v="1.175"/>
    <n v="2.5590999999999999"/>
    <n v="2.5"/>
    <n v="20.399999999999999"/>
    <n v="1.55"/>
    <n v="0.25"/>
    <n v="2.5000000000000001E-2"/>
    <n v="5.2144500000000003"/>
    <n v="5"/>
    <n v="0"/>
    <n v="0"/>
    <n v="22.23"/>
    <n v="1.4748399999999999"/>
    <n v="457.46"/>
    <n v="289.02999999999997"/>
    <n v="0.77071543799452014"/>
    <x v="112"/>
    <n v="164.66"/>
    <n v="0.21081607046833789"/>
    <n v="91.27"/>
    <n v="0.11685401889739584"/>
    <n v="0"/>
    <n v="0"/>
  </r>
  <r>
    <n v="454"/>
    <s v="แขวงทางหลวงสุโขทัย"/>
    <n v="513"/>
    <n v="1370"/>
    <n v="100"/>
    <s v="ทางเข้าสวรรคโลก"/>
    <s v="0+000"/>
    <s v="3+280"/>
    <n v="3.28"/>
    <s v="L1"/>
    <n v="2"/>
    <d v="2015-09-17T00:00:00"/>
    <s v="A.C."/>
    <n v="2.5299999999999998"/>
    <n v="0.56000000000000005"/>
    <n v="0.13"/>
    <n v="7.0000000000000007E-2"/>
    <n v="2.3202099999999999"/>
    <n v="2.5"/>
    <n v="3.28"/>
    <n v="0"/>
    <n v="0"/>
    <n v="0"/>
    <n v="1.9392799999999999"/>
    <n v="2"/>
    <n v="0"/>
    <n v="0"/>
    <n v="3.28"/>
    <n v="1.02719"/>
    <n v="86.325000000000003"/>
    <n v="4.21"/>
    <n v="0.77029616724738692"/>
    <x v="112"/>
    <n v="96.45"/>
    <n v="0.84015679442508728"/>
    <n v="0"/>
    <n v="0"/>
    <n v="0"/>
    <n v="0"/>
  </r>
  <r>
    <n v="1029"/>
    <s v="แขวงทางหลวงบุรีรัมย์"/>
    <n v="617"/>
    <n v="2117"/>
    <n v="100"/>
    <s v="ตะโก - เขาพนมรุ้ง"/>
    <s v="0+000"/>
    <s v="0+535"/>
    <n v="0.53500000000000003"/>
    <n v="2"/>
    <s v="L1"/>
    <d v="2015-05-07T00:00:00"/>
    <s v="A.C."/>
    <n v="0.52500000000000002"/>
    <n v="0.1"/>
    <n v="0"/>
    <n v="0.1"/>
    <n v="3.0869"/>
    <n v="3"/>
    <n v="0.435"/>
    <n v="0.1"/>
    <n v="0"/>
    <n v="0"/>
    <n v="3.1833399999999998"/>
    <n v="3"/>
    <n v="0"/>
    <n v="0"/>
    <n v="0.72499999999999998"/>
    <n v="1.7059"/>
    <n v="7.93"/>
    <n v="12.54"/>
    <n v="0.75834445927903871"/>
    <x v="112"/>
    <n v="13.72"/>
    <n v="0.73271028037383179"/>
    <n v="3.59"/>
    <n v="0.19172229639519359"/>
    <n v="0"/>
    <n v="0"/>
  </r>
  <r>
    <n v="778"/>
    <s v="แขวงทางหลวงมหาสารคาม"/>
    <n v="622"/>
    <n v="2391"/>
    <n v="100"/>
    <s v="กู่ทอง - บ้านเขื่อน"/>
    <n v="368"/>
    <n v="28137"/>
    <n v="27.12"/>
    <n v="2"/>
    <s v="L1"/>
    <d v="2015-05-28T00:00:00"/>
    <s v="A.C."/>
    <n v="18.399999999999999"/>
    <n v="5.65"/>
    <n v="2.2250000000000001"/>
    <n v="1.375"/>
    <n v="2.44"/>
    <n v="2.5"/>
    <n v="25.44"/>
    <n v="1.46"/>
    <n v="0.57999999999999996"/>
    <n v="0.3"/>
    <n v="3.9337499999999999"/>
    <n v="4"/>
    <n v="0"/>
    <n v="0"/>
    <n v="27.77"/>
    <n v="1.1699200000000001"/>
    <n v="634"/>
    <n v="170"/>
    <n v="0.75747998314369991"/>
    <x v="112"/>
    <n v="7030"/>
    <n v="7.4062368310155922"/>
    <n v="97"/>
    <n v="0.1021913190054783"/>
    <n v="86"/>
    <n v="9.0602612726506535E-2"/>
  </r>
  <r>
    <n v="1497"/>
    <s v="แขวงทางหลวงกรุงเทพ"/>
    <n v="411"/>
    <n v="3902"/>
    <n v="602"/>
    <s v="คู้บอน - ประเวศ"/>
    <s v="53+715"/>
    <s v="48+450"/>
    <n v="5.2649999999999997"/>
    <n v="2"/>
    <s v="R1"/>
    <d v="2015-09-01T00:00:00"/>
    <s v="A.C."/>
    <n v="2.1749999999999998"/>
    <n v="1.075"/>
    <n v="0.875"/>
    <n v="0.92500000000000004"/>
    <n v="3.3580000000000001"/>
    <n v="3.5"/>
    <n v="4.375"/>
    <n v="0.5"/>
    <n v="0.1"/>
    <n v="7.4999999999999997E-2"/>
    <n v="6.1639999999999997"/>
    <n v="6"/>
    <n v="0"/>
    <n v="0"/>
    <n v="5.05"/>
    <n v="1.099"/>
    <n v="118"/>
    <n v="43.11"/>
    <n v="0.75731922398589069"/>
    <x v="112"/>
    <n v="37"/>
    <n v="0.20078686745353411"/>
    <n v="210.99"/>
    <n v="1.1449735449735452"/>
    <n v="10"/>
    <n v="5.4266720933387601E-2"/>
  </r>
  <r>
    <n v="1355"/>
    <s v="แขวงทางหลวงสุพรรณบุรีที่ 2 (อู่ทอง)"/>
    <n v="445"/>
    <n v="324"/>
    <n v="202"/>
    <s v="ตลาดเขต - จรเข้สามพัน"/>
    <n v="44000"/>
    <n v="51935"/>
    <n v="7.9349999999999996"/>
    <n v="4"/>
    <s v="L2"/>
    <d v="2015-07-03T00:00:00"/>
    <s v="A.C."/>
    <n v="5.15"/>
    <n v="2.25"/>
    <n v="0.4"/>
    <n v="0.17499999999999999"/>
    <n v="2.4412500000000001"/>
    <n v="2.5"/>
    <n v="7.1"/>
    <n v="0.6"/>
    <n v="0.125"/>
    <n v="0.15"/>
    <n v="6.5165199999999999"/>
    <n v="6.5"/>
    <n v="0"/>
    <n v="0"/>
    <n v="7.9750000000000005"/>
    <n v="1.03888"/>
    <n v="185.2"/>
    <n v="47"/>
    <n v="0.75146277792780636"/>
    <x v="112"/>
    <n v="79.257000000000005"/>
    <n v="0.28537942209019718"/>
    <n v="0"/>
    <n v="0"/>
    <n v="0"/>
    <n v="0"/>
  </r>
  <r>
    <n v="1328"/>
    <s v="แขวงทางหลวงกาญจนบุรี"/>
    <n v="444"/>
    <n v="3228"/>
    <n v="100"/>
    <s v="ทางเข้าท่าน้ำลิ้นช้าง"/>
    <n v="0"/>
    <n v="2826"/>
    <n v="2.8260000000000001"/>
    <n v="2"/>
    <s v="L1"/>
    <d v="2015-07-29T00:00:00"/>
    <s v="A.C."/>
    <n v="2.125"/>
    <n v="0.6"/>
    <n v="0.05"/>
    <n v="7.4999999999999997E-2"/>
    <n v="2.5141200000000001"/>
    <n v="2.5"/>
    <n v="2.85"/>
    <n v="0"/>
    <n v="0"/>
    <n v="0"/>
    <n v="0.85622799999999999"/>
    <n v="1"/>
    <n v="0"/>
    <n v="0"/>
    <n v="2.85"/>
    <n v="1.0694699999999999"/>
    <n v="20"/>
    <n v="108"/>
    <n v="0.74815488828227683"/>
    <x v="113"/>
    <n v="0"/>
    <n v="0"/>
    <n v="0"/>
    <n v="0"/>
    <n v="0"/>
    <n v="0"/>
  </r>
  <r>
    <n v="438"/>
    <s v="แขวงทางหลวงสุโขทัย"/>
    <n v="513"/>
    <n v="1195"/>
    <n v="101"/>
    <s v="สุโขทัย - เตว็ดใน"/>
    <s v="0+000"/>
    <s v="6+086"/>
    <n v="6.0860000000000003"/>
    <s v="L1"/>
    <n v="2"/>
    <d v="2015-09-16T00:00:00"/>
    <s v="A.C."/>
    <n v="2.83"/>
    <n v="2.0099999999999998"/>
    <n v="0.97"/>
    <n v="0.28000000000000003"/>
    <n v="2.6109399999999998"/>
    <n v="2.5"/>
    <n v="5.79"/>
    <n v="0.27"/>
    <n v="0.02"/>
    <n v="0"/>
    <n v="3.8168299999999999"/>
    <n v="4"/>
    <n v="0"/>
    <n v="0"/>
    <n v="6.09"/>
    <n v="1.1547499999999999"/>
    <n v="150.25"/>
    <n v="17.68"/>
    <n v="0.7468663443030843"/>
    <x v="113"/>
    <n v="84.67"/>
    <n v="0.39749307544246743"/>
    <n v="0"/>
    <n v="0"/>
    <n v="0"/>
    <n v="0"/>
  </r>
  <r>
    <n v="680"/>
    <s v="แขวงทางหลวงอุดรธานีที่ 2"/>
    <n v="624"/>
    <n v="2092"/>
    <n v="100"/>
    <s v="เหล่าอุดม  - ท่าห้วยหลัว"/>
    <n v="9450"/>
    <n v="0"/>
    <n v="9.4499999999999993"/>
    <n v="2"/>
    <s v="R1"/>
    <d v="2015-06-15T00:00:00"/>
    <s v="A.C."/>
    <n v="4.2"/>
    <n v="3.15"/>
    <n v="1.625"/>
    <n v="0.47499999999999998"/>
    <n v="2.9459499999999998"/>
    <n v="3"/>
    <n v="8.4499999999999993"/>
    <n v="0.72499999999999998"/>
    <n v="0.17499999999999999"/>
    <n v="0.1"/>
    <n v="4.9956399999999999"/>
    <n v="5"/>
    <n v="0"/>
    <n v="0"/>
    <n v="9.4499999999999993"/>
    <n v="1.1650100000000001"/>
    <n v="70.64"/>
    <n v="352.75"/>
    <n v="0.74682999999999999"/>
    <x v="113"/>
    <n v="34.96"/>
    <n v="0.1057"/>
    <n v="97.62"/>
    <n v="0.29514699999999999"/>
    <n v="0"/>
    <n v="0"/>
  </r>
  <r>
    <n v="174"/>
    <s v="แขวงทางหลวงเชียงรายที่ 1"/>
    <n v="533"/>
    <n v="1130"/>
    <n v="100"/>
    <s v="ป่าซาง - กิ่วสะไต"/>
    <s v="0+000"/>
    <s v="50+553"/>
    <n v="50.552999999999997"/>
    <n v="2"/>
    <s v="L1"/>
    <d v="2015-07-17T00:00:00"/>
    <s v="A.C."/>
    <n v="15.54"/>
    <n v="13.85"/>
    <n v="11.48"/>
    <n v="9.69"/>
    <n v="4.09"/>
    <n v="4"/>
    <n v="44.19"/>
    <n v="4.04"/>
    <n v="1.34"/>
    <n v="0.99"/>
    <n v="4.9359999999999999"/>
    <n v="5"/>
    <n v="0.43"/>
    <n v="0.55000000000000004"/>
    <n v="49.57"/>
    <n v="1.4690000000000001"/>
    <n v="1265.4000000000001"/>
    <n v="103.81"/>
    <n v="0.74451141800260545"/>
    <x v="113"/>
    <n v="0.5"/>
    <n v="2.8258885300010459E-4"/>
    <n v="135.43"/>
    <n v="7.6542016723608317E-2"/>
    <n v="0"/>
    <n v="0"/>
  </r>
  <r>
    <n v="1707"/>
    <s v="แขวงทางหลวงฉะเชิงเทรา"/>
    <n v="421"/>
    <n v="3702"/>
    <n v="300"/>
    <s v="บางควาย - เขาดิน"/>
    <s v="47+800"/>
    <s v="48+200"/>
    <n v="0.4"/>
    <n v="2"/>
    <s v="L1"/>
    <d v="2015-08-11T00:00:00"/>
    <s v="A.C."/>
    <n v="0.5"/>
    <n v="0.27500000000000002"/>
    <n v="7.4999999999999997E-2"/>
    <n v="0.17499999999999999"/>
    <n v="3.4"/>
    <n v="3.5"/>
    <n v="0.95"/>
    <n v="7.4999999999999997E-2"/>
    <n v="0"/>
    <n v="0"/>
    <n v="5.3719999999999999"/>
    <n v="5.5"/>
    <n v="0"/>
    <n v="0"/>
    <n v="0.4"/>
    <n v="1.2749999999999999"/>
    <n v="10.42"/>
    <n v="0"/>
    <n v="0.74428571428571422"/>
    <x v="113"/>
    <n v="0.47"/>
    <n v="3.3571428571428565E-2"/>
    <n v="4.8499999999999996"/>
    <n v="0.34642857142857136"/>
    <n v="0"/>
    <n v="0"/>
  </r>
  <r>
    <n v="693"/>
    <s v="แขวงทางหลวงอุดรธานีที่ 2"/>
    <n v="624"/>
    <n v="2393"/>
    <n v="101"/>
    <s v="โนนเห็น-คำกุ่ง"/>
    <n v="22485"/>
    <n v="0"/>
    <n v="22.484999999999999"/>
    <n v="2"/>
    <s v="R1"/>
    <d v="2015-06-15T00:00:00"/>
    <s v="A.C."/>
    <n v="5.375"/>
    <n v="6.6749999999999998"/>
    <n v="6.9749999999999996"/>
    <n v="3.125"/>
    <n v="3.6213500000000001"/>
    <n v="3.5"/>
    <n v="20.100000000000001"/>
    <n v="1.7"/>
    <n v="0.27500000000000002"/>
    <n v="7.4999999999999997E-2"/>
    <n v="5.1482799999999997"/>
    <n v="5"/>
    <n v="0"/>
    <n v="0"/>
    <n v="22.15"/>
    <n v="1.2079599999999999"/>
    <n v="434.87"/>
    <n v="297.49"/>
    <n v="0.74158999999999997"/>
    <x v="113"/>
    <n v="104.91"/>
    <n v="0.13331000000000001"/>
    <n v="295.57"/>
    <n v="0.37557699999999999"/>
    <n v="0.85"/>
    <n v="1.08E-3"/>
  </r>
  <r>
    <n v="455"/>
    <s v="แขวงทางหลวงสุโขทัย"/>
    <n v="513"/>
    <n v="1370"/>
    <n v="100"/>
    <s v="ทางเข้าสวรรคโลก"/>
    <s v="5+563"/>
    <s v="9+583"/>
    <n v="4.0199999999999996"/>
    <s v="L1"/>
    <n v="2"/>
    <d v="2015-09-17T00:00:00"/>
    <s v="A.C."/>
    <n v="3.1"/>
    <n v="0.68"/>
    <n v="0.16"/>
    <n v="0.09"/>
    <n v="2.3202099999999999"/>
    <n v="2.5"/>
    <n v="4.0199999999999996"/>
    <n v="0"/>
    <n v="0"/>
    <n v="0"/>
    <n v="1.9392799999999999"/>
    <n v="2"/>
    <n v="0"/>
    <n v="0"/>
    <n v="4.0199999999999996"/>
    <n v="1.02719"/>
    <n v="96.245000000000005"/>
    <n v="15.68"/>
    <n v="0.739765458422175"/>
    <x v="113"/>
    <n v="83.456999999999994"/>
    <n v="0.59315565031982953"/>
    <n v="0"/>
    <n v="0"/>
    <n v="0"/>
    <n v="0"/>
  </r>
  <r>
    <n v="2010"/>
    <s v="แขวงทางหลวงสุราษฎร์ธานี ที่ 1 (พุนพิน)"/>
    <n v="325"/>
    <n v="4112"/>
    <n v="201"/>
    <s v="สวนแตง - ไชยา"/>
    <s v="29+767"/>
    <s v="13+822"/>
    <n v="15.945"/>
    <n v="2"/>
    <s v="R1"/>
    <d v="2015-04-22T00:00:00"/>
    <s v="A.C."/>
    <n v="7.36"/>
    <n v="5.29"/>
    <n v="2.1"/>
    <n v="1.19"/>
    <n v="2.8639899999999998"/>
    <n v="3"/>
    <n v="15.66"/>
    <n v="0.18"/>
    <n v="7.0000000000000007E-2"/>
    <n v="0.04"/>
    <n v="2.9142100000000002"/>
    <n v="3"/>
    <n v="0"/>
    <n v="0"/>
    <n v="15.95"/>
    <n v="1.29383"/>
    <n v="399.16"/>
    <n v="21.89"/>
    <n v="0.73485642610760193"/>
    <x v="113"/>
    <n v="0"/>
    <n v="0"/>
    <n v="1381.65"/>
    <n v="2.475742507727456"/>
    <n v="0"/>
    <n v="0"/>
  </r>
  <r>
    <n v="724"/>
    <s v="แขวงทางหลวงขอนแก่นที่ 2 (ชุมแพ)"/>
    <n v="627"/>
    <n v="2038"/>
    <n v="100"/>
    <s v="กุดฉิม - ห้วยน้ำเงิน"/>
    <n v="0"/>
    <n v="10446"/>
    <n v="10.446"/>
    <n v="4"/>
    <s v="L1"/>
    <d v="2015-06-22T00:00:00"/>
    <s v="A.C."/>
    <n v="3.8250000000000002"/>
    <n v="3.8250000000000002"/>
    <n v="1.625"/>
    <n v="1.125"/>
    <n v="3.2012299999999998"/>
    <n v="3"/>
    <n v="8"/>
    <n v="1.675"/>
    <n v="0.5"/>
    <n v="0.22500000000000001"/>
    <n v="7.9834899999999998"/>
    <n v="8"/>
    <n v="0"/>
    <n v="0"/>
    <n v="10.446"/>
    <n v="1.23003"/>
    <n v="268.39999999999998"/>
    <n v="0"/>
    <n v="0.73411558764804019"/>
    <x v="113"/>
    <n v="0"/>
    <n v="0"/>
    <n v="0"/>
    <n v="0"/>
    <n v="0"/>
    <n v="0"/>
  </r>
  <r>
    <n v="2099"/>
    <s v="แขวงทางหลวงกระบี่"/>
    <n v="323"/>
    <n v="4225"/>
    <n v="100"/>
    <s v="สวนปาล์ม -คลองชี"/>
    <s v="16+118"/>
    <s v="0+000"/>
    <n v="16.117999999999999"/>
    <n v="2"/>
    <s v="R1"/>
    <d v="2015-04-07T00:00:00"/>
    <s v="A.C."/>
    <n v="9.3699999999999992"/>
    <n v="5.17"/>
    <n v="1.35"/>
    <n v="0.23"/>
    <n v="2.5235599999999998"/>
    <n v="2.5"/>
    <n v="12.94"/>
    <n v="0.65"/>
    <n v="0.23"/>
    <n v="2.2999999999999998"/>
    <n v="8.6234300000000008"/>
    <n v="8.5"/>
    <n v="0"/>
    <n v="0"/>
    <n v="16.12"/>
    <n v="2.5738799999999999"/>
    <n v="398"/>
    <n v="25.11"/>
    <n v="0.72776664953113646"/>
    <x v="113"/>
    <n v="41.35"/>
    <n v="7.329870774466879E-2"/>
    <n v="1.29"/>
    <n v="7.8352769679300297E-4"/>
    <n v="0"/>
    <n v="0"/>
  </r>
  <r>
    <n v="2065"/>
    <s v="แขวงทางหลวงสุราษฎร์ธานีที่ 2 (กาญจนดิษฐ์)"/>
    <n v="328"/>
    <n v="4332"/>
    <n v="100"/>
    <s v="บางน้ำจีด - เขากลอย"/>
    <n v="0"/>
    <n v="6183"/>
    <n v="6.1829999999999998"/>
    <n v="2"/>
    <s v="L1"/>
    <d v="2015-04-25T00:00:00"/>
    <s v="A.C."/>
    <n v="5.5750000000000002"/>
    <n v="0.32500000000000001"/>
    <n v="0.17499999999999999"/>
    <n v="0.125"/>
    <n v="1.6431899999999999"/>
    <n v="1.5"/>
    <n v="6.2"/>
    <n v="0"/>
    <n v="0"/>
    <n v="0"/>
    <n v="2.6406100000000001"/>
    <n v="2.5"/>
    <n v="0"/>
    <n v="0"/>
    <n v="6.2"/>
    <n v="1.2218800000000001"/>
    <n v="0"/>
    <n v="313.07"/>
    <n v="0.72334280631223857"/>
    <x v="113"/>
    <n v="0"/>
    <n v="0"/>
    <n v="0"/>
    <n v="0"/>
    <n v="0"/>
    <n v="0"/>
  </r>
  <r>
    <n v="1032"/>
    <s v="แขวงทางหลวงบุรีรัมย์"/>
    <n v="617"/>
    <n v="2166"/>
    <n v="202"/>
    <s v="หนองกี่ - โนนศรีคูณ"/>
    <n v="32622"/>
    <n v="59289"/>
    <n v="26.667000000000002"/>
    <n v="2"/>
    <s v="L1"/>
    <d v="2015-05-08T00:00:00"/>
    <s v="A.C."/>
    <n v="19.436"/>
    <n v="5.3150000000000004"/>
    <n v="1.625"/>
    <n v="0.29199999999999998"/>
    <n v="2.2909099999999998"/>
    <n v="2.5"/>
    <n v="30.625"/>
    <n v="1.125"/>
    <n v="0.22500000000000001"/>
    <n v="2.5000000000000001E-2"/>
    <n v="5.3649300000000002"/>
    <n v="5.5"/>
    <n v="0"/>
    <n v="0"/>
    <n v="26.668000000000003"/>
    <n v="1.3490599999999999"/>
    <n v="398.78"/>
    <n v="549.17999999999995"/>
    <n v="0.72145883890737061"/>
    <x v="113"/>
    <n v="0"/>
    <n v="0"/>
    <n v="0"/>
    <n v="0"/>
    <n v="0"/>
    <n v="0"/>
  </r>
  <r>
    <n v="1231"/>
    <s v="แขวงทางหลวงนครสวรรค์ที่ 1"/>
    <n v="437"/>
    <n v="1375"/>
    <n v="200"/>
    <s v="ดงเย็น - ดงทอง"/>
    <s v="14+961"/>
    <s v="11+050"/>
    <n v="3.7759999999999998"/>
    <n v="2"/>
    <s v="R1"/>
    <d v="2015-10-05T00:00:00"/>
    <s v="A.C."/>
    <n v="1.575"/>
    <n v="1.5"/>
    <n v="0.57499999999999996"/>
    <n v="0.27500000000000002"/>
    <n v="2.9565000000000001"/>
    <n v="3"/>
    <n v="3.5750000000000002"/>
    <n v="0.32500000000000001"/>
    <n v="2.5000000000000001E-2"/>
    <n v="0"/>
    <n v="4.7776500000000004"/>
    <n v="5"/>
    <n v="0"/>
    <n v="0"/>
    <n v="3.7759999999999998"/>
    <n v="1.36602"/>
    <n v="85.06"/>
    <n v="20.36"/>
    <n v="0.72064164648910412"/>
    <x v="113"/>
    <n v="87"/>
    <n v="0.65829297820823252"/>
    <n v="0"/>
    <n v="0"/>
    <n v="0"/>
    <n v="0"/>
  </r>
  <r>
    <n v="830"/>
    <s v="แขวงทางหลวงกาฬสินธุ์"/>
    <n v="647"/>
    <n v="2367"/>
    <n v="200"/>
    <s v="บ้านม่วง - กมลาไสย"/>
    <s v="18+473"/>
    <s v="38+394"/>
    <n v="19.920999999999999"/>
    <n v="2"/>
    <s v="L1"/>
    <d v="2015-05-29T00:00:00"/>
    <s v="A.C."/>
    <n v="15.5"/>
    <n v="3.0749999999999997"/>
    <n v="0.79999999999999993"/>
    <n v="0.55000000000000004"/>
    <n v="2.9293"/>
    <n v="3"/>
    <n v="19.424999999999997"/>
    <n v="0.5"/>
    <n v="0"/>
    <n v="0"/>
    <n v="5.0559000000000003"/>
    <n v="5"/>
    <n v="0"/>
    <n v="0"/>
    <n v="19.925000000000001"/>
    <n v="1.1686000000000001"/>
    <n v="43"/>
    <n v="917"/>
    <n v="0.71926968669100089"/>
    <x v="113"/>
    <n v="0"/>
    <n v="0"/>
    <n v="101"/>
    <n v="0.122728"/>
    <n v="1"/>
    <n v="1.2199999999999999E-3"/>
  </r>
  <r>
    <n v="2091"/>
    <s v="แขวงทางหลวงกระบี่"/>
    <n v="323"/>
    <n v="4046"/>
    <n v="200"/>
    <s v="สิเกา - ควนกุน"/>
    <n v="52521"/>
    <n v="34027"/>
    <n v="18.494"/>
    <n v="2"/>
    <s v="R1"/>
    <d v="2015-05-09T00:00:00"/>
    <s v="A.C."/>
    <n v="16.079999999999998"/>
    <n v="1.46"/>
    <n v="0.57999999999999996"/>
    <n v="0.38"/>
    <n v="1.8640300000000001"/>
    <n v="2"/>
    <n v="18.420000000000002"/>
    <n v="0.08"/>
    <n v="0"/>
    <n v="0"/>
    <n v="3.7812700000000001"/>
    <n v="4"/>
    <n v="0"/>
    <n v="0"/>
    <n v="18.489999999999998"/>
    <n v="1.4580299999999999"/>
    <n v="464"/>
    <n v="0"/>
    <n v="0.71683480356563523"/>
    <x v="113"/>
    <n v="22"/>
    <n v="3.3987857065612012E-2"/>
    <n v="0"/>
    <n v="0"/>
    <n v="0"/>
    <n v="0"/>
  </r>
  <r>
    <n v="876"/>
    <s v="แขวงทางหลวงอุบลราชธานีที่ 1"/>
    <n v="631"/>
    <n v="2412"/>
    <n v="100"/>
    <s v="ท่าวารี - ท่าศาลา"/>
    <n v="10325"/>
    <n v="0"/>
    <n v="10.324999999999999"/>
    <n v="2"/>
    <s v="R1"/>
    <d v="2015-05-15T00:00:00"/>
    <s v="A.C."/>
    <n v="3.3"/>
    <n v="3.5249999999999999"/>
    <n v="2.15"/>
    <n v="1.2250000000000001"/>
    <n v="3.40002"/>
    <n v="3.5"/>
    <n v="9.7249999999999996"/>
    <n v="0.3"/>
    <n v="0.15"/>
    <n v="2.5000000000000001E-2"/>
    <n v="3.9007100000000001"/>
    <n v="4"/>
    <n v="0"/>
    <n v="0"/>
    <n v="10.199999999999999"/>
    <n v="1.6193"/>
    <n v="47.66"/>
    <n v="422.06"/>
    <n v="0.71584999999999999"/>
    <x v="113"/>
    <n v="0"/>
    <n v="0"/>
    <n v="22.37"/>
    <n v="6.1901999999999999E-2"/>
    <n v="0"/>
    <n v="0"/>
  </r>
  <r>
    <n v="1160"/>
    <s v="แขวงทางหลวงสระบุรี"/>
    <n v="432"/>
    <n v="3250"/>
    <n v="100"/>
    <s v="หนองคณฑี - สันประดู่"/>
    <s v="12+023"/>
    <s v="0+000"/>
    <n v="12.023"/>
    <n v="2"/>
    <s v="R1"/>
    <d v="2015-10-05T00:00:00"/>
    <s v="A.C."/>
    <n v="6"/>
    <n v="2.5750000000000002"/>
    <n v="1.675"/>
    <n v="1.7250000000000001"/>
    <n v="3.2662800000000001"/>
    <n v="3.5"/>
    <n v="10.25"/>
    <n v="0.875"/>
    <n v="0.42499999999999999"/>
    <n v="0.42499999999999999"/>
    <n v="5.2207100000000004"/>
    <n v="5"/>
    <n v="0"/>
    <n v="0"/>
    <n v="11.975"/>
    <n v="1.4658599999999999"/>
    <n v="298.11739999999998"/>
    <n v="2.9750000000000001"/>
    <n v="0.71197999999999995"/>
    <x v="113"/>
    <n v="123.6"/>
    <n v="0.29372300000000001"/>
    <n v="3.2850000000000001"/>
    <n v="7.8059999999999996E-3"/>
    <n v="0"/>
    <n v="0"/>
  </r>
  <r>
    <n v="501"/>
    <s v="แขวงทางหลวงพิจิตร"/>
    <n v="519"/>
    <n v="1191"/>
    <n v="100"/>
    <s v="หนองขนาก - ท้ายดง"/>
    <s v="0+000"/>
    <s v="2+860"/>
    <n v="2.86"/>
    <s v="L1"/>
    <n v="2"/>
    <d v="2015-09-29T00:00:00"/>
    <s v="A.C."/>
    <n v="0.88"/>
    <n v="1.44"/>
    <n v="0.46"/>
    <n v="0.08"/>
    <n v="3.0394899999999998"/>
    <n v="3"/>
    <n v="2.86"/>
    <n v="0"/>
    <n v="0"/>
    <n v="0"/>
    <n v="3.0361899999999999"/>
    <n v="3"/>
    <n v="0"/>
    <n v="0"/>
    <n v="2.86"/>
    <n v="1.21278"/>
    <n v="67.25"/>
    <n v="7.34"/>
    <n v="0.70849200000000001"/>
    <x v="113"/>
    <n v="67.853999999999999"/>
    <n v="0.67786199999999996"/>
    <n v="0"/>
    <n v="0"/>
    <n v="0"/>
    <n v="0"/>
  </r>
  <r>
    <n v="2077"/>
    <s v="แขวงทางหลวงสุราษฎร์ธานีที่ 3 (เวียงสระ)"/>
    <n v="329"/>
    <n v="4133"/>
    <n v="101"/>
    <s v="ท่าโรงช้าง - ควนสามัคคี"/>
    <n v="0"/>
    <n v="42300"/>
    <n v="42.3"/>
    <n v="2"/>
    <s v="L1"/>
    <d v="2015-04-27T00:00:00"/>
    <s v="A.C."/>
    <n v="26.8"/>
    <n v="9.25"/>
    <n v="4.6500000000000004"/>
    <n v="2.3250000000000002"/>
    <n v="2.54983"/>
    <n v="2.5"/>
    <n v="41.725000000000001"/>
    <n v="1.1000000000000001"/>
    <n v="0.17499999999999999"/>
    <n v="2.5000000000000001E-2"/>
    <n v="2.7153200000000002"/>
    <n v="2.5"/>
    <n v="0"/>
    <n v="0"/>
    <n v="43.024999999999999"/>
    <n v="1.4019699999999999"/>
    <n v="990.3"/>
    <n v="106.71"/>
    <n v="0.70493414387031417"/>
    <x v="113"/>
    <n v="416.67"/>
    <n v="0.28143870314083086"/>
    <n v="61.39"/>
    <n v="4.1465721040189134E-2"/>
    <n v="0"/>
    <n v="0"/>
  </r>
  <r>
    <n v="1864"/>
    <s v="แขวงทางหลวงประจวบคีรีขันธ์ (หัวหิน)"/>
    <n v="333"/>
    <n v="3497"/>
    <n v="100"/>
    <s v="ช้างแรก - บางสะพานน้อย"/>
    <s v="12+150"/>
    <s v="0+000"/>
    <n v="12.15"/>
    <n v="2"/>
    <s v="R1"/>
    <d v="2015-04-04T00:00:00"/>
    <s v="A.C."/>
    <n v="6.35"/>
    <n v="3.625"/>
    <n v="1.5"/>
    <n v="0.55000000000000004"/>
    <n v="2.7593999999999999"/>
    <n v="3"/>
    <n v="10.625"/>
    <n v="1.3"/>
    <n v="7.4999999999999997E-2"/>
    <n v="2.5000000000000001E-2"/>
    <n v="5.3247900000000001"/>
    <n v="5.5"/>
    <n v="0"/>
    <n v="0"/>
    <n v="12.025"/>
    <n v="1.3555999999999999"/>
    <n v="279.3"/>
    <n v="31.81"/>
    <n v="0.70286904761904756"/>
    <x v="113"/>
    <n v="0"/>
    <n v="0"/>
    <n v="0"/>
    <n v="0"/>
    <n v="0"/>
    <n v="0"/>
  </r>
  <r>
    <n v="1958"/>
    <s v="แขวงทางหลวงนครศรีธรรมราชที่ 1"/>
    <n v="321"/>
    <n v="4103"/>
    <n v="102"/>
    <s v="เบญจม - จังหูน"/>
    <n v="15799"/>
    <n v="32879"/>
    <n v="17.079999999999998"/>
    <n v="2"/>
    <s v="L2"/>
    <d v="2015-04-29T00:00:00"/>
    <s v="A.C."/>
    <n v="12.75"/>
    <n v="2.2250000000000001"/>
    <n v="1.05"/>
    <n v="1"/>
    <n v="2.2097099999999998"/>
    <n v="2"/>
    <n v="13.35"/>
    <n v="3.15"/>
    <n v="0.45"/>
    <n v="7.4999999999999997E-2"/>
    <n v="6.3828300000000002"/>
    <n v="6.5"/>
    <n v="0"/>
    <n v="0"/>
    <n v="17.024999999999999"/>
    <n v="1.22793"/>
    <n v="389.52"/>
    <n v="61"/>
    <n v="0.70260956841753097"/>
    <x v="113"/>
    <n v="0"/>
    <n v="0"/>
    <n v="0"/>
    <n v="0"/>
    <n v="0"/>
    <n v="0"/>
  </r>
  <r>
    <n v="2138"/>
    <s v="แขวงทางหลวงภูเก็ต"/>
    <n v="324"/>
    <n v="4353"/>
    <n v="100"/>
    <s v="ท่าฉัตรไชย  -  หมวดถลาง"/>
    <n v="825"/>
    <n v="0"/>
    <n v="0.82499999999999996"/>
    <n v="2"/>
    <s v="R1"/>
    <d v="2015-05-13T00:00:00"/>
    <s v="A.C."/>
    <n v="2.5000000000000001E-2"/>
    <n v="0"/>
    <n v="2.5000000000000001E-2"/>
    <n v="0.5"/>
    <n v="7.2540899999999997"/>
    <n v="7.5"/>
    <n v="0.52500000000000002"/>
    <n v="2.5000000000000001E-2"/>
    <n v="0"/>
    <n v="0"/>
    <n v="3.4563199999999998"/>
    <n v="3.5"/>
    <n v="0"/>
    <n v="0"/>
    <n v="0.55000000000000004"/>
    <n v="1.4290499999999999"/>
    <n v="7.24"/>
    <n v="25.94"/>
    <n v="0.69991341991342004"/>
    <x v="113"/>
    <n v="53.9"/>
    <n v="1.8666666666666669"/>
    <n v="6.7"/>
    <n v="0.23203463203463207"/>
    <n v="1.64"/>
    <n v="5.6796536796536803E-2"/>
  </r>
  <r>
    <n v="1947"/>
    <s v="แขวงทางหลวงนครศรีธรรมราชที่ 1"/>
    <n v="321"/>
    <n v="408"/>
    <n v="102"/>
    <s v="เฉลิมพระเกียรติ - ปากระวะ"/>
    <n v="28721"/>
    <n v="70891"/>
    <n v="42.17"/>
    <n v="4"/>
    <s v="L2"/>
    <d v="2015-04-29T00:00:00"/>
    <s v="A.C."/>
    <n v="31"/>
    <n v="7.1749999999999998"/>
    <n v="2.5499999999999998"/>
    <n v="1.5"/>
    <n v="2.2632400000000001"/>
    <n v="2.5"/>
    <n v="35.725000000000001"/>
    <n v="3.2749999999999999"/>
    <n v="1.375"/>
    <n v="1.85"/>
    <n v="5.6013900000000003"/>
    <n v="5.5"/>
    <n v="0"/>
    <n v="0"/>
    <n v="42.225000000000001"/>
    <n v="1.1416200000000001"/>
    <n v="1030.6199999999999"/>
    <n v="0"/>
    <n v="0.69827568684576036"/>
    <x v="113"/>
    <n v="0"/>
    <n v="0"/>
    <n v="0"/>
    <n v="0"/>
    <n v="0"/>
    <n v="0"/>
  </r>
  <r>
    <n v="942"/>
    <s v="แขวงทางหลวงนครราชสีมาที่ 1"/>
    <n v="611"/>
    <n v="207"/>
    <n v="100"/>
    <s v="บ้านวัด - ประทาย"/>
    <s v="36+379"/>
    <s v="0+172"/>
    <n v="36.207000000000001"/>
    <n v="2"/>
    <s v="R1"/>
    <d v="2015-04-24T00:00:00"/>
    <s v="A.C."/>
    <n v="18"/>
    <n v="6.3500000000000005"/>
    <n v="6.5"/>
    <n v="5.35"/>
    <n v="2.7926661884603758"/>
    <n v="3"/>
    <n v="30.675000000000001"/>
    <n v="4.5"/>
    <n v="0.625"/>
    <n v="0.4"/>
    <n v="5.6139999999999999"/>
    <n v="5.5"/>
    <n v="0"/>
    <n v="0"/>
    <n v="36.207000000000001"/>
    <n v="1.1535500000000001"/>
    <n v="883.21"/>
    <n v="0"/>
    <n v="0.69695283863814816"/>
    <x v="113"/>
    <n v="34.340000000000003"/>
    <n v="2.7098153869220237E-2"/>
    <n v="0"/>
    <n v="0"/>
    <n v="0"/>
    <n v="0"/>
  </r>
  <r>
    <n v="159"/>
    <s v="แขวงทางหลวงเชียงรายที่ 1"/>
    <n v="533"/>
    <n v="1"/>
    <n v="1401"/>
    <s v="พาน - สบห้วย"/>
    <s v="890+370"/>
    <s v="912+300"/>
    <n v="21.63"/>
    <n v="4"/>
    <s v="L2"/>
    <d v="2015-07-18T00:00:00"/>
    <s v="A.C."/>
    <n v="11.47"/>
    <n v="6.18"/>
    <n v="2.35"/>
    <n v="1.63"/>
    <n v="2.3714400000000002"/>
    <n v="2.5"/>
    <n v="13.24"/>
    <n v="5.18"/>
    <n v="1.98"/>
    <n v="1.23"/>
    <n v="12.856199999999999"/>
    <n v="13"/>
    <n v="0"/>
    <n v="0"/>
    <n v="21.63"/>
    <n v="1.0966"/>
    <n v="489"/>
    <n v="76.87"/>
    <n v="0.69669770820949728"/>
    <x v="113"/>
    <n v="0"/>
    <n v="0"/>
    <n v="20"/>
    <n v="2.6418334324020867E-2"/>
    <n v="0"/>
    <n v="0"/>
  </r>
  <r>
    <n v="722"/>
    <s v="แขวงทางหลวงขอนแก่นที่ 2 (ชุมแพ)"/>
    <n v="627"/>
    <n v="2037"/>
    <n v="100"/>
    <s v="ภูเขียว - เกษตรสมบูรณ์"/>
    <n v="1150"/>
    <n v="22096"/>
    <n v="20.946000000000002"/>
    <n v="2"/>
    <s v="L1"/>
    <d v="2015-06-22T00:00:00"/>
    <s v="A.C."/>
    <n v="11.1"/>
    <n v="6.9249999999999998"/>
    <n v="2.1749999999999998"/>
    <n v="1.125"/>
    <n v="2.8724799999999999"/>
    <n v="3"/>
    <n v="20.399999999999999"/>
    <n v="0.85"/>
    <n v="7.4999999999999997E-2"/>
    <n v="0"/>
    <n v="5.6284000000000001"/>
    <n v="5.5"/>
    <n v="0"/>
    <n v="0"/>
    <n v="20.946000000000002"/>
    <n v="1.0785899999999999"/>
    <n v="509.96"/>
    <n v="0"/>
    <n v="0.69560999999999995"/>
    <x v="113"/>
    <n v="0"/>
    <n v="0"/>
    <n v="0"/>
    <n v="0"/>
    <n v="0"/>
    <n v="0"/>
  </r>
  <r>
    <n v="165"/>
    <s v="แขวงทางหลวงเชียงรายที่ 1"/>
    <n v="533"/>
    <n v="1"/>
    <n v="1404"/>
    <s v="บ้านเด่น - แม่คำ"/>
    <s v="970+000"/>
    <s v="944+000"/>
    <n v="25.247"/>
    <n v="4"/>
    <s v="R2"/>
    <d v="2015-07-17T00:00:00"/>
    <s v="A.C."/>
    <n v="17.18"/>
    <n v="4.95"/>
    <n v="2.44"/>
    <n v="0.68"/>
    <n v="2.3812700000000002"/>
    <n v="2.5"/>
    <n v="24.13"/>
    <n v="1.04"/>
    <n v="0.03"/>
    <n v="0.05"/>
    <n v="4.8508800000000001"/>
    <n v="5"/>
    <n v="0"/>
    <n v="0"/>
    <n v="25.25"/>
    <n v="1.08195"/>
    <n v="45"/>
    <n v="1134.1300000000001"/>
    <n v="0.69265938244430758"/>
    <x v="113"/>
    <n v="20"/>
    <n v="2.263352364354464E-2"/>
    <n v="185"/>
    <n v="0.20936009370278791"/>
    <n v="0"/>
    <n v="0"/>
  </r>
  <r>
    <n v="1965"/>
    <s v="แขวงทางหลวงนครศรีธรรมราชที่ 1"/>
    <n v="321"/>
    <n v="4234"/>
    <n v="100"/>
    <s v="บนเนิน - ท่าเทียบเรือประมงปากพนัง"/>
    <n v="0"/>
    <n v="3413"/>
    <n v="3.4129999999999998"/>
    <n v="2"/>
    <s v="L1"/>
    <d v="2015-04-29T00:00:00"/>
    <s v="A.C."/>
    <n v="2.375"/>
    <n v="0.3"/>
    <n v="0.32500000000000001"/>
    <n v="0.47499999999999998"/>
    <n v="2.83446"/>
    <n v="3"/>
    <n v="3.4750000000000001"/>
    <n v="0"/>
    <n v="0"/>
    <n v="0"/>
    <n v="2.5433500000000002"/>
    <n v="2.5"/>
    <n v="0"/>
    <n v="0"/>
    <n v="3.4750000000000001"/>
    <n v="1.15537"/>
    <n v="82.64"/>
    <n v="0"/>
    <n v="0.69180863086517941"/>
    <x v="113"/>
    <n v="0"/>
    <n v="0"/>
    <n v="2.2200000000000002"/>
    <n v="0"/>
    <n v="0"/>
    <n v="0"/>
  </r>
  <r>
    <n v="452"/>
    <s v="แขวงทางหลวงสุโขทัย"/>
    <n v="513"/>
    <n v="1368"/>
    <n v="100"/>
    <s v="บ้านกล้วย - คลองยาง"/>
    <s v="0+000"/>
    <s v="2+913"/>
    <n v="2.9129999999999998"/>
    <s v="L1"/>
    <n v="2"/>
    <d v="2015-09-16T00:00:00"/>
    <s v="A.C."/>
    <n v="2.34"/>
    <n v="0.28000000000000003"/>
    <n v="0.08"/>
    <n v="0.2"/>
    <n v="2.3493200000000001"/>
    <n v="2.5"/>
    <n v="2.91"/>
    <n v="0"/>
    <n v="0"/>
    <n v="0"/>
    <n v="1.60276"/>
    <n v="1.5"/>
    <n v="0"/>
    <n v="0"/>
    <n v="2.91"/>
    <n v="1.0729200000000001"/>
    <n v="59.21"/>
    <n v="22.34"/>
    <n v="0.69030454612328962"/>
    <x v="113"/>
    <n v="94.57"/>
    <n v="0.92756608307586663"/>
    <n v="0"/>
    <n v="0"/>
    <n v="0"/>
    <n v="0"/>
  </r>
  <r>
    <n v="1398"/>
    <s v="แขวงทางหลวงชัยนาท"/>
    <n v="446"/>
    <n v="3251"/>
    <n v="100"/>
    <s v="สรรคบุรี - คูพัฒนา"/>
    <n v="15271"/>
    <n v="0"/>
    <n v="15.271000000000001"/>
    <n v="2"/>
    <s v="R1"/>
    <d v="2015-08-03T00:00:00"/>
    <s v="A.C."/>
    <n v="12.23"/>
    <n v="2.4"/>
    <n v="0.55000000000000004"/>
    <n v="0.1"/>
    <n v="2.13083"/>
    <n v="2"/>
    <n v="15.25"/>
    <n v="0.02"/>
    <n v="0"/>
    <n v="0"/>
    <n v="2.4387099999999999"/>
    <n v="2.5"/>
    <n v="0"/>
    <n v="0"/>
    <n v="15.27"/>
    <n v="1.20286"/>
    <n v="330.125"/>
    <n v="73.7"/>
    <n v="0.68659550782528977"/>
    <x v="113"/>
    <n v="87.432000000000002"/>
    <n v="0.16358176562485383"/>
    <n v="2.0099999999999998"/>
    <n v="3.7606293909090058E-3"/>
    <n v="0"/>
    <n v="0"/>
  </r>
  <r>
    <n v="821"/>
    <s v="แขวงทางหลวงกาฬสินธุ์"/>
    <n v="647"/>
    <n v="2039"/>
    <n v="202"/>
    <s v="ห้วยเม็ก - ไทยเจริญ"/>
    <n v="77479"/>
    <n v="49479"/>
    <n v="28"/>
    <n v="2"/>
    <s v="R1"/>
    <d v="2015-05-30T00:00:00"/>
    <s v="A.C."/>
    <n v="21.6"/>
    <n v="4.7750000000000004"/>
    <n v="1.2"/>
    <n v="0.35"/>
    <n v="2.15"/>
    <n v="2"/>
    <n v="26.85"/>
    <n v="0.875"/>
    <n v="0.125"/>
    <n v="7.4999999999999997E-2"/>
    <n v="3.94659"/>
    <n v="4"/>
    <n v="0"/>
    <n v="0"/>
    <n v="27.925000000000001"/>
    <n v="1.15768"/>
    <n v="0"/>
    <n v="1345"/>
    <n v="0.68622448979591832"/>
    <x v="113"/>
    <n v="0"/>
    <n v="0"/>
    <n v="4"/>
    <n v="4.0816326530612249E-3"/>
    <n v="0"/>
    <n v="0"/>
  </r>
  <r>
    <n v="1151"/>
    <s v="แขวงทางหลวงสระบุรี"/>
    <n v="432"/>
    <n v="3046"/>
    <n v="100"/>
    <s v="พระพุทธฉาย - น้ำตกสามหลั่น"/>
    <s v="0+000"/>
    <s v="3+315"/>
    <n v="3.3149999999999999"/>
    <n v="2"/>
    <s v="L1"/>
    <d v="2015-10-05T00:00:00"/>
    <s v="A.C."/>
    <n v="1.2749999999999999"/>
    <n v="1.2"/>
    <n v="0.42499999999999999"/>
    <n v="0.125"/>
    <n v="3.1974399999999998"/>
    <n v="3"/>
    <n v="3.0249999999999999"/>
    <n v="0"/>
    <n v="0"/>
    <n v="0"/>
    <n v="1.99726"/>
    <n v="2"/>
    <n v="0"/>
    <n v="0"/>
    <n v="3.0249999999999995"/>
    <n v="1.2920199999999999"/>
    <n v="75.998000000000005"/>
    <n v="7.2"/>
    <n v="0.68604200000000004"/>
    <x v="113"/>
    <n v="62.35"/>
    <n v="0.53738399999999997"/>
    <n v="0"/>
    <n v="0"/>
    <n v="0"/>
    <n v="0"/>
  </r>
  <r>
    <n v="1280"/>
    <s v="แขวงทางหลวงสุพรรณบุรีที่ 1"/>
    <n v="441"/>
    <n v="3195"/>
    <n v="100"/>
    <s v="สุพรรณบุรี - ลาดตาล"/>
    <n v="0"/>
    <n v="8450"/>
    <n v="8.4499999999999993"/>
    <n v="4"/>
    <s v="L2"/>
    <d v="2015-07-01T00:00:00"/>
    <s v="A.C."/>
    <n v="5.25"/>
    <n v="1.85"/>
    <n v="0.92500000000000004"/>
    <n v="0.4"/>
    <n v="2.7001200000000001"/>
    <n v="2.5"/>
    <n v="8.15"/>
    <n v="0.27500000000000002"/>
    <n v="0"/>
    <n v="0"/>
    <n v="4.4480899999999997"/>
    <n v="4.5"/>
    <n v="0"/>
    <n v="0"/>
    <n v="8.4250000000000007"/>
    <n v="1.19482"/>
    <n v="143.80000000000001"/>
    <n v="112.8"/>
    <n v="0.67692307692307707"/>
    <x v="113"/>
    <n v="152.9"/>
    <n v="0.23204766384446532"/>
    <n v="2.2000000000000002"/>
    <n v="5.3756215562424398E-3"/>
    <n v="4"/>
    <n v="0"/>
  </r>
  <r>
    <n v="1148"/>
    <s v="แขวงทางหลวงสระบุรี"/>
    <n v="432"/>
    <n v="3042"/>
    <n v="100"/>
    <s v="หนองยาว - พระพุทธฉาย"/>
    <s v="4+982"/>
    <s v="0+000"/>
    <n v="4.9820000000000002"/>
    <n v="2"/>
    <s v="R1"/>
    <d v="2015-10-05T00:00:00"/>
    <s v="A.C."/>
    <n v="2.625"/>
    <n v="1.625"/>
    <n v="0.22500000000000001"/>
    <n v="0.22500000000000001"/>
    <n v="2.7704300000000002"/>
    <n v="3"/>
    <n v="4.7"/>
    <n v="0"/>
    <n v="0"/>
    <n v="0"/>
    <n v="1.89839"/>
    <n v="2"/>
    <n v="0"/>
    <n v="0"/>
    <n v="4.6999999999999993"/>
    <n v="1.23319"/>
    <n v="115.96"/>
    <n v="4.0999999999999996"/>
    <n v="0.67677900000000002"/>
    <x v="113"/>
    <n v="98.165000000000006"/>
    <n v="0.56296999999999997"/>
    <n v="0"/>
    <n v="0"/>
    <n v="0"/>
    <n v="0"/>
  </r>
  <r>
    <n v="156"/>
    <s v="แขวงทางหลวงแพร่"/>
    <n v="531"/>
    <n v="1342"/>
    <n v="100"/>
    <s v="ห้วยขึม - ปากห้วยอ้อย"/>
    <s v="18+725"/>
    <s v="0+000"/>
    <n v="18.725000000000001"/>
    <n v="2"/>
    <s v="R1"/>
    <d v="2015-08-05T00:00:00"/>
    <s v="A.C."/>
    <n v="4.93"/>
    <n v="6.56"/>
    <n v="5.34"/>
    <n v="1.91"/>
    <n v="3.20031"/>
    <n v="3"/>
    <n v="7.93"/>
    <n v="3.99"/>
    <n v="2.93"/>
    <n v="3.89"/>
    <n v="12.709899999999999"/>
    <n v="12.5"/>
    <n v="0"/>
    <n v="0"/>
    <n v="18.73"/>
    <n v="1.5053399999999999"/>
    <n v="219"/>
    <n v="448.56"/>
    <n v="0.6763761205416744"/>
    <x v="113"/>
    <n v="4891"/>
    <n v="7.4629029181766144"/>
    <n v="1002"/>
    <n v="1.5288956704176995"/>
    <n v="1259"/>
    <n v="1.9210375739080674"/>
  </r>
  <r>
    <n v="124"/>
    <s v="แขวงทางหลวงเชียงใหม่ที่ 3"/>
    <n v="527"/>
    <n v="1359"/>
    <n v="100"/>
    <s v="ทางเข้าเชียงดาว"/>
    <n v="9545"/>
    <n v="0"/>
    <n v="9.5449999999999999"/>
    <n v="2"/>
    <s v="R1"/>
    <d v="2015-08-24T00:00:00"/>
    <s v="A.C."/>
    <n v="6.86"/>
    <n v="1.65"/>
    <n v="0.85"/>
    <n v="0.18"/>
    <n v="2.22268"/>
    <n v="2"/>
    <n v="9.5500000000000007"/>
    <n v="0"/>
    <n v="0"/>
    <n v="0"/>
    <n v="2.08961"/>
    <n v="2"/>
    <n v="0"/>
    <n v="0"/>
    <n v="9.5500000000000007"/>
    <n v="0.954484"/>
    <n v="225.36"/>
    <n v="0"/>
    <n v="0.67457906158796677"/>
    <x v="113"/>
    <n v="23.3"/>
    <n v="6.9744817780438534E-2"/>
    <n v="0"/>
    <n v="0"/>
    <n v="0"/>
    <n v="0"/>
  </r>
  <r>
    <n v="1512"/>
    <s v="แขวงทางหลวงอยุธยา"/>
    <n v="413"/>
    <n v="3043"/>
    <n v="100"/>
    <s v="อุทัย - หนองตาโล่"/>
    <s v="3+965"/>
    <s v="9+370"/>
    <n v="18"/>
    <n v="2"/>
    <s v="R1"/>
    <d v="2015-09-18T00:00:00"/>
    <s v="A.C."/>
    <n v="10.925000000000001"/>
    <n v="3.4750000000000001"/>
    <n v="2.0499999999999998"/>
    <n v="1.575"/>
    <n v="3.0139999999999998"/>
    <n v="3"/>
    <n v="14.525"/>
    <n v="1.95"/>
    <n v="0.77500000000000002"/>
    <n v="0.77500000000000002"/>
    <n v="7.2629999999999999"/>
    <n v="7.5"/>
    <n v="0"/>
    <n v="0"/>
    <n v="18"/>
    <n v="1.1479999999999999"/>
    <n v="0"/>
    <n v="849.12"/>
    <n v="0.6739047619047619"/>
    <x v="113"/>
    <n v="0"/>
    <n v="0"/>
    <n v="0"/>
    <n v="0"/>
    <n v="113"/>
    <n v="0.17936507936507937"/>
  </r>
  <r>
    <n v="1204"/>
    <s v="แขวงทางหลวงลพบุรีที่ 2 (ลำนารายณ์)"/>
    <n v="435"/>
    <n v="2247"/>
    <n v="101"/>
    <s v="จงโก - ลำสมพุง"/>
    <s v="25+688"/>
    <s v="16+222"/>
    <n v="9.2859999999999996"/>
    <n v="2"/>
    <s v="R1"/>
    <d v="2015-10-05T00:00:00"/>
    <s v="A.C."/>
    <n v="7.65"/>
    <n v="0.97499999999999998"/>
    <n v="0.57499999999999996"/>
    <n v="7.4999999999999997E-2"/>
    <n v="2.17286"/>
    <n v="2"/>
    <n v="8.9"/>
    <n v="0.375"/>
    <n v="0"/>
    <n v="0"/>
    <n v="4.4370700000000003"/>
    <n v="4.5"/>
    <n v="0"/>
    <n v="0"/>
    <n v="9.2859999999999996"/>
    <n v="1.24231"/>
    <n v="214.22"/>
    <n v="6.14"/>
    <n v="0.66856404418325599"/>
    <x v="113"/>
    <n v="168.32"/>
    <n v="0.51789200000000002"/>
    <n v="1.48"/>
    <n v="4.5539999999999999E-3"/>
    <n v="0"/>
    <n v="0"/>
  </r>
  <r>
    <n v="150"/>
    <s v="แขวงทางหลวงแพร่"/>
    <n v="531"/>
    <n v="1120"/>
    <n v="100"/>
    <s v="สอง - ป่าเลา"/>
    <s v="0+000"/>
    <s v="10+000"/>
    <n v="10"/>
    <n v="2"/>
    <s v="R1"/>
    <d v="2015-08-05T00:00:00"/>
    <s v="A.C."/>
    <n v="7.95"/>
    <n v="1.18"/>
    <n v="0.7"/>
    <n v="0.18"/>
    <n v="2.1349999999999998"/>
    <n v="2"/>
    <n v="6.27"/>
    <n v="1.4"/>
    <n v="0.5"/>
    <n v="1.83"/>
    <n v="17.704999999999998"/>
    <n v="17.5"/>
    <n v="0"/>
    <n v="0.25"/>
    <n v="9.75"/>
    <n v="1.171"/>
    <n v="174.76"/>
    <n v="116.37"/>
    <n v="0.66555714285714285"/>
    <x v="113"/>
    <n v="7.44"/>
    <n v="2.125714285714286E-2"/>
    <n v="322.77"/>
    <n v="0.92219999999999991"/>
    <n v="0"/>
    <n v="0"/>
  </r>
  <r>
    <n v="585"/>
    <s v="แขวงทางหลวงเพชรบูรณ์ที่ 2 (บึงสามพัน)"/>
    <n v="552"/>
    <n v="2275"/>
    <n v="201"/>
    <s v="ซับลังกา - แยกศรีเทพ"/>
    <n v="12000"/>
    <n v="30075"/>
    <n v="18.074999999999999"/>
    <n v="2"/>
    <s v="L1"/>
    <d v="2015-07-09T00:00:00"/>
    <s v="A.C."/>
    <n v="9.75"/>
    <n v="4.4249999999999998"/>
    <n v="2.15"/>
    <n v="1.7250000000000001"/>
    <n v="2.8230300000000002"/>
    <n v="3"/>
    <n v="17.25"/>
    <n v="0.52500000000000002"/>
    <n v="0.15"/>
    <n v="0.125"/>
    <n v="3.2944900000000001"/>
    <n v="3.5"/>
    <n v="0"/>
    <n v="0"/>
    <n v="18.05"/>
    <n v="1.14995"/>
    <n v="418"/>
    <n v="5.9"/>
    <n v="0.66540209444773768"/>
    <x v="113"/>
    <n v="73"/>
    <n v="0.11539221497727722"/>
    <n v="67"/>
    <n v="0.10590792333530924"/>
    <n v="61"/>
    <n v="9.6423631693341255E-2"/>
  </r>
  <r>
    <n v="215"/>
    <s v="แขวงทางหลวงน่านที่ 1"/>
    <n v="536"/>
    <n v="1081"/>
    <n v="200"/>
    <s v="ดอนมูล - หลักลาย"/>
    <n v="13000"/>
    <n v="47150"/>
    <n v="34.15"/>
    <n v="2"/>
    <s v="L1"/>
    <d v="2015-07-29T00:00:00"/>
    <s v="A.C."/>
    <n v="23.19"/>
    <n v="6.12"/>
    <n v="3.34"/>
    <n v="1.51"/>
    <n v="2.4416500000000001"/>
    <n v="2.5"/>
    <n v="18.53"/>
    <n v="5.15"/>
    <n v="3.42"/>
    <n v="7.06"/>
    <n v="14.882899999999999"/>
    <n v="15"/>
    <n v="0.08"/>
    <n v="0.2"/>
    <n v="33.880000000000003"/>
    <n v="1.2612099999999999"/>
    <n v="711"/>
    <n v="168.13"/>
    <n v="0.66518719933068404"/>
    <x v="113"/>
    <n v="0"/>
    <n v="0"/>
    <n v="505"/>
    <n v="0.42250575193474177"/>
    <n v="0"/>
    <n v="0"/>
  </r>
  <r>
    <n v="258"/>
    <s v="แขวงทางหลวงน่านที่ 2"/>
    <n v="539"/>
    <n v="1092"/>
    <n v="200"/>
    <s v="ปัวดอย - สิบสองพัฒนา"/>
    <s v="10+000"/>
    <s v="33+203"/>
    <n v="23.202999999999999"/>
    <n v="2"/>
    <s v="R1"/>
    <d v="2015-07-27T00:00:00"/>
    <s v="A.C."/>
    <n v="3.88"/>
    <n v="8.0399999999999991"/>
    <n v="5.09"/>
    <n v="6.2"/>
    <n v="3.7109999999999999"/>
    <n v="3.5"/>
    <n v="18.29"/>
    <n v="3.17"/>
    <n v="1.0900000000000001"/>
    <n v="0.66"/>
    <n v="6.31"/>
    <n v="6.5"/>
    <n v="0.03"/>
    <n v="0.05"/>
    <n v="23.13"/>
    <n v="1.663"/>
    <n v="489.54"/>
    <n v="89.35"/>
    <n v="0.65781518399714323"/>
    <x v="113"/>
    <n v="0"/>
    <n v="0"/>
    <n v="4433.5"/>
    <n v="5.4592694294456994"/>
    <n v="97.04"/>
    <n v="0.11949193761890396"/>
  </r>
  <r>
    <n v="320"/>
    <s v="แขวงทางหลวงนครพนม"/>
    <n v="644"/>
    <n v="2185"/>
    <n v="200"/>
    <s v="โคกสะอาด - นาหว้า"/>
    <n v="7563"/>
    <n v="19970"/>
    <n v="12.407"/>
    <n v="2"/>
    <s v="L1"/>
    <d v="2015-06-04T00:00:00"/>
    <s v="A.C."/>
    <n v="10.45"/>
    <n v="1.41"/>
    <n v="0.45"/>
    <n v="0.1"/>
    <n v="2.1751900000000002"/>
    <n v="2"/>
    <n v="12.38"/>
    <n v="0.03"/>
    <n v="0"/>
    <n v="0"/>
    <n v="1.7117100000000001"/>
    <n v="1.5"/>
    <n v="0"/>
    <n v="0"/>
    <n v="12.41"/>
    <n v="1.09206"/>
    <n v="0"/>
    <n v="571"/>
    <n v="0.65746000000000004"/>
    <x v="113"/>
    <n v="0"/>
    <n v="0"/>
    <n v="0"/>
    <n v="0"/>
    <n v="0"/>
    <n v="0"/>
  </r>
  <r>
    <n v="1487"/>
    <s v="แขวงทางหลวงกรุงเทพ"/>
    <n v="411"/>
    <n v="3702"/>
    <n v="100"/>
    <s v="ถนนศรีนครินทร์ - ลาดกระบัง"/>
    <s v="5+759"/>
    <s v="0+352"/>
    <n v="5.407"/>
    <n v="2"/>
    <s v="R1"/>
    <d v="2015-09-01T00:00:00"/>
    <s v="A.C."/>
    <n v="2.0499999999999998"/>
    <n v="1.75"/>
    <n v="0.95"/>
    <n v="0.625"/>
    <n v="3.2890000000000001"/>
    <n v="3.5"/>
    <n v="4.6500000000000004"/>
    <n v="0.55000000000000004"/>
    <n v="0.15"/>
    <n v="2.5000000000000001E-2"/>
    <n v="5.7530000000000001"/>
    <n v="6"/>
    <n v="0"/>
    <n v="0"/>
    <n v="5.3750000000000009"/>
    <n v="1.133"/>
    <n v="80"/>
    <n v="88.83"/>
    <n v="0.65742820153768911"/>
    <x v="113"/>
    <n v="4428"/>
    <n v="23.398240376231865"/>
    <n v="203.37"/>
    <n v="1.0746386958704324"/>
    <n v="23"/>
    <n v="0.12153557557663344"/>
  </r>
  <r>
    <n v="330"/>
    <s v="แขวงทางหลวงหนองคาย"/>
    <n v="646"/>
    <n v="212"/>
    <n v="102"/>
    <s v="ปากสวย - น้ำเป"/>
    <n v="32600"/>
    <n v="61485"/>
    <n v="28.885000000000002"/>
    <n v="4"/>
    <s v="R2"/>
    <d v="2015-06-09T00:00:00"/>
    <s v="A.C."/>
    <n v="17.274999999999999"/>
    <n v="7.3"/>
    <n v="2.65"/>
    <n v="1.5249999999999999"/>
    <n v="2.4977100000000001"/>
    <n v="2.5"/>
    <n v="26"/>
    <n v="2.1"/>
    <n v="0.52500000000000002"/>
    <n v="0.125"/>
    <n v="5.3129099999999996"/>
    <n v="5.5"/>
    <n v="0"/>
    <n v="0"/>
    <n v="28.75"/>
    <n v="1.24081"/>
    <n v="616"/>
    <n v="97"/>
    <n v="0.65728628304359649"/>
    <x v="113"/>
    <n v="2"/>
    <n v="1.978288286060486E-3"/>
    <n v="0"/>
    <n v="0"/>
    <n v="0"/>
    <n v="0"/>
  </r>
  <r>
    <n v="820"/>
    <s v="แขวงทางหลวงกาฬสินธุ์"/>
    <n v="647"/>
    <n v="2009"/>
    <n v="100"/>
    <s v="ห้วยเม็ก - ท่าคันโท"/>
    <n v="59166"/>
    <n v="22043"/>
    <n v="37.122999999999998"/>
    <n v="2"/>
    <s v="R1"/>
    <d v="2015-05-30T00:00:00"/>
    <s v="A.C."/>
    <n v="26.824999999999999"/>
    <n v="7.9249999999999998"/>
    <n v="1.7250000000000001"/>
    <n v="0.4"/>
    <n v="2.093"/>
    <n v="2"/>
    <n v="35.299999999999997"/>
    <n v="1.05"/>
    <n v="0.4"/>
    <n v="0.125"/>
    <n v="3.2210000000000001"/>
    <n v="3"/>
    <n v="0"/>
    <n v="0"/>
    <n v="36.875"/>
    <n v="1.196"/>
    <n v="46"/>
    <n v="1611"/>
    <n v="0.65535036038497507"/>
    <x v="113"/>
    <n v="35"/>
    <n v="2.6937478113299034E-2"/>
    <n v="53"/>
    <n v="4.0791038285852822E-2"/>
    <n v="34"/>
    <n v="2.6167835881490485E-2"/>
  </r>
  <r>
    <n v="1213"/>
    <s v="แขวงทางหลวงลพบุรีที่ 2 (ลำนารายณ์)"/>
    <n v="435"/>
    <n v="2274"/>
    <n v="200"/>
    <s v="ปางหัวช้าง - คลองไทร"/>
    <s v="10+521"/>
    <s v="18+093"/>
    <n v="7.5720000000000001"/>
    <n v="2"/>
    <s v="L1"/>
    <d v="2015-10-05T00:00:00"/>
    <s v="A.C."/>
    <n v="3.55"/>
    <n v="2.125"/>
    <n v="0.75"/>
    <n v="0.42499999999999999"/>
    <n v="2.7503700000000002"/>
    <n v="3"/>
    <n v="6.7249999999999996"/>
    <n v="0.125"/>
    <n v="0"/>
    <n v="0"/>
    <n v="3.2571300000000001"/>
    <n v="3.5"/>
    <n v="0"/>
    <n v="0"/>
    <n v="7.5720000000000001"/>
    <n v="1.54488"/>
    <n v="169.6"/>
    <n v="8.14"/>
    <n v="0.65530903328050705"/>
    <x v="113"/>
    <n v="154.63"/>
    <n v="0.58346500000000001"/>
    <n v="0"/>
    <n v="0"/>
    <n v="0"/>
    <n v="0"/>
  </r>
  <r>
    <n v="861"/>
    <s v="แขวงทางหลวงสุรินทร์"/>
    <n v="615"/>
    <n v="2375"/>
    <n v="100"/>
    <s v="บักดอก - พนมดิน"/>
    <n v="0"/>
    <n v="28547"/>
    <n v="28.547000000000001"/>
    <n v="2"/>
    <s v="L1"/>
    <d v="2015-05-09T00:00:00"/>
    <s v="A.C."/>
    <n v="21.1"/>
    <n v="5.15"/>
    <n v="1.25"/>
    <n v="0.97499999999999998"/>
    <n v="2.8498299999999999"/>
    <n v="3"/>
    <n v="27.675000000000001"/>
    <n v="0.52500000000000002"/>
    <n v="0.2"/>
    <n v="7.4999999999999997E-2"/>
    <n v="3.9096199999999999"/>
    <n v="4"/>
    <n v="0"/>
    <n v="0"/>
    <n v="28.475000000000001"/>
    <n v="1.4107400000000001"/>
    <n v="589.62"/>
    <n v="120.2"/>
    <n v="0.65027999999999997"/>
    <x v="113"/>
    <n v="450.38"/>
    <n v="0.45077"/>
    <n v="53.74"/>
    <n v="5.3786E-2"/>
    <n v="9.64"/>
    <n v="9.6500000000000006E-3"/>
  </r>
  <r>
    <n v="2048"/>
    <s v="แขวงทางหลวงสุราษฎร์ธานีที่ 2 (กาญจนดิษฐ์)"/>
    <n v="328"/>
    <n v="401"/>
    <n v="401"/>
    <s v="ท่าโรงช้าง - กิโลศูนย์"/>
    <n v="145542"/>
    <n v="128042"/>
    <n v="17.5"/>
    <n v="2"/>
    <s v="R1"/>
    <d v="2015-04-26T00:00:00"/>
    <s v="A.C."/>
    <n v="11.25"/>
    <n v="3.35"/>
    <n v="1.7"/>
    <n v="1.2"/>
    <n v="2.5623900000000002"/>
    <n v="2.5"/>
    <n v="15.8"/>
    <n v="1.35"/>
    <n v="0.3"/>
    <n v="0.05"/>
    <n v="4.9943900000000001"/>
    <n v="5"/>
    <n v="0"/>
    <n v="0"/>
    <n v="17.5"/>
    <n v="1.17855"/>
    <n v="286.08999999999997"/>
    <n v="216.6"/>
    <n v="0.64390204081632652"/>
    <x v="114"/>
    <n v="127.85"/>
    <n v="0.208734693877551"/>
    <n v="1.1499999999999999"/>
    <n v="1.8775510204081633E-3"/>
    <n v="1"/>
    <n v="1.6326530612244896E-3"/>
  </r>
  <r>
    <n v="175"/>
    <s v="แขวงทางหลวงเชียงรายที่ 1"/>
    <n v="533"/>
    <n v="1149"/>
    <n v="100"/>
    <s v="ห้วยไคร้ - ห้วยน้ำริน"/>
    <s v="0+000"/>
    <s v="43+726"/>
    <n v="43.725999999999999"/>
    <n v="2"/>
    <s v="L1"/>
    <d v="2015-07-16T00:00:00"/>
    <s v="A.C."/>
    <n v="19.04"/>
    <n v="12.86"/>
    <n v="7.77"/>
    <n v="4.0599999999999996"/>
    <n v="2.86"/>
    <n v="3"/>
    <n v="40.39"/>
    <n v="1.6"/>
    <n v="0.64"/>
    <n v="1.1000000000000001"/>
    <n v="5.0030000000000001"/>
    <n v="5"/>
    <n v="0.27"/>
    <n v="0.53"/>
    <n v="42.93"/>
    <n v="1.304"/>
    <n v="511.92"/>
    <n v="941.56"/>
    <n v="0.64211551152959012"/>
    <x v="114"/>
    <n v="1022.2"/>
    <n v="0.66792558856776951"/>
    <n v="74.510000000000005"/>
    <n v="4.8686299749740265E-2"/>
    <n v="184.3"/>
    <n v="0.1204252455224417"/>
  </r>
  <r>
    <n v="1465"/>
    <s v="แขวงทางหลวงอ่างทอง"/>
    <n v="448"/>
    <n v="3454"/>
    <n v="303"/>
    <s v="วิเศษชัยชาญ -  หน้าโคก"/>
    <n v="74609"/>
    <n v="86609"/>
    <n v="12"/>
    <n v="2"/>
    <s v="L1"/>
    <d v="2015-06-28T00:00:00"/>
    <s v="A.C."/>
    <n v="8.7750000000000004"/>
    <n v="2.2250000000000001"/>
    <n v="0.75"/>
    <n v="0.32500000000000001"/>
    <n v="2.3635600000000001"/>
    <n v="2.5"/>
    <n v="11.9"/>
    <n v="0.17499999999999999"/>
    <n v="0"/>
    <n v="0"/>
    <n v="2.8643900000000002"/>
    <n v="3"/>
    <n v="0"/>
    <n v="0"/>
    <n v="12.074999999999999"/>
    <n v="1.1078399999999999"/>
    <n v="245.23"/>
    <n v="44.6"/>
    <n v="0.63697619047619036"/>
    <x v="114"/>
    <n v="18.5"/>
    <n v="4.4047619047619044E-2"/>
    <n v="0"/>
    <n v="0"/>
    <n v="0"/>
    <n v="0"/>
  </r>
  <r>
    <n v="360"/>
    <s v="แขวงทางหลวงตากที่ 1"/>
    <n v="512"/>
    <n v="1400"/>
    <n v="100"/>
    <s v="แยกทางหลวง - ป่ามะม่วง"/>
    <s v="0+000"/>
    <s v="1+316"/>
    <n v="1.3160000000000001"/>
    <n v="4"/>
    <s v="L1"/>
    <d v="2015-09-10T00:00:00"/>
    <s v="A.C."/>
    <n v="7.0000000000000007E-2"/>
    <n v="0.15"/>
    <n v="0.3"/>
    <n v="0.81"/>
    <n v="5.7522599999999997"/>
    <n v="6"/>
    <n v="1.28"/>
    <n v="0.04"/>
    <n v="0"/>
    <n v="0"/>
    <n v="4.1627599999999996"/>
    <n v="4"/>
    <n v="0"/>
    <n v="0"/>
    <n v="1.32"/>
    <n v="1.1963699999999999"/>
    <n v="15"/>
    <n v="28.12"/>
    <n v="0.63091619626574036"/>
    <x v="114"/>
    <n v="0"/>
    <n v="0"/>
    <n v="0"/>
    <n v="0"/>
    <n v="0"/>
    <n v="0"/>
  </r>
  <r>
    <n v="2060"/>
    <s v="แขวงทางหลวงสุราษฎร์ธานีที่ 2 (กาญจนดิษฐ์)"/>
    <n v="328"/>
    <n v="4292"/>
    <n v="100"/>
    <s v="ทางเข้านาสารด้านเหนือ"/>
    <n v="180"/>
    <n v="0"/>
    <n v="0.18"/>
    <n v="4"/>
    <s v="R2"/>
    <d v="2015-04-26T00:00:00"/>
    <s v="A.C."/>
    <n v="0"/>
    <n v="0.1"/>
    <n v="2.5000000000000001E-2"/>
    <n v="7.4999999999999997E-2"/>
    <n v="5.3624999999999998"/>
    <n v="5.5"/>
    <n v="0.2"/>
    <n v="0"/>
    <n v="0"/>
    <n v="0"/>
    <n v="2.6102500000000002"/>
    <n v="2.5"/>
    <n v="0"/>
    <n v="0"/>
    <n v="0.2"/>
    <n v="1.032"/>
    <n v="0"/>
    <n v="7.92"/>
    <n v="0.62857142857142856"/>
    <x v="114"/>
    <n v="0"/>
    <n v="0"/>
    <n v="0"/>
    <n v="0"/>
    <n v="0"/>
    <n v="0"/>
  </r>
  <r>
    <n v="294"/>
    <s v="แขวงทางหลวงสกลนครที่ 2 (สว่างแดนดิน)"/>
    <n v="642"/>
    <n v="2280"/>
    <n v="101"/>
    <s v="สนามชัย - เจริญศิลป์"/>
    <n v="0"/>
    <n v="17500"/>
    <n v="17.5"/>
    <n v="2"/>
    <s v="L1"/>
    <d v="2015-08-06T00:00:00"/>
    <s v="A.C."/>
    <n v="10.3"/>
    <n v="4.2"/>
    <n v="2.15"/>
    <n v="0.72499999999999998"/>
    <n v="2.5687099999999998"/>
    <n v="2.5"/>
    <n v="15.925000000000001"/>
    <n v="1.175"/>
    <n v="0.27500000000000002"/>
    <n v="0"/>
    <n v="6.1339100000000002"/>
    <n v="6"/>
    <n v="0"/>
    <n v="0"/>
    <n v="17.375"/>
    <n v="1.4238200000000001"/>
    <n v="382"/>
    <n v="0"/>
    <n v="0.62367346938775503"/>
    <x v="114"/>
    <n v="0"/>
    <n v="0"/>
    <n v="862.13"/>
    <n v="1.4075591836734693"/>
    <n v="0"/>
    <n v="0"/>
  </r>
  <r>
    <n v="1270"/>
    <s v="แขวงทางหลวงนครสวรรค์ที่ 2 (ตากฟ้า)"/>
    <n v="438"/>
    <n v="3331"/>
    <n v="100"/>
    <s v="หนองพิกุล - ใหม่สามัคคี"/>
    <s v="15+611"/>
    <s v="0+000"/>
    <n v="15.611000000000001"/>
    <n v="2"/>
    <s v="R1"/>
    <d v="2015-10-05T00:00:00"/>
    <s v="A.C."/>
    <n v="6.4749999999999996"/>
    <n v="5.0250000000000004"/>
    <n v="2.4500000000000002"/>
    <n v="1.625"/>
    <n v="3.2148300000000001"/>
    <n v="3"/>
    <n v="14.3"/>
    <n v="0.8"/>
    <n v="0.375"/>
    <n v="0.1"/>
    <n v="4.3983100000000004"/>
    <n v="4.5"/>
    <n v="0"/>
    <n v="0"/>
    <n v="15.611000000000001"/>
    <n v="1.31569"/>
    <n v="338.97"/>
    <n v="2.6"/>
    <n v="0.62276599833450785"/>
    <x v="114"/>
    <n v="220.6"/>
    <n v="0.4037446123154918"/>
    <n v="1.5"/>
    <n v="2.745E-3"/>
    <n v="0"/>
    <n v="0"/>
  </r>
  <r>
    <n v="1396"/>
    <s v="แขวงทางหลวงชัยนาท"/>
    <n v="446"/>
    <n v="3213"/>
    <n v="100"/>
    <s v="วัดสิงห์ - บ้านโคก"/>
    <n v="0"/>
    <n v="32068"/>
    <n v="32.067999999999998"/>
    <n v="4"/>
    <s v="L1"/>
    <d v="2015-08-04T00:00:00"/>
    <s v="A.C."/>
    <n v="22.88"/>
    <n v="6.68"/>
    <n v="1.99"/>
    <n v="0.52"/>
    <n v="2.2068500000000002"/>
    <n v="2"/>
    <n v="30.1"/>
    <n v="1.52"/>
    <n v="0.34"/>
    <n v="0.1"/>
    <n v="3.7610700000000001"/>
    <n v="4"/>
    <n v="0"/>
    <n v="0"/>
    <n v="32.07"/>
    <n v="1.20062"/>
    <n v="665.02099999999996"/>
    <n v="64.5"/>
    <n v="0.62124325094887645"/>
    <x v="114"/>
    <n v="22.5"/>
    <n v="2.0046686505461608E-2"/>
    <n v="0"/>
    <n v="0"/>
    <n v="0"/>
    <n v="0"/>
  </r>
  <r>
    <n v="2211"/>
    <s v="แขวงทางหลวงสตูล"/>
    <n v="318"/>
    <n v="406"/>
    <n v="102"/>
    <s v="ค่ายรวมมิตร - ย่านซื่อ"/>
    <n v="75725"/>
    <n v="54775"/>
    <n v="20.95"/>
    <n v="4"/>
    <s v="R2"/>
    <d v="2015-05-25T00:00:00"/>
    <s v="A.C."/>
    <n v="15.75"/>
    <n v="3.75"/>
    <n v="1.0249999999999999"/>
    <n v="0.4"/>
    <n v="2.1859099999999998"/>
    <n v="2"/>
    <n v="19.975000000000001"/>
    <n v="0.875"/>
    <n v="0.05"/>
    <n v="2.5000000000000001E-2"/>
    <n v="4.7749499999999996"/>
    <n v="5"/>
    <n v="0"/>
    <n v="0"/>
    <n v="20.924999999999997"/>
    <n v="1.2238100000000001"/>
    <n v="436.02"/>
    <n v="35"/>
    <n v="0.61850664848278214"/>
    <x v="114"/>
    <n v="0"/>
    <n v="0"/>
    <n v="4.18"/>
    <n v="5.7006478008864636E-3"/>
    <n v="0"/>
    <n v="0"/>
  </r>
  <r>
    <n v="1919"/>
    <s v="แขวงทางหลวงเพชรบุรี"/>
    <n v="338"/>
    <n v="3174"/>
    <n v="100"/>
    <s v="หนองเผาถ่าน - บ้านท่า"/>
    <n v="0"/>
    <n v="14190"/>
    <n v="14.19"/>
    <n v="2"/>
    <s v="L1"/>
    <d v="2015-04-03T00:00:00"/>
    <s v="A.C."/>
    <n v="10.24"/>
    <n v="2.37"/>
    <n v="1.04"/>
    <n v="0.53"/>
    <n v="2.3405"/>
    <n v="2.5"/>
    <n v="13.66"/>
    <n v="0.46"/>
    <n v="0.08"/>
    <n v="0"/>
    <n v="3.3955799999999998"/>
    <n v="3.5"/>
    <n v="0"/>
    <n v="0"/>
    <n v="14.19"/>
    <n v="1.14934"/>
    <n v="303.27"/>
    <n v="6.28"/>
    <n v="0.61695358904661224"/>
    <x v="114"/>
    <n v="1"/>
    <n v="2.0134903855834087E-3"/>
    <n v="80"/>
    <n v="0.16107923084667269"/>
    <n v="10"/>
    <n v="2.0134903855834087E-2"/>
  </r>
  <r>
    <n v="910"/>
    <s v="แขวงทางหลวงศรีสะเกษที่ 2"/>
    <n v="636"/>
    <n v="2126"/>
    <n v="100"/>
    <s v="ผือใหม่ - โดนเอาว์"/>
    <n v="0"/>
    <n v="11225"/>
    <n v="11.225"/>
    <n v="2"/>
    <s v="L1"/>
    <d v="2015-05-13T00:00:00"/>
    <s v="A.C."/>
    <n v="8.65"/>
    <n v="1.65"/>
    <n v="0.55000000000000004"/>
    <n v="0.375"/>
    <n v="2.37"/>
    <n v="2.5"/>
    <n v="11.175000000000001"/>
    <n v="0.05"/>
    <n v="0"/>
    <n v="0"/>
    <n v="3.53"/>
    <n v="3.5"/>
    <n v="0"/>
    <n v="0"/>
    <n v="11.225000000000001"/>
    <n v="1.724"/>
    <n v="133.91999999999999"/>
    <n v="216.87"/>
    <n v="0.61687999999999998"/>
    <x v="114"/>
    <n v="0"/>
    <n v="0"/>
    <n v="1763.69"/>
    <n v="4.4891889999999997"/>
    <n v="0"/>
    <n v="0"/>
  </r>
  <r>
    <n v="1202"/>
    <s v="แขวงทางหลวงลพบุรีที่ 2 (ลำนารายณ์)"/>
    <n v="435"/>
    <n v="2243"/>
    <n v="101"/>
    <s v="บัวชุม - สี่แยกบัวชุม"/>
    <s v="0+000"/>
    <s v="5+000"/>
    <n v="5"/>
    <n v="2"/>
    <s v="L1"/>
    <d v="2015-10-05T00:00:00"/>
    <s v="A.C."/>
    <n v="2.9"/>
    <n v="0.875"/>
    <n v="0.375"/>
    <n v="0.3"/>
    <n v="2.6677499999999998"/>
    <n v="2.5"/>
    <n v="4.3499999999999996"/>
    <n v="0.1"/>
    <n v="0"/>
    <n v="0"/>
    <n v="2.2793199999999998"/>
    <n v="2.5"/>
    <n v="0"/>
    <n v="0"/>
    <n v="5"/>
    <n v="1.1923299999999999"/>
    <n v="103.85"/>
    <n v="7.63"/>
    <n v="0.61522857142857135"/>
    <x v="114"/>
    <n v="67.650000000000006"/>
    <n v="0.386571"/>
    <n v="0"/>
    <n v="0"/>
    <n v="0"/>
    <n v="0"/>
  </r>
  <r>
    <n v="1034"/>
    <s v="แขวงทางหลวงบุรีรัมย์"/>
    <n v="617"/>
    <n v="2208"/>
    <n v="101"/>
    <s v="ประโคนชัย - ห้วยละเวี้ย"/>
    <n v="0"/>
    <n v="4557"/>
    <n v="4.5570000000000004"/>
    <n v="2"/>
    <s v="L1"/>
    <d v="2015-05-08T00:00:00"/>
    <s v="A.C."/>
    <n v="1.8"/>
    <n v="1.95"/>
    <n v="0.57499999999999996"/>
    <n v="0.22500000000000001"/>
    <n v="2.90456"/>
    <n v="3"/>
    <n v="3.625"/>
    <n v="0.82499999999999996"/>
    <n v="7.4999999999999997E-2"/>
    <n v="2.5000000000000001E-2"/>
    <n v="7.0601399999999996"/>
    <n v="7"/>
    <n v="0"/>
    <n v="0"/>
    <n v="4.55"/>
    <n v="1.1920599999999999"/>
    <n v="89.63"/>
    <n v="16.489999999999998"/>
    <n v="0.61365560048904355"/>
    <x v="114"/>
    <n v="0"/>
    <n v="0"/>
    <n v="32.299999999999997"/>
    <n v="0.20251418539766136"/>
    <n v="0"/>
    <n v="0"/>
  </r>
  <r>
    <n v="2124"/>
    <s v="แขวงทางหลวงภูเก็ต"/>
    <n v="324"/>
    <n v="4028"/>
    <n v="100"/>
    <s v="ห้าแยกฉลอง - กะรน"/>
    <n v="8608"/>
    <n v="0"/>
    <n v="8.6080000000000005"/>
    <n v="2"/>
    <s v="L1"/>
    <d v="2015-05-14T00:00:00"/>
    <s v="A.C."/>
    <n v="3.4750000000000001"/>
    <n v="3.0750000000000002"/>
    <n v="1.55"/>
    <n v="0.55000000000000004"/>
    <n v="3.02962"/>
    <n v="3"/>
    <n v="8.3249999999999993"/>
    <n v="0.27500000000000002"/>
    <n v="2.5000000000000001E-2"/>
    <n v="2.5000000000000001E-2"/>
    <n v="3.9553799999999999"/>
    <n v="4"/>
    <n v="0"/>
    <n v="0"/>
    <n v="8.6500000000000021"/>
    <n v="1.21045"/>
    <n v="168"/>
    <n v="32.82"/>
    <n v="0.61208842272968667"/>
    <x v="114"/>
    <n v="99.74"/>
    <n v="0.33105416887944772"/>
    <n v="1.68"/>
    <n v="5.5762081784386614E-3"/>
    <n v="9.26"/>
    <n v="3.0735528412108335E-2"/>
  </r>
  <r>
    <n v="1536"/>
    <s v="แขวงทางหลวงนครนายก"/>
    <n v="414"/>
    <n v="3239"/>
    <n v="100"/>
    <s v="นครนายก - เขื่อนขุนด่านปราการชล"/>
    <n v="1000"/>
    <n v="17126"/>
    <n v="16.126000000000001"/>
    <n v="2"/>
    <s v="L1"/>
    <d v="2015-09-19T00:00:00"/>
    <s v="A.C."/>
    <n v="12.35"/>
    <n v="2.5499999999999998"/>
    <n v="1.0249999999999999"/>
    <n v="0.17499999999999999"/>
    <n v="2.1522800000000002"/>
    <n v="2"/>
    <n v="15.9"/>
    <n v="0.2"/>
    <n v="0"/>
    <n v="0"/>
    <n v="4.6986400000000001"/>
    <n v="4.5"/>
    <n v="0"/>
    <n v="0"/>
    <n v="16.126000000000001"/>
    <n v="1.1703699999999999"/>
    <n v="323"/>
    <n v="41.9"/>
    <n v="0.60939742385854256"/>
    <x v="114"/>
    <n v="17219"/>
    <n v="30.507964068673481"/>
    <n v="156.05000000000001"/>
    <n v="0.27648340745202954"/>
    <n v="362"/>
    <n v="0.64137772186885422"/>
  </r>
  <r>
    <n v="38"/>
    <s v="แขวงทางหลวงเชียงใหม่ที่ 2"/>
    <n v="522"/>
    <n v="1252"/>
    <n v="100"/>
    <s v="ปางแฟน - แม่ตอนหลวง"/>
    <s v="0+000"/>
    <s v="23+532"/>
    <n v="23.532"/>
    <n v="4"/>
    <s v="L1"/>
    <d v="2015-08-22T00:00:00"/>
    <s v="A.C."/>
    <n v="4.75"/>
    <n v="4.9249999999999998"/>
    <n v="6.8"/>
    <n v="7"/>
    <n v="4.44529"/>
    <n v="4.5"/>
    <n v="20.675000000000001"/>
    <n v="1.6"/>
    <n v="0.42499999999999999"/>
    <n v="0.77500000000000002"/>
    <n v="5.5609000000000002"/>
    <n v="5.5"/>
    <n v="0"/>
    <n v="0"/>
    <n v="23.475000000000001"/>
    <n v="1.86127"/>
    <n v="228.53"/>
    <n v="544.15"/>
    <n v="0.60781064082950875"/>
    <x v="114"/>
    <n v="848.8"/>
    <n v="1.0305723513270681"/>
    <n v="818"/>
    <n v="0.993176464874578"/>
    <n v="9.25"/>
    <n v="1.1230907457322553E-2"/>
  </r>
  <r>
    <n v="1911"/>
    <s v="แขวงทางหลวงสมุทรสงคราม"/>
    <n v="337"/>
    <n v="3510"/>
    <n v="100"/>
    <s v="ท่ายาง - หนองหญ้าปล้อง"/>
    <n v="0"/>
    <n v="25921"/>
    <n v="25.920999999999999"/>
    <n v="4"/>
    <s v="L2"/>
    <d v="2015-03-28T00:00:00"/>
    <s v="A.C."/>
    <n v="5.76"/>
    <n v="9.18"/>
    <n v="8.0299999999999994"/>
    <n v="2.95"/>
    <n v="3.5329899999999999"/>
    <n v="3.5"/>
    <n v="22.06"/>
    <n v="3.48"/>
    <n v="0.35"/>
    <n v="0.03"/>
    <n v="6.6873500000000003"/>
    <n v="6.5"/>
    <n v="0"/>
    <n v="0"/>
    <n v="25.92"/>
    <n v="1.3139099999999999"/>
    <n v="390.36"/>
    <n v="319.88"/>
    <n v="0.60656830920323834"/>
    <x v="114"/>
    <n v="38.26"/>
    <n v="4.2172094330575872E-2"/>
    <n v="0"/>
    <n v="0"/>
    <n v="1"/>
    <n v="1.1022502438728665E-3"/>
  </r>
  <r>
    <n v="206"/>
    <s v="แขวงทางหลวงพะเยา"/>
    <n v="535"/>
    <n v="1188"/>
    <n v="100"/>
    <s v="ปง - ห้วยกอก"/>
    <n v="0"/>
    <n v="24960"/>
    <n v="24.96"/>
    <n v="2"/>
    <s v="L1"/>
    <d v="2015-07-24T00:00:00"/>
    <s v="A.C."/>
    <n v="0.3"/>
    <n v="4.45"/>
    <n v="10.87"/>
    <n v="9.39"/>
    <n v="5.1665999999999999"/>
    <n v="5"/>
    <n v="22.54"/>
    <n v="2.4700000000000002"/>
    <n v="0"/>
    <n v="0"/>
    <n v="6.6906299999999996"/>
    <n v="6.5"/>
    <n v="0"/>
    <n v="0"/>
    <n v="25.01"/>
    <n v="1.32507"/>
    <n v="499"/>
    <n v="58.62"/>
    <n v="0.60475045787545789"/>
    <x v="114"/>
    <n v="553"/>
    <n v="0.63301282051282048"/>
    <n v="15"/>
    <n v="1.7170329670329672E-2"/>
    <n v="308"/>
    <n v="0.35256410256410259"/>
  </r>
  <r>
    <n v="1865"/>
    <s v="แขวงทางหลวงราชบุรี"/>
    <n v="335"/>
    <n v="323"/>
    <n v="100"/>
    <s v="หนองตะแครง - ลูกแก"/>
    <n v="0"/>
    <n v="18592"/>
    <n v="18.591999999999999"/>
    <n v="4"/>
    <s v="L2"/>
    <d v="2015-03-30T00:00:00"/>
    <s v="A.C."/>
    <n v="11.06"/>
    <n v="4.6500000000000004"/>
    <n v="2.27"/>
    <n v="0.6"/>
    <n v="2.6344799999999999"/>
    <n v="2.5"/>
    <n v="18.399999999999999"/>
    <n v="0.16"/>
    <n v="0.03"/>
    <n v="0"/>
    <n v="2.9727199999999998"/>
    <n v="3"/>
    <n v="0"/>
    <n v="0"/>
    <n v="18.59"/>
    <n v="1.2148399999999999"/>
    <n v="362.05"/>
    <n v="59.66"/>
    <n v="0.60222522744037377"/>
    <x v="114"/>
    <n v="29.353999999999999"/>
    <n v="4.5110031964593067E-2"/>
    <n v="0"/>
    <n v="0"/>
    <n v="0"/>
    <n v="0"/>
  </r>
  <r>
    <n v="619"/>
    <s v="แขวงทางหลวงเลยที่ 2 (ด่านซ้าย)"/>
    <n v="555"/>
    <n v="2114"/>
    <n v="100"/>
    <s v="ด่านซ้าย - ปากหมัน"/>
    <n v="26790"/>
    <n v="0"/>
    <n v="26.79"/>
    <n v="2"/>
    <s v="R1"/>
    <d v="2015-07-02T00:00:00"/>
    <s v="A.C."/>
    <n v="19.899999999999999"/>
    <n v="3.9249999999999998"/>
    <n v="1.65"/>
    <n v="1.1499999999999999"/>
    <n v="2.4540299999999999"/>
    <n v="2.5"/>
    <n v="24.55"/>
    <n v="1.7749999999999999"/>
    <n v="0.25"/>
    <n v="0.05"/>
    <n v="4.1427100000000001"/>
    <n v="4"/>
    <n v="0"/>
    <n v="0"/>
    <n v="26.624999999999996"/>
    <n v="1.0505500000000001"/>
    <n v="455"/>
    <n v="217.9"/>
    <n v="0.60145043459713121"/>
    <x v="114"/>
    <n v="0"/>
    <n v="0"/>
    <n v="239"/>
    <n v="0.25489255052524928"/>
    <n v="0"/>
    <n v="0"/>
  </r>
  <r>
    <n v="481"/>
    <s v="แขวงทางหลวงพิจิตร"/>
    <n v="519"/>
    <n v="113"/>
    <n v="201"/>
    <s v="ดงขุย - เขาทราย"/>
    <s v="57+803"/>
    <s v="54+253"/>
    <n v="3.55"/>
    <s v="R1"/>
    <n v="2"/>
    <d v="2015-09-29T00:00:00"/>
    <s v="A.C."/>
    <n v="2.4700000000000002"/>
    <n v="0.57999999999999996"/>
    <n v="0.36"/>
    <n v="0.14000000000000001"/>
    <n v="2.5434700000000001"/>
    <n v="2.5"/>
    <n v="3.45"/>
    <n v="0.1"/>
    <n v="0"/>
    <n v="0"/>
    <n v="2.6234099999999998"/>
    <n v="2.5"/>
    <n v="0"/>
    <n v="0"/>
    <n v="3.55"/>
    <n v="1.1902900000000001"/>
    <n v="68.344999999999999"/>
    <n v="12.467000000000001"/>
    <n v="0.60022900000000001"/>
    <x v="114"/>
    <n v="86.57"/>
    <n v="0.69674000000000003"/>
    <n v="0"/>
    <n v="0"/>
    <n v="0"/>
    <n v="0"/>
  </r>
  <r>
    <n v="578"/>
    <s v="แขวงทางหลวงเพชรบูรณ์ที่ 2 (บึงสามพัน)"/>
    <n v="552"/>
    <n v="1191"/>
    <n v="200"/>
    <s v="ท้ายดง - วังหิน"/>
    <n v="18232"/>
    <n v="2860"/>
    <n v="15.372"/>
    <n v="2"/>
    <s v="R1"/>
    <d v="2015-07-10T00:00:00"/>
    <s v="A.C."/>
    <n v="7.375"/>
    <n v="4.8250000000000002"/>
    <n v="1.9750000000000001"/>
    <n v="1.175"/>
    <n v="2.8871199999999999"/>
    <n v="3"/>
    <n v="13.25"/>
    <n v="1.575"/>
    <n v="0.27500000000000002"/>
    <n v="0.25"/>
    <n v="5.55274"/>
    <n v="5.5"/>
    <n v="0"/>
    <n v="0"/>
    <n v="15.35"/>
    <n v="1.34602"/>
    <n v="319"/>
    <n v="3.55"/>
    <n v="0.5962138953942232"/>
    <x v="114"/>
    <n v="4"/>
    <n v="7.4346678562135244E-3"/>
    <n v="0"/>
    <n v="0"/>
    <n v="40"/>
    <n v="7.4346678562135241E-2"/>
  </r>
  <r>
    <n v="1428"/>
    <s v="แขวงทางหลวงอุทัยธานี"/>
    <n v="447"/>
    <n v="3504"/>
    <n v="100"/>
    <s v="คลองข่อย - ห้วยน้ำดัง"/>
    <n v="0"/>
    <n v="3717"/>
    <n v="3.7170000000000001"/>
    <n v="2"/>
    <s v="L3"/>
    <d v="2015-08-01T00:00:00"/>
    <s v="A.C."/>
    <n v="2.7"/>
    <n v="0.42499999999999999"/>
    <n v="0.22500000000000001"/>
    <n v="0.35"/>
    <n v="2.5463499999999999"/>
    <n v="2.5"/>
    <n v="3.55"/>
    <n v="0.125"/>
    <n v="2.5000000000000001E-2"/>
    <n v="0"/>
    <n v="2.9134899999999999"/>
    <n v="3"/>
    <n v="0"/>
    <n v="0"/>
    <n v="3.7"/>
    <n v="1.2303599999999999"/>
    <n v="55.432000000000002"/>
    <n v="42.54"/>
    <n v="0.58958453437872316"/>
    <x v="114"/>
    <n v="87.11"/>
    <n v="0.66958760905492132"/>
    <n v="1.125"/>
    <n v="8.6475268073331023E-3"/>
    <n v="0"/>
    <n v="0"/>
  </r>
  <r>
    <n v="1181"/>
    <s v="แขวงทางหลวงสิงห์บุรี"/>
    <n v="433"/>
    <n v="3027"/>
    <n v="100"/>
    <s v="ท่าวุ้ง - มหานาม"/>
    <s v="0+000"/>
    <s v="15+900"/>
    <n v="15.9"/>
    <n v="2"/>
    <s v="L1"/>
    <d v="2015-10-05T00:00:00"/>
    <s v="A.C."/>
    <n v="11.85"/>
    <n v="2.4750000000000001"/>
    <n v="1.175"/>
    <n v="0.57499999999999996"/>
    <n v="2.2516500000000002"/>
    <n v="2.5"/>
    <n v="15.074999999999999"/>
    <n v="0.8"/>
    <n v="7.4999999999999997E-2"/>
    <n v="0.125"/>
    <n v="3.1101200000000002"/>
    <n v="3"/>
    <n v="0"/>
    <n v="0"/>
    <n v="15.9"/>
    <n v="1.28531"/>
    <n v="278.2"/>
    <n v="98.6"/>
    <n v="0.58849955076370175"/>
    <x v="114"/>
    <n v="145.32"/>
    <n v="0.26113207547169809"/>
    <n v="2.3E-2"/>
    <n v="4.1329739442946988E-5"/>
    <n v="0"/>
    <n v="4.1329739442946988E-5"/>
  </r>
  <r>
    <n v="682"/>
    <s v="แขวงทางหลวงอุดรธานีที่ 2"/>
    <n v="624"/>
    <n v="2096"/>
    <n v="102"/>
    <s v="บ้านดุง - หนองกา"/>
    <n v="41000"/>
    <n v="69091"/>
    <n v="28.091000000000001"/>
    <n v="2"/>
    <s v="L1"/>
    <d v="2015-06-15T00:00:00"/>
    <s v="A.C."/>
    <n v="20.074999999999999"/>
    <n v="5.0999999999999996"/>
    <n v="1.95"/>
    <n v="0.85"/>
    <n v="2.4198599999999999"/>
    <n v="2.5"/>
    <n v="24.5"/>
    <n v="2.1"/>
    <n v="0.65"/>
    <n v="0.72499999999999998"/>
    <n v="4.8140299999999998"/>
    <n v="5"/>
    <n v="0"/>
    <n v="0"/>
    <n v="27.974999999999998"/>
    <n v="1.1659900000000001"/>
    <n v="369.5"/>
    <n v="417.21"/>
    <n v="0.58799000000000001"/>
    <x v="114"/>
    <n v="1.03"/>
    <n v="1.0499999999999999E-3"/>
    <n v="271.17"/>
    <n v="0.275808"/>
    <n v="0"/>
    <n v="0"/>
  </r>
  <r>
    <n v="1383"/>
    <s v="แขวงทางหลวงสุพรรณบุรีที่ 2 (อู่ทอง)"/>
    <n v="445"/>
    <n v="3480"/>
    <n v="100"/>
    <s v="ปลักประดู่ - ถ้ำธารลอด"/>
    <n v="0"/>
    <n v="40"/>
    <n v="40.200000000000003"/>
    <n v="2"/>
    <s v="L1"/>
    <d v="2015-07-23T00:00:00"/>
    <s v="A.C."/>
    <n v="27.774999999999999"/>
    <n v="8.7750000000000004"/>
    <n v="2.9750000000000001"/>
    <n v="0.82499999999999996"/>
    <n v="2.36287"/>
    <n v="2.5"/>
    <n v="39.9"/>
    <n v="0.25"/>
    <n v="0.125"/>
    <n v="7.4999999999999997E-2"/>
    <n v="2.4290600000000002"/>
    <n v="2.5"/>
    <n v="0"/>
    <n v="0"/>
    <n v="40.35"/>
    <n v="1.24597"/>
    <n v="408"/>
    <n v="836"/>
    <n v="0.5870646766169153"/>
    <x v="114"/>
    <n v="17"/>
    <n v="1.2082444918265812E-2"/>
    <n v="12"/>
    <n v="8.5287846481876314E-3"/>
    <n v="0"/>
    <n v="0"/>
  </r>
  <r>
    <n v="2068"/>
    <s v="แขวงทางหลวงสุราษฎร์ธานีที่ 2 (กาญจนดิษฐ์)"/>
    <n v="328"/>
    <n v="4350"/>
    <n v="100"/>
    <s v="แหลมยาง - หาดผก"/>
    <n v="0"/>
    <n v="1000"/>
    <n v="1"/>
    <n v="2"/>
    <s v="L1"/>
    <d v="2015-04-26T00:00:00"/>
    <s v="A.C."/>
    <n v="0.77500000000000002"/>
    <n v="2.5000000000000001E-2"/>
    <n v="7.4999999999999997E-2"/>
    <n v="7.4999999999999997E-2"/>
    <n v="2.29447"/>
    <n v="2.5"/>
    <n v="0.9"/>
    <n v="0.05"/>
    <n v="0"/>
    <n v="0"/>
    <n v="4.0247099999999998"/>
    <n v="4"/>
    <n v="0"/>
    <n v="0"/>
    <n v="0.95"/>
    <n v="1.35297"/>
    <n v="10.36"/>
    <n v="20.369"/>
    <n v="0.58698571428571433"/>
    <x v="114"/>
    <n v="29.37"/>
    <n v="0.83914285714285719"/>
    <n v="0.36499999999999999"/>
    <n v="1.0428571428571428E-2"/>
    <n v="0"/>
    <n v="0"/>
  </r>
  <r>
    <n v="77"/>
    <s v="แขวงทางหลวงลำพูน"/>
    <n v="524"/>
    <n v="1136"/>
    <n v="100"/>
    <s v="เหมืองง่า - ลำพูน"/>
    <s v="0+000"/>
    <s v="2+040"/>
    <n v="2.04"/>
    <n v="2"/>
    <s v="L1"/>
    <d v="2015-08-11T00:00:00"/>
    <s v="A.C."/>
    <n v="0.22500000000000001"/>
    <n v="1.1000000000000001"/>
    <n v="0.4"/>
    <n v="0.32500000000000001"/>
    <n v="3.78085"/>
    <n v="4"/>
    <n v="1.9"/>
    <n v="0.15"/>
    <n v="0"/>
    <n v="0"/>
    <n v="5.2145000000000001"/>
    <n v="5"/>
    <n v="0"/>
    <n v="0"/>
    <n v="2.0500000000000003"/>
    <n v="1.31867"/>
    <n v="41.85"/>
    <n v="0"/>
    <n v="0.58613445378151263"/>
    <x v="114"/>
    <n v="0"/>
    <n v="0"/>
    <n v="0"/>
    <n v="0"/>
    <n v="0"/>
    <n v="0"/>
  </r>
  <r>
    <n v="313"/>
    <s v="แขวงทางหลวงนครพนม"/>
    <n v="644"/>
    <n v="2030"/>
    <n v="100"/>
    <s v="ทางเลี่ยงองค์พระธาตุ"/>
    <n v="0"/>
    <n v="2155"/>
    <n v="2.1549999999999998"/>
    <n v="4"/>
    <s v="L2"/>
    <d v="2015-06-03T00:00:00"/>
    <s v="A.C."/>
    <n v="1.35"/>
    <n v="0.28000000000000003"/>
    <n v="0.3"/>
    <n v="0.23"/>
    <n v="2.7933699999999999"/>
    <n v="3"/>
    <n v="1.98"/>
    <n v="0.08"/>
    <n v="0.1"/>
    <n v="0"/>
    <n v="4.8339499999999997"/>
    <n v="5"/>
    <n v="0"/>
    <n v="0"/>
    <n v="2.16"/>
    <n v="1.1363799999999999"/>
    <n v="11"/>
    <n v="66"/>
    <n v="0.58335999999999999"/>
    <x v="114"/>
    <n v="0"/>
    <n v="0"/>
    <n v="0"/>
    <n v="0"/>
    <n v="0"/>
    <n v="0"/>
  </r>
  <r>
    <n v="1140"/>
    <s v="แขวงทางหลวงสระบุรี"/>
    <n v="432"/>
    <n v="2273"/>
    <n v="100"/>
    <s v="บ้านหมาก - เขาแดง"/>
    <s v="2+203"/>
    <s v="0+000"/>
    <n v="2.2029999999999998"/>
    <n v="2"/>
    <s v="R1"/>
    <d v="2015-10-05T00:00:00"/>
    <s v="A.C."/>
    <n v="1.8"/>
    <n v="0.35"/>
    <n v="0.05"/>
    <n v="2.5000000000000001E-2"/>
    <n v="2.0655100000000002"/>
    <n v="2"/>
    <n v="2.125"/>
    <n v="7.4999999999999997E-2"/>
    <n v="2.5000000000000001E-2"/>
    <n v="0"/>
    <n v="3.6678700000000002"/>
    <n v="3.5"/>
    <n v="0"/>
    <n v="0"/>
    <n v="2.2249999999999996"/>
    <n v="1.43679"/>
    <n v="14.63"/>
    <n v="60.3"/>
    <n v="0.580766"/>
    <x v="114"/>
    <n v="20.364999999999998"/>
    <n v="0.26412000000000002"/>
    <n v="5.1139999999999999"/>
    <n v="6.6324999999999995E-2"/>
    <n v="0"/>
    <n v="0"/>
  </r>
  <r>
    <n v="886"/>
    <s v="แขวงทางหลวงอุบลราชธานีที่ 2 (หนองหาน)"/>
    <n v="632"/>
    <n v="2213"/>
    <n v="100"/>
    <s v="นาส่วง - นาเยีย"/>
    <n v="0"/>
    <n v="11885"/>
    <n v="11.885"/>
    <n v="2"/>
    <s v="L1"/>
    <d v="2015-05-19T00:00:00"/>
    <s v="A.C."/>
    <n v="4.875"/>
    <n v="3.0750000000000002"/>
    <n v="2.2250000000000001"/>
    <n v="1.7749999999999999"/>
    <n v="3.2591199999999998"/>
    <n v="3.5"/>
    <n v="10.6"/>
    <n v="1.125"/>
    <n v="0.17499999999999999"/>
    <n v="0.05"/>
    <n v="6.1234900000000003"/>
    <n v="6"/>
    <n v="0"/>
    <n v="0"/>
    <n v="11.950000000000001"/>
    <n v="2.1191800000000001"/>
    <n v="235.8"/>
    <n v="8.2200000000000006"/>
    <n v="0.57674099999999995"/>
    <x v="114"/>
    <n v="1482.91"/>
    <n v="3.564902"/>
    <n v="8.9499999999999993"/>
    <n v="2.1516E-2"/>
    <n v="285.7"/>
    <n v="0.68681999999999999"/>
  </r>
  <r>
    <n v="629"/>
    <s v="แขวงทางหลวงเลยที่ 2 (ด่านซ้าย)"/>
    <n v="555"/>
    <n v="2479"/>
    <n v="101"/>
    <s v="นาจาน - น้ำแคม"/>
    <n v="7950"/>
    <n v="0"/>
    <n v="7.95"/>
    <n v="2"/>
    <s v="R1"/>
    <d v="2015-07-01T00:00:00"/>
    <s v="A.C."/>
    <n v="2.5750000000000002"/>
    <n v="2.65"/>
    <n v="1.75"/>
    <n v="0.875"/>
    <n v="2.79745"/>
    <n v="3"/>
    <n v="7.5750000000000002"/>
    <n v="0.25"/>
    <n v="2.5000000000000001E-2"/>
    <n v="0"/>
    <n v="3.17381"/>
    <n v="3"/>
    <n v="0"/>
    <n v="0"/>
    <n v="7.85"/>
    <n v="1.1744600000000001"/>
    <n v="160"/>
    <n v="0"/>
    <n v="0.57502246181491468"/>
    <x v="114"/>
    <n v="0"/>
    <n v="0"/>
    <n v="0"/>
    <n v="0"/>
    <n v="0"/>
    <n v="0"/>
  </r>
  <r>
    <n v="2142"/>
    <s v="แขวงทางหลวงพังงา"/>
    <n v="327"/>
    <n v="415"/>
    <n v="100"/>
    <s v="นาเหนือ - บางคราม"/>
    <n v="21381"/>
    <n v="0"/>
    <n v="21.381"/>
    <n v="2"/>
    <s v="R1"/>
    <d v="2015-05-11T00:00:00"/>
    <s v="A.C."/>
    <n v="14.375"/>
    <n v="3.8250000000000002"/>
    <n v="2.2000000000000002"/>
    <n v="0.97499999999999998"/>
    <n v="2.4010099999999999"/>
    <n v="2.5"/>
    <n v="20.100000000000001"/>
    <n v="1.175"/>
    <n v="0.1"/>
    <n v="0"/>
    <n v="3.9493100000000001"/>
    <n v="4"/>
    <n v="0"/>
    <n v="0"/>
    <n v="21.375"/>
    <n v="1.4553400000000001"/>
    <n v="423"/>
    <n v="13"/>
    <n v="0.5739408152765807"/>
    <x v="114"/>
    <n v="102"/>
    <n v="0.13630259175369319"/>
    <n v="15"/>
    <n v="2.0044498787307824E-2"/>
    <n v="0"/>
    <n v="0"/>
  </r>
  <r>
    <n v="1163"/>
    <s v="แขวงทางหลวงสระบุรี"/>
    <n v="432"/>
    <n v="3314"/>
    <n v="102"/>
    <s v="ป๊อกแป๊ก - สันมะค่า"/>
    <s v="5+769"/>
    <s v="12+773"/>
    <n v="7.0039999999999996"/>
    <n v="2"/>
    <s v="L1"/>
    <d v="2015-10-05T00:00:00"/>
    <s v="A.C."/>
    <n v="4.3"/>
    <n v="1.4750000000000001"/>
    <n v="0.52500000000000002"/>
    <n v="0.67500000000000004"/>
    <n v="2.81047"/>
    <n v="3"/>
    <n v="4.45"/>
    <n v="1.75"/>
    <n v="0.75"/>
    <n v="2.5000000000000001E-2"/>
    <n v="8.3153000000000006"/>
    <n v="8.5"/>
    <n v="0"/>
    <n v="0"/>
    <n v="6.9750000000000005"/>
    <n v="1.8370500000000001"/>
    <n v="139.66800000000001"/>
    <n v="1.2"/>
    <n v="0.57219500000000001"/>
    <x v="114"/>
    <n v="116.39"/>
    <n v="0.47478999999999999"/>
    <n v="4.3"/>
    <n v="1.7541000000000001E-2"/>
    <n v="0"/>
    <n v="0"/>
  </r>
  <r>
    <n v="138"/>
    <s v="แขวงทางหลวงแพร่"/>
    <n v="531"/>
    <n v="101"/>
    <n v="401"/>
    <s v="แม่สิน - ปางเคาะ"/>
    <n v="190947"/>
    <n v="216931"/>
    <n v="26.074999999999999"/>
    <n v="2"/>
    <s v="L1"/>
    <d v="2015-08-07T00:00:00"/>
    <s v="A.C."/>
    <n v="12.5"/>
    <n v="12.5"/>
    <n v="0"/>
    <n v="0"/>
    <n v="2.2421600000000002"/>
    <n v="2"/>
    <n v="5.83"/>
    <n v="2.2400000000000002"/>
    <n v="1.58"/>
    <n v="15.35"/>
    <n v="40.254399999999997"/>
    <n v="40.5"/>
    <n v="0"/>
    <n v="0"/>
    <n v="24.99"/>
    <n v="1.51634"/>
    <n v="482"/>
    <n v="78.33"/>
    <n v="0.5710614984248733"/>
    <x v="114"/>
    <n v="191"/>
    <n v="0.20928639912340774"/>
    <n v="0"/>
    <n v="0"/>
    <n v="6"/>
    <n v="6.5744418572798247E-3"/>
  </r>
  <r>
    <n v="960"/>
    <s v="แขวงทางหลวงนครราชสีมาที่ 1"/>
    <n v="611"/>
    <n v="2464"/>
    <n v="100"/>
    <s v="ทางเข้าเทศบาลตำบลขามสะแกแสง"/>
    <n v="0"/>
    <n v="606"/>
    <n v="0.60599999999999998"/>
    <n v="2"/>
    <s v="L1"/>
    <d v="2015-04-24T00:00:00"/>
    <s v="A.C."/>
    <n v="0.47499999999999998"/>
    <n v="0.1"/>
    <n v="2.5000000000000001E-2"/>
    <n v="0.05"/>
    <n v="2.6503800000000002"/>
    <n v="2.5"/>
    <n v="0.6"/>
    <n v="0.05"/>
    <n v="0"/>
    <n v="0"/>
    <n v="4.8366899999999999"/>
    <n v="5"/>
    <n v="0"/>
    <n v="0"/>
    <n v="0.60599999999999998"/>
    <n v="1.17096"/>
    <n v="0"/>
    <n v="24.21"/>
    <n v="0.57072135785007072"/>
    <x v="114"/>
    <n v="0"/>
    <n v="0"/>
    <n v="0"/>
    <n v="0"/>
    <n v="0"/>
    <n v="0"/>
  </r>
  <r>
    <n v="1472"/>
    <s v="แขวงทางหลวงกรุงเทพ"/>
    <n v="411"/>
    <n v="304"/>
    <n v="201"/>
    <s v="คลองประปา - คันนายาว"/>
    <s v="7+916"/>
    <s v="19+600"/>
    <n v="11.683999999999999"/>
    <n v="8"/>
    <s v="L2"/>
    <d v="2015-08-31T00:00:00"/>
    <s v="A.C."/>
    <n v="1.4750000000000001"/>
    <n v="2.0249999999999999"/>
    <n v="3.65"/>
    <n v="4.5750000000000002"/>
    <n v="4.4429999999999996"/>
    <n v="4.5"/>
    <n v="11.6"/>
    <n v="0.1"/>
    <n v="2.5000000000000001E-2"/>
    <n v="0"/>
    <n v="3.8690000000000002"/>
    <n v="4"/>
    <n v="0"/>
    <n v="0"/>
    <n v="11.725"/>
    <n v="1.08"/>
    <n v="0"/>
    <n v="463.93"/>
    <n v="0.56723480217146771"/>
    <x v="114"/>
    <n v="0"/>
    <n v="0"/>
    <n v="134.41999999999999"/>
    <n v="0.32870347728273092"/>
    <n v="0"/>
    <n v="0"/>
  </r>
  <r>
    <n v="1013"/>
    <s v="แขวงทางหลวงบุรีรัมย์"/>
    <n v="617"/>
    <n v="226"/>
    <n v="205"/>
    <s v="ระกา - ลำน้ำชี"/>
    <n v="155863"/>
    <n v="147079"/>
    <n v="8.7840000000000007"/>
    <n v="4"/>
    <s v="R2"/>
    <d v="2015-05-07T00:00:00"/>
    <s v="A.C."/>
    <n v="5.125"/>
    <n v="1.65"/>
    <n v="1.0249999999999999"/>
    <n v="0.97499999999999998"/>
    <n v="3.7991100000000002"/>
    <n v="4"/>
    <n v="6.35"/>
    <n v="1.8"/>
    <n v="0.375"/>
    <n v="0.25"/>
    <n v="9.0477100000000004"/>
    <n v="9"/>
    <n v="0"/>
    <n v="0"/>
    <n v="8.7750000000000004"/>
    <n v="1.2046399999999999"/>
    <n v="158.91"/>
    <n v="30.64"/>
    <n v="0.56671220400728584"/>
    <x v="114"/>
    <n v="64.52"/>
    <n v="0.20986208691126718"/>
    <n v="543.95000000000005"/>
    <n v="1.7692883164194639"/>
    <n v="0"/>
    <n v="0"/>
  </r>
  <r>
    <n v="1876"/>
    <s v="แขวงทางหลวงราชบุรี"/>
    <n v="335"/>
    <n v="3291"/>
    <n v="101"/>
    <s v="เจดีย์หัก - แก้วฟ้า"/>
    <s v="0+000"/>
    <s v="3+920"/>
    <n v="3.92"/>
    <n v="2"/>
    <s v="L2"/>
    <d v="2015-04-01T00:00:00"/>
    <s v="A.C."/>
    <n v="0.03"/>
    <n v="1.6"/>
    <n v="1.73"/>
    <n v="0.56000000000000005"/>
    <n v="3.9826600000000001"/>
    <n v="4"/>
    <n v="2.0099999999999998"/>
    <n v="1.53"/>
    <n v="0.31"/>
    <n v="0.08"/>
    <n v="10.5329"/>
    <n v="10.5"/>
    <n v="0"/>
    <n v="0"/>
    <n v="3.92"/>
    <n v="1.6485300000000001"/>
    <n v="65.3"/>
    <n v="24.58"/>
    <n v="0.56552478134110795"/>
    <x v="114"/>
    <n v="52.66"/>
    <n v="0.38381924198250728"/>
    <n v="1.258"/>
    <n v="9.1690962099125386E-3"/>
    <n v="3.6240000000000001"/>
    <n v="2.6413994169096212E-2"/>
  </r>
  <r>
    <n v="1189"/>
    <s v="แขวงทางหลวงสิงห์บุรี"/>
    <n v="433"/>
    <n v="3283"/>
    <n v="100"/>
    <s v="อินทร์บุรี - ทองเอน"/>
    <s v="0+000"/>
    <s v="3+519"/>
    <n v="3.5190000000000001"/>
    <n v="2"/>
    <s v="L1"/>
    <d v="2015-10-05T00:00:00"/>
    <s v="A.C."/>
    <n v="2.95"/>
    <n v="0.32500000000000001"/>
    <n v="0.15"/>
    <n v="0.15"/>
    <n v="2.2491599999999998"/>
    <n v="2"/>
    <n v="3.5249999999999999"/>
    <n v="0.05"/>
    <n v="0"/>
    <n v="0"/>
    <n v="2.1085500000000001"/>
    <n v="2"/>
    <n v="0"/>
    <n v="0"/>
    <n v="3.5190000000000001"/>
    <n v="1.16456"/>
    <n v="62.39"/>
    <n v="14.35"/>
    <n v="0.56481143181910443"/>
    <x v="114"/>
    <n v="126.32"/>
    <n v="1.0256160435188566"/>
    <n v="0"/>
    <n v="0"/>
    <n v="0"/>
    <n v="0"/>
  </r>
  <r>
    <n v="1894"/>
    <s v="แขวงทางหลวงนครปฐม"/>
    <n v="336"/>
    <n v="375"/>
    <n v="102"/>
    <s v="นครปฐม - ดอนตูม"/>
    <s v="59+425"/>
    <s v="42+935"/>
    <n v="16.489999999999998"/>
    <n v="2"/>
    <s v="R1"/>
    <d v="2015-03-26T00:00:00"/>
    <s v="A.C."/>
    <n v="13.04"/>
    <n v="2.34"/>
    <n v="0.68"/>
    <n v="0.42"/>
    <n v="2.0285799999999998"/>
    <n v="2"/>
    <n v="14.73"/>
    <n v="1.1599999999999999"/>
    <n v="0.37"/>
    <n v="0.24"/>
    <n v="5.2771800000000004"/>
    <n v="5.5"/>
    <n v="0"/>
    <n v="0"/>
    <n v="16.489999999999998"/>
    <n v="1.0568599999999999"/>
    <n v="213.67"/>
    <n v="223"/>
    <n v="0.56340639348522914"/>
    <x v="114"/>
    <n v="561.98"/>
    <n v="0.97371567183574481"/>
    <n v="0"/>
    <n v="0"/>
    <n v="1.4"/>
    <n v="2.4257125530624622E-3"/>
  </r>
  <r>
    <n v="1066"/>
    <s v="แขวงทางหลวงสระแก้ว (วัฒนานคร)"/>
    <n v="619"/>
    <n v="359"/>
    <n v="101"/>
    <s v="คลองยาง - สระขวัญ"/>
    <n v="0"/>
    <n v="10396"/>
    <n v="10.396000000000001"/>
    <n v="4"/>
    <s v="L2"/>
    <d v="2015-03-31T00:00:00"/>
    <s v="A.C."/>
    <n v="8.2899999999999991"/>
    <n v="1.41"/>
    <n v="0.42"/>
    <n v="0.28999999999999998"/>
    <n v="2.5396299999999998"/>
    <n v="2.5"/>
    <n v="8.36"/>
    <n v="1.97"/>
    <n v="0.08"/>
    <n v="0"/>
    <n v="7.3702399999999999"/>
    <n v="7.5"/>
    <n v="0"/>
    <n v="0"/>
    <n v="10.4"/>
    <n v="1.4954799999999999"/>
    <n v="204.82"/>
    <n v="0"/>
    <n v="0.56290881108118507"/>
    <x v="114"/>
    <n v="0"/>
    <n v="0"/>
    <n v="0"/>
    <n v="0"/>
    <n v="0"/>
    <n v="0"/>
  </r>
  <r>
    <n v="1372"/>
    <s v="แขวงทางหลวงสุพรรณบุรีที่ 2 (อู่ทอง)"/>
    <n v="445"/>
    <n v="3363"/>
    <n v="100"/>
    <s v="ดอนแสลบ - ช่องด่าน"/>
    <s v="9+000"/>
    <s v="28+086"/>
    <n v="19.085999999999999"/>
    <n v="2"/>
    <s v="L1"/>
    <d v="2015-07-23T00:00:00"/>
    <s v="A.C."/>
    <n v="10.525"/>
    <n v="4.3"/>
    <n v="3.15"/>
    <n v="1.6"/>
    <n v="2.8584200000000002"/>
    <n v="3"/>
    <n v="16.774999999999999"/>
    <n v="1.55"/>
    <n v="0.9"/>
    <n v="0.35"/>
    <n v="5.4479499999999996"/>
    <n v="5.5"/>
    <n v="0"/>
    <n v="0"/>
    <n v="19.574999999999999"/>
    <n v="1.2818000000000001"/>
    <n v="369"/>
    <n v="13"/>
    <n v="0.56211733357285087"/>
    <x v="114"/>
    <n v="0"/>
    <n v="0"/>
    <n v="248"/>
    <n v="0.37125192736635687"/>
    <n v="1"/>
    <n v="1.4969835780901486E-3"/>
  </r>
  <r>
    <n v="61"/>
    <s v="แขวงทางหลวงลำปางที่ 1"/>
    <n v="523"/>
    <n v="1391"/>
    <n v="100"/>
    <s v="แม่ทะ - สถานีรถไฟแม่ทะ"/>
    <s v="2+713"/>
    <s v="0+000"/>
    <n v="2.7130000000000001"/>
    <n v="2"/>
    <s v="R1"/>
    <d v="2015-08-06T00:00:00"/>
    <s v="A.C."/>
    <n v="1.925"/>
    <n v="0.45"/>
    <n v="0.125"/>
    <n v="0.22500000000000001"/>
    <n v="2.6311900000000001"/>
    <n v="2.5"/>
    <n v="2.7250000000000001"/>
    <n v="0"/>
    <n v="0"/>
    <n v="0"/>
    <n v="1.5872299999999999"/>
    <n v="1.5"/>
    <n v="0"/>
    <n v="0"/>
    <n v="2.7250000000000001"/>
    <n v="1.1180000000000001"/>
    <n v="0"/>
    <n v="105.88"/>
    <n v="0.55752724974988144"/>
    <x v="114"/>
    <n v="107.89"/>
    <n v="1.136222421146859"/>
    <n v="0"/>
    <n v="0"/>
    <n v="0"/>
    <n v="0"/>
  </r>
  <r>
    <n v="170"/>
    <s v="แขวงทางหลวงเชียงรายที่ 1"/>
    <n v="533"/>
    <n v="120"/>
    <n v="300"/>
    <s v="แม่เฮียว - แม่ขะจาน"/>
    <n v="55950"/>
    <n v="60541"/>
    <n v="4.5910000000000002"/>
    <n v="2"/>
    <s v="L1"/>
    <d v="2015-07-20T00:00:00"/>
    <s v="A.C."/>
    <n v="3.86"/>
    <n v="0.45"/>
    <n v="0.25"/>
    <n v="0.03"/>
    <n v="2.12697"/>
    <n v="2"/>
    <n v="4.46"/>
    <n v="0.13"/>
    <n v="0"/>
    <n v="0"/>
    <n v="5.7729299999999997"/>
    <n v="6"/>
    <n v="0"/>
    <n v="0"/>
    <n v="4.59"/>
    <n v="1.1006100000000001"/>
    <n v="4"/>
    <n v="170.18"/>
    <n v="0.55443880884961261"/>
    <x v="114"/>
    <n v="0"/>
    <n v="0"/>
    <n v="0"/>
    <n v="0"/>
    <n v="0"/>
    <n v="0"/>
  </r>
  <r>
    <n v="1335"/>
    <s v="แขวงทางหลวงกาญจนบุรี"/>
    <n v="444"/>
    <n v="3398"/>
    <n v="100"/>
    <s v="ท่าพะเนียด - ทุ่งมะสังข์"/>
    <n v="0"/>
    <n v="13804"/>
    <n v="13.804"/>
    <n v="2"/>
    <s v="L1"/>
    <d v="2015-07-27T00:00:00"/>
    <s v="A.C."/>
    <n v="9.7249999999999996"/>
    <n v="2.9"/>
    <n v="0.92500000000000004"/>
    <n v="0.25"/>
    <n v="2.3926599999999998"/>
    <n v="2.5"/>
    <n v="13.725"/>
    <n v="7.4999999999999997E-2"/>
    <n v="0"/>
    <n v="0"/>
    <n v="2.4617499999999999"/>
    <n v="2.5"/>
    <n v="0"/>
    <n v="0"/>
    <n v="13.8"/>
    <n v="1.25783"/>
    <n v="176"/>
    <n v="183"/>
    <n v="0.55366974375957279"/>
    <x v="114"/>
    <n v="2"/>
    <n v="4.1395868692304513E-3"/>
    <n v="41"/>
    <n v="8.4861530819224235E-2"/>
    <n v="0"/>
    <n v="0"/>
  </r>
  <r>
    <n v="688"/>
    <s v="แขวงทางหลวงอุดรธานีที่ 2"/>
    <n v="624"/>
    <n v="2289"/>
    <n v="200"/>
    <s v="ลำพันชาด - วังสามหมอ"/>
    <n v="16700"/>
    <n v="25388"/>
    <n v="8.6880000000000006"/>
    <n v="2"/>
    <s v="L1"/>
    <d v="2015-06-15T00:00:00"/>
    <s v="A.C."/>
    <n v="2.4249999999999998"/>
    <n v="2.85"/>
    <n v="2.6"/>
    <n v="0.7"/>
    <n v="3.3175500000000002"/>
    <n v="3.5"/>
    <n v="8.0749999999999993"/>
    <n v="0.47499999999999998"/>
    <n v="2.5000000000000001E-2"/>
    <n v="0"/>
    <n v="4.6938599999999999"/>
    <n v="4.5"/>
    <n v="0"/>
    <n v="0"/>
    <n v="8.5749999999999993"/>
    <n v="1.09873"/>
    <n v="121.63"/>
    <n v="93.2"/>
    <n v="0.55323999999999995"/>
    <x v="114"/>
    <n v="16.21"/>
    <n v="5.3310000000000003E-2"/>
    <n v="159.82"/>
    <n v="0.52558499999999997"/>
    <n v="0"/>
    <n v="0"/>
  </r>
  <r>
    <n v="1001"/>
    <s v="แขวงทางหลวงบุรีรัมย์"/>
    <n v="617"/>
    <n v="219"/>
    <n v="302"/>
    <s v="หัวถนน - บุรีรัมย์"/>
    <n v="128082"/>
    <n v="137897"/>
    <n v="9.8149999999999995"/>
    <n v="4"/>
    <s v="L1"/>
    <d v="2015-05-05T00:00:00"/>
    <s v="A.C."/>
    <n v="3.7749999999999999"/>
    <n v="2.875"/>
    <n v="2.5"/>
    <n v="0.95"/>
    <n v="3.2932100000000002"/>
    <n v="3.5"/>
    <n v="5.1749999999999998"/>
    <n v="2.95"/>
    <n v="1.1000000000000001"/>
    <n v="0.875"/>
    <n v="9.7056000000000004"/>
    <n v="9.5"/>
    <n v="0"/>
    <n v="0"/>
    <n v="10.1"/>
    <n v="1.2080900000000001"/>
    <n v="139"/>
    <n v="97.96"/>
    <n v="0.54720908230842003"/>
    <x v="115"/>
    <n v="133.13999999999999"/>
    <n v="0.38757004584819149"/>
    <n v="114.44"/>
    <n v="0.33313441525362053"/>
    <n v="0"/>
    <n v="0"/>
  </r>
  <r>
    <n v="177"/>
    <s v="แขวงทางหลวงเชียงรายที่ 1"/>
    <n v="533"/>
    <n v="1181"/>
    <n v="100"/>
    <s v="แม่แก้วเหนือ - ใหม่ใน"/>
    <n v="0"/>
    <n v="14365"/>
    <n v="14.365"/>
    <n v="2"/>
    <s v="L1"/>
    <d v="2015-07-18T00:00:00"/>
    <s v="A.C."/>
    <n v="6.57"/>
    <n v="3.77"/>
    <n v="2.67"/>
    <n v="1.36"/>
    <n v="3.0068000000000001"/>
    <n v="3"/>
    <n v="12.12"/>
    <n v="1.59"/>
    <n v="0.38"/>
    <n v="0.28000000000000003"/>
    <n v="5.9813000000000001"/>
    <n v="6"/>
    <n v="0"/>
    <n v="0"/>
    <n v="14.37"/>
    <n v="1.35537"/>
    <n v="241"/>
    <n v="66.98"/>
    <n v="0.54594997762418573"/>
    <x v="115"/>
    <n v="0"/>
    <n v="0"/>
    <n v="0"/>
    <n v="0"/>
    <n v="0"/>
    <n v="0"/>
  </r>
  <r>
    <n v="1953"/>
    <s v="แขวงทางหลวงนครศรีธรรมราชที่ 1"/>
    <n v="321"/>
    <n v="4016"/>
    <n v="102"/>
    <s v="พรหมคีรี - นบพิตำ"/>
    <n v="23250"/>
    <n v="40789"/>
    <n v="17.539000000000001"/>
    <n v="2"/>
    <s v="R1"/>
    <d v="2015-04-30T00:00:00"/>
    <s v="A.C."/>
    <n v="12.95"/>
    <n v="2.9"/>
    <n v="1.2250000000000001"/>
    <n v="0.6"/>
    <n v="2.2719499999999999"/>
    <n v="2.5"/>
    <n v="13.675000000000001"/>
    <n v="2.95"/>
    <n v="0.72499999999999998"/>
    <n v="0.32500000000000001"/>
    <n v="5.8704599999999996"/>
    <n v="6"/>
    <n v="0"/>
    <n v="0"/>
    <n v="17.675000000000001"/>
    <n v="1.31538"/>
    <n v="306.92"/>
    <n v="56.39"/>
    <n v="0.54590993133669441"/>
    <x v="115"/>
    <n v="11.54"/>
    <n v="1.879892158699388E-2"/>
    <n v="534.29"/>
    <n v="0.87037052120580249"/>
    <n v="1"/>
    <n v="1.6290226678504229E-3"/>
  </r>
  <r>
    <n v="1316"/>
    <s v="แขวงทางหลวงกาญจนบุรี"/>
    <n v="444"/>
    <n v="324"/>
    <n v="100"/>
    <s v="กาญจนบุรี - หนองขาว"/>
    <n v="2000"/>
    <n v="11000"/>
    <n v="9"/>
    <n v="4"/>
    <s v="L2"/>
    <d v="2015-07-26T00:00:00"/>
    <s v="A.C."/>
    <n v="5.25"/>
    <n v="2.4249999999999998"/>
    <n v="0.875"/>
    <n v="0.47499999999999998"/>
    <n v="2.7157300000000002"/>
    <n v="2.5"/>
    <n v="8.4"/>
    <n v="0.52500000000000002"/>
    <n v="0.1"/>
    <n v="0"/>
    <n v="5.6531599999999997"/>
    <n v="5.5"/>
    <n v="0"/>
    <n v="0"/>
    <n v="9.0250000000000004"/>
    <n v="1.04501"/>
    <n v="171"/>
    <n v="0"/>
    <n v="0.54285714285714282"/>
    <x v="115"/>
    <n v="0"/>
    <n v="0"/>
    <n v="0"/>
    <n v="0"/>
    <n v="0"/>
    <n v="0"/>
  </r>
  <r>
    <n v="1255"/>
    <s v="แขวงทางหลวงนครสวรรค์ที่ 2 (ตากฟ้า)"/>
    <n v="438"/>
    <n v="1118"/>
    <n v="100"/>
    <s v="ท่าพุทรา - เนินมะกอก"/>
    <s v="10+827"/>
    <s v="0+000"/>
    <n v="10.827"/>
    <n v="2"/>
    <s v="R1"/>
    <d v="2015-10-05T00:00:00"/>
    <s v="A.C."/>
    <n v="5.65"/>
    <n v="3.35"/>
    <n v="1.325"/>
    <n v="0.52500000000000002"/>
    <n v="2.8077000000000001"/>
    <n v="3"/>
    <n v="6.9749999999999996"/>
    <n v="2.4249999999999998"/>
    <n v="0.9"/>
    <n v="0.55000000000000004"/>
    <n v="9.1943199999999994"/>
    <n v="9"/>
    <n v="0"/>
    <n v="0"/>
    <n v="10.827"/>
    <n v="1.29826"/>
    <n v="205.2"/>
    <n v="1.02"/>
    <n v="0.54284922614099662"/>
    <x v="115"/>
    <n v="186.5"/>
    <n v="0.49215585375186377"/>
    <n v="6.32"/>
    <n v="1.6677999999999998E-2"/>
    <n v="0"/>
    <n v="0"/>
  </r>
  <r>
    <n v="2034"/>
    <s v="แขวงทางหลวงนครศรีธรรมราชที่ 2 (ทุ่งสง)"/>
    <n v="326"/>
    <n v="4019"/>
    <n v="100"/>
    <s v="ทุ่งใหญ่ - ช้างกลาง"/>
    <n v="1000"/>
    <n v="28171"/>
    <n v="27.170999999999999"/>
    <n v="2"/>
    <s v="L1"/>
    <d v="2015-05-01T00:00:00"/>
    <s v="A.C."/>
    <n v="17.350000000000001"/>
    <n v="5.9749999999999996"/>
    <n v="2.9249999999999998"/>
    <n v="2.3250000000000002"/>
    <n v="2.6973799999999999"/>
    <n v="2.5"/>
    <n v="27.2"/>
    <n v="1.175"/>
    <n v="0.15"/>
    <n v="0.05"/>
    <n v="3.85663"/>
    <n v="4"/>
    <n v="0"/>
    <n v="0"/>
    <n v="28.575000000000003"/>
    <n v="1.1824600000000001"/>
    <n v="467.82"/>
    <n v="92.48"/>
    <n v="0.54055531895876374"/>
    <x v="115"/>
    <n v="280"/>
    <n v="0.29443156306356039"/>
    <n v="245"/>
    <n v="0.25762761768061537"/>
    <n v="0"/>
    <n v="0"/>
  </r>
  <r>
    <n v="1325"/>
    <s v="แขวงทางหลวงกาญจนบุรี"/>
    <n v="444"/>
    <n v="3209"/>
    <n v="101"/>
    <s v="ท่ามะกา - แสนตอ"/>
    <n v="0"/>
    <n v="4000"/>
    <n v="4"/>
    <n v="2"/>
    <s v="L1"/>
    <d v="2015-07-29T00:00:00"/>
    <s v="A.C."/>
    <n v="2.5"/>
    <n v="0.8"/>
    <n v="0.52500000000000002"/>
    <n v="7.4999999999999997E-2"/>
    <n v="2.42442"/>
    <n v="2.5"/>
    <n v="3.7749999999999999"/>
    <n v="0.1"/>
    <n v="2.5000000000000001E-2"/>
    <n v="0"/>
    <n v="3.4839099999999998"/>
    <n v="3.5"/>
    <n v="0"/>
    <n v="0"/>
    <n v="3.9"/>
    <n v="1.0246299999999999"/>
    <n v="63.57"/>
    <n v="24.134"/>
    <n v="0.54026428571428575"/>
    <x v="115"/>
    <n v="1.98"/>
    <n v="1.4142857142857143E-2"/>
    <n v="0"/>
    <n v="0"/>
    <n v="0"/>
    <n v="0"/>
  </r>
  <r>
    <n v="1007"/>
    <s v="แขวงทางหลวงบุรีรัมย์"/>
    <n v="617"/>
    <n v="226"/>
    <n v="202"/>
    <s v="ลำปลายมาศ - หนองม้า"/>
    <n v="91010"/>
    <n v="108098"/>
    <n v="17.088000000000001"/>
    <n v="6"/>
    <s v="L2"/>
    <d v="2015-05-05T00:00:00"/>
    <s v="A.C."/>
    <n v="11.83"/>
    <n v="3.65"/>
    <n v="1.075"/>
    <n v="0.57499999999999996"/>
    <n v="2.6045600000000002"/>
    <n v="2.5"/>
    <n v="14.875"/>
    <n v="1.575"/>
    <n v="0.375"/>
    <n v="0.3"/>
    <n v="6.0237100000000003"/>
    <n v="6"/>
    <n v="0"/>
    <n v="0"/>
    <n v="17.13"/>
    <n v="1.09419"/>
    <n v="288.08"/>
    <n v="66.88"/>
    <n v="0.53758694489031567"/>
    <x v="115"/>
    <n v="1646.55"/>
    <n v="2.7530597913322632"/>
    <n v="257.31"/>
    <n v="0.43022672552166924"/>
    <n v="0.25"/>
    <n v="4.1800428036383087E-4"/>
  </r>
  <r>
    <n v="15"/>
    <s v="แขวงทางหลวงเชียงใหม่ที่ 1"/>
    <n v="521"/>
    <n v="1088"/>
    <n v="100"/>
    <s v="ออบหลวง - สะพานแม่กิ๊ดหลวง"/>
    <n v="0"/>
    <n v="7400"/>
    <n v="7.4"/>
    <n v="2"/>
    <s v="L1"/>
    <d v="2015-08-15T00:00:00"/>
    <s v="A.C."/>
    <n v="0.95"/>
    <n v="2.2999999999999998"/>
    <n v="2.125"/>
    <n v="2.0750000000000002"/>
    <n v="4.3620000000000001"/>
    <n v="4.5"/>
    <n v="3.95"/>
    <n v="1.575"/>
    <n v="1.125"/>
    <n v="0.5"/>
    <n v="10.103"/>
    <n v="10"/>
    <n v="0"/>
    <n v="0"/>
    <n v="7.45"/>
    <n v="1.3720000000000001"/>
    <n v="125.3"/>
    <n v="27.61"/>
    <n v="0.53708494208494195"/>
    <x v="115"/>
    <n v="36.840000000000003"/>
    <n v="0.14223938223938223"/>
    <n v="52.23"/>
    <n v="0.20166023166023161"/>
    <n v="16.510000000000002"/>
    <n v="6.3745173745173744E-2"/>
  </r>
  <r>
    <n v="1306"/>
    <s v="แขวงทางหลวงกาญจนบุรี"/>
    <n v="444"/>
    <n v="323"/>
    <n v="201"/>
    <s v="ลูกแก - ท่าเรือ"/>
    <n v="18592"/>
    <n v="32360"/>
    <n v="13.768000000000001"/>
    <n v="4"/>
    <s v="L2"/>
    <d v="2015-07-24T00:00:00"/>
    <s v="A.C."/>
    <n v="13.65"/>
    <n v="0.25"/>
    <n v="0.05"/>
    <n v="0"/>
    <n v="1.6421600000000001"/>
    <n v="1.5"/>
    <n v="13.625"/>
    <n v="0.35"/>
    <n v="0"/>
    <n v="0"/>
    <n v="2.149"/>
    <n v="2"/>
    <n v="0"/>
    <n v="0"/>
    <n v="13.950000000000001"/>
    <n v="0.96257400000000004"/>
    <n v="234.74"/>
    <n v="47.57"/>
    <n v="0.53649248775628799"/>
    <x v="115"/>
    <n v="28.51"/>
    <n v="5.9164107246617421E-2"/>
    <n v="2.04"/>
    <n v="4.2334191084917403E-3"/>
    <n v="0"/>
    <n v="0"/>
  </r>
  <r>
    <n v="2101"/>
    <s v="แขวงทางหลวงกระบี่"/>
    <n v="323"/>
    <n v="4236"/>
    <n v="100"/>
    <s v="ถนนแพรก - ลำนาว"/>
    <n v="0"/>
    <n v="37728"/>
    <n v="37.728000000000002"/>
    <n v="2"/>
    <s v="L1"/>
    <d v="2015-04-07T00:00:00"/>
    <s v="A.C."/>
    <n v="21.28"/>
    <n v="10.88"/>
    <n v="3.8"/>
    <n v="1.76"/>
    <n v="2.65387"/>
    <n v="2.5"/>
    <n v="35.56"/>
    <n v="1.56"/>
    <n v="0.38"/>
    <n v="0.23"/>
    <n v="4.3244699999999998"/>
    <n v="4.5"/>
    <n v="0"/>
    <n v="0"/>
    <n v="37.729999999999997"/>
    <n v="1.2700100000000001"/>
    <n v="692.33"/>
    <n v="26.49"/>
    <n v="0.53433221252877738"/>
    <x v="115"/>
    <n v="83.74"/>
    <n v="6.3416333454501386E-2"/>
    <n v="5.61"/>
    <n v="4.2484551072337331E-3"/>
    <n v="1.244"/>
    <n v="9.4208166727250699E-4"/>
  </r>
  <r>
    <n v="1394"/>
    <s v="แขวงทางหลวงชัยนาท"/>
    <n v="446"/>
    <n v="3211"/>
    <n v="100"/>
    <s v="ทางเข้าหันคา - กะบกเตี้ย"/>
    <s v="40+802"/>
    <s v="8+537"/>
    <n v="32.265000000000001"/>
    <n v="2"/>
    <s v="R1"/>
    <d v="2015-08-03T00:00:00"/>
    <s v="A.C."/>
    <n v="16.100000000000001"/>
    <n v="9.74"/>
    <n v="5.05"/>
    <n v="1.38"/>
    <n v="2.7164700000000002"/>
    <n v="2.5"/>
    <n v="30.04"/>
    <n v="1.48"/>
    <n v="0.41"/>
    <n v="0.34"/>
    <n v="4.3281999999999998"/>
    <n v="4.5"/>
    <n v="0"/>
    <n v="0"/>
    <n v="32.270000000000003"/>
    <n v="1.30779"/>
    <n v="694.21799999999996"/>
    <n v="120.24"/>
    <n v="0.52822200592407931"/>
    <x v="115"/>
    <n v="34.64"/>
    <n v="3.0674547829359539E-2"/>
    <n v="0"/>
    <n v="0"/>
    <n v="0"/>
    <n v="0"/>
  </r>
  <r>
    <n v="695"/>
    <s v="แขวงทางหลวงอุดรธานีที่ 2"/>
    <n v="624"/>
    <n v="2410"/>
    <n v="100"/>
    <s v="บ้านเหล่า-ดอนกลอย"/>
    <n v="0"/>
    <n v="23173"/>
    <n v="23.172999999999998"/>
    <n v="2"/>
    <s v="L1"/>
    <d v="2015-06-16T00:00:00"/>
    <s v="A.C."/>
    <n v="10.324999999999999"/>
    <n v="7.2249999999999996"/>
    <n v="4.0250000000000004"/>
    <n v="1.625"/>
    <n v="4.0359999999999996"/>
    <n v="4"/>
    <n v="21.225000000000001"/>
    <n v="1.425"/>
    <n v="0.4"/>
    <n v="0.15"/>
    <n v="4.6884199999999998"/>
    <n v="4.5"/>
    <n v="0"/>
    <n v="0"/>
    <n v="23.199999999999996"/>
    <n v="1.13737"/>
    <n v="388.26"/>
    <n v="72.67"/>
    <n v="0.52351000000000003"/>
    <x v="115"/>
    <n v="295.31"/>
    <n v="0.36410999999999999"/>
    <n v="1.96"/>
    <n v="2.4169999999999999E-3"/>
    <n v="97.97"/>
    <n v="0.12078999999999999"/>
  </r>
  <r>
    <n v="343"/>
    <s v="แขวงทางหลวงมุกดาหาร"/>
    <n v="639"/>
    <n v="2287"/>
    <n v="100"/>
    <s v="ดงหลวง - สานแว้"/>
    <n v="0"/>
    <n v="75700"/>
    <n v="75.7"/>
    <n v="2"/>
    <s v="L1"/>
    <d v="2015-06-02T00:00:00"/>
    <s v="A.C."/>
    <n v="33.229999999999997"/>
    <n v="20.94"/>
    <n v="14.38"/>
    <n v="7"/>
    <n v="3.1245099999999999"/>
    <n v="3"/>
    <n v="71.11"/>
    <n v="3.85"/>
    <n v="0.5"/>
    <n v="0.09"/>
    <n v="4.4462700000000002"/>
    <n v="4.5"/>
    <n v="0"/>
    <n v="0"/>
    <n v="75.55"/>
    <n v="1.2803100000000001"/>
    <n v="1301"/>
    <n v="129"/>
    <n v="0.51538026042649554"/>
    <x v="115"/>
    <n v="3305.43"/>
    <n v="1.2475674655595395"/>
    <n v="0"/>
    <n v="0"/>
    <n v="0"/>
    <n v="0"/>
  </r>
  <r>
    <n v="335"/>
    <s v="แขวงทางหลวงหนองคาย"/>
    <n v="646"/>
    <n v="2264"/>
    <n v="100"/>
    <s v="ทางเข้าหนองปลาปาก"/>
    <n v="0"/>
    <n v="2358"/>
    <n v="2.3580000000000001"/>
    <n v="2"/>
    <s v="L1"/>
    <d v="2015-06-10T00:00:00"/>
    <s v="A.C."/>
    <n v="0.875"/>
    <n v="1.175"/>
    <n v="0.125"/>
    <n v="0.17499999999999999"/>
    <n v="3.04766"/>
    <n v="3"/>
    <n v="2.35"/>
    <n v="0"/>
    <n v="0"/>
    <n v="0"/>
    <n v="3.7852800000000002"/>
    <n v="4"/>
    <n v="0"/>
    <n v="0"/>
    <n v="2.35"/>
    <n v="1.2529300000000001"/>
    <n v="42.35"/>
    <n v="0"/>
    <n v="0.51315"/>
    <x v="115"/>
    <n v="0"/>
    <n v="0"/>
    <n v="0"/>
    <n v="0"/>
    <n v="0"/>
    <n v="0"/>
  </r>
  <r>
    <n v="208"/>
    <s v="แขวงทางหลวงพะเยา"/>
    <n v="535"/>
    <n v="1202"/>
    <n v="100"/>
    <s v="พะเยา - สันต้นแหน"/>
    <n v="33922"/>
    <n v="0"/>
    <n v="33.921999999999997"/>
    <n v="2"/>
    <s v="R1"/>
    <d v="2015-07-24T00:00:00"/>
    <s v="A.C."/>
    <n v="24.97"/>
    <n v="6.62"/>
    <n v="1.51"/>
    <n v="0.83"/>
    <n v="2.2378499999999999"/>
    <n v="2"/>
    <n v="32.25"/>
    <n v="1.59"/>
    <n v="0.08"/>
    <n v="0.03"/>
    <n v="4.9486800000000004"/>
    <n v="5"/>
    <n v="0"/>
    <n v="0"/>
    <n v="33.93"/>
    <n v="1.2452700000000001"/>
    <n v="547"/>
    <n v="120.26"/>
    <n v="0.51136641202085464"/>
    <x v="115"/>
    <n v="57"/>
    <n v="4.8009298643105616E-2"/>
    <n v="0"/>
    <n v="0"/>
    <n v="9"/>
    <n v="7.5804155752272019E-3"/>
  </r>
  <r>
    <n v="2136"/>
    <s v="แขวงทางหลวงภูเก็ต"/>
    <n v="324"/>
    <n v="4302"/>
    <n v="100"/>
    <s v="หาดทรายแก้ว - ท่านุ่น"/>
    <n v="0"/>
    <n v="4818"/>
    <n v="4.8179999999999996"/>
    <n v="2"/>
    <s v="L1"/>
    <d v="2015-05-13T00:00:00"/>
    <s v="A.C."/>
    <n v="3.7"/>
    <n v="0.65"/>
    <n v="0.32500000000000001"/>
    <n v="0.125"/>
    <n v="2.254"/>
    <n v="2.5"/>
    <n v="3.7"/>
    <n v="1.1000000000000001"/>
    <n v="0"/>
    <n v="0"/>
    <n v="5.0376500000000002"/>
    <n v="5"/>
    <n v="0"/>
    <n v="0"/>
    <n v="4.8000000000000007"/>
    <n v="1.4689399999999999"/>
    <n v="68.209999999999994"/>
    <n v="0"/>
    <n v="0.51070679844264744"/>
    <x v="115"/>
    <n v="6.85"/>
    <n v="5.1287810721772985E-2"/>
    <n v="0"/>
    <n v="0"/>
    <n v="5.66"/>
    <n v="3.3564608907074661E-2"/>
  </r>
  <r>
    <n v="407"/>
    <s v="แขวงทางหลวงพิษณุโลกที่ 1"/>
    <n v="511"/>
    <n v="1221"/>
    <n v="200"/>
    <s v="ท่านา - ท่ามะขาม"/>
    <s v="13+949"/>
    <s v="8+865"/>
    <n v="5.0839999999999996"/>
    <s v="R1"/>
    <n v="2"/>
    <d v="2015-09-19T00:00:00"/>
    <s v="A.C."/>
    <n v="2.76"/>
    <n v="1.69"/>
    <n v="0.35"/>
    <n v="0.28000000000000003"/>
    <n v="2.6965699999999999"/>
    <n v="2.5"/>
    <n v="5.08"/>
    <n v="0"/>
    <n v="0"/>
    <n v="0"/>
    <n v="2.5491799999999998"/>
    <n v="2.5"/>
    <n v="0"/>
    <n v="0"/>
    <n v="5.08"/>
    <n v="1.1852799999999999"/>
    <n v="83.62"/>
    <n v="14.326000000000001"/>
    <n v="0.510189"/>
    <x v="115"/>
    <n v="64.150000000000006"/>
    <n v="0.36051499999999997"/>
    <n v="0"/>
    <n v="0"/>
    <n v="0"/>
    <n v="0"/>
  </r>
  <r>
    <n v="1395"/>
    <s v="แขวงทางหลวงชัยนาท"/>
    <n v="446"/>
    <n v="3212"/>
    <n v="100"/>
    <s v="คุ้งสำเภา - ไร่พัฒนา"/>
    <n v="0"/>
    <n v="19455"/>
    <n v="19.454999999999998"/>
    <n v="2"/>
    <s v="L1"/>
    <d v="2015-08-03T00:00:00"/>
    <s v="A.C."/>
    <n v="7.13"/>
    <n v="7.58"/>
    <n v="3.67"/>
    <n v="1.07"/>
    <n v="3.0243699999999998"/>
    <n v="3"/>
    <n v="17.059999999999999"/>
    <n v="1.87"/>
    <n v="0.4"/>
    <n v="0.12"/>
    <n v="5.3093599999999999"/>
    <n v="5.5"/>
    <n v="0"/>
    <n v="0"/>
    <n v="19.46"/>
    <n v="1.1961299999999999"/>
    <n v="325.20999999999998"/>
    <n v="44.3"/>
    <n v="0.51012960311341182"/>
    <x v="115"/>
    <n v="87.04"/>
    <n v="0.12782611888240261"/>
    <n v="2.21"/>
    <n v="3.245585049748504E-3"/>
    <n v="1.1200000000000001"/>
    <n v="1.6448213826779751E-3"/>
  </r>
  <r>
    <n v="2208"/>
    <s v="แขวงทางหลวงสตูล"/>
    <n v="318"/>
    <n v="404"/>
    <n v="200"/>
    <s v="บ้านนา - หยงสตาร์"/>
    <n v="30000"/>
    <n v="49640"/>
    <n v="19.64"/>
    <n v="4"/>
    <s v="L1"/>
    <d v="2015-05-26T00:00:00"/>
    <s v="A.C."/>
    <n v="13.125"/>
    <n v="4.8250000000000002"/>
    <n v="1.325"/>
    <n v="0.22500000000000001"/>
    <n v="2.3111299999999999"/>
    <n v="2.5"/>
    <n v="19.45"/>
    <n v="0"/>
    <n v="0"/>
    <n v="0.05"/>
    <n v="1.4054800000000001"/>
    <n v="1.5"/>
    <n v="0"/>
    <n v="0"/>
    <n v="19.5"/>
    <n v="1.3361000000000001"/>
    <n v="315.5"/>
    <n v="70"/>
    <n v="0.50989234797788752"/>
    <x v="115"/>
    <n v="0"/>
    <n v="0"/>
    <n v="15.15"/>
    <n v="2.2039569391911547E-2"/>
    <n v="0"/>
    <n v="0"/>
  </r>
  <r>
    <n v="2023"/>
    <s v="แขวงทางหลวงสุราษฎร์ธานี ที่ 1 (พุนพิน)"/>
    <n v="325"/>
    <n v="4260"/>
    <n v="100"/>
    <s v="ทุ่งโพธิ์ - คลองราง"/>
    <n v="13866"/>
    <n v="0"/>
    <n v="13.866"/>
    <n v="2"/>
    <s v="R1"/>
    <d v="2015-04-23T00:00:00"/>
    <s v="A.C."/>
    <n v="7.48"/>
    <n v="4.66"/>
    <n v="1.29"/>
    <n v="0.44"/>
    <n v="2.6339299999999999"/>
    <n v="2.5"/>
    <n v="12.99"/>
    <n v="0.73"/>
    <n v="0.14000000000000001"/>
    <n v="0.01"/>
    <n v="4.6040299999999998"/>
    <n v="4.5"/>
    <n v="0"/>
    <n v="0"/>
    <n v="13.87"/>
    <n v="1.3533200000000001"/>
    <n v="246.65"/>
    <n v="0"/>
    <n v="0.50823185180606212"/>
    <x v="115"/>
    <n v="19"/>
    <n v="3.9150233871133915E-2"/>
    <n v="285.95999999999998"/>
    <n v="0.58923162514681338"/>
    <n v="0"/>
    <n v="0"/>
  </r>
  <r>
    <n v="519"/>
    <s v="แขวงทางหลวงอุตรดิตถ์ที่ 1"/>
    <n v="557"/>
    <n v="1180"/>
    <n v="200"/>
    <s v="ทางเข้าปลายราง"/>
    <s v="31+530"/>
    <s v="30+650"/>
    <n v="0.88"/>
    <s v="R1"/>
    <n v="2"/>
    <d v="2015-09-24T00:00:00"/>
    <s v="A.C."/>
    <n v="0.84"/>
    <n v="2.5000000000000001E-2"/>
    <n v="0"/>
    <n v="0.03"/>
    <n v="1.5246200000000001"/>
    <n v="1.5"/>
    <n v="0.88"/>
    <n v="0"/>
    <n v="0"/>
    <n v="0"/>
    <n v="1.8481300000000001"/>
    <n v="2"/>
    <n v="0"/>
    <n v="0"/>
    <n v="0.98000000000000009"/>
    <n v="1.1010500000000001"/>
    <n v="12.574999999999999"/>
    <n v="5.968"/>
    <n v="0.505162"/>
    <x v="115"/>
    <n v="123.46"/>
    <n v="4.0084419999999996"/>
    <n v="0"/>
    <n v="0"/>
    <n v="0"/>
    <n v="0"/>
  </r>
  <r>
    <n v="1540"/>
    <s v="แขวงทางหลวงนครนายก"/>
    <n v="414"/>
    <n v="3312"/>
    <n v="200"/>
    <s v="ลำลูกกา - คลอง 16"/>
    <n v="39206"/>
    <n v="12348"/>
    <n v="26.858000000000001"/>
    <n v="6"/>
    <s v="R2"/>
    <d v="2015-09-19T00:00:00"/>
    <s v="A.C."/>
    <n v="9.7750000000000004"/>
    <n v="5.9249999999999998"/>
    <n v="3.9750000000000001"/>
    <n v="3"/>
    <n v="3.2040700000000002"/>
    <n v="3"/>
    <n v="11.2"/>
    <n v="4.3250000000000002"/>
    <n v="2.6749999999999998"/>
    <n v="4.4749999999999996"/>
    <n v="12.420199999999999"/>
    <n v="12.5"/>
    <n v="0"/>
    <n v="0"/>
    <n v="26.858000000000001"/>
    <n v="1.12547"/>
    <n v="314"/>
    <n v="320.25"/>
    <n v="0.50437220088720569"/>
    <x v="115"/>
    <n v="2333"/>
    <n v="2.4818356860951249"/>
    <n v="2685.21"/>
    <n v="2.8565152175994384"/>
    <n v="147"/>
    <n v="0.15637798793655522"/>
  </r>
  <r>
    <n v="892"/>
    <s v="แขวงทางหลวงอำนาจเจริญ"/>
    <n v="634"/>
    <n v="202"/>
    <n v="702"/>
    <s v="ปทุมราชวงศา - หนองผือ"/>
    <n v="345000"/>
    <n v="367000"/>
    <n v="22"/>
    <n v="2"/>
    <s v="L1"/>
    <d v="2015-05-21T00:00:00"/>
    <s v="A.C."/>
    <n v="7.7249999999999996"/>
    <n v="7.9749999999999996"/>
    <n v="4.4000000000000004"/>
    <n v="2"/>
    <n v="3.1817099999999998"/>
    <n v="3"/>
    <n v="19.95"/>
    <n v="1.55"/>
    <n v="0.32500000000000001"/>
    <n v="0.27500000000000002"/>
    <n v="4.4657600000000004"/>
    <n v="4.5"/>
    <n v="0"/>
    <n v="0"/>
    <n v="22.1"/>
    <n v="1.5657799999999999"/>
    <n v="252.84"/>
    <n v="270.57"/>
    <n v="0.50405999999999995"/>
    <x v="115"/>
    <n v="7.79"/>
    <n v="1.0120000000000001E-2"/>
    <n v="295.91000000000003"/>
    <n v="0.384299"/>
    <n v="0.2"/>
    <n v="2.5999999999999998E-4"/>
  </r>
  <r>
    <n v="678"/>
    <s v="แขวงทางหลวงอุดรธานีที่ 2"/>
    <n v="624"/>
    <n v="2023"/>
    <n v="102"/>
    <s v="ศรีธาตุ - วังสามหมอ"/>
    <n v="36614"/>
    <n v="61145"/>
    <n v="24.530999999999999"/>
    <n v="2"/>
    <s v="L1"/>
    <d v="2015-06-15T00:00:00"/>
    <s v="A.C."/>
    <n v="9.7249999999999996"/>
    <n v="7.55"/>
    <n v="5.15"/>
    <n v="2"/>
    <n v="2.9015200000000001"/>
    <n v="3"/>
    <n v="22.975000000000001"/>
    <n v="1.075"/>
    <n v="0.22500000000000001"/>
    <n v="0.15"/>
    <n v="3.8749500000000001"/>
    <n v="4"/>
    <n v="0"/>
    <n v="0"/>
    <n v="24.424999999999997"/>
    <n v="0.99146400000000001"/>
    <n v="329.77"/>
    <n v="204.33"/>
    <n v="0.50307999999999997"/>
    <x v="115"/>
    <n v="263.85000000000002"/>
    <n v="0.30731000000000003"/>
    <n v="387.52"/>
    <n v="0.451347"/>
    <n v="0"/>
    <n v="0"/>
  </r>
  <r>
    <n v="1132"/>
    <s v="แขวงทางหลวงลพบุรีที่ 1"/>
    <n v="431"/>
    <n v="3620"/>
    <n v="100"/>
    <s v="ทางเลี่ยงเมืองยางโทน"/>
    <s v="0+611"/>
    <s v="0+000"/>
    <n v="0.61099999999999999"/>
    <n v="2"/>
    <s v="R1"/>
    <d v="2015-10-05T00:00:00"/>
    <s v="A.C."/>
    <n v="0.1"/>
    <n v="0.25"/>
    <n v="0.15"/>
    <n v="0.125"/>
    <n v="4.0152000000000001"/>
    <n v="4"/>
    <n v="0.625"/>
    <n v="0"/>
    <n v="0"/>
    <n v="0"/>
    <n v="2.6665199999999998"/>
    <n v="2.5"/>
    <n v="0"/>
    <n v="0"/>
    <n v="0.625"/>
    <n v="1.07612"/>
    <n v="9.8000000000000007"/>
    <n v="1.85"/>
    <n v="0.50151975683890593"/>
    <x v="115"/>
    <n v="7.36"/>
    <n v="0.34416647182604632"/>
    <n v="60.5"/>
    <n v="2.829085807809212"/>
    <n v="0"/>
    <n v="0"/>
  </r>
  <r>
    <n v="1389"/>
    <s v="แขวงทางหลวงชัยนาท"/>
    <n v="446"/>
    <n v="3183"/>
    <n v="101"/>
    <s v="แยกไปเขื่อนเจ้าพระยา - คลองมอญ"/>
    <n v="0"/>
    <n v="21963"/>
    <n v="21.963000000000001"/>
    <n v="2"/>
    <s v="L1"/>
    <d v="2015-08-04T00:00:00"/>
    <s v="A.C."/>
    <n v="10.1"/>
    <n v="6.82"/>
    <n v="3.58"/>
    <n v="1.46"/>
    <n v="2.89201"/>
    <n v="3"/>
    <n v="21.74"/>
    <n v="0.2"/>
    <n v="0.02"/>
    <n v="0"/>
    <n v="2.8317100000000002"/>
    <n v="3"/>
    <n v="0"/>
    <n v="0"/>
    <n v="21.96"/>
    <n v="0.97249799999999997"/>
    <n v="365.24"/>
    <n v="34.6"/>
    <n v="0.49764213840159754"/>
    <x v="115"/>
    <n v="114.4"/>
    <n v="0.14882171964537763"/>
    <n v="0"/>
    <n v="0"/>
    <n v="0.24"/>
    <n v="3.1221339785743557E-4"/>
  </r>
  <r>
    <n v="595"/>
    <s v="แขวงทางหลวงเลยที่ 1"/>
    <n v="554"/>
    <n v="201"/>
    <n v="403"/>
    <s v="โนนสว่าง - ปากปวน"/>
    <n v="308986"/>
    <n v="322036"/>
    <n v="13.05"/>
    <n v="4"/>
    <s v="L2"/>
    <d v="2015-06-27T00:00:00"/>
    <s v="A.C."/>
    <n v="9.85"/>
    <n v="2.0299999999999998"/>
    <n v="0.95"/>
    <n v="0.23"/>
    <n v="2.5081000000000002"/>
    <n v="2.5"/>
    <n v="11.79"/>
    <n v="1.05"/>
    <n v="0.13"/>
    <n v="0.08"/>
    <n v="5.0880000000000001"/>
    <n v="5"/>
    <n v="0"/>
    <n v="0"/>
    <n v="13.05"/>
    <n v="1.091"/>
    <n v="183"/>
    <n v="72"/>
    <n v="0.49492063492063487"/>
    <x v="115"/>
    <n v="0"/>
    <n v="0"/>
    <n v="0"/>
    <n v="0"/>
    <n v="0"/>
    <n v="0"/>
  </r>
  <r>
    <n v="199"/>
    <s v="แขวงทางหลวงพะเยา"/>
    <n v="535"/>
    <n v="1091"/>
    <n v="103"/>
    <s v="ป่าแดง - ปงสนุก"/>
    <n v="37000"/>
    <n v="69827"/>
    <n v="32.826999999999998"/>
    <n v="2"/>
    <s v="R1"/>
    <d v="2015-07-25T00:00:00"/>
    <s v="A.C."/>
    <n v="16.96"/>
    <n v="8.64"/>
    <n v="4.2"/>
    <n v="3.04"/>
    <n v="3.0232199999999998"/>
    <n v="3"/>
    <n v="29.77"/>
    <n v="2.64"/>
    <n v="0.38"/>
    <n v="0.05"/>
    <n v="4.9289199999999997"/>
    <n v="5"/>
    <n v="0"/>
    <n v="0"/>
    <n v="32.83"/>
    <n v="1.3481399999999999"/>
    <n v="495"/>
    <n v="146.13999999999999"/>
    <n v="0.49442749652942475"/>
    <x v="115"/>
    <n v="27"/>
    <n v="2.3499819399536097E-2"/>
    <n v="585"/>
    <n v="0.50916275365661545"/>
    <n v="0"/>
    <n v="0"/>
  </r>
  <r>
    <n v="1349"/>
    <s v="แขวงทางหลวงกาญจนบุรี"/>
    <n v="444"/>
    <n v="3580"/>
    <n v="100"/>
    <s v="แสนตอ - เขาช่อง"/>
    <n v="0"/>
    <n v="6600"/>
    <n v="6.6"/>
    <n v="2"/>
    <s v="L1"/>
    <d v="2015-07-29T00:00:00"/>
    <s v="A.C."/>
    <n v="4.5999999999999996"/>
    <n v="1.625"/>
    <n v="0.42499999999999999"/>
    <n v="7.4999999999999997E-2"/>
    <n v="2.3143899999999999"/>
    <n v="2.5"/>
    <n v="6.625"/>
    <n v="0.1"/>
    <n v="0"/>
    <n v="0"/>
    <n v="2.7319"/>
    <n v="2.5"/>
    <n v="0"/>
    <n v="0"/>
    <n v="6.7249999999999996"/>
    <n v="1.22051"/>
    <n v="87.563000000000002"/>
    <n v="53.2"/>
    <n v="0.49421212121212138"/>
    <x v="115"/>
    <n v="175.43"/>
    <n v="0.75943722943722958"/>
    <n v="0"/>
    <n v="0"/>
    <n v="0"/>
    <n v="0"/>
  </r>
  <r>
    <n v="497"/>
    <s v="แขวงทางหลวงพิจิตร"/>
    <n v="519"/>
    <n v="1068"/>
    <n v="102"/>
    <s v="โพธิ์ประทับช้าง - ไผ่ท่าโพ"/>
    <s v="25+178"/>
    <s v="19+800"/>
    <n v="5.3780000000000001"/>
    <s v="R1"/>
    <n v="2"/>
    <d v="2015-09-29T00:00:00"/>
    <s v="A.C."/>
    <n v="3.2"/>
    <n v="1.0900000000000001"/>
    <n v="0.69"/>
    <n v="0.4"/>
    <n v="2.8090299999999999"/>
    <n v="3"/>
    <n v="5.13"/>
    <n v="0.1"/>
    <n v="0.15"/>
    <n v="0"/>
    <n v="2.89771"/>
    <n v="3"/>
    <n v="0"/>
    <n v="0"/>
    <n v="5.38"/>
    <n v="1.3153600000000001"/>
    <n v="88.114999999999995"/>
    <n v="9.25"/>
    <n v="0.49297000000000002"/>
    <x v="115"/>
    <n v="127.69"/>
    <n v="0.67875099999999999"/>
    <n v="0"/>
    <n v="0"/>
    <n v="0"/>
    <n v="0"/>
  </r>
  <r>
    <n v="1713"/>
    <s v="แขวงทางหลวงชลบุรีที่ 1"/>
    <n v="422"/>
    <n v="361"/>
    <n v="100"/>
    <s v="ทางเลี่ยงเมืองชลบุรี"/>
    <n v="0"/>
    <n v="9000"/>
    <n v="9"/>
    <n v="10"/>
    <s v="L2"/>
    <d v="2015-08-13T00:00:00"/>
    <s v="A.C."/>
    <n v="2.34"/>
    <n v="2.99"/>
    <n v="2.44"/>
    <n v="1.23"/>
    <n v="2.6477599999999999"/>
    <n v="2.5"/>
    <n v="8.48"/>
    <n v="0.4"/>
    <n v="0.1"/>
    <n v="0.03"/>
    <n v="6.2154199999999999"/>
    <n v="6"/>
    <n v="0"/>
    <n v="0"/>
    <n v="9"/>
    <n v="1.3401099999999999"/>
    <n v="0"/>
    <n v="310.08"/>
    <n v="0.49219000000000002"/>
    <x v="115"/>
    <n v="0"/>
    <n v="0"/>
    <n v="0"/>
    <n v="0"/>
    <n v="0"/>
    <n v="0"/>
  </r>
  <r>
    <n v="444"/>
    <s v="แขวงทางหลวงสุโขทัย"/>
    <n v="513"/>
    <n v="1305"/>
    <n v="100"/>
    <s v="หนองอ้อ - สารจิตร"/>
    <s v="7+693"/>
    <s v="0+000"/>
    <n v="7.6929999999999996"/>
    <s v="R1"/>
    <n v="2"/>
    <d v="2015-09-16T00:00:00"/>
    <s v="A.C."/>
    <n v="5.3"/>
    <n v="1.6"/>
    <n v="0.65"/>
    <n v="0.15"/>
    <n v="2.3639000000000001"/>
    <n v="2.5"/>
    <n v="7.19"/>
    <n v="0.25"/>
    <n v="0.2"/>
    <n v="0.05"/>
    <n v="2.87141"/>
    <n v="3"/>
    <n v="0"/>
    <n v="0"/>
    <n v="7.69"/>
    <n v="1.2987500000000001"/>
    <n v="123.12"/>
    <n v="18.649999999999999"/>
    <n v="0.49189430094148667"/>
    <x v="115"/>
    <n v="24.35"/>
    <n v="9.0434718018235508E-2"/>
    <n v="0"/>
    <n v="0"/>
    <n v="0"/>
    <n v="0"/>
  </r>
  <r>
    <n v="2047"/>
    <s v="แขวงทางหลวงสุราษฎร์ธานีที่ 2 (กาญจนดิษฐ์)"/>
    <n v="328"/>
    <n v="401"/>
    <n v="401"/>
    <s v="ท่าโรงช้าง - กิโลศูนย์"/>
    <n v="128042"/>
    <n v="145542"/>
    <n v="17.5"/>
    <n v="2"/>
    <s v="L1"/>
    <d v="2015-04-26T00:00:00"/>
    <s v="A.C."/>
    <n v="11.15"/>
    <n v="3.125"/>
    <n v="1.7250000000000001"/>
    <n v="1.4750000000000001"/>
    <n v="2.5825"/>
    <n v="2.5"/>
    <n v="16.074999999999999"/>
    <n v="1.125"/>
    <n v="0.22500000000000001"/>
    <n v="0.05"/>
    <n v="5.3313800000000002"/>
    <n v="5.5"/>
    <n v="0"/>
    <n v="0"/>
    <n v="17.475000000000001"/>
    <n v="1.1455900000000001"/>
    <n v="196.02"/>
    <n v="209.49"/>
    <n v="0.49104489795918371"/>
    <x v="115"/>
    <n v="118.31"/>
    <n v="0.1931591836734694"/>
    <n v="1.03"/>
    <n v="1.6816326530612244E-3"/>
    <n v="0"/>
    <n v="0"/>
  </r>
  <r>
    <n v="105"/>
    <s v="แขวงทางหลวงเชียงใหม่ที่ 3"/>
    <n v="527"/>
    <n v="107"/>
    <n v="201"/>
    <s v="ขี้เหล็กหลวง - สวนสน"/>
    <s v="30+893"/>
    <s v="43+300"/>
    <n v="12.407"/>
    <n v="2"/>
    <s v="L2"/>
    <d v="2015-08-23T00:00:00"/>
    <s v="A.C."/>
    <n v="7.21"/>
    <n v="3.41"/>
    <n v="1.19"/>
    <n v="0.6"/>
    <n v="2.6006200000000002"/>
    <n v="2.5"/>
    <n v="11.71"/>
    <n v="0.55000000000000004"/>
    <n v="0.05"/>
    <n v="0.1"/>
    <n v="4.46075"/>
    <n v="4.5"/>
    <n v="0"/>
    <n v="0"/>
    <n v="12.41"/>
    <n v="1.0210399999999999"/>
    <n v="168.31"/>
    <n v="89.6"/>
    <n v="0.49075982452302275"/>
    <x v="115"/>
    <n v="112.51"/>
    <n v="0.25909336895070756"/>
    <n v="18.5"/>
    <n v="4.2602678211608652E-2"/>
    <n v="3.6"/>
    <n v="8.2902508952319535E-3"/>
  </r>
  <r>
    <n v="1917"/>
    <s v="แขวงทางหลวงเพชรบุรี"/>
    <n v="338"/>
    <n v="4"/>
    <n v="503"/>
    <s v="ชะอำ - ห้วยทรายใต้"/>
    <s v="210+060"/>
    <s v="192+167"/>
    <n v="17.893000000000001"/>
    <n v="6"/>
    <s v="R3"/>
    <d v="2015-04-08T00:00:00"/>
    <s v="A.C."/>
    <n v="15.02"/>
    <n v="1.66"/>
    <n v="1.01"/>
    <n v="0.2"/>
    <n v="1.9317200000000001"/>
    <n v="2"/>
    <n v="17.87"/>
    <n v="0"/>
    <n v="0.02"/>
    <n v="0"/>
    <n v="2.9247700000000001"/>
    <n v="3"/>
    <n v="0"/>
    <n v="0"/>
    <n v="17.89"/>
    <n v="1.41499"/>
    <n v="188.3"/>
    <n v="244.2"/>
    <n v="0.49057259810661741"/>
    <x v="115"/>
    <n v="224.16"/>
    <n v="0.35427433502441802"/>
    <n v="0"/>
    <n v="0"/>
    <n v="0"/>
    <n v="0"/>
  </r>
  <r>
    <n v="1353"/>
    <s v="แขวงทางหลวงสุพรรณบุรีที่ 2 (อู่ทอง)"/>
    <n v="445"/>
    <n v="324"/>
    <n v="201"/>
    <s v="หนองขาว  - ตลาดเขต"/>
    <n v="44000"/>
    <n v="12300"/>
    <n v="31.7"/>
    <n v="4"/>
    <s v="R2"/>
    <d v="2015-07-03T00:00:00"/>
    <s v="A.C."/>
    <n v="22.925000000000001"/>
    <n v="5.05"/>
    <n v="2.7"/>
    <n v="1.175"/>
    <n v="2.3065600000000002"/>
    <n v="2.5"/>
    <n v="24.5"/>
    <n v="5.125"/>
    <n v="1.675"/>
    <n v="0.55000000000000004"/>
    <n v="7.3005699999999996"/>
    <n v="7.5"/>
    <n v="0"/>
    <n v="0"/>
    <n v="31.85"/>
    <n v="1.0762400000000001"/>
    <n v="531.6"/>
    <n v="24.5"/>
    <n v="0.49017575484452452"/>
    <x v="115"/>
    <n v="165.4"/>
    <n v="0.14907616043262734"/>
    <n v="0"/>
    <n v="0"/>
    <n v="0"/>
    <n v="0"/>
  </r>
  <r>
    <n v="1785"/>
    <s v="แขวงทางหลวงชลบุรีที่ 2"/>
    <n v="428"/>
    <n v="331"/>
    <n v="103"/>
    <s v="พันเสด็จนอก - หนองปรือ"/>
    <n v="47000"/>
    <n v="68300"/>
    <n v="21.3"/>
    <n v="4"/>
    <s v="L2"/>
    <d v="2015-08-14T00:00:00"/>
    <s v="A.C."/>
    <n v="10.53"/>
    <n v="3.7"/>
    <n v="3.3"/>
    <n v="3.85"/>
    <n v="3.4026700000000001"/>
    <n v="3.5"/>
    <n v="16.600000000000001"/>
    <n v="3.85"/>
    <n v="0.65"/>
    <n v="0.27500000000000002"/>
    <n v="8.0891500000000001"/>
    <n v="8"/>
    <n v="0"/>
    <n v="0"/>
    <n v="21.380000000000003"/>
    <n v="1.3475299999999999"/>
    <n v="364.98"/>
    <n v="0"/>
    <n v="0.48957746478873237"/>
    <x v="115"/>
    <n v="0"/>
    <n v="0"/>
    <n v="0"/>
    <n v="0"/>
    <n v="0"/>
    <n v="0"/>
  </r>
  <r>
    <n v="1274"/>
    <s v="แขวงทางหลวงนครสวรรค์ที่ 2 (ตากฟ้า)"/>
    <n v="438"/>
    <n v="3600"/>
    <n v="100"/>
    <s v="เกยไชย - ชุมแสง"/>
    <s v="0+000"/>
    <s v="5+134"/>
    <n v="5.1340000000000003"/>
    <n v="2"/>
    <s v="L1"/>
    <d v="2015-10-05T00:00:00"/>
    <s v="A.C."/>
    <n v="2.8250000000000002"/>
    <n v="1.175"/>
    <n v="0.82499999999999996"/>
    <n v="0.35"/>
    <n v="2.83691"/>
    <n v="3"/>
    <n v="5.1749999999999998"/>
    <n v="0"/>
    <n v="0"/>
    <n v="0"/>
    <n v="2.3360500000000002"/>
    <n v="2.5"/>
    <n v="0"/>
    <n v="0"/>
    <n v="5.1340000000000003"/>
    <n v="1.2459499999999999"/>
    <n v="63.48"/>
    <n v="48.2"/>
    <n v="0.48739495798319321"/>
    <x v="115"/>
    <n v="14.2"/>
    <n v="7.9024987478435074E-2"/>
    <n v="0"/>
    <n v="0"/>
    <n v="0"/>
    <n v="0"/>
  </r>
  <r>
    <n v="1190"/>
    <s v="แขวงทางหลวงสิงห์บุรี"/>
    <n v="433"/>
    <n v="3285"/>
    <n v="100"/>
    <s v="อินทร์บุรี - หนองสุ่ม"/>
    <s v="0+000"/>
    <s v="10+000"/>
    <n v="10"/>
    <n v="2"/>
    <s v="L1"/>
    <d v="2015-10-05T00:00:00"/>
    <s v="A.C."/>
    <n v="5.4"/>
    <n v="2.8"/>
    <n v="1.5"/>
    <n v="0.3"/>
    <n v="2.6733500000000001"/>
    <n v="2.5"/>
    <n v="9.65"/>
    <n v="0.27500000000000002"/>
    <n v="7.4999999999999997E-2"/>
    <n v="0"/>
    <n v="3.74424"/>
    <n v="3.5"/>
    <n v="0"/>
    <n v="0"/>
    <n v="10"/>
    <n v="1.25376"/>
    <n v="167.249"/>
    <n v="6.32"/>
    <n v="0.48688285714285717"/>
    <x v="115"/>
    <n v="203.15"/>
    <n v="0.5804285714285714"/>
    <n v="6.3"/>
    <n v="1.7999999999999999E-2"/>
    <n v="0"/>
    <n v="1.7999999999999999E-2"/>
  </r>
  <r>
    <n v="2212"/>
    <s v="แขวงทางหลวงสตูล"/>
    <n v="318"/>
    <n v="406"/>
    <n v="103"/>
    <s v="ย่านซื่อ - ตำมะลัง"/>
    <s v="99+890"/>
    <n v="92974"/>
    <n v="6.9160000000000004"/>
    <n v="2"/>
    <s v="R2"/>
    <d v="2015-05-25T00:00:00"/>
    <s v="A.C."/>
    <n v="3.6749999999999998"/>
    <n v="2.3250000000000002"/>
    <n v="0.67500000000000004"/>
    <n v="0.15"/>
    <n v="2.62147"/>
    <n v="2.5"/>
    <n v="6.5"/>
    <n v="0.3"/>
    <n v="2.5000000000000001E-2"/>
    <n v="0"/>
    <n v="4.9848400000000002"/>
    <n v="5"/>
    <n v="0"/>
    <n v="0"/>
    <n v="6.8250000000000002"/>
    <n v="1.4700599999999999"/>
    <n v="117.57"/>
    <n v="0"/>
    <n v="0.48570602330000817"/>
    <x v="115"/>
    <n v="0"/>
    <n v="0"/>
    <n v="0"/>
    <n v="0"/>
    <n v="0"/>
    <n v="0"/>
  </r>
  <r>
    <n v="1267"/>
    <s v="แขวงทางหลวงนครสวรรค์ที่ 2 (ตากฟ้า)"/>
    <n v="438"/>
    <n v="3327"/>
    <n v="200"/>
    <s v="นิคมเขาบ่อแก้ว - โค้งวิจารณ์"/>
    <s v="8+000"/>
    <s v="26+723"/>
    <n v="18.722999999999999"/>
    <n v="2"/>
    <s v="L1"/>
    <d v="2015-10-05T00:00:00"/>
    <s v="A.C."/>
    <n v="7.9749999999999996"/>
    <n v="6.625"/>
    <n v="3.2"/>
    <n v="0.875"/>
    <n v="2.8899300000000001"/>
    <n v="3"/>
    <n v="18.399999999999999"/>
    <n v="0.27500000000000002"/>
    <n v="0"/>
    <n v="0"/>
    <n v="2.5248900000000001"/>
    <n v="2.5"/>
    <n v="0"/>
    <n v="0"/>
    <n v="18.722999999999999"/>
    <n v="1.1171199999999999"/>
    <n v="230.5"/>
    <n v="174.2"/>
    <n v="0.4846598148953542"/>
    <x v="115"/>
    <n v="112.20099999999999"/>
    <n v="0.17121950847315373"/>
    <n v="0"/>
    <n v="0"/>
    <n v="0"/>
    <n v="0"/>
  </r>
  <r>
    <n v="1009"/>
    <s v="แขวงทางหลวงบุรีรัมย์"/>
    <n v="617"/>
    <n v="226"/>
    <n v="204"/>
    <s v="กระสัง-ระกา"/>
    <s v="147+079"/>
    <s v="126+342"/>
    <n v="20.736999999999998"/>
    <n v="4"/>
    <s v="R2"/>
    <d v="2015-05-07T00:00:00"/>
    <s v="A.C."/>
    <n v="10.707000000000001"/>
    <n v="5.8369999999999997"/>
    <n v="2.7050000000000001"/>
    <n v="1.488"/>
    <n v="2.81473"/>
    <n v="3"/>
    <n v="14.651"/>
    <n v="3.8730000000000002"/>
    <n v="2.1890000000000001"/>
    <n v="2.4E-2"/>
    <n v="7.0326599999999999"/>
    <n v="7"/>
    <n v="0"/>
    <n v="0"/>
    <n v="20.737000000000002"/>
    <n v="1.25545"/>
    <n v="349.16"/>
    <n v="0"/>
    <n v="0.48107247914355983"/>
    <x v="115"/>
    <n v="135.01"/>
    <n v="0.18601671270813383"/>
    <n v="0"/>
    <n v="0"/>
    <n v="0"/>
    <n v="0"/>
  </r>
  <r>
    <n v="1463"/>
    <s v="แขวงทางหลวงอ่างทอง"/>
    <n v="448"/>
    <n v="3454"/>
    <n v="301"/>
    <s v="ท่าช้าง - โพธิ์ทอง"/>
    <n v="62493"/>
    <n v="49736"/>
    <n v="12.757"/>
    <n v="2"/>
    <s v="R1"/>
    <d v="2015-06-27T00:00:00"/>
    <s v="A.C."/>
    <n v="7.95"/>
    <n v="2.7250000000000001"/>
    <n v="1.125"/>
    <n v="0.2"/>
    <n v="2.4543300000000001"/>
    <n v="2.5"/>
    <n v="11.3"/>
    <n v="0.6"/>
    <n v="7.4999999999999997E-2"/>
    <n v="2.5000000000000001E-2"/>
    <n v="4.6188799999999999"/>
    <n v="4.5"/>
    <n v="0"/>
    <n v="0"/>
    <n v="12"/>
    <n v="0.99347300000000005"/>
    <n v="33"/>
    <n v="363"/>
    <n v="0.48040851521293643"/>
    <x v="115"/>
    <n v="8"/>
    <n v="1.7917333900715576E-2"/>
    <n v="78"/>
    <n v="0.17469400553197686"/>
    <n v="0"/>
    <n v="0"/>
  </r>
  <r>
    <n v="596"/>
    <s v="แขวงทางหลวงเลยที่ 1"/>
    <n v="554"/>
    <n v="201"/>
    <n v="403"/>
    <s v="โนนสว่าง - ปากปวน"/>
    <s v="322+036"/>
    <s v="308+986"/>
    <n v="13.05"/>
    <n v="4"/>
    <s v="R2"/>
    <d v="2015-06-27T00:00:00"/>
    <s v="A.C."/>
    <n v="9.85"/>
    <n v="2.0499999999999998"/>
    <n v="0.93"/>
    <n v="0.23"/>
    <n v="2.5788000000000002"/>
    <n v="2.5"/>
    <n v="11.27"/>
    <n v="1.33"/>
    <n v="0.4"/>
    <n v="0.05"/>
    <n v="5.0882199999999997"/>
    <n v="5"/>
    <n v="0"/>
    <n v="0"/>
    <n v="13.05"/>
    <n v="1.09114"/>
    <n v="183"/>
    <n v="72"/>
    <n v="0.48007300000000003"/>
    <x v="115"/>
    <n v="0"/>
    <n v="0"/>
    <n v="0"/>
    <n v="0"/>
    <n v="0"/>
    <n v="0"/>
  </r>
  <r>
    <n v="1342"/>
    <s v="แขวงทางหลวงกาญจนบุรี"/>
    <n v="444"/>
    <n v="3548"/>
    <n v="100"/>
    <s v="ท่ามะกา - ท่าม่วง"/>
    <s v="0+000"/>
    <s v="2+032"/>
    <n v="2.032"/>
    <n v="2"/>
    <s v="L1"/>
    <d v="2015-07-29T00:00:00"/>
    <s v="A.C."/>
    <n v="2.0249999999999999"/>
    <n v="0"/>
    <n v="0"/>
    <n v="0"/>
    <n v="1.2101200000000001"/>
    <n v="1"/>
    <n v="1.9"/>
    <n v="0.125"/>
    <n v="0"/>
    <n v="0"/>
    <n v="2.5893999999999999"/>
    <n v="2.5"/>
    <n v="0"/>
    <n v="0"/>
    <n v="2.0249999999999999"/>
    <n v="0.85699999999999998"/>
    <n v="12.4"/>
    <n v="43.174999999999997"/>
    <n v="0.47788948256467939"/>
    <x v="115"/>
    <n v="44.2"/>
    <n v="0.62148481439820025"/>
    <n v="0"/>
    <n v="0"/>
    <n v="0"/>
    <n v="0"/>
  </r>
  <r>
    <n v="1379"/>
    <s v="แขวงทางหลวงสุพรรณบุรีที่ 2 (อู่ทอง)"/>
    <n v="445"/>
    <n v="3443"/>
    <n v="102"/>
    <s v="ตลุงเหนือ - เขาวัง"/>
    <n v="42897"/>
    <n v="26665"/>
    <n v="16.231999999999999"/>
    <n v="2"/>
    <s v="L1"/>
    <d v="2015-07-03T00:00:00"/>
    <s v="A.C."/>
    <n v="8.7173999999999996"/>
    <n v="5.03505"/>
    <n v="2.1042000000000001"/>
    <n v="0.37575000000000003"/>
    <n v="2.57077"/>
    <n v="2.5"/>
    <n v="16.00695"/>
    <n v="0.20040000000000002"/>
    <n v="2.5050000000000003E-2"/>
    <n v="0"/>
    <n v="2.5774400000000002"/>
    <n v="2.5"/>
    <n v="0"/>
    <n v="0"/>
    <n v="16.232399999999998"/>
    <n v="1.10615"/>
    <n v="254.434"/>
    <n v="32.5"/>
    <n v="0.47645567837780745"/>
    <x v="115"/>
    <n v="23.77"/>
    <n v="4.1839752165035556E-2"/>
    <n v="0"/>
    <n v="0"/>
    <n v="0"/>
    <n v="0"/>
  </r>
  <r>
    <n v="196"/>
    <s v="แขวงทางหลวงพะเยา"/>
    <n v="535"/>
    <n v="1021"/>
    <n v="103"/>
    <s v="น้ำแวน - สะแล่ง"/>
    <n v="68274"/>
    <n v="87538"/>
    <n v="19.263999999999999"/>
    <n v="2"/>
    <s v="L1"/>
    <d v="2015-07-24T00:00:00"/>
    <s v="A.C."/>
    <n v="14.35"/>
    <n v="2.37"/>
    <n v="1.24"/>
    <n v="1.31"/>
    <n v="2.4314"/>
    <n v="2.5"/>
    <n v="18.38"/>
    <n v="0.4"/>
    <n v="0.15"/>
    <n v="0.33"/>
    <n v="5.4576200000000004"/>
    <n v="5.5"/>
    <n v="0"/>
    <n v="0"/>
    <n v="19.260000000000002"/>
    <n v="1.1589100000000001"/>
    <n v="296"/>
    <n v="47.74"/>
    <n v="0.4744156383483627"/>
    <x v="115"/>
    <n v="311"/>
    <n v="0.46126008542952074"/>
    <n v="0"/>
    <n v="0"/>
    <n v="1"/>
    <n v="1.4831514000949221E-3"/>
  </r>
  <r>
    <n v="1037"/>
    <s v="แขวงทางหลวงบุรีรัมย์"/>
    <n v="617"/>
    <n v="2208"/>
    <n v="103"/>
    <s v="ระกา - กระสัง"/>
    <n v="46496"/>
    <n v="42016"/>
    <n v="4.4800000000000004"/>
    <n v="4"/>
    <s v="R2"/>
    <d v="2015-05-08T00:00:00"/>
    <s v="A.C."/>
    <n v="2.6749999999999998"/>
    <n v="1.175"/>
    <n v="0.57499999999999996"/>
    <n v="0.22500000000000001"/>
    <n v="2.6781299999999999"/>
    <n v="2.5"/>
    <n v="3.2749999999999999"/>
    <n v="0.95"/>
    <n v="0.375"/>
    <n v="0.05"/>
    <n v="6.5145"/>
    <n v="6.5"/>
    <n v="0"/>
    <n v="0"/>
    <n v="4.6499999999999995"/>
    <n v="1.41543"/>
    <n v="70.91"/>
    <n v="6.71"/>
    <n v="0.47362882653061217"/>
    <x v="115"/>
    <n v="24.56"/>
    <n v="0.15663265306122448"/>
    <n v="218.2"/>
    <n v="1.391581632653061"/>
    <n v="0"/>
    <n v="0"/>
  </r>
  <r>
    <n v="615"/>
    <s v="แขวงทางหลวงเลยที่ 2 (ด่านซ้าย)"/>
    <n v="555"/>
    <n v="1268"/>
    <n v="100"/>
    <s v="เหมืองแพร่ - นาเจริญ"/>
    <n v="0"/>
    <n v="40200"/>
    <n v="40.200000000000003"/>
    <n v="2"/>
    <s v="L1"/>
    <d v="2015-07-02T00:00:00"/>
    <s v="A.C."/>
    <n v="6.1749999999999998"/>
    <n v="15.475"/>
    <n v="12.9"/>
    <n v="5.5250000000000004"/>
    <n v="3.5410699999999999"/>
    <n v="3.5"/>
    <n v="37.1"/>
    <n v="2.125"/>
    <n v="0.5"/>
    <n v="0.35"/>
    <n v="5.2569699999999999"/>
    <n v="5.5"/>
    <n v="0.05"/>
    <n v="0.05"/>
    <n v="40"/>
    <n v="1.4414499999999999"/>
    <n v="646"/>
    <n v="38.83"/>
    <n v="0.47293176972281437"/>
    <x v="115"/>
    <n v="4"/>
    <n v="2.8429282160625439E-3"/>
    <n v="102"/>
    <n v="7.2494669509594864E-2"/>
    <n v="2"/>
    <n v="1.421464108031272E-3"/>
  </r>
  <r>
    <n v="54"/>
    <s v="แขวงทางหลวงลำปางที่ 1"/>
    <n v="523"/>
    <n v="1264"/>
    <n v="100"/>
    <s v="แม่พริก - ห้วยขี้นก"/>
    <n v="0"/>
    <n v="20717"/>
    <n v="20.716999999999999"/>
    <n v="2"/>
    <s v="L1"/>
    <d v="2015-08-07T00:00:00"/>
    <s v="A.C."/>
    <n v="2.5499999999999998"/>
    <n v="5.7750000000000004"/>
    <n v="7.75"/>
    <n v="4.625"/>
    <n v="4.26"/>
    <n v="4.5"/>
    <n v="19.2"/>
    <n v="0.375"/>
    <n v="0.125"/>
    <n v="0"/>
    <n v="4.3419999999999996"/>
    <n v="4.5"/>
    <n v="0"/>
    <n v="0"/>
    <n v="20.7"/>
    <n v="1.387"/>
    <n v="314.12"/>
    <n v="56.2"/>
    <n v="0.47196574241995881"/>
    <x v="115"/>
    <n v="412.3"/>
    <n v="0.56861514698074045"/>
    <n v="121.2"/>
    <n v="0.16715051131231082"/>
    <n v="30.8"/>
    <n v="4.2477192643722551E-2"/>
  </r>
  <r>
    <n v="2130"/>
    <s v="แขวงทางหลวงภูเก็ต"/>
    <n v="324"/>
    <n v="4090"/>
    <n v="200"/>
    <s v="นิคม - หินดาน"/>
    <n v="13963"/>
    <n v="43466"/>
    <n v="29.503"/>
    <n v="2"/>
    <s v="L1"/>
    <d v="2015-05-16T00:00:00"/>
    <s v="A.C."/>
    <n v="15.675000000000001"/>
    <n v="8.85"/>
    <n v="3.55"/>
    <n v="1.175"/>
    <n v="2.6731600000000002"/>
    <n v="2.5"/>
    <n v="28.725000000000001"/>
    <n v="0.47499999999999998"/>
    <n v="2.5000000000000001E-2"/>
    <n v="2.5000000000000001E-2"/>
    <n v="3.2500200000000001"/>
    <n v="3.5"/>
    <n v="0"/>
    <n v="0"/>
    <n v="29.25"/>
    <n v="1.2929999999999999"/>
    <n v="485"/>
    <n v="0"/>
    <n v="0.46968589150740114"/>
    <x v="115"/>
    <n v="0"/>
    <n v="0"/>
    <n v="0"/>
    <n v="0"/>
    <n v="0"/>
    <n v="0"/>
  </r>
  <r>
    <n v="2083"/>
    <s v="แขวงทางหลวงสุราษฎร์ธานีที่ 3 (เวียงสระ)"/>
    <n v="329"/>
    <n v="4246"/>
    <n v="100"/>
    <s v="เขาวง - หน้าเขา"/>
    <n v="30420"/>
    <n v="0"/>
    <n v="30.42"/>
    <n v="2"/>
    <s v="R1"/>
    <d v="2015-04-27T00:00:00"/>
    <s v="A.C."/>
    <n v="9.9749999999999996"/>
    <n v="12.324999999999999"/>
    <n v="5.9"/>
    <n v="2.0750000000000002"/>
    <n v="3.0924399999999999"/>
    <n v="3"/>
    <n v="28.85"/>
    <n v="1.325"/>
    <n v="7.4999999999999997E-2"/>
    <n v="2.5000000000000001E-2"/>
    <n v="3.90741"/>
    <n v="4"/>
    <n v="0"/>
    <n v="0"/>
    <n v="30.274999999999995"/>
    <n v="1.3655600000000001"/>
    <n v="214.84"/>
    <n v="565.19000000000005"/>
    <n v="0.4672067248990327"/>
    <x v="115"/>
    <n v="11.49"/>
    <n v="1.079177233023387E-2"/>
    <n v="14.72"/>
    <n v="1.3825490748567672E-2"/>
    <n v="0"/>
    <n v="0"/>
  </r>
  <r>
    <n v="529"/>
    <s v="แขวงทางหลวงอุตรดิตถ์ที่ 1"/>
    <n v="557"/>
    <n v="1324"/>
    <n v="200"/>
    <s v="ทุ่งป่ากระถิน - พญาแมน"/>
    <s v="12+142"/>
    <s v="3+000"/>
    <n v="9.1419999999999995"/>
    <s v="R1"/>
    <n v="2"/>
    <d v="2015-09-23T00:00:00"/>
    <s v="A.C."/>
    <n v="6.1"/>
    <n v="1.925"/>
    <n v="0.95"/>
    <n v="0.23"/>
    <n v="2.41147"/>
    <n v="2.5"/>
    <n v="8.9499999999999993"/>
    <n v="0.15"/>
    <n v="0.1"/>
    <n v="0"/>
    <n v="2.7751600000000001"/>
    <n v="3"/>
    <n v="0"/>
    <n v="0"/>
    <n v="9.2050000000000001"/>
    <n v="1.1980999999999999"/>
    <n v="146.26"/>
    <n v="6.24"/>
    <n v="0.46685599999999999"/>
    <x v="115"/>
    <n v="53.11"/>
    <n v="0.16598399999999999"/>
    <n v="0"/>
    <n v="0"/>
    <n v="0"/>
    <n v="0"/>
  </r>
  <r>
    <n v="586"/>
    <s v="แขวงทางหลวงเพชรบูรณ์ที่ 2 (บึงสามพัน)"/>
    <n v="552"/>
    <n v="2275"/>
    <n v="202"/>
    <s v="แยกศรีเทพ - ซับบอน"/>
    <n v="30075"/>
    <n v="73271"/>
    <n v="43.195999999999998"/>
    <n v="2"/>
    <s v="L1"/>
    <d v="2015-07-10T00:00:00"/>
    <s v="A.C."/>
    <n v="29.175000000000001"/>
    <n v="7.125"/>
    <n v="4.1749999999999998"/>
    <n v="2.65"/>
    <n v="2.7759999999999998"/>
    <n v="3"/>
    <n v="41.325000000000003"/>
    <n v="1.3"/>
    <n v="0.3"/>
    <n v="0.2"/>
    <n v="4.6349999999999998"/>
    <n v="4.5"/>
    <n v="0"/>
    <n v="0"/>
    <n v="43.124999999999993"/>
    <n v="1.1830000000000001"/>
    <n v="495"/>
    <n v="417.8"/>
    <n v="0.46558543780508788"/>
    <x v="115"/>
    <n v="16"/>
    <n v="1.0582990488537301E-2"/>
    <n v="217"/>
    <n v="0.14353180850078712"/>
    <n v="49"/>
    <n v="3.2410408371145484E-2"/>
  </r>
  <r>
    <n v="1983"/>
    <s v="แขวงทางหลวงตรัง"/>
    <n v="322"/>
    <n v="4046"/>
    <n v="102"/>
    <s v="ถนนเลี่ยงเมืองสิเกา"/>
    <n v="34027"/>
    <n v="30029"/>
    <n v="3.9980000000000002"/>
    <n v="2"/>
    <s v="R2"/>
    <d v="2015-05-06T00:00:00"/>
    <s v="A.C."/>
    <n v="2.0499999999999998"/>
    <n v="1.0249999999999999"/>
    <n v="0.55000000000000004"/>
    <n v="0.4"/>
    <n v="2.8586999999999998"/>
    <n v="3"/>
    <n v="3.5750000000000002"/>
    <n v="0.4"/>
    <n v="2.5000000000000001E-2"/>
    <n v="2.5000000000000001E-2"/>
    <n v="5.0881100000000004"/>
    <n v="5"/>
    <n v="0"/>
    <n v="0"/>
    <n v="4.0250000000000004"/>
    <n v="1.2885800000000001"/>
    <n v="64.040000000000006"/>
    <n v="2"/>
    <n v="0.46480383048667195"/>
    <x v="115"/>
    <n v="0"/>
    <n v="0"/>
    <n v="0"/>
    <n v="0"/>
    <n v="0"/>
    <n v="0"/>
  </r>
  <r>
    <n v="1694"/>
    <s v="แขวงทางหลวงฉะเชิงเทรา"/>
    <n v="421"/>
    <n v="3304"/>
    <n v="100"/>
    <s v="บ้านโพธิ์ - แปลงยาว"/>
    <n v="0"/>
    <n v="20279"/>
    <n v="20.279"/>
    <n v="2"/>
    <s v="L1"/>
    <d v="2015-08-10T00:00:00"/>
    <s v="A.C."/>
    <n v="9.75"/>
    <n v="4.2750000000000004"/>
    <n v="2.625"/>
    <n v="3.55"/>
    <n v="3.4141300000000001"/>
    <n v="3.5"/>
    <n v="9.0250000000000004"/>
    <n v="4.0750000000000002"/>
    <n v="2.2250000000000001"/>
    <n v="4.875"/>
    <n v="19.878399999999999"/>
    <n v="20"/>
    <n v="0"/>
    <n v="0"/>
    <n v="20.279"/>
    <n v="1.20906"/>
    <n v="328.8"/>
    <n v="0"/>
    <n v="0.46325192141060773"/>
    <x v="115"/>
    <n v="149.02000000000001"/>
    <n v="0.20995681669284905"/>
    <n v="135"/>
    <n v="0.19020379984924587"/>
    <n v="1.55"/>
    <n v="2.1838214056765265E-3"/>
  </r>
  <r>
    <n v="1077"/>
    <s v="แขวงทางหลวงสระแก้ว (วัฒนานคร)"/>
    <n v="619"/>
    <n v="3367"/>
    <n v="100"/>
    <s v="คลองน้ำใส - เขาน้อย"/>
    <n v="0"/>
    <n v="655"/>
    <n v="0.65500000000000003"/>
    <n v="2"/>
    <s v="L1"/>
    <d v="2015-04-01T00:00:00"/>
    <s v="A.C."/>
    <n v="0.24"/>
    <n v="0.24"/>
    <n v="0.05"/>
    <n v="0.13"/>
    <n v="3.2711100000000002"/>
    <n v="3.5"/>
    <n v="0.66"/>
    <n v="0"/>
    <n v="0"/>
    <n v="0"/>
    <n v="2.4794100000000001"/>
    <n v="2.5"/>
    <n v="0"/>
    <n v="0"/>
    <n v="0.66"/>
    <n v="1.1019300000000001"/>
    <n v="10.62"/>
    <n v="0"/>
    <n v="0.46324972737186476"/>
    <x v="115"/>
    <n v="0"/>
    <n v="0"/>
    <n v="0"/>
    <n v="0"/>
    <n v="0"/>
    <n v="0"/>
  </r>
  <r>
    <n v="24"/>
    <s v="แขวงทางหลวงเชียงใหม่ที่ 2"/>
    <n v="522"/>
    <n v="107"/>
    <n v="100"/>
    <s v="เชียงใหม่ - ขี้เหล็กหลวง"/>
    <s v="30+893"/>
    <n v="17915"/>
    <n v="13.891999999999999"/>
    <n v="4"/>
    <s v="R2"/>
    <d v="2015-08-18T00:00:00"/>
    <s v="A.C."/>
    <n v="4.4749999999999996"/>
    <n v="3.5750000000000002"/>
    <n v="3.95"/>
    <n v="1.8"/>
    <n v="4.1368099999999997"/>
    <n v="4"/>
    <n v="11.3"/>
    <n v="2.5"/>
    <n v="0"/>
    <n v="0"/>
    <n v="2.617"/>
    <n v="2.5"/>
    <n v="0"/>
    <n v="0"/>
    <n v="13.8"/>
    <n v="1.1890000000000001"/>
    <n v="214.3"/>
    <n v="18.899999999999999"/>
    <n v="0.46018263337583809"/>
    <x v="115"/>
    <n v="59.6"/>
    <n v="0.1225782567562009"/>
    <n v="153.19999999999999"/>
    <n v="0.31508370696392574"/>
    <n v="2.1"/>
    <n v="4.319032536711777E-3"/>
  </r>
  <r>
    <n v="878"/>
    <s v="แขวงทางหลวงอุบลราชธานีที่ 1"/>
    <n v="631"/>
    <n v="2415"/>
    <n v="102"/>
    <s v="หนองยอ - หนองช้างใหญ่"/>
    <n v="14070"/>
    <n v="35191"/>
    <n v="21.120999999999999"/>
    <n v="2"/>
    <s v="L1"/>
    <d v="2015-05-15T00:00:00"/>
    <s v="A.C."/>
    <n v="12.775"/>
    <n v="4.4000000000000004"/>
    <n v="2.0750000000000002"/>
    <n v="1.75"/>
    <n v="2.6529500000000001"/>
    <n v="2.5"/>
    <n v="20.524999999999999"/>
    <n v="0.3"/>
    <n v="0.1"/>
    <n v="7.4999999999999997E-2"/>
    <n v="3.2151299999999998"/>
    <n v="3"/>
    <n v="0"/>
    <n v="2.5000000000000001E-2"/>
    <n v="20.975000000000001"/>
    <n v="1.59931"/>
    <n v="0"/>
    <n v="680.11"/>
    <n v="0.46000999999999997"/>
    <x v="115"/>
    <n v="0.87"/>
    <n v="1.1800000000000001E-3"/>
    <n v="0"/>
    <n v="0"/>
    <n v="0"/>
    <n v="0"/>
  </r>
  <r>
    <n v="194"/>
    <s v="แขวงทางหลวงพะเยา"/>
    <n v="535"/>
    <n v="1021"/>
    <n v="101"/>
    <s v="แม่ต๋ำ - บ้านใหม่"/>
    <n v="12000"/>
    <n v="27750"/>
    <n v="15.75"/>
    <n v="2"/>
    <s v="L1"/>
    <d v="2015-07-24T00:00:00"/>
    <s v="A.C."/>
    <n v="4.38"/>
    <n v="6.2"/>
    <n v="3.5"/>
    <n v="1.67"/>
    <n v="1.4750000000000001"/>
    <n v="1.5"/>
    <n v="13.18"/>
    <n v="2.0499999999999998"/>
    <n v="0.53"/>
    <n v="0"/>
    <n v="6.82"/>
    <n v="7"/>
    <n v="0"/>
    <n v="0"/>
    <n v="15.75"/>
    <n v="1.32"/>
    <n v="219"/>
    <n v="67.75"/>
    <n v="0.45873015873015871"/>
    <x v="115"/>
    <n v="1232"/>
    <n v="2.234920634920635"/>
    <n v="0"/>
    <n v="0"/>
    <n v="81"/>
    <n v="0.14693877551020407"/>
  </r>
  <r>
    <n v="2080"/>
    <s v="แขวงทางหลวงสุราษฎร์ธานีที่ 3 (เวียงสระ)"/>
    <n v="329"/>
    <n v="4219"/>
    <n v="100"/>
    <s v="ปลายหลิก - ทับใหม่"/>
    <n v="22150"/>
    <n v="0"/>
    <n v="22.15"/>
    <n v="2"/>
    <s v="R1"/>
    <d v="2015-04-27T00:00:00"/>
    <s v="A.C."/>
    <n v="13.275"/>
    <n v="6.1"/>
    <n v="1.95"/>
    <n v="0.75"/>
    <n v="2.53776"/>
    <n v="2.5"/>
    <n v="20.574999999999999"/>
    <n v="1.1499999999999999"/>
    <n v="0.27500000000000002"/>
    <n v="7.4999999999999997E-2"/>
    <n v="4.4371499999999999"/>
    <n v="4.5"/>
    <n v="0"/>
    <n v="0"/>
    <n v="22.074999999999999"/>
    <n v="1.3254999999999999"/>
    <n v="89.66"/>
    <n v="531.28"/>
    <n v="0.45830377297645924"/>
    <x v="115"/>
    <n v="0.99"/>
    <n v="1.2770074169622706E-3"/>
    <n v="0"/>
    <n v="0"/>
    <n v="0"/>
    <n v="0"/>
  </r>
  <r>
    <n v="852"/>
    <s v="แขวงทางหลวงสุรินทร์"/>
    <n v="615"/>
    <n v="2081"/>
    <n v="100"/>
    <s v="ตาฮะ -  ลำพังชู"/>
    <n v="0"/>
    <n v="66231"/>
    <n v="66.230999999999995"/>
    <n v="2"/>
    <s v="L1"/>
    <d v="2015-05-11T00:00:00"/>
    <s v="A.C."/>
    <n v="45.7"/>
    <n v="14.725"/>
    <n v="4.45"/>
    <n v="1.05"/>
    <n v="2.343"/>
    <n v="2.5"/>
    <n v="62.05"/>
    <n v="3.35"/>
    <n v="0.47499999999999998"/>
    <n v="0.05"/>
    <n v="5.1959999999999997"/>
    <n v="5"/>
    <n v="0"/>
    <n v="0"/>
    <n v="65.924999999999997"/>
    <n v="1.3"/>
    <n v="1002.27"/>
    <n v="117.75"/>
    <n v="0.45777000000000001"/>
    <x v="115"/>
    <n v="1178.07"/>
    <n v="0.50821000000000005"/>
    <n v="263.95"/>
    <n v="0.11386599999999999"/>
    <n v="159.53"/>
    <n v="6.8820000000000006E-2"/>
  </r>
  <r>
    <n v="962"/>
    <s v="แขวงทางหลวงนครราชสีมาที่ 2"/>
    <n v="612"/>
    <n v="201"/>
    <n v="102"/>
    <s v="หินหล่อง -  ด่านขุนทด"/>
    <n v="31910"/>
    <n v="41010"/>
    <n v="9.1"/>
    <n v="2"/>
    <s v="L1"/>
    <d v="2015-04-23T00:00:00"/>
    <s v="A.C."/>
    <n v="4.9000000000000004"/>
    <n v="1.9750000000000001"/>
    <n v="1.25"/>
    <n v="1.05"/>
    <n v="3.3483200000000002"/>
    <n v="3.5"/>
    <n v="7.55"/>
    <n v="1.1000000000000001"/>
    <n v="0.4"/>
    <n v="0.125"/>
    <n v="5.1043700000000003"/>
    <n v="5"/>
    <n v="0"/>
    <n v="0"/>
    <n v="9.1750000000000007"/>
    <n v="1.1684300000000001"/>
    <n v="146.58000000000001"/>
    <n v="0"/>
    <n v="0.45566000000000001"/>
    <x v="115"/>
    <n v="249"/>
    <n v="0.77405000000000002"/>
    <n v="0"/>
    <n v="0"/>
    <n v="184"/>
    <n v="0.57199"/>
  </r>
  <r>
    <n v="1346"/>
    <s v="แขวงทางหลวงกาญจนบุรี"/>
    <n v="444"/>
    <n v="3569"/>
    <n v="100"/>
    <s v="ค่ายสุรสีห์ - กองพลทหารราบที่ 9"/>
    <n v="0"/>
    <n v="2762"/>
    <n v="2.762"/>
    <n v="2"/>
    <s v="L1"/>
    <d v="2015-07-26T00:00:00"/>
    <s v="A.C."/>
    <n v="1.7749999999999999"/>
    <n v="0.42499999999999999"/>
    <n v="0.32500000000000001"/>
    <n v="0.3"/>
    <n v="3.14324"/>
    <n v="3"/>
    <n v="2.8"/>
    <n v="2.5000000000000001E-2"/>
    <n v="0"/>
    <n v="0"/>
    <n v="1.5171699999999999"/>
    <n v="1.5"/>
    <n v="0"/>
    <n v="0"/>
    <n v="2.8249999999999997"/>
    <n v="1.2600800000000001"/>
    <n v="36"/>
    <n v="16"/>
    <n v="0.45515671873383673"/>
    <x v="115"/>
    <n v="45"/>
    <n v="0.46550118961415121"/>
    <n v="6"/>
    <n v="6.2066825281886825E-2"/>
    <n v="0"/>
    <n v="0"/>
  </r>
  <r>
    <n v="576"/>
    <s v="แขวงทางหลวงเพชรบูรณ์ที่ 2 (บึงสามพัน)"/>
    <n v="552"/>
    <n v="225"/>
    <n v="300"/>
    <s v="ศรีมงคล - น้ำอ้อม"/>
    <n v="93190"/>
    <n v="160582"/>
    <n v="67.391999999999996"/>
    <n v="2"/>
    <s v="L1"/>
    <d v="2015-07-10T00:00:00"/>
    <s v="A.C."/>
    <n v="35.299999999999997"/>
    <n v="15.4"/>
    <n v="9.65"/>
    <n v="6.5"/>
    <n v="3.2978399999999999"/>
    <n v="3.5"/>
    <n v="51.35"/>
    <n v="11.15"/>
    <n v="2.875"/>
    <n v="1.4750000000000001"/>
    <n v="6.6079999999999997"/>
    <n v="6.5"/>
    <n v="0"/>
    <n v="0.05"/>
    <n v="66.8"/>
    <n v="1.282"/>
    <n v="1070"/>
    <n v="0"/>
    <n v="0.45363587030253694"/>
    <x v="115"/>
    <n v="0"/>
    <n v="0"/>
    <n v="806"/>
    <n v="0.34171075837742504"/>
    <n v="0"/>
    <n v="0"/>
  </r>
  <r>
    <n v="2006"/>
    <s v="แขวงทางหลวงสุราษฎร์ธานี ที่ 1 (พุนพิน)"/>
    <n v="325"/>
    <n v="420"/>
    <n v="101"/>
    <s v="วงแหวนรอบเมืองสุราษฎร์ธานี"/>
    <s v="28+629"/>
    <s v="0+000"/>
    <n v="28.629000000000001"/>
    <n v="4"/>
    <s v="R2"/>
    <d v="2015-04-23T00:00:00"/>
    <s v="A.C."/>
    <n v="15.36"/>
    <n v="7.09"/>
    <n v="4.01"/>
    <n v="2.17"/>
    <n v="2.8662800000000002"/>
    <n v="3"/>
    <n v="27.59"/>
    <n v="0.67"/>
    <n v="0.23"/>
    <n v="0.13"/>
    <n v="3.8871099999999998"/>
    <n v="4"/>
    <n v="0"/>
    <n v="0"/>
    <n v="28.63"/>
    <n v="1.3281499999999999"/>
    <n v="454.12"/>
    <n v="0"/>
    <n v="0.45320678832153199"/>
    <x v="115"/>
    <n v="9"/>
    <n v="8.9819014685408888E-3"/>
    <n v="7.03"/>
    <n v="7.0158630359824937E-3"/>
    <n v="0"/>
    <n v="0"/>
  </r>
  <r>
    <n v="400"/>
    <s v="แขวงทางหลวงพิษณุโลกที่ 1"/>
    <n v="511"/>
    <n v="1055"/>
    <n v="100"/>
    <s v="กงไกรลาศ - หนองตูม"/>
    <s v="12+098"/>
    <s v="1+825"/>
    <n v="10.273"/>
    <s v="R1"/>
    <n v="2"/>
    <d v="2015-09-18T00:00:00"/>
    <s v="A.C."/>
    <n v="5.45"/>
    <n v="2.64"/>
    <n v="1.21"/>
    <n v="0.98"/>
    <n v="2.8769200000000001"/>
    <n v="3"/>
    <n v="9.4700000000000006"/>
    <n v="0.6"/>
    <n v="0.2"/>
    <n v="0"/>
    <n v="4.9271099999999999"/>
    <n v="5"/>
    <n v="0"/>
    <n v="0"/>
    <n v="10.27"/>
    <n v="1.1020300000000001"/>
    <n v="162.32"/>
    <n v="0.36499999999999999"/>
    <n v="0.45195400000000002"/>
    <x v="115"/>
    <n v="62.36"/>
    <n v="0.17343700000000001"/>
    <n v="0.98"/>
    <n v="2.7260000000000001E-3"/>
    <n v="1.1200000000000001"/>
    <n v="3.1150000000000001E-3"/>
  </r>
  <r>
    <n v="898"/>
    <s v="แขวงทางหลวงอำนาจเจริญ"/>
    <n v="634"/>
    <n v="2134"/>
    <n v="102"/>
    <s v="พนา - ตระการพืชผล"/>
    <n v="43218"/>
    <n v="24821"/>
    <n v="18.396999999999998"/>
    <n v="2"/>
    <s v="R1"/>
    <d v="2015-05-22T00:00:00"/>
    <s v="A.C."/>
    <n v="10.199999999999999"/>
    <n v="5.75"/>
    <n v="1.8"/>
    <n v="1.1499999999999999"/>
    <n v="2.7115999999999998"/>
    <n v="2.5"/>
    <n v="17.524999999999999"/>
    <n v="1.2250000000000001"/>
    <n v="0.125"/>
    <n v="2.5000000000000001E-2"/>
    <n v="4.4269999999999996"/>
    <n v="4.5"/>
    <n v="0"/>
    <n v="0"/>
    <n v="18.899999999999999"/>
    <n v="1.526"/>
    <n v="175.76"/>
    <n v="229.57"/>
    <n v="0.45123000000000002"/>
    <x v="115"/>
    <n v="0"/>
    <n v="0"/>
    <n v="828.08"/>
    <n v="1.2860480000000001"/>
    <n v="0"/>
    <n v="0"/>
  </r>
  <r>
    <n v="1761"/>
    <s v="แขวงทางหลวงตราด"/>
    <n v="425"/>
    <n v="3388"/>
    <n v="100"/>
    <s v="บ้านโป่ง - บ่อไร่"/>
    <s v="14+639"/>
    <s v="0+000"/>
    <n v="14.638999999999999"/>
    <n v="2"/>
    <s v="R1"/>
    <d v="2015-08-20T00:00:00"/>
    <s v="A.C."/>
    <n v="8.8000000000000007"/>
    <n v="4.5"/>
    <n v="1"/>
    <n v="0.375"/>
    <n v="2.8109999999999999"/>
    <n v="3"/>
    <n v="14.05"/>
    <n v="0.3"/>
    <n v="0.2"/>
    <n v="0.125"/>
    <n v="3.9670000000000001"/>
    <n v="4"/>
    <n v="0"/>
    <n v="0"/>
    <n v="14.675000000000001"/>
    <n v="1.151"/>
    <n v="0"/>
    <n v="460.16"/>
    <n v="0.44905487299093427"/>
    <x v="116"/>
    <n v="6.48"/>
    <n v="1.2647233905516576E-2"/>
    <n v="0"/>
    <n v="0"/>
    <n v="3.88"/>
    <n v="7.5727264742907882E-3"/>
  </r>
  <r>
    <n v="1416"/>
    <s v="แขวงทางหลวงอุทัยธานี"/>
    <n v="447"/>
    <n v="3221"/>
    <n v="100"/>
    <s v="อุทัยธานี -  ทัพทัน"/>
    <n v="0"/>
    <n v="15303"/>
    <n v="15.303000000000001"/>
    <n v="2"/>
    <s v="L1"/>
    <d v="2015-07-31T00:00:00"/>
    <s v="A.C."/>
    <n v="8.3000000000000007"/>
    <n v="5"/>
    <n v="1.8"/>
    <n v="0.27500000000000002"/>
    <n v="2.5861000000000001"/>
    <n v="2.5"/>
    <n v="15.05"/>
    <n v="0.3"/>
    <n v="2.5000000000000001E-2"/>
    <n v="0"/>
    <n v="3.2035999999999998"/>
    <n v="3"/>
    <n v="0"/>
    <n v="0"/>
    <n v="15.375000000000002"/>
    <n v="1.1780600000000001"/>
    <n v="238"/>
    <n v="5"/>
    <n v="0.44902493441995489"/>
    <x v="116"/>
    <n v="0"/>
    <n v="0"/>
    <n v="0"/>
    <n v="0"/>
    <n v="0"/>
    <n v="0"/>
  </r>
  <r>
    <n v="662"/>
    <s v="แขวงทางหลวงอุดรธานีที่ 1"/>
    <n v="623"/>
    <n v="2021"/>
    <n v="102"/>
    <s v="หนองหัวคู - บ้านผือ"/>
    <n v="20000"/>
    <n v="42573"/>
    <n v="22.573"/>
    <n v="2"/>
    <s v="L1"/>
    <d v="2015-06-12T00:00:00"/>
    <s v="A.C."/>
    <n v="14.18"/>
    <n v="4.54"/>
    <n v="2.4900000000000002"/>
    <n v="1.38"/>
    <n v="2.95601"/>
    <n v="3"/>
    <n v="21.04"/>
    <n v="1.1499999999999999"/>
    <n v="0.33"/>
    <n v="0.05"/>
    <n v="5.9853399999999999"/>
    <n v="6"/>
    <n v="0"/>
    <n v="0"/>
    <n v="22.58"/>
    <n v="1.1610199999999999"/>
    <n v="345.24"/>
    <n v="17.71"/>
    <n v="0.44818999999999998"/>
    <x v="116"/>
    <n v="0"/>
    <n v="0"/>
    <n v="164.42"/>
    <n v="0.20811199999999999"/>
    <n v="1.81"/>
    <n v="2.2899999999999999E-3"/>
  </r>
  <r>
    <n v="1019"/>
    <s v="แขวงทางหลวงบุรีรัมย์"/>
    <n v="617"/>
    <n v="2073"/>
    <n v="101"/>
    <s v="นางรอง - บัวตารุ่ง"/>
    <n v="0"/>
    <n v="8475"/>
    <n v="8.4749999999999996"/>
    <n v="2"/>
    <s v="L1"/>
    <d v="2015-05-06T00:00:00"/>
    <s v="A.C."/>
    <n v="5.875"/>
    <n v="1.675"/>
    <n v="0.72499999999999998"/>
    <n v="0.2"/>
    <n v="2.8340000000000001"/>
    <n v="3"/>
    <n v="8.3000000000000007"/>
    <n v="0.15"/>
    <n v="2.5000000000000001E-2"/>
    <n v="0"/>
    <n v="5.2741899999999999"/>
    <n v="5.5"/>
    <n v="0"/>
    <n v="0"/>
    <n v="8.4749999999999996"/>
    <n v="1.3855200000000001"/>
    <n v="0"/>
    <n v="263.3"/>
    <n v="0.44382638010956599"/>
    <x v="116"/>
    <n v="0"/>
    <n v="0"/>
    <n v="111.97"/>
    <n v="0.37747998314370002"/>
    <n v="0"/>
    <n v="0"/>
  </r>
  <r>
    <n v="1420"/>
    <s v="แขวงทางหลวงอุทัยธานี"/>
    <n v="447"/>
    <n v="3282"/>
    <n v="101"/>
    <s v="บ้านไร่ - ไร่ใหม่"/>
    <n v="0"/>
    <n v="22000"/>
    <n v="22"/>
    <n v="2"/>
    <s v="L1"/>
    <d v="2015-07-30T00:00:00"/>
    <s v="A.C."/>
    <n v="21.574999999999999"/>
    <n v="0.47499999999999998"/>
    <n v="0"/>
    <n v="0"/>
    <n v="1.76813"/>
    <n v="2"/>
    <n v="22.05"/>
    <n v="0"/>
    <n v="0"/>
    <n v="0"/>
    <n v="1.03237"/>
    <n v="1"/>
    <n v="0"/>
    <n v="0"/>
    <n v="22.05"/>
    <n v="1.04664"/>
    <n v="323.32"/>
    <n v="34.234999999999999"/>
    <n v="0.4421266233766234"/>
    <x v="116"/>
    <n v="154.24"/>
    <n v="0.2003116883116883"/>
    <n v="0"/>
    <n v="0"/>
    <n v="0"/>
    <n v="0"/>
  </r>
  <r>
    <n v="33"/>
    <s v="แขวงทางหลวงเชียงใหม่ที่ 2"/>
    <n v="522"/>
    <n v="1096"/>
    <n v="100"/>
    <s v="แม่ริม -ปางดะ"/>
    <n v="29543"/>
    <n v="0"/>
    <n v="29.542999999999999"/>
    <n v="4"/>
    <s v="L2"/>
    <d v="2015-08-19T00:00:00"/>
    <s v="A.C."/>
    <n v="7.05"/>
    <n v="9"/>
    <n v="7.9"/>
    <n v="5.375"/>
    <n v="3.6836700000000002"/>
    <n v="3.5"/>
    <n v="29"/>
    <n v="0.27500000000000002"/>
    <n v="2.5000000000000001E-2"/>
    <n v="2.5000000000000001E-2"/>
    <n v="2.59178"/>
    <n v="2.5"/>
    <n v="0"/>
    <n v="0"/>
    <n v="29.325000000000003"/>
    <n v="1.2541500000000001"/>
    <n v="423.03"/>
    <n v="67.930000000000007"/>
    <n v="0.44196594794029037"/>
    <x v="116"/>
    <n v="0"/>
    <n v="0"/>
    <n v="500"/>
    <n v="0.48355665591559033"/>
    <n v="0"/>
    <n v="0"/>
  </r>
  <r>
    <n v="1115"/>
    <s v="แขวงทางหลวงลพบุรีที่ 1"/>
    <n v="431"/>
    <n v="3024"/>
    <n v="100"/>
    <s v="บ้านหมี่ - เขาช่องลม"/>
    <s v="5+402"/>
    <s v="0+000"/>
    <n v="5.4020000000000001"/>
    <n v="2"/>
    <s v="R1"/>
    <d v="2015-10-05T00:00:00"/>
    <s v="A.C."/>
    <n v="7.7"/>
    <n v="3.5750000000000002"/>
    <n v="2.0249999999999999"/>
    <n v="1.1000000000000001"/>
    <n v="2.77135"/>
    <n v="3"/>
    <n v="13.425000000000001"/>
    <n v="0.6"/>
    <n v="0.3"/>
    <n v="7.4999999999999997E-2"/>
    <n v="3.41736"/>
    <n v="3.5"/>
    <n v="0"/>
    <n v="0"/>
    <n v="5.4020000000000001"/>
    <n v="1.2704899999999999"/>
    <n v="78.94"/>
    <n v="9.1"/>
    <n v="0.44158248267837308"/>
    <x v="116"/>
    <n v="32.520000000000003"/>
    <n v="0.17199978843814462"/>
    <n v="0"/>
    <n v="0"/>
    <n v="0"/>
    <n v="0"/>
  </r>
  <r>
    <n v="1449"/>
    <s v="แขวงทางหลวงอ่างทอง"/>
    <n v="448"/>
    <n v="347"/>
    <n v="300"/>
    <s v="บางปะหัน -  เจ้าปลุก"/>
    <n v="66246"/>
    <n v="49141"/>
    <n v="17.105"/>
    <n v="2"/>
    <s v="R2"/>
    <d v="2015-06-27T00:00:00"/>
    <s v="A.C."/>
    <n v="11.25"/>
    <n v="3.6"/>
    <n v="1.675"/>
    <n v="0.55000000000000004"/>
    <n v="2.4009999999999998"/>
    <n v="2.5"/>
    <n v="16.850000000000001"/>
    <n v="0.17499999999999999"/>
    <n v="0"/>
    <n v="0.05"/>
    <n v="2.74"/>
    <n v="2.5"/>
    <n v="0"/>
    <n v="0"/>
    <n v="17.074999999999999"/>
    <n v="1.0880000000000001"/>
    <n v="239.21"/>
    <n v="49.65"/>
    <n v="0.4410322796174887"/>
    <x v="116"/>
    <n v="134.36000000000001"/>
    <n v="0.2244289472585293"/>
    <n v="0"/>
    <n v="0"/>
    <n v="0"/>
    <n v="0"/>
  </r>
  <r>
    <n v="1095"/>
    <s v="แขวงทางหลวงลพบุรีที่ 1"/>
    <n v="431"/>
    <n v="205"/>
    <n v="101"/>
    <s v="บ้านหมี่ - ดงพลับ"/>
    <s v="9+800"/>
    <s v="0+000"/>
    <n v="9.8000000000000007"/>
    <n v="4"/>
    <s v="R2"/>
    <d v="2015-10-05T00:00:00"/>
    <s v="A.C."/>
    <n v="4.375"/>
    <n v="3.0750000000000002"/>
    <n v="2.125"/>
    <n v="1.175"/>
    <n v="3.2397399999999998"/>
    <n v="3"/>
    <n v="9.25"/>
    <n v="1.175"/>
    <n v="0.27500000000000002"/>
    <n v="0.05"/>
    <n v="5.7717000000000001"/>
    <n v="6"/>
    <n v="0"/>
    <n v="0"/>
    <n v="10.75"/>
    <n v="1.3637900000000001"/>
    <n v="148.65"/>
    <n v="2.68"/>
    <n v="0.43728862973760929"/>
    <x v="116"/>
    <n v="89.67"/>
    <n v="0.2614285714285714"/>
    <n v="0"/>
    <n v="0"/>
    <n v="0"/>
    <n v="0"/>
  </r>
  <r>
    <n v="1664"/>
    <s v="แขวงทางหลวงนนทบุรี"/>
    <n v="418"/>
    <n v="3900"/>
    <n v="201"/>
    <s v="คลองมหาสวัสดิ์ - คลองบางหลวง"/>
    <s v="52+722"/>
    <s v="59+922"/>
    <n v="0.48"/>
    <n v="2"/>
    <s v="L1"/>
    <d v="2015-08-29T00:00:00"/>
    <s v="A.C."/>
    <n v="0"/>
    <n v="0.25"/>
    <n v="0.2"/>
    <n v="0.05"/>
    <n v="3.63083"/>
    <n v="3.5"/>
    <n v="0.42499999999999999"/>
    <n v="7.4999999999999997E-2"/>
    <n v="0"/>
    <n v="0"/>
    <n v="5.5709"/>
    <n v="5.5"/>
    <n v="0"/>
    <n v="0"/>
    <n v="0.5"/>
    <n v="1.4671000000000001"/>
    <n v="0"/>
    <n v="14.65"/>
    <n v="0.43601190476190477"/>
    <x v="116"/>
    <n v="0"/>
    <n v="0"/>
    <n v="0"/>
    <n v="0"/>
    <n v="0"/>
    <n v="0"/>
  </r>
  <r>
    <n v="1194"/>
    <s v="แขวงทางหลวงลพบุรีที่ 2 (ลำนารายณ์)"/>
    <n v="435"/>
    <n v="205"/>
    <n v="201"/>
    <s v="ม่วงค่อม - คลองห้วยไผ่"/>
    <s v="48+754"/>
    <s v="59+031"/>
    <n v="10.227"/>
    <n v="4"/>
    <s v="L1"/>
    <d v="2015-10-05T00:00:00"/>
    <s v="A.C."/>
    <n v="5.2750000000000004"/>
    <n v="3.3250000000000002"/>
    <n v="1.55"/>
    <n v="0.42499999999999999"/>
    <n v="2.8003100000000001"/>
    <n v="3"/>
    <n v="9.9499999999999993"/>
    <n v="0.47499999999999998"/>
    <n v="0.125"/>
    <n v="2.5000000000000001E-2"/>
    <n v="5.0437099999999999"/>
    <n v="5"/>
    <n v="0"/>
    <n v="0"/>
    <n v="10.227"/>
    <n v="1.35673"/>
    <n v="152.02000000000001"/>
    <n v="5.2309999999999999"/>
    <n v="0.43200910754445515"/>
    <x v="116"/>
    <n v="15.25"/>
    <n v="4.2604000000000003E-2"/>
    <n v="0"/>
    <n v="0"/>
    <n v="2.98"/>
    <n v="8.3250000000000008E-3"/>
  </r>
  <r>
    <n v="2228"/>
    <s v="แขวงทางหลวงสตูล"/>
    <n v="318"/>
    <n v="4312"/>
    <n v="100"/>
    <s v="ทางเข้ากำแพง"/>
    <n v="0"/>
    <n v="501"/>
    <n v="0.501"/>
    <n v="2"/>
    <s v="L1"/>
    <d v="2015-05-26T00:00:00"/>
    <s v="A.C."/>
    <n v="0.5"/>
    <n v="0"/>
    <n v="0"/>
    <n v="0"/>
    <n v="2.2341299999999999"/>
    <n v="2"/>
    <n v="0.5"/>
    <n v="0"/>
    <n v="0"/>
    <n v="0"/>
    <n v="1.2437100000000001"/>
    <n v="1"/>
    <n v="0"/>
    <n v="0"/>
    <n v="0.5"/>
    <n v="1.1346700000000001"/>
    <n v="7.57"/>
    <n v="0"/>
    <n v="0.43170801254633595"/>
    <x v="116"/>
    <n v="0"/>
    <n v="0"/>
    <n v="0"/>
    <n v="0"/>
    <n v="0"/>
    <n v="0"/>
  </r>
  <r>
    <n v="432"/>
    <s v="แขวงทางหลวงสุโขทัย"/>
    <n v="513"/>
    <n v="1113"/>
    <n v="101"/>
    <s v="เมืองเก่า - แยกวังกระจาย"/>
    <s v="0+000"/>
    <s v="4+500"/>
    <n v="4.5"/>
    <s v="L1"/>
    <n v="2"/>
    <d v="2015-09-16T00:00:00"/>
    <s v="A.C."/>
    <n v="2.25"/>
    <n v="1.45"/>
    <n v="0.52"/>
    <n v="0.28000000000000003"/>
    <n v="2.7396699999999998"/>
    <n v="2.5"/>
    <n v="4.5"/>
    <n v="0"/>
    <n v="0"/>
    <n v="0"/>
    <n v="1.7930200000000001"/>
    <n v="2"/>
    <n v="0"/>
    <n v="0"/>
    <n v="4.5"/>
    <n v="1.29294"/>
    <n v="54.65"/>
    <n v="26.35"/>
    <n v="0.4306349206349207"/>
    <x v="116"/>
    <n v="38.253999999999998"/>
    <n v="0.24288253968253967"/>
    <n v="0"/>
    <n v="0"/>
    <n v="0"/>
    <n v="0"/>
  </r>
  <r>
    <n v="2229"/>
    <s v="แขวงทางหลวงสงขลาที่ 2"/>
    <n v="319"/>
    <n v="430"/>
    <n v="201"/>
    <s v="นาหม่อม - จะนะ"/>
    <n v="7206"/>
    <n v="42939"/>
    <n v="35.732999999999997"/>
    <n v="4"/>
    <s v="L2"/>
    <d v="2015-05-25T00:00:00"/>
    <s v="A.C."/>
    <n v="22.824999999999999"/>
    <n v="6.875"/>
    <n v="3.9750000000000001"/>
    <n v="2.15"/>
    <n v="2.5170599999999999"/>
    <n v="2.5"/>
    <n v="33.15"/>
    <n v="1.7"/>
    <n v="0.57499999999999996"/>
    <n v="0.4"/>
    <n v="4.6136600000000003"/>
    <n v="4.5"/>
    <n v="0"/>
    <n v="0"/>
    <n v="35.824999999999996"/>
    <n v="1.47085"/>
    <n v="526.91999999999996"/>
    <n v="23.1"/>
    <n v="0.43055039159480429"/>
    <x v="116"/>
    <n v="0"/>
    <n v="0"/>
    <n v="0"/>
    <n v="0"/>
    <n v="0"/>
    <n v="0"/>
  </r>
  <r>
    <n v="35"/>
    <s v="แขวงทางหลวงเชียงใหม่ที่ 2"/>
    <n v="522"/>
    <n v="1189"/>
    <n v="100"/>
    <s v="ป่าแดด - ช่างเพี้ยน"/>
    <s v="0+000"/>
    <s v="5+041"/>
    <n v="5.0410000000000004"/>
    <n v="2"/>
    <s v="L1"/>
    <d v="2015-08-18T00:00:00"/>
    <s v="A.C."/>
    <n v="1.675"/>
    <n v="1.875"/>
    <n v="0.8"/>
    <n v="0.625"/>
    <n v="3.2647699999999999"/>
    <n v="3.5"/>
    <n v="4.875"/>
    <n v="0.1"/>
    <n v="0"/>
    <n v="0"/>
    <n v="3.1454499999999999"/>
    <n v="3"/>
    <n v="0"/>
    <n v="0"/>
    <n v="4.9749999999999996"/>
    <n v="1.01955"/>
    <n v="75.63"/>
    <n v="0"/>
    <n v="0.4286564457165527"/>
    <x v="116"/>
    <n v="32.5"/>
    <n v="0.18420381443591119"/>
    <n v="0"/>
    <n v="0"/>
    <n v="0"/>
    <n v="0"/>
  </r>
  <r>
    <n v="1944"/>
    <s v="แขวงทางหลวงนครศรีธรรมราชที่ 1"/>
    <n v="321"/>
    <n v="403"/>
    <n v="100"/>
    <s v="นครศรีธรรมราช - เสาธง"/>
    <n v="14276"/>
    <n v="250"/>
    <n v="14.026"/>
    <n v="4"/>
    <s v="R2"/>
    <d v="2015-04-30T00:00:00"/>
    <s v="A.C."/>
    <n v="9.15"/>
    <n v="1.85"/>
    <n v="1.625"/>
    <n v="1.4"/>
    <n v="2.5811799999999998"/>
    <n v="2.5"/>
    <n v="10.475"/>
    <n v="2"/>
    <n v="0.92500000000000004"/>
    <n v="0.625"/>
    <n v="7.3011799999999996"/>
    <n v="7.5"/>
    <n v="0"/>
    <n v="0"/>
    <n v="14.025"/>
    <n v="1.1765300000000001"/>
    <n v="197.93"/>
    <n v="21.75"/>
    <n v="0.42534273084679469"/>
    <x v="116"/>
    <n v="339.17"/>
    <n v="0.69090057240634739"/>
    <n v="441.9"/>
    <n v="0.90016499969444497"/>
    <n v="0"/>
    <n v="0"/>
  </r>
  <r>
    <n v="1286"/>
    <s v="แขวงทางหลวงสุพรรณบุรีที่ 1"/>
    <n v="441"/>
    <n v="3318"/>
    <n v="100"/>
    <s v="สุพรรณบุรี - มะขามล้ม"/>
    <n v="2000"/>
    <n v="16000"/>
    <n v="14"/>
    <n v="2"/>
    <s v="L1"/>
    <d v="2015-07-02T00:00:00"/>
    <s v="A.C."/>
    <n v="9.9250000000000007"/>
    <n v="2.8"/>
    <n v="1.175"/>
    <n v="0.32500000000000001"/>
    <n v="2.2596500000000002"/>
    <n v="2.5"/>
    <n v="13.85"/>
    <n v="0.27500000000000002"/>
    <n v="7.4999999999999997E-2"/>
    <n v="2.5000000000000001E-2"/>
    <n v="3.1927300000000001"/>
    <n v="3"/>
    <n v="0"/>
    <n v="0"/>
    <n v="14.225000000000001"/>
    <n v="1.0860300000000001"/>
    <n v="196.6"/>
    <n v="23.6"/>
    <n v="0.42530612244897997"/>
    <x v="116"/>
    <n v="223.8"/>
    <n v="1.1136064143729469E-2"/>
    <n v="0"/>
    <n v="0"/>
    <n v="0"/>
    <n v="0"/>
  </r>
  <r>
    <n v="136"/>
    <s v="แขวงทางหลวงลำปางที่ 2"/>
    <n v="528"/>
    <n v="1361"/>
    <n v="100"/>
    <s v="สวนดอกคำ - ม่วงงาม"/>
    <s v="0+000"/>
    <s v="1+095"/>
    <n v="1.095"/>
    <n v="2"/>
    <s v="L1"/>
    <d v="2015-08-08T00:00:00"/>
    <s v="A.C."/>
    <n v="0.7"/>
    <n v="0.125"/>
    <n v="0.1"/>
    <n v="0.17499999999999999"/>
    <n v="3.01227"/>
    <n v="3"/>
    <n v="1.1000000000000001"/>
    <n v="0"/>
    <n v="0"/>
    <n v="0"/>
    <n v="2.4245199999999998"/>
    <n v="2.5"/>
    <n v="0"/>
    <n v="0"/>
    <n v="1.0999999999999999"/>
    <n v="1.12927"/>
    <n v="16.2"/>
    <n v="0"/>
    <n v="0.4227005870841487"/>
    <x v="116"/>
    <n v="0"/>
    <n v="0"/>
    <n v="0"/>
    <n v="0"/>
    <n v="0"/>
    <n v="0"/>
  </r>
  <r>
    <n v="1900"/>
    <s v="แขวงทางหลวงนครปฐม"/>
    <n v="336"/>
    <n v="3297"/>
    <n v="100"/>
    <s v="หนองปลาไหล - ดอนตูม"/>
    <s v="8+422"/>
    <s v="0+000"/>
    <n v="8.4220000000000006"/>
    <n v="2"/>
    <s v="R1"/>
    <d v="2015-03-26T00:00:00"/>
    <s v="A.C."/>
    <n v="6.04"/>
    <n v="1.62"/>
    <n v="0.57999999999999996"/>
    <n v="0.19"/>
    <n v="2.2141700000000002"/>
    <n v="2"/>
    <n v="7.13"/>
    <n v="0.6"/>
    <n v="0.44"/>
    <n v="0.25"/>
    <n v="5.9909800000000004"/>
    <n v="6"/>
    <n v="0"/>
    <n v="0"/>
    <n v="8.42"/>
    <n v="1.1006199999999999"/>
    <n v="110.88"/>
    <n v="27.41"/>
    <n v="0.42265155884248734"/>
    <x v="116"/>
    <n v="49.073"/>
    <n v="0.16647894968958848"/>
    <n v="0"/>
    <n v="0"/>
    <n v="0"/>
    <n v="0"/>
  </r>
  <r>
    <n v="857"/>
    <s v="แขวงทางหลวงสุรินทร์"/>
    <n v="615"/>
    <n v="2288"/>
    <n v="100"/>
    <s v="หนองยาว - ลำดวน"/>
    <n v="0"/>
    <n v="9798"/>
    <n v="9.798"/>
    <n v="2"/>
    <s v="L1"/>
    <d v="2015-05-10T00:00:00"/>
    <s v="A.C."/>
    <n v="6.35"/>
    <n v="2.7250000000000001"/>
    <n v="0.375"/>
    <n v="0.32500000000000001"/>
    <n v="2.45248"/>
    <n v="2.5"/>
    <n v="9.5500000000000007"/>
    <n v="0.15"/>
    <n v="0.05"/>
    <n v="2.5000000000000001E-2"/>
    <n v="3.6051899999999999"/>
    <n v="3.5"/>
    <n v="0"/>
    <n v="0"/>
    <n v="9.7749999999999986"/>
    <n v="1.7704599999999999"/>
    <n v="11.93"/>
    <n v="265.79000000000002"/>
    <n v="0.42231999999999997"/>
    <x v="116"/>
    <n v="90.96"/>
    <n v="0.26523999999999998"/>
    <n v="0"/>
    <n v="0"/>
    <n v="7.0000000000000007E-2"/>
    <n v="2.0000000000000001E-4"/>
  </r>
  <r>
    <n v="673"/>
    <s v="แขวงทางหลวงอุดรธานีที่ 1"/>
    <n v="623"/>
    <n v="2411"/>
    <n v="100"/>
    <s v="บ้านพลับ  -  หนองนกเขียน"/>
    <n v="0"/>
    <n v="6300"/>
    <n v="6.3"/>
    <n v="2"/>
    <s v="L1"/>
    <d v="2015-05-12T00:00:00"/>
    <s v="A.C."/>
    <n v="3.19"/>
    <n v="2.16"/>
    <n v="0.65"/>
    <n v="0.3"/>
    <n v="2.81454"/>
    <n v="3"/>
    <n v="4.8499999999999996"/>
    <n v="0.95"/>
    <n v="0.33"/>
    <n v="0.18"/>
    <n v="7.5772500000000003"/>
    <n v="7.5"/>
    <n v="0"/>
    <n v="0"/>
    <n v="6.31"/>
    <n v="1.1236999999999999"/>
    <n v="5.22"/>
    <n v="174.7"/>
    <n v="0.41982000000000003"/>
    <x v="116"/>
    <n v="0"/>
    <n v="0"/>
    <n v="40.06"/>
    <n v="0.18167800000000001"/>
    <n v="0"/>
    <n v="0"/>
  </r>
  <r>
    <n v="1619"/>
    <s v="แขวงทางหลวงสมุทรปราการ"/>
    <n v="417"/>
    <n v="303"/>
    <n v="100"/>
    <s v="ราษฎร์บูรณะ - พระสมุทรเจดีย์"/>
    <s v="13+350"/>
    <s v="15+020"/>
    <n v="1.67"/>
    <n v="8"/>
    <s v="L2"/>
    <d v="2015-08-25T00:00:00"/>
    <s v="A.C."/>
    <n v="0.32500000000000001"/>
    <n v="0.5"/>
    <n v="0.25"/>
    <n v="0.625"/>
    <n v="4.7888200000000003"/>
    <n v="5"/>
    <n v="1.2"/>
    <n v="0.42499999999999999"/>
    <n v="7.4999999999999997E-2"/>
    <n v="0"/>
    <n v="8.4756300000000007"/>
    <n v="8.5"/>
    <n v="0"/>
    <n v="0"/>
    <n v="1.7"/>
    <n v="1.0065299999999999"/>
    <n v="24.36"/>
    <n v="0"/>
    <n v="0.41676646706586828"/>
    <x v="116"/>
    <n v="0"/>
    <n v="0"/>
    <n v="0"/>
    <n v="0"/>
    <n v="0"/>
    <n v="0"/>
  </r>
  <r>
    <n v="1266"/>
    <s v="แขวงทางหลวงนครสวรรค์ที่ 2 (ตากฟ้า)"/>
    <n v="438"/>
    <n v="3212"/>
    <n v="200"/>
    <s v="ไร่พัฒนา - หนองโพ"/>
    <s v="19+455"/>
    <s v="24+664"/>
    <n v="5.2089999999999996"/>
    <n v="2"/>
    <s v="L1"/>
    <d v="2015-10-05T00:00:00"/>
    <s v="A.C."/>
    <n v="3.75"/>
    <n v="1.425"/>
    <n v="0.125"/>
    <n v="0"/>
    <n v="2.23651"/>
    <n v="2"/>
    <n v="4.9249999999999998"/>
    <n v="0.15"/>
    <n v="0.2"/>
    <n v="2.5000000000000001E-2"/>
    <n v="4.1627299999999998"/>
    <n v="4"/>
    <n v="0"/>
    <n v="0"/>
    <n v="5.2089999999999996"/>
    <n v="1.1645799999999999"/>
    <n v="67.998000000000005"/>
    <n v="15.2"/>
    <n v="0.41465595260949462"/>
    <x v="116"/>
    <n v="18.225000000000001"/>
    <n v="9.9964347420673047E-2"/>
    <n v="0"/>
    <n v="0"/>
    <n v="1.8"/>
    <n v="9.8729999999999998E-3"/>
  </r>
  <r>
    <n v="2224"/>
    <s v="แขวงทางหลวงสตูล"/>
    <n v="318"/>
    <n v="4137"/>
    <n v="100"/>
    <s v="ทุ่งตำเสา - สวนเทศ"/>
    <s v="0+000"/>
    <s v="18+700"/>
    <n v="18.7"/>
    <n v="2"/>
    <s v="L1"/>
    <d v="2015-05-20T00:00:00"/>
    <s v="A.C."/>
    <n v="10.9"/>
    <n v="4.4000000000000004"/>
    <n v="2.2250000000000001"/>
    <n v="1.1499999999999999"/>
    <n v="2.6566800000000002"/>
    <n v="2.5"/>
    <n v="17.125"/>
    <n v="1.1000000000000001"/>
    <n v="0.35"/>
    <n v="0.1"/>
    <n v="4.7457900000000004"/>
    <n v="4.5"/>
    <n v="0"/>
    <n v="0"/>
    <n v="18.675000000000001"/>
    <n v="1.1893199999999999"/>
    <n v="170.76"/>
    <n v="0"/>
    <n v="0.41236371618819967"/>
    <x v="116"/>
    <n v="0"/>
    <n v="0"/>
    <n v="0"/>
    <n v="0"/>
    <n v="0"/>
    <n v="0"/>
  </r>
  <r>
    <n v="2225"/>
    <s v="แขวงทางหลวงสตูล"/>
    <n v="318"/>
    <n v="4137"/>
    <n v="100"/>
    <s v="ทุ่งตำเสา - สวนเทศ"/>
    <s v="20+500"/>
    <s v="23+428"/>
    <n v="2.9279999999999999"/>
    <n v="2"/>
    <s v="L1"/>
    <d v="2015-05-21T00:00:00"/>
    <s v="A.C."/>
    <n v="1.25"/>
    <n v="0.32500000000000001"/>
    <n v="0.1"/>
    <n v="0.1"/>
    <n v="2.3997199999999999"/>
    <n v="2.5"/>
    <n v="0.9"/>
    <n v="0.7"/>
    <n v="0.17499999999999999"/>
    <n v="0"/>
    <n v="9.9932300000000005"/>
    <n v="10"/>
    <n v="0"/>
    <n v="0"/>
    <n v="1.7750000000000001"/>
    <n v="1.1758999999999999"/>
    <n v="167.37"/>
    <n v="0"/>
    <n v="0.41236371618819967"/>
    <x v="116"/>
    <n v="0"/>
    <n v="0"/>
    <n v="0"/>
    <n v="0"/>
    <n v="0"/>
    <n v="0"/>
  </r>
  <r>
    <n v="410"/>
    <s v="แขวงทางหลวงพิษณุโลกที่ 1"/>
    <n v="511"/>
    <n v="1281"/>
    <n v="100"/>
    <s v="บางระกำ - บ่อทอง"/>
    <s v="0+000"/>
    <s v="15+043"/>
    <n v="15.042999999999999"/>
    <s v="L1"/>
    <n v="2"/>
    <d v="2015-09-20T00:00:00"/>
    <s v="A.C."/>
    <n v="11.19"/>
    <n v="2.78"/>
    <n v="0.98"/>
    <n v="0.1"/>
    <n v="2.1255700000000002"/>
    <n v="2"/>
    <n v="14.44"/>
    <n v="0.53"/>
    <n v="0.08"/>
    <n v="0"/>
    <n v="3.8845900000000002"/>
    <n v="4"/>
    <n v="0"/>
    <n v="0"/>
    <n v="15.04"/>
    <n v="1.1581699999999999"/>
    <n v="185.49"/>
    <n v="63.158999999999999"/>
    <n v="0.41228399999999998"/>
    <x v="116"/>
    <n v="98.57"/>
    <n v="0.18721599999999999"/>
    <n v="0.59"/>
    <n v="1.121E-3"/>
    <n v="0"/>
    <n v="0"/>
  </r>
  <r>
    <n v="829"/>
    <s v="แขวงทางหลวงกาฬสินธุ์"/>
    <n v="647"/>
    <n v="2336"/>
    <n v="100"/>
    <s v="หนองผ้าอ้อม - กุฉินารายณ์"/>
    <n v="0"/>
    <n v="44919"/>
    <n v="44.918999999999997"/>
    <n v="2"/>
    <s v="L1"/>
    <d v="2015-05-30T00:00:00"/>
    <s v="A.C."/>
    <n v="31.125"/>
    <n v="8.8249999999999993"/>
    <n v="3.125"/>
    <n v="1.4"/>
    <n v="2.2749000000000001"/>
    <n v="2.5"/>
    <n v="41.375"/>
    <n v="2.5249999999999999"/>
    <n v="0.32500000000000001"/>
    <n v="0.25"/>
    <n v="3.0255999999999998"/>
    <n v="3"/>
    <n v="0"/>
    <n v="0"/>
    <n v="44.475000000000001"/>
    <n v="1.1200000000000001"/>
    <n v="415"/>
    <n v="466"/>
    <n v="0.41217047828949255"/>
    <x v="116"/>
    <n v="73"/>
    <n v="4.6432785362859497E-2"/>
    <n v="1342"/>
    <n v="0.85360000000000003"/>
    <n v="2"/>
    <n v="1.2700000000000001E-3"/>
  </r>
  <r>
    <n v="1455"/>
    <s v="แขวงทางหลวงอ่างทอง"/>
    <n v="448"/>
    <n v="3195"/>
    <n v="201"/>
    <s v="ลาดตาล - วิเศษชัยชาญ"/>
    <n v="25300"/>
    <n v="8450"/>
    <n v="16.850000000000001"/>
    <n v="2"/>
    <s v="R2"/>
    <d v="2015-06-28T00:00:00"/>
    <s v="A.C."/>
    <n v="8.9749999999999996"/>
    <n v="5.5750000000000002"/>
    <n v="1.925"/>
    <n v="0.35"/>
    <n v="2.60568"/>
    <n v="2.5"/>
    <n v="13.75"/>
    <n v="2.2250000000000001"/>
    <n v="0.75"/>
    <n v="0.1"/>
    <n v="6.8644299999999996"/>
    <n v="7"/>
    <n v="0"/>
    <n v="0"/>
    <n v="16.825000000000003"/>
    <n v="0.96484199999999998"/>
    <n v="161"/>
    <n v="162"/>
    <n v="0.41034336583298003"/>
    <x v="116"/>
    <n v="149"/>
    <n v="0.25264942772361165"/>
    <n v="979"/>
    <n v="1.6600254345061465"/>
    <n v="0"/>
    <n v="0"/>
  </r>
  <r>
    <n v="479"/>
    <s v="แขวงทางหลวงพิจิตร"/>
    <n v="519"/>
    <n v="111"/>
    <n v="100"/>
    <s v="ทางเลี่ยงเมืองพิจิตร"/>
    <s v="12+575"/>
    <s v="0+000"/>
    <n v="12.574999999999999"/>
    <s v="R1"/>
    <n v="2"/>
    <d v="2015-09-28T00:00:00"/>
    <s v="A.C."/>
    <n v="4.33"/>
    <n v="4.01"/>
    <n v="2.92"/>
    <n v="1.31"/>
    <n v="3.21658"/>
    <n v="3"/>
    <n v="11.33"/>
    <n v="0.9"/>
    <n v="0.22"/>
    <n v="0.12"/>
    <n v="4.8945800000000004"/>
    <n v="5"/>
    <n v="0"/>
    <n v="0"/>
    <n v="12.58"/>
    <n v="1.23247"/>
    <n v="46.24"/>
    <n v="8.68"/>
    <n v="0.407082"/>
    <x v="116"/>
    <n v="93.24"/>
    <n v="0.75042299999999995"/>
    <n v="0"/>
    <n v="0"/>
    <n v="0"/>
    <n v="0"/>
  </r>
  <r>
    <n v="480"/>
    <s v="แขวงทางหลวงพิจิตร"/>
    <n v="519"/>
    <n v="113"/>
    <n v="201"/>
    <s v="ดงขุย - เขาทราย"/>
    <s v="54+253"/>
    <s v="57+803"/>
    <n v="3.55"/>
    <s v="L1"/>
    <n v="2"/>
    <d v="2015-09-29T00:00:00"/>
    <s v="A.C."/>
    <n v="2.4300000000000002"/>
    <n v="0.59"/>
    <n v="0.39"/>
    <n v="0.14000000000000001"/>
    <n v="2.5498099999999999"/>
    <n v="2.5"/>
    <n v="3.37"/>
    <n v="7.0000000000000007E-2"/>
    <n v="0.09"/>
    <n v="0.02"/>
    <n v="3.6150199999999999"/>
    <n v="3.5"/>
    <n v="0"/>
    <n v="0"/>
    <n v="3.55"/>
    <n v="1.1351100000000001"/>
    <n v="46.24"/>
    <n v="8.68"/>
    <n v="0.407082"/>
    <x v="116"/>
    <n v="93.24"/>
    <n v="0.75042299999999995"/>
    <n v="0"/>
    <n v="0"/>
    <n v="0"/>
    <n v="0"/>
  </r>
  <r>
    <n v="28"/>
    <s v="แขวงทางหลวงเชียงใหม่ที่ 2"/>
    <n v="522"/>
    <n v="1001"/>
    <n v="100"/>
    <s v="เชียงใหม่ - บ้านโป่ง"/>
    <n v="0"/>
    <n v="34140"/>
    <n v="34.14"/>
    <n v="2"/>
    <s v="L1"/>
    <d v="2015-08-19T00:00:00"/>
    <s v="A.C."/>
    <n v="23.375"/>
    <n v="6.9249999999999998"/>
    <n v="2.4249999999999998"/>
    <n v="1.4750000000000001"/>
    <n v="2.4268399999999999"/>
    <n v="2.5"/>
    <n v="33.424999999999997"/>
    <n v="0.57499999999999996"/>
    <n v="0.17499999999999999"/>
    <n v="2.5000000000000001E-2"/>
    <n v="2.9876100000000001"/>
    <n v="3"/>
    <n v="0"/>
    <n v="0"/>
    <n v="34.200000000000003"/>
    <n v="1.0712299999999999"/>
    <n v="275.92"/>
    <n v="419.91"/>
    <n v="0.4066239852707339"/>
    <x v="116"/>
    <n v="0"/>
    <n v="0"/>
    <n v="4"/>
    <n v="3.3475604653109042E-3"/>
    <n v="0"/>
    <n v="0"/>
  </r>
  <r>
    <n v="1448"/>
    <s v="แขวงทางหลวงอ่างทอง"/>
    <n v="448"/>
    <n v="347"/>
    <n v="300"/>
    <s v="บางปะหัน -  เจ้าปลุก"/>
    <s v="49+141"/>
    <s v="66+246"/>
    <n v="17.105"/>
    <n v="2"/>
    <s v="R2"/>
    <d v="2015-06-26T00:00:00"/>
    <s v="A.C."/>
    <n v="11.25"/>
    <n v="3.8"/>
    <n v="2.3250000000000002"/>
    <n v="1.3"/>
    <n v="2.6736399999999998"/>
    <n v="2.5"/>
    <n v="17.725000000000001"/>
    <n v="0.55000000000000004"/>
    <n v="0.27500000000000002"/>
    <n v="0.125"/>
    <n v="3.5123600000000001"/>
    <n v="3.5"/>
    <n v="0"/>
    <n v="0"/>
    <n v="18.675000000000001"/>
    <n v="1.1303000000000001"/>
    <n v="231.24"/>
    <n v="21.57"/>
    <n v="0.40426775796550718"/>
    <x v="116"/>
    <n v="98.254000000000005"/>
    <n v="0.16411909633774585"/>
    <n v="0"/>
    <n v="0"/>
    <n v="0"/>
    <n v="0"/>
  </r>
  <r>
    <n v="2038"/>
    <s v="แขวงทางหลวงนครศรีธรรมราชที่ 2 (ทุ่งสง)"/>
    <n v="326"/>
    <n v="4151"/>
    <n v="202"/>
    <s v="ควนหนองหงส์ - น้ำตก"/>
    <n v="28172"/>
    <n v="49493"/>
    <n v="21.321000000000002"/>
    <n v="2"/>
    <s v="L1"/>
    <d v="2015-05-02T00:00:00"/>
    <s v="A.C."/>
    <n v="10.175000000000001"/>
    <n v="5.8"/>
    <n v="2.7250000000000001"/>
    <n v="1.2"/>
    <n v="2.7698"/>
    <n v="3"/>
    <n v="18.774999999999999"/>
    <n v="0.75"/>
    <n v="0.25"/>
    <n v="0.125"/>
    <n v="3.5293100000000002"/>
    <n v="3.5"/>
    <n v="0"/>
    <n v="0"/>
    <n v="19.900000000000002"/>
    <n v="1.17126"/>
    <n v="289.01"/>
    <n v="22.64"/>
    <n v="0.40246035096182831"/>
    <x v="116"/>
    <n v="2.68"/>
    <n v="3.5913619704248663E-3"/>
    <n v="0"/>
    <n v="0"/>
    <n v="2.68"/>
    <n v="3.5913619704248663E-3"/>
  </r>
  <r>
    <n v="1423"/>
    <s v="แขวงทางหลวงอุทัยธานี"/>
    <n v="447"/>
    <n v="3438"/>
    <n v="101"/>
    <s v="หนองฉาง - ดินแดง"/>
    <n v="19730"/>
    <n v="0"/>
    <n v="19.73"/>
    <n v="2"/>
    <s v="R3"/>
    <d v="2015-07-31T00:00:00"/>
    <s v="A.C."/>
    <n v="18.475000000000001"/>
    <n v="1.175"/>
    <n v="0.1"/>
    <n v="0"/>
    <n v="1.88547"/>
    <n v="2"/>
    <n v="19.75"/>
    <n v="0"/>
    <n v="0"/>
    <n v="0"/>
    <n v="1.1105799999999999"/>
    <n v="1"/>
    <n v="0"/>
    <n v="0"/>
    <n v="19.750000000000004"/>
    <n v="0.97680800000000001"/>
    <n v="243.23"/>
    <n v="67.3"/>
    <n v="0.40095575990152776"/>
    <x v="116"/>
    <n v="87.2"/>
    <n v="0.126276156686699"/>
    <n v="1.9"/>
    <n v="2.7514300195496341E-3"/>
    <n v="0"/>
    <n v="0"/>
  </r>
  <r>
    <n v="2064"/>
    <s v="แขวงทางหลวงสุราษฎร์ธานีที่ 2 (กาญจนดิษฐ์)"/>
    <n v="328"/>
    <n v="4295"/>
    <n v="100"/>
    <s v="ทางเข้ายางอุง"/>
    <n v="90"/>
    <n v="0"/>
    <n v="0.09"/>
    <n v="2"/>
    <s v="R1"/>
    <d v="2015-04-26T00:00:00"/>
    <s v="A.C."/>
    <n v="0"/>
    <n v="0"/>
    <n v="0"/>
    <n v="0.9"/>
    <n v="6.9066700000000001"/>
    <n v="7"/>
    <n v="7.4999999999999997E-2"/>
    <n v="0"/>
    <n v="0"/>
    <n v="0"/>
    <n v="1.556"/>
    <n v="1.5"/>
    <n v="0"/>
    <n v="0"/>
    <n v="7.4999999999999997E-2"/>
    <n v="1.01233"/>
    <n v="1.26"/>
    <n v="0"/>
    <n v="0.4"/>
    <x v="116"/>
    <n v="5.9"/>
    <n v="1.8730158730158732"/>
    <n v="0"/>
    <n v="0"/>
    <n v="0"/>
    <n v="0"/>
  </r>
  <r>
    <n v="1737"/>
    <s v="แขวงทางหลวงจันทบุรี"/>
    <n v="423"/>
    <n v="3193"/>
    <n v="102"/>
    <s v="เทพนิมิต - ตามูน"/>
    <n v="34000"/>
    <n v="67240"/>
    <n v="33.14"/>
    <n v="2"/>
    <s v="L1"/>
    <d v="2015-08-18T00:00:00"/>
    <s v="A.C."/>
    <n v="15.585000000000001"/>
    <n v="9.484"/>
    <n v="5.3760000000000003"/>
    <n v="2.694"/>
    <n v="3.01153"/>
    <n v="3"/>
    <n v="26.882000000000001"/>
    <n v="4.3860000000000001"/>
    <n v="1.2689999999999999"/>
    <n v="0.60399999999999998"/>
    <n v="6.8283199999999997"/>
    <n v="7"/>
    <n v="0"/>
    <n v="0"/>
    <n v="33.14"/>
    <n v="1.22645"/>
    <n v="313.05040000000002"/>
    <n v="145.58000000000001"/>
    <n v="0.399173"/>
    <x v="116"/>
    <n v="0"/>
    <n v="0"/>
    <n v="744"/>
    <n v="0.64143460643158878"/>
    <n v="202.56"/>
    <n v="0.20956"/>
  </r>
  <r>
    <n v="40"/>
    <s v="แขวงทางหลวงเชียงใหม่ที่ 2"/>
    <n v="522"/>
    <n v="1269"/>
    <n v="102"/>
    <s v="แม่ขนิน - ต้นเกว๋น"/>
    <s v="36+319"/>
    <s v="6+983"/>
    <n v="29.335999999999999"/>
    <n v="4"/>
    <s v="L1"/>
    <d v="2015-08-20T00:00:00"/>
    <s v="A.C."/>
    <n v="8.375"/>
    <n v="8.9"/>
    <n v="8.0500000000000007"/>
    <n v="4.05"/>
    <n v="3.5209299999999999"/>
    <n v="3.5"/>
    <n v="28.6"/>
    <n v="0.65"/>
    <n v="7.4999999999999997E-2"/>
    <n v="0.05"/>
    <n v="3.1167400000000001"/>
    <n v="3"/>
    <n v="0"/>
    <n v="0"/>
    <n v="29.375"/>
    <n v="1.4574199999999999"/>
    <n v="355.32"/>
    <n v="106.97"/>
    <n v="0.39815049281234177"/>
    <x v="116"/>
    <n v="33.409999999999997"/>
    <n v="3.2539249678600647E-2"/>
    <n v="202.63"/>
    <n v="0.19734894230394642"/>
    <n v="0.78"/>
    <n v="7.5967119872219426E-4"/>
  </r>
  <r>
    <n v="358"/>
    <s v="แขวงทางหลวงตากที่ 1"/>
    <n v="512"/>
    <n v="1351"/>
    <n v="100"/>
    <s v="หนองบัวใต้ - ห้วยนึ่ง"/>
    <s v="3+335"/>
    <s v="0+000"/>
    <n v="3.335"/>
    <n v="2"/>
    <s v="R1"/>
    <d v="2015-09-10T00:00:00"/>
    <s v="A.C."/>
    <n v="2.75"/>
    <n v="0.22500000000000001"/>
    <n v="0.05"/>
    <n v="0.05"/>
    <n v="2.1762600000000001"/>
    <n v="2"/>
    <n v="3.0750000000000002"/>
    <n v="0"/>
    <n v="0"/>
    <n v="0"/>
    <n v="1.53392"/>
    <n v="1.5"/>
    <n v="0"/>
    <n v="0"/>
    <n v="3.34"/>
    <n v="1.25031"/>
    <n v="36.32"/>
    <n v="19.25"/>
    <n v="0.39361747697579785"/>
    <x v="116"/>
    <n v="59.46"/>
    <n v="0.50940244163632464"/>
    <n v="1.48"/>
    <n v="1.2679374598415076E-2"/>
    <n v="0"/>
    <n v="0"/>
  </r>
  <r>
    <n v="2016"/>
    <s v="แขวงทางหลวงสุราษฎร์ธานี ที่ 1 (พุนพิน)"/>
    <n v="325"/>
    <n v="4192"/>
    <n v="100"/>
    <s v="เกาะมุกข์ - โมถ่าย"/>
    <n v="20633"/>
    <n v="4800"/>
    <n v="15.82"/>
    <n v="2"/>
    <s v="R1"/>
    <d v="2015-04-22T00:00:00"/>
    <s v="A.C."/>
    <n v="5.21"/>
    <n v="5.46"/>
    <n v="3.36"/>
    <n v="1.79"/>
    <n v="3.2702399999999998"/>
    <n v="3.5"/>
    <n v="14.96"/>
    <n v="0.76"/>
    <n v="0.08"/>
    <n v="0.03"/>
    <n v="4.8807299999999998"/>
    <n v="5"/>
    <n v="0"/>
    <n v="0"/>
    <n v="15.82"/>
    <n v="1.3391200000000001"/>
    <n v="184.24"/>
    <n v="66.69"/>
    <n v="0.39296550478598513"/>
    <x v="116"/>
    <n v="0"/>
    <n v="0"/>
    <n v="0"/>
    <n v="0"/>
    <n v="0"/>
    <n v="0"/>
  </r>
  <r>
    <n v="1863"/>
    <s v="แขวงทางหลวงประจวบคีรีขันธ์ (หัวหิน)"/>
    <n v="333"/>
    <n v="3459"/>
    <n v="100"/>
    <s v="สามแยกบ้านกรูด - ปากคลองบ้านกรูด"/>
    <n v="11461"/>
    <n v="0"/>
    <n v="11.461"/>
    <n v="2"/>
    <s v="R1"/>
    <d v="2015-04-04T00:00:00"/>
    <s v="A.C."/>
    <n v="7.45"/>
    <n v="2.35"/>
    <n v="0.85"/>
    <n v="0.75"/>
    <n v="2.5583100000000001"/>
    <n v="2.5"/>
    <n v="11.175000000000001"/>
    <n v="0.17499999999999999"/>
    <n v="0.05"/>
    <n v="0"/>
    <n v="2.7306900000000001"/>
    <n v="2.5"/>
    <n v="0"/>
    <n v="0"/>
    <n v="11.4"/>
    <n v="1.18605"/>
    <n v="154.54400000000001"/>
    <n v="5.99"/>
    <n v="0.39273311977264513"/>
    <x v="116"/>
    <n v="24.35"/>
    <n v="6.0702755930048494E-2"/>
    <n v="0"/>
    <n v="0"/>
    <n v="0"/>
    <n v="0"/>
  </r>
  <r>
    <n v="2057"/>
    <s v="แขวงทางหลวงสุราษฎร์ธานีที่ 2 (กาญจนดิษฐ์)"/>
    <n v="328"/>
    <n v="4169"/>
    <n v="100"/>
    <s v="ทางรอบเกาะสมุย"/>
    <n v="3000"/>
    <s v="40+000"/>
    <n v="37"/>
    <n v="2"/>
    <s v="L1"/>
    <d v="2015-04-24T00:00:00"/>
    <s v="A.C."/>
    <n v="10.074999999999999"/>
    <n v="10.5"/>
    <n v="8.625"/>
    <n v="7.75"/>
    <n v="3.8112699999999999"/>
    <n v="4"/>
    <n v="36.774999999999999"/>
    <n v="0.17499999999999999"/>
    <n v="0"/>
    <n v="0"/>
    <n v="2.9924900000000001"/>
    <n v="3"/>
    <n v="0"/>
    <n v="0"/>
    <n v="36.950000000000003"/>
    <n v="1.1493100000000001"/>
    <n v="17.39"/>
    <n v="981.57"/>
    <n v="0.39241312741312739"/>
    <x v="116"/>
    <n v="213.29"/>
    <n v="0.16470270270270271"/>
    <n v="233.17"/>
    <n v="0.18005405405405406"/>
    <n v="0"/>
    <n v="0"/>
  </r>
  <r>
    <n v="1733"/>
    <s v="แขวงทางหลวงจันทบุรี"/>
    <n v="423"/>
    <n v="3149"/>
    <n v="100"/>
    <s v="พลิ้ว - แหลมสิงห์"/>
    <n v="0"/>
    <n v="15802"/>
    <n v="15.802"/>
    <n v="2"/>
    <s v="L1"/>
    <d v="2015-08-18T00:00:00"/>
    <s v="A.C."/>
    <n v="11.8"/>
    <n v="2.9"/>
    <n v="0.85"/>
    <n v="0.27500000000000002"/>
    <n v="2.2018499999999999"/>
    <n v="2"/>
    <n v="14.475"/>
    <n v="1.25"/>
    <n v="7.4999999999999997E-2"/>
    <n v="2.5000000000000001E-2"/>
    <n v="5.5490899999999996"/>
    <n v="5.5"/>
    <n v="0"/>
    <n v="0"/>
    <n v="15.802"/>
    <n v="1.16615"/>
    <n v="18.98"/>
    <n v="395.63"/>
    <n v="0.39198"/>
    <x v="116"/>
    <n v="4120.2700000000004"/>
    <n v="7.4498199999999999"/>
    <n v="3177"/>
    <n v="5.7442999981919103"/>
    <n v="35.07"/>
    <n v="6.3409999999999994E-2"/>
  </r>
  <r>
    <n v="1843"/>
    <s v="แขวงทางหลวงชุมพร"/>
    <n v="332"/>
    <n v="3253"/>
    <n v="100"/>
    <s v="บ้านพละ - ปะทิว"/>
    <s v="0+000"/>
    <s v="11+100"/>
    <n v="11.1"/>
    <n v="2"/>
    <s v="L1"/>
    <d v="2015-04-07T00:00:00"/>
    <s v="A.C."/>
    <n v="6.3805999999999994"/>
    <n v="2.9767999999999999"/>
    <n v="1.1833999999999998"/>
    <n v="0.54899999999999993"/>
    <n v="2.6344699999999999"/>
    <n v="2.5"/>
    <n v="10.9434"/>
    <n v="0.12809999999999999"/>
    <n v="1.83E-2"/>
    <n v="0"/>
    <n v="2.75265"/>
    <n v="3"/>
    <n v="0"/>
    <n v="0"/>
    <n v="11.089799999999997"/>
    <n v="1.3359099999999999"/>
    <n v="149.20099999999999"/>
    <n v="5.32"/>
    <n v="0.39089060489060484"/>
    <x v="116"/>
    <n v="29.34"/>
    <n v="7.5521235521235519E-2"/>
    <n v="0"/>
    <n v="0"/>
    <n v="2.68"/>
    <n v="6.8983268983268979E-3"/>
  </r>
  <r>
    <n v="657"/>
    <s v="แขวงทางหลวงอุดรธานีที่1"/>
    <n v="623"/>
    <n v="2"/>
    <n v="602"/>
    <s v="น้ำฆ้อง - อุดรธานี"/>
    <n v="420284"/>
    <n v="449384"/>
    <n v="29.1"/>
    <n v="2"/>
    <s v="L2"/>
    <d v="2015-06-11T00:00:00"/>
    <s v="A.C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6"/>
    <n v="0"/>
    <n v="0"/>
    <n v="0"/>
    <n v="0"/>
    <n v="0"/>
    <n v="0"/>
  </r>
  <r>
    <n v="1516"/>
    <s v="แขวงทางหลวงอยุธยา"/>
    <n v="413"/>
    <n v="3111"/>
    <n v="200"/>
    <s v="ท้ายเกาะ - เสนา"/>
    <n v="11556"/>
    <n v="35485"/>
    <n v="23.928999999999998"/>
    <n v="2"/>
    <s v="R1"/>
    <d v="2015-09-18T00:00:00"/>
    <s v="A.C."/>
    <n v="6.5"/>
    <n v="7.85"/>
    <n v="5.4"/>
    <n v="4.2249999999999996"/>
    <n v="3.5805199999999999"/>
    <n v="3.5"/>
    <n v="14.15"/>
    <n v="2.7250000000000001"/>
    <n v="3.1"/>
    <n v="4"/>
    <n v="10.6165"/>
    <n v="10.5"/>
    <n v="0"/>
    <n v="0"/>
    <n v="23.928999999999998"/>
    <n v="1.1758"/>
    <n v="300"/>
    <n v="53.45"/>
    <n v="0.39011241589702872"/>
    <x v="116"/>
    <n v="130"/>
    <n v="0.15522110051760266"/>
    <n v="0"/>
    <n v="0"/>
    <n v="62"/>
    <n v="7.4028524862241277E-2"/>
  </r>
  <r>
    <n v="1334"/>
    <s v="แขวงทางหลวงกาญจนบุรี"/>
    <n v="444"/>
    <n v="3394"/>
    <n v="100"/>
    <s v="ลูกแก - หนองตะเลา"/>
    <n v="0"/>
    <n v="4912"/>
    <n v="4.9119999999999999"/>
    <n v="2"/>
    <s v="L1"/>
    <d v="2015-07-29T00:00:00"/>
    <s v="A.C."/>
    <n v="3.65"/>
    <n v="0.77500000000000002"/>
    <n v="0.22500000000000001"/>
    <n v="0.27500000000000002"/>
    <n v="2.3218800000000002"/>
    <n v="2.5"/>
    <n v="4.8"/>
    <n v="0.1"/>
    <n v="0"/>
    <n v="2.5000000000000001E-2"/>
    <n v="3.2761"/>
    <n v="3.5"/>
    <n v="0"/>
    <n v="0"/>
    <n v="4.9249999999999998"/>
    <n v="1.0583499999999999"/>
    <n v="54.64"/>
    <n v="24.2"/>
    <n v="0.38820381572824564"/>
    <x v="116"/>
    <n v="44.2"/>
    <n v="0.25709632387156817"/>
    <n v="1.7"/>
    <n v="9.8883201489064678E-3"/>
    <n v="2.5"/>
    <n v="1.454164727780363E-2"/>
  </r>
  <r>
    <n v="223"/>
    <s v="แขวงทางหลวงน่านที่ 1"/>
    <n v="536"/>
    <n v="1225"/>
    <n v="102"/>
    <s v="ปางช้าง - นาบัว"/>
    <n v="12000"/>
    <n v="28675"/>
    <n v="16.675000000000001"/>
    <n v="2"/>
    <s v="R1"/>
    <d v="2015-08-04T00:00:00"/>
    <s v="A.C."/>
    <n v="8.76"/>
    <n v="3.39"/>
    <n v="2.41"/>
    <n v="2.13"/>
    <n v="3.0908500000000001"/>
    <n v="3"/>
    <n v="6.53"/>
    <n v="3.17"/>
    <n v="2.16"/>
    <n v="4.84"/>
    <n v="14.944699999999999"/>
    <n v="15"/>
    <n v="0"/>
    <n v="0"/>
    <n v="16.68"/>
    <n v="1.41092"/>
    <n v="226"/>
    <n v="0"/>
    <n v="0.38723495395159557"/>
    <x v="116"/>
    <n v="44"/>
    <n v="7.5390875990576131E-2"/>
    <n v="0"/>
    <n v="0"/>
    <n v="23"/>
    <n v="3.9408866995073885E-2"/>
  </r>
  <r>
    <n v="125"/>
    <s v="แขวงทางหลวงลำปางที่ 2"/>
    <n v="528"/>
    <n v="103"/>
    <n v="200"/>
    <s v="แม่ตีบ - งาว"/>
    <s v="40+554"/>
    <s v="64+345"/>
    <n v="23.791"/>
    <n v="2"/>
    <s v="L1"/>
    <d v="2015-08-09T00:00:00"/>
    <s v="A.C."/>
    <n v="11.3"/>
    <n v="5.7750000000000004"/>
    <n v="3.8250000000000002"/>
    <n v="2.9249999999999998"/>
    <n v="3.0629300000000002"/>
    <n v="3"/>
    <n v="22.475000000000001"/>
    <n v="0.95"/>
    <n v="0.35"/>
    <n v="0.05"/>
    <n v="4.1173400000000004"/>
    <n v="4"/>
    <n v="0"/>
    <n v="0"/>
    <n v="23.825000000000003"/>
    <n v="1.5225500000000001"/>
    <n v="320.36"/>
    <n v="3.68"/>
    <n v="0.38694104012922054"/>
    <x v="116"/>
    <n v="0"/>
    <n v="0"/>
    <n v="0"/>
    <n v="0"/>
    <n v="0"/>
    <n v="0"/>
  </r>
  <r>
    <n v="2231"/>
    <s v="แขวงทางหลวงสงขลาที่ 2"/>
    <n v="319"/>
    <n v="430"/>
    <n v="202"/>
    <s v="จะนะ - ปาแด"/>
    <n v="42939"/>
    <n v="74397"/>
    <n v="31.457999999999998"/>
    <n v="4"/>
    <s v="L2"/>
    <d v="2015-05-25T00:00:00"/>
    <s v="A.C."/>
    <n v="20.975000000000001"/>
    <n v="6.9749999999999996"/>
    <n v="2.7"/>
    <n v="1.125"/>
    <n v="2.4283800000000002"/>
    <n v="2.5"/>
    <n v="29.95"/>
    <n v="1.325"/>
    <n v="0.42499999999999999"/>
    <n v="7.4999999999999997E-2"/>
    <n v="4.2552000000000003"/>
    <n v="4.5"/>
    <n v="0"/>
    <n v="0"/>
    <n v="31.775000000000002"/>
    <n v="1.3726400000000001"/>
    <n v="425.55"/>
    <n v="0"/>
    <n v="0.38650173019808726"/>
    <x v="116"/>
    <n v="0"/>
    <n v="0"/>
    <n v="62.01"/>
    <n v="5.6319991280891525E-2"/>
    <n v="0"/>
    <n v="0"/>
  </r>
  <r>
    <n v="2046"/>
    <s v="แขวงทางหลวงนครศรีธรรมราชที่ 2 (ทุ่งสง)"/>
    <n v="326"/>
    <n v="4329"/>
    <n v="100"/>
    <s v="ทางเข้าสหกรณ์ทุ่งสง"/>
    <n v="0"/>
    <n v="8937"/>
    <n v="8.9369999999999994"/>
    <n v="2"/>
    <s v="L1"/>
    <d v="2015-05-01T00:00:00"/>
    <s v="A.C."/>
    <n v="7.3250000000000002"/>
    <n v="0.9"/>
    <n v="0.375"/>
    <n v="0.27500000000000002"/>
    <n v="2.05654"/>
    <n v="2"/>
    <n v="8.65"/>
    <n v="0.22500000000000001"/>
    <n v="0"/>
    <n v="0"/>
    <n v="3.4681999999999999"/>
    <n v="3.5"/>
    <n v="0"/>
    <n v="0"/>
    <n v="8.875"/>
    <n v="1.3804399999999999"/>
    <n v="0"/>
    <n v="241.35"/>
    <n v="0.3857958087565338"/>
    <x v="116"/>
    <n v="0"/>
    <n v="0"/>
    <n v="0"/>
    <n v="0"/>
    <n v="0"/>
    <n v="0"/>
  </r>
  <r>
    <n v="1219"/>
    <s v="แขวงทางหลวงลพบุรีที่ 2 (ลำนารายณ์)"/>
    <n v="435"/>
    <n v="2344"/>
    <n v="100"/>
    <s v="วังตะโก - โคกเจริญ"/>
    <s v="0+000"/>
    <s v="5+200"/>
    <n v="5.2"/>
    <n v="2"/>
    <s v="L1"/>
    <d v="2015-10-05T00:00:00"/>
    <s v="A.C."/>
    <n v="3.5750000000000002"/>
    <n v="1.2"/>
    <n v="0.27500000000000002"/>
    <n v="0.2"/>
    <n v="2.4413800000000001"/>
    <n v="2.5"/>
    <n v="5.0250000000000004"/>
    <n v="0.17499999999999999"/>
    <n v="2.5000000000000001E-2"/>
    <n v="2.5000000000000001E-2"/>
    <n v="4.5586900000000004"/>
    <n v="4.5"/>
    <n v="0"/>
    <n v="0"/>
    <n v="5.2"/>
    <n v="1.2320599999999999"/>
    <n v="68.3"/>
    <n v="3.56"/>
    <n v="0.38505494505494509"/>
    <x v="116"/>
    <n v="29.36"/>
    <n v="0.16131899999999999"/>
    <n v="0"/>
    <n v="0"/>
    <n v="0"/>
    <n v="0"/>
  </r>
  <r>
    <n v="1118"/>
    <s v="แขวงทางหลวงลพบุรีที่ 1"/>
    <n v="431"/>
    <n v="3302"/>
    <n v="100"/>
    <s v="พระพุทธบาท - โคกตูม"/>
    <s v="0+000"/>
    <s v="7+000"/>
    <n v="7"/>
    <n v="2"/>
    <s v="L1"/>
    <d v="2015-10-05T00:00:00"/>
    <s v="A.C."/>
    <n v="4.4249999999999998"/>
    <n v="1.75"/>
    <n v="0.67500000000000004"/>
    <n v="0.27500000000000002"/>
    <n v="2.7316099999999999"/>
    <n v="2.5"/>
    <n v="6.9249999999999998"/>
    <n v="0.125"/>
    <n v="2.5000000000000001E-2"/>
    <n v="0.05"/>
    <n v="3.9500700000000002"/>
    <n v="4"/>
    <n v="0"/>
    <n v="0"/>
    <n v="7.125"/>
    <n v="1.27227"/>
    <n v="93.334999999999994"/>
    <n v="1.98"/>
    <n v="0.38499999999999995"/>
    <x v="116"/>
    <n v="35.159999999999997"/>
    <n v="0.14351020408163265"/>
    <n v="0"/>
    <n v="0"/>
    <n v="0"/>
    <n v="0"/>
  </r>
  <r>
    <n v="2028"/>
    <s v="แขวงทางหลวงสุราษฎร์ธานี ที่ 1 (พุนพิน)"/>
    <n v="325"/>
    <n v="4349"/>
    <n v="100"/>
    <s v="เขาดิน - บางปอ"/>
    <n v="0"/>
    <n v="10032"/>
    <n v="10.032"/>
    <n v="2"/>
    <s v="L1"/>
    <d v="2015-04-23T00:00:00"/>
    <s v="A.C."/>
    <n v="3.21"/>
    <n v="2.81"/>
    <n v="4.01"/>
    <n v="0"/>
    <n v="3.0219999999999998"/>
    <n v="3"/>
    <n v="10.029999999999999"/>
    <n v="0"/>
    <n v="0"/>
    <n v="0"/>
    <n v="2.17292"/>
    <n v="2"/>
    <n v="0"/>
    <n v="0"/>
    <n v="10.029999999999999"/>
    <n v="1.05904"/>
    <n v="123.69"/>
    <n v="22"/>
    <n v="0.38360104807473228"/>
    <x v="116"/>
    <n v="0"/>
    <n v="0"/>
    <n v="4.2"/>
    <n v="1.1961722488038277E-2"/>
    <n v="0"/>
    <n v="0"/>
  </r>
  <r>
    <n v="1281"/>
    <s v="แขวงทางหลวงสุพรรณบุรีที่ 1"/>
    <n v="441"/>
    <n v="3195"/>
    <n v="100"/>
    <s v="สุพรรณบุรี - ลาดตาล"/>
    <n v="8450"/>
    <n v="0"/>
    <n v="8.4499999999999993"/>
    <n v="4"/>
    <s v="R2"/>
    <d v="2015-07-01T00:00:00"/>
    <s v="A.C."/>
    <n v="4.3499999999999996"/>
    <n v="2.3250000000000002"/>
    <n v="1.125"/>
    <n v="0.625"/>
    <n v="3.18018"/>
    <n v="3"/>
    <n v="8.1999999999999993"/>
    <n v="0.15"/>
    <n v="0.05"/>
    <n v="2.5000000000000001E-2"/>
    <n v="3.8300100000000001"/>
    <n v="4"/>
    <n v="0"/>
    <n v="0"/>
    <n v="8.4250000000000007"/>
    <n v="1.14638"/>
    <n v="94.3"/>
    <n v="38.200000000000003"/>
    <n v="0.38343195266272195"/>
    <x v="116"/>
    <n v="187.4"/>
    <n v="0.51699070160608629"/>
    <n v="0"/>
    <n v="7.4387151310228257E-3"/>
    <n v="2.4"/>
    <n v="4"/>
  </r>
  <r>
    <n v="157"/>
    <s v="แขวงทางหลวงแพร่"/>
    <n v="531"/>
    <n v="1343"/>
    <n v="100"/>
    <s v="บุญเริง - ต้นหนุน"/>
    <s v="0+000"/>
    <s v="10+725"/>
    <n v="10.725"/>
    <n v="2"/>
    <s v="L1"/>
    <d v="2015-08-05T00:00:00"/>
    <s v="A.C."/>
    <n v="4.13"/>
    <n v="2.35"/>
    <n v="2.2200000000000002"/>
    <n v="2.04"/>
    <n v="3.5019999999999998"/>
    <n v="3.5"/>
    <n v="4.75"/>
    <n v="1.76"/>
    <n v="1.26"/>
    <n v="2.96"/>
    <n v="15.702"/>
    <n v="15.5"/>
    <n v="0"/>
    <n v="0"/>
    <n v="10.73"/>
    <n v="1.607"/>
    <n v="49.1"/>
    <n v="188.88000000000002"/>
    <n v="0.38239094239094246"/>
    <x v="116"/>
    <n v="10883.66"/>
    <n v="28.994099234099235"/>
    <n v="213.78000000000003"/>
    <n v="0.56951048951048955"/>
    <n v="896.27000000000021"/>
    <n v="2.3876656676656682"/>
  </r>
  <r>
    <n v="567"/>
    <s v="แขวงทางหลวงเพชรบูรณ์ที่ 1"/>
    <n v="551"/>
    <n v="2326"/>
    <n v="101"/>
    <s v="เพชรบูรณ์ - ห้วยใหญ่"/>
    <n v="0"/>
    <n v="15959"/>
    <n v="15.959"/>
    <n v="2"/>
    <s v="L2"/>
    <d v="2015-08-08T00:00:00"/>
    <s v="A.C."/>
    <n v="10.23"/>
    <n v="1"/>
    <n v="0.4"/>
    <n v="0.33"/>
    <n v="1.802"/>
    <n v="2"/>
    <n v="11.95"/>
    <n v="0"/>
    <n v="0"/>
    <n v="0"/>
    <n v="4.3840000000000003"/>
    <n v="4.5"/>
    <n v="0"/>
    <n v="0"/>
    <n v="11.95"/>
    <n v="1.8979999999999999"/>
    <n v="0"/>
    <n v="426.21"/>
    <n v="0.38152229373483837"/>
    <x v="116"/>
    <n v="0"/>
    <n v="0"/>
    <n v="0"/>
    <n v="0"/>
    <n v="7"/>
    <n v="1.2532113540948681E-2"/>
  </r>
  <r>
    <n v="1418"/>
    <s v="แขวงทางหลวงอุทัยธานี"/>
    <n v="447"/>
    <n v="3265"/>
    <n v="100"/>
    <s v="แยกโคกหม้อ - ท่าซุง"/>
    <n v="0"/>
    <n v="11812"/>
    <n v="11.811999999999999"/>
    <n v="2"/>
    <s v="L1"/>
    <d v="2015-07-31T00:00:00"/>
    <s v="A.C."/>
    <n v="7.6749999999999998"/>
    <n v="2.2749999999999999"/>
    <n v="1.1000000000000001"/>
    <n v="0.8"/>
    <n v="2.9432299999999998"/>
    <n v="3"/>
    <n v="11.3"/>
    <n v="0.42499999999999999"/>
    <n v="0.125"/>
    <n v="0"/>
    <n v="3.6864599999999998"/>
    <n v="3.5"/>
    <n v="0"/>
    <n v="0"/>
    <n v="11.85"/>
    <n v="1.2317800000000001"/>
    <n v="157"/>
    <n v="1"/>
    <n v="0.3809685066034541"/>
    <x v="116"/>
    <n v="0"/>
    <n v="0"/>
    <n v="13"/>
    <n v="3.1445019592666053E-2"/>
    <n v="0"/>
    <n v="0"/>
  </r>
  <r>
    <n v="2089"/>
    <s v="แขวงทางหลวงกระบี่"/>
    <n v="323"/>
    <n v="4038"/>
    <n v="100"/>
    <s v="คลองท่อม - ทุ่งใหญ่"/>
    <n v="53546"/>
    <n v="0"/>
    <n v="53.545999999999999"/>
    <n v="2"/>
    <s v="R1"/>
    <d v="2015-05-08T00:00:00"/>
    <s v="A.C."/>
    <n v="35.92"/>
    <n v="11.25"/>
    <n v="4.71"/>
    <n v="1.66"/>
    <n v="2.35202"/>
    <n v="2.5"/>
    <n v="47.4"/>
    <n v="3.83"/>
    <n v="1.38"/>
    <n v="0.93"/>
    <n v="5.7827000000000002"/>
    <n v="6"/>
    <n v="0"/>
    <n v="0"/>
    <n v="53.55"/>
    <n v="1.2846900000000001"/>
    <n v="703"/>
    <n v="21"/>
    <n v="0.38071404560031158"/>
    <x v="116"/>
    <n v="0"/>
    <n v="0"/>
    <n v="0"/>
    <n v="0"/>
    <n v="20"/>
    <n v="1.0671732182209155E-2"/>
  </r>
  <r>
    <n v="864"/>
    <s v="แขวงทางหลวงสุรินทร์"/>
    <n v="615"/>
    <n v="2458"/>
    <n v="100"/>
    <s v="โคกไทร - ปวงตึก"/>
    <n v="0"/>
    <n v="12658"/>
    <n v="12.657999999999999"/>
    <n v="2"/>
    <s v="L1"/>
    <d v="2015-05-11T00:00:00"/>
    <s v="A.C."/>
    <n v="3.9"/>
    <n v="3.5750000000000002"/>
    <n v="3.1"/>
    <n v="2.0499999999999998"/>
    <n v="4.2091399999999997"/>
    <n v="4"/>
    <n v="12.324999999999999"/>
    <n v="0.22500000000000001"/>
    <n v="0.05"/>
    <n v="2.5000000000000001E-2"/>
    <n v="2.6036000000000001"/>
    <n v="2.5"/>
    <n v="0"/>
    <n v="0"/>
    <n v="12.625"/>
    <n v="1.49302"/>
    <n v="159.75"/>
    <n v="15.3"/>
    <n v="0.37785000000000002"/>
    <x v="116"/>
    <n v="579.86"/>
    <n v="1.3088500000000001"/>
    <n v="27.18"/>
    <n v="6.1350000000000002E-2"/>
    <n v="484.83"/>
    <n v="1.0943499999999999"/>
  </r>
  <r>
    <n v="1893"/>
    <s v="แขวงทางหลวงนครปฐม"/>
    <n v="336"/>
    <n v="375"/>
    <n v="102"/>
    <s v="นครปฐม - ดอนตูม"/>
    <s v="42+935"/>
    <s v="59+425"/>
    <n v="16.489999999999998"/>
    <n v="2"/>
    <s v="L1"/>
    <d v="2015-03-26T00:00:00"/>
    <s v="A.C."/>
    <n v="13.82"/>
    <n v="1.85"/>
    <n v="0.53"/>
    <n v="0.28999999999999998"/>
    <n v="1.88575"/>
    <n v="2"/>
    <n v="15.75"/>
    <n v="0.55000000000000004"/>
    <n v="0.16"/>
    <n v="0.03"/>
    <n v="3.3130799999999998"/>
    <n v="3.5"/>
    <n v="0"/>
    <n v="0"/>
    <n v="16.489999999999998"/>
    <n v="1.0562199999999999"/>
    <n v="185.3"/>
    <n v="65.3"/>
    <n v="0.37763146495711697"/>
    <x v="116"/>
    <n v="339.2"/>
    <n v="0.58771549857056227"/>
    <n v="0"/>
    <n v="0"/>
    <n v="0"/>
    <n v="0"/>
  </r>
  <r>
    <n v="2051"/>
    <s v="แขวงทางหลวงสุราษฎร์ธานีที่ 2 (กาญจนดิษฐ์)"/>
    <n v="328"/>
    <n v="4009"/>
    <n v="100"/>
    <s v="บางใหญ่ - นาสาร"/>
    <n v="3450"/>
    <n v="41000"/>
    <n v="37.549999999999997"/>
    <n v="4"/>
    <s v="L3"/>
    <d v="2015-04-26T00:00:00"/>
    <s v="A.C."/>
    <n v="21.5"/>
    <n v="9.875"/>
    <n v="4.4249999999999998"/>
    <n v="1.2"/>
    <n v="2.6100099999999999"/>
    <n v="2.5"/>
    <n v="34.375"/>
    <n v="2.1749999999999998"/>
    <n v="0.4"/>
    <n v="0.05"/>
    <n v="4.8790300000000002"/>
    <n v="5"/>
    <n v="0"/>
    <n v="0"/>
    <n v="37"/>
    <n v="1.26454"/>
    <n v="416.43"/>
    <n v="155.54"/>
    <n v="0.37603195739014655"/>
    <x v="116"/>
    <n v="14.36"/>
    <n v="1.0926383869126881E-2"/>
    <n v="1.54"/>
    <n v="1.1717709720372839E-3"/>
    <n v="0"/>
    <n v="0"/>
  </r>
  <r>
    <n v="1345"/>
    <s v="แขวงทางหลวงกาญจนบุรี"/>
    <n v="444"/>
    <n v="3549"/>
    <n v="100"/>
    <s v="ทางเข้าสังขละบุรี"/>
    <n v="0"/>
    <n v="2550"/>
    <n v="2.5499999999999998"/>
    <n v="2"/>
    <s v="L1"/>
    <d v="2015-07-25T00:00:00"/>
    <s v="A.C."/>
    <n v="1.25"/>
    <n v="1.0249999999999999"/>
    <n v="0.25"/>
    <n v="0.05"/>
    <n v="2.6731099999999999"/>
    <n v="2.5"/>
    <n v="2.5499999999999998"/>
    <n v="2.5000000000000001E-2"/>
    <n v="0"/>
    <n v="0"/>
    <n v="2.83853"/>
    <n v="3"/>
    <n v="0"/>
    <n v="0"/>
    <n v="2.5749999999999997"/>
    <n v="0.98234999999999995"/>
    <n v="14"/>
    <n v="39"/>
    <n v="0.37535014005602252"/>
    <x v="116"/>
    <n v="0"/>
    <n v="0"/>
    <n v="0"/>
    <n v="0"/>
    <n v="0"/>
    <n v="0"/>
  </r>
  <r>
    <n v="685"/>
    <s v="แขวงทางหลวงอุดรธานีที่ 2"/>
    <n v="624"/>
    <n v="2239"/>
    <n v="100"/>
    <s v="บ้านต้อง - ศรีธาตุ"/>
    <n v="0"/>
    <n v="53273"/>
    <n v="53.273000000000003"/>
    <n v="2"/>
    <s v="L1"/>
    <d v="2015-06-15T00:00:00"/>
    <s v="A.C."/>
    <n v="34.725000000000001"/>
    <n v="12.975"/>
    <n v="4.1500000000000004"/>
    <n v="1.2"/>
    <n v="2.4364699999999999"/>
    <n v="2.5"/>
    <n v="52.424999999999997"/>
    <n v="0.5"/>
    <n v="0.125"/>
    <n v="0"/>
    <n v="3.0509499999999998"/>
    <n v="3"/>
    <n v="0"/>
    <n v="0"/>
    <n v="53.050000000000004"/>
    <n v="1.18435"/>
    <n v="436.84"/>
    <n v="521.65"/>
    <n v="0.37417"/>
    <x v="116"/>
    <n v="41.79"/>
    <n v="2.2409999999999999E-2"/>
    <n v="886.63"/>
    <n v="0.475518"/>
    <n v="2.13"/>
    <n v="1.14E-3"/>
  </r>
  <r>
    <n v="372"/>
    <s v="แขวงทางหลวงตากที่ 2 (แม่สอด)"/>
    <n v="514"/>
    <n v="1206"/>
    <n v="100"/>
    <s v="ซอโอ - วะเล่ย์"/>
    <s v="16+357"/>
    <s v="26+227"/>
    <n v="9.8699999999999992"/>
    <n v="2"/>
    <s v="L1"/>
    <d v="2015-09-08T00:00:00"/>
    <s v="A.C."/>
    <n v="6.74"/>
    <n v="1.76"/>
    <n v="1.37"/>
    <n v="0"/>
    <n v="3.0859999999999999"/>
    <n v="3"/>
    <n v="9.8699999999999992"/>
    <n v="0"/>
    <n v="0"/>
    <n v="0"/>
    <n v="2.8119999999999998"/>
    <n v="3"/>
    <n v="0"/>
    <n v="0"/>
    <n v="9.8699999999999992"/>
    <n v="1.3120000000000001"/>
    <n v="121.36"/>
    <n v="15.6"/>
    <n v="0.37388913012013325"/>
    <x v="116"/>
    <n v="58.69"/>
    <n v="0.16989434071500942"/>
    <n v="10.5"/>
    <n v="3.0395136778115509E-2"/>
    <n v="0"/>
    <n v="0"/>
  </r>
  <r>
    <n v="1706"/>
    <s v="แขวงทางหลวงฉะเชิงเทรา"/>
    <n v="421"/>
    <n v="3702"/>
    <n v="300"/>
    <s v="บางควาย - เขาดิน"/>
    <s v="40+735"/>
    <s v="46+400"/>
    <n v="5.665"/>
    <n v="2"/>
    <s v="L1"/>
    <d v="2015-08-11T00:00:00"/>
    <s v="A.C."/>
    <n v="1.45"/>
    <n v="3.3250000000000002"/>
    <n v="1.2749999999999999"/>
    <n v="0.15"/>
    <n v="3.0750000000000002"/>
    <n v="3"/>
    <n v="5.75"/>
    <n v="0.1"/>
    <n v="0.15"/>
    <n v="0.2"/>
    <n v="3.1749999999999998"/>
    <n v="3"/>
    <n v="0"/>
    <n v="0"/>
    <n v="5.665"/>
    <n v="1.403"/>
    <n v="73.27"/>
    <n v="0"/>
    <n v="0.36953725885764721"/>
    <x v="116"/>
    <n v="8.4700000000000006"/>
    <n v="4.2718446601941747E-2"/>
    <n v="152.81"/>
    <n v="0.77069726390114746"/>
    <n v="0"/>
    <n v="0"/>
  </r>
  <r>
    <n v="1795"/>
    <s v="แขวงทางหลวงชลบุรีที่ 2"/>
    <n v="428"/>
    <n v="3241"/>
    <n v="101"/>
    <s v="ศรีราชา - อ่างเก็บน้ำหนองค้อ"/>
    <n v="2050"/>
    <n v="14000"/>
    <n v="11.95"/>
    <n v="2"/>
    <s v="R1"/>
    <d v="2015-08-14T00:00:00"/>
    <s v="A.C."/>
    <n v="4.9249999999999998"/>
    <n v="4.05"/>
    <n v="1.65"/>
    <n v="1.4"/>
    <n v="3.6547299999999998"/>
    <n v="3.5"/>
    <n v="9.6"/>
    <n v="1.575"/>
    <n v="0.55000000000000004"/>
    <n v="0.3"/>
    <n v="7.8782699999999997"/>
    <n v="8"/>
    <n v="0"/>
    <n v="0"/>
    <n v="12.025"/>
    <n v="1.09992"/>
    <n v="153.93"/>
    <n v="0"/>
    <n v="0.36803347280334736"/>
    <x v="116"/>
    <n v="0"/>
    <n v="0"/>
    <n v="0"/>
    <n v="0"/>
    <n v="0"/>
    <n v="0"/>
  </r>
  <r>
    <n v="1284"/>
    <s v="แขวงทางหลวงสุพรรณบุรีที่ 1"/>
    <n v="441"/>
    <n v="3263"/>
    <n v="200"/>
    <s v="ไผ่กองดิน - สาลี"/>
    <s v="30+000"/>
    <s v="36+626"/>
    <n v="6.6260000000000003"/>
    <n v="2"/>
    <s v="L1"/>
    <d v="2015-07-02T00:00:00"/>
    <s v="A.C."/>
    <n v="3.3250000000000002"/>
    <n v="2.75"/>
    <n v="0.52500000000000002"/>
    <n v="0.25"/>
    <n v="3.2679999999999998"/>
    <n v="3.5"/>
    <n v="6.625"/>
    <n v="0"/>
    <n v="0"/>
    <n v="0"/>
    <n v="2.6280000000000001"/>
    <n v="2.5"/>
    <n v="0"/>
    <n v="0"/>
    <n v="6.8500000000000005"/>
    <n v="1.1279999999999999"/>
    <n v="12.68"/>
    <n v="36.94"/>
    <n v="0.36799999999999999"/>
    <x v="116"/>
    <n v="0"/>
    <n v="0"/>
    <n v="12.5"/>
    <n v="5.8000000000000003E-2"/>
    <n v="0"/>
    <n v="0"/>
  </r>
  <r>
    <n v="1462"/>
    <s v="แขวงทางหลวงอ่างทอง"/>
    <n v="448"/>
    <n v="3373"/>
    <n v="100"/>
    <s v="สามโก้ - คลองลี่"/>
    <n v="0"/>
    <n v="11670"/>
    <n v="11.67"/>
    <n v="2"/>
    <s v="L1"/>
    <d v="2015-06-27T00:00:00"/>
    <s v="A.C."/>
    <n v="8.1750000000000007"/>
    <n v="2.25"/>
    <n v="0.65"/>
    <n v="0.55000000000000004"/>
    <n v="2.3781500000000002"/>
    <n v="2.5"/>
    <n v="11.15"/>
    <n v="0.35"/>
    <n v="7.4999999999999997E-2"/>
    <n v="0.05"/>
    <n v="3.39317"/>
    <n v="3.5"/>
    <n v="0"/>
    <n v="0"/>
    <n v="11.625000000000002"/>
    <n v="1.0577799999999999"/>
    <n v="115"/>
    <n v="69"/>
    <n v="0.36601787244460765"/>
    <x v="116"/>
    <n v="0"/>
    <n v="0"/>
    <n v="0"/>
    <n v="0"/>
    <n v="0"/>
    <n v="0"/>
  </r>
  <r>
    <n v="34"/>
    <s v="แขวงทางหลวงเชียงใหม่ที่ 2"/>
    <n v="522"/>
    <n v="1147"/>
    <n v="200"/>
    <s v="ห้วยไซ - สันกำแพง"/>
    <s v="31+657"/>
    <s v="22+300"/>
    <n v="9.3569999999999993"/>
    <n v="2"/>
    <s v="L1"/>
    <d v="2015-08-21T00:00:00"/>
    <s v="A.C."/>
    <n v="3.875"/>
    <n v="3.05"/>
    <n v="1.65"/>
    <n v="0.72499999999999998"/>
    <n v="3.0502699999999998"/>
    <n v="3"/>
    <n v="9.2750000000000004"/>
    <n v="2.5000000000000001E-2"/>
    <n v="0"/>
    <n v="0"/>
    <n v="1.5945400000000001"/>
    <n v="1.5"/>
    <n v="0"/>
    <n v="0"/>
    <n v="9.2999999999999989"/>
    <n v="1.1603300000000001"/>
    <n v="75.16"/>
    <n v="89.03"/>
    <n v="0.36542542634238695"/>
    <x v="116"/>
    <n v="5.51"/>
    <n v="1.6824684346325898E-2"/>
    <n v="366"/>
    <n v="1.1175743141116661"/>
    <n v="0"/>
    <n v="0"/>
  </r>
  <r>
    <n v="484"/>
    <s v="แขวงทางหลวงพิจิตร"/>
    <n v="519"/>
    <n v="113"/>
    <n v="203"/>
    <s v="ฆะมัง - พิจิตร"/>
    <s v="96+209"/>
    <s v="107+209"/>
    <n v="11"/>
    <s v="L2"/>
    <n v="2"/>
    <d v="2015-09-28T00:00:00"/>
    <s v="A.C."/>
    <n v="6.78"/>
    <n v="3.01"/>
    <n v="0.98"/>
    <n v="0.23"/>
    <n v="2.4710700000000001"/>
    <n v="2.5"/>
    <n v="10.14"/>
    <n v="0.69"/>
    <n v="0.15"/>
    <n v="0.02"/>
    <n v="5.01654"/>
    <n v="5"/>
    <n v="0"/>
    <n v="0"/>
    <n v="11"/>
    <n v="1.1799599999999999"/>
    <n v="139.25"/>
    <n v="2.74"/>
    <n v="0.36524699999999999"/>
    <x v="116"/>
    <n v="84.67"/>
    <n v="0.21992200000000001"/>
    <n v="0"/>
    <n v="0"/>
    <n v="0.34"/>
    <n v="8.83E-4"/>
  </r>
  <r>
    <n v="1860"/>
    <s v="แขวงทางหลวงประจวบคีรีขันธ์ (หัวหิน)"/>
    <n v="333"/>
    <n v="3218"/>
    <n v="100"/>
    <s v="หัวหิน - โป่งแย้"/>
    <n v="0"/>
    <n v="31543"/>
    <n v="31.542999999999999"/>
    <n v="2"/>
    <s v="L1"/>
    <d v="2015-04-04T00:00:00"/>
    <s v="A.C."/>
    <n v="21.4"/>
    <n v="7.45"/>
    <n v="1.75"/>
    <n v="0.67500000000000004"/>
    <n v="2.3117700000000001"/>
    <n v="2.5"/>
    <n v="30.85"/>
    <n v="0.375"/>
    <n v="0.05"/>
    <n v="0"/>
    <n v="2.8790800000000001"/>
    <n v="3"/>
    <n v="0"/>
    <n v="0"/>
    <n v="31.274999999999999"/>
    <n v="1.3595900000000001"/>
    <n v="359.7"/>
    <n v="82.99"/>
    <n v="0.36339962228431938"/>
    <x v="116"/>
    <n v="0"/>
    <n v="0"/>
    <n v="80.88"/>
    <n v="7.326053776930358E-2"/>
    <n v="0"/>
    <n v="0"/>
  </r>
  <r>
    <n v="1043"/>
    <s v="แขวงทางหลวงบุรีรัมย์"/>
    <n v="617"/>
    <n v="2445"/>
    <n v="101"/>
    <s v="บุรีรัมย์ - แสลงโทน"/>
    <n v="546"/>
    <n v="25000"/>
    <n v="24.454000000000001"/>
    <n v="2"/>
    <s v="L1"/>
    <d v="2015-05-07T00:00:00"/>
    <s v="A.C."/>
    <n v="13.9"/>
    <n v="7.35"/>
    <n v="2.5750000000000002"/>
    <n v="0.57499999999999996"/>
    <n v="2.64866"/>
    <n v="2.5"/>
    <n v="18.55"/>
    <n v="4.5999999999999996"/>
    <n v="0.97499999999999998"/>
    <n v="0.27500000000000002"/>
    <n v="7.9557000000000002"/>
    <n v="8"/>
    <n v="0"/>
    <n v="0"/>
    <n v="24.4"/>
    <n v="1.18079"/>
    <n v="310.9425"/>
    <n v="0"/>
    <n v="0.36329726950893221"/>
    <x v="116"/>
    <n v="39.547499999999999"/>
    <n v="4.6206288191239529E-2"/>
    <n v="289.28250000000003"/>
    <n v="0.3379902791246539"/>
    <n v="0"/>
    <n v="0"/>
  </r>
  <r>
    <n v="1910"/>
    <s v="แขวงทางหลวงสมุทรสงคราม"/>
    <n v="337"/>
    <n v="3337"/>
    <n v="100"/>
    <s v="ห้วยชินสีห์ - หินสี"/>
    <n v="0"/>
    <n v="35116"/>
    <n v="35.116"/>
    <n v="2"/>
    <s v="L1"/>
    <d v="2015-03-28T00:00:00"/>
    <s v="A.C."/>
    <n v="26.58"/>
    <n v="6.21"/>
    <n v="1.63"/>
    <n v="0.7"/>
    <n v="2.2019899999999999"/>
    <n v="2"/>
    <n v="34.659999999999997"/>
    <n v="0.4"/>
    <n v="0.05"/>
    <n v="0"/>
    <n v="2.78546"/>
    <n v="3"/>
    <n v="0"/>
    <n v="0"/>
    <n v="35.119999999999997"/>
    <n v="1.2930299999999999"/>
    <n v="274.61"/>
    <n v="343.3"/>
    <n v="0.36309049192065479"/>
    <x v="116"/>
    <n v="78.849999999999994"/>
    <n v="6.415471986721559E-2"/>
    <n v="3.24"/>
    <n v="2.6361609685450673E-3"/>
    <n v="0"/>
    <n v="0"/>
  </r>
  <r>
    <n v="937"/>
    <s v="แขวงทางหลวงนครราชสีมาที่ 1"/>
    <n v="611"/>
    <n v="205"/>
    <n v="401"/>
    <s v="หนองบัวโคก - โคกสวาย"/>
    <s v="169+172"/>
    <s v="195+197"/>
    <n v="25.422000000000001"/>
    <n v="2"/>
    <s v="L1"/>
    <d v="2015-04-23T00:00:00"/>
    <s v="A.C."/>
    <n v="20.423999999999999"/>
    <n v="3.1320000000000001"/>
    <n v="1.2829999999999999"/>
    <n v="0.58299999999999996"/>
    <n v="1.915"/>
    <n v="2"/>
    <n v="22.984000000000002"/>
    <n v="2.1850000000000001"/>
    <n v="0.16700000000000001"/>
    <n v="8.6999999999999994E-2"/>
    <n v="4.8339999999999996"/>
    <n v="5"/>
    <n v="0"/>
    <n v="0"/>
    <n v="25.422000000000001"/>
    <n v="1.341"/>
    <n v="321.77999999999997"/>
    <n v="0"/>
    <n v="0.36164402036481336"/>
    <x v="116"/>
    <n v="836.81"/>
    <n v="0.94047900019106045"/>
    <n v="0"/>
    <n v="0"/>
    <n v="4"/>
    <n v="4.4955437922159659E-3"/>
  </r>
  <r>
    <n v="1294"/>
    <s v="แขวงทางหลวงสุพรรณบุรีที่ 1"/>
    <n v="441"/>
    <n v="3496"/>
    <n v="100"/>
    <s v="ดอนเจดีย์ - ปากดง"/>
    <n v="0"/>
    <n v="27175"/>
    <n v="27.175000000000001"/>
    <n v="2"/>
    <s v="L1"/>
    <d v="2015-06-29T00:00:00"/>
    <s v="A.C."/>
    <n v="25.475000000000001"/>
    <n v="1.175"/>
    <n v="0.32500000000000001"/>
    <n v="0.25"/>
    <n v="1.7397199999999999"/>
    <n v="1.5"/>
    <n v="27.125"/>
    <n v="0.1"/>
    <n v="0"/>
    <n v="0"/>
    <n v="3.0078499999999999"/>
    <n v="3"/>
    <n v="0"/>
    <n v="0"/>
    <n v="27.225000000000001"/>
    <n v="1.1195200000000001"/>
    <n v="308"/>
    <n v="70"/>
    <n v="0.36062557497700093"/>
    <x v="116"/>
    <n v="24"/>
    <n v="2.5233276383230384E-2"/>
    <n v="0"/>
    <n v="0"/>
    <n v="0"/>
    <n v="0"/>
  </r>
  <r>
    <n v="1861"/>
    <s v="แขวงทางหลวงประจวบคีรีขันธ์ (หัวหิน)"/>
    <n v="333"/>
    <n v="3219"/>
    <n v="100"/>
    <s v="หนองตะเภา - ห้วยมงคล"/>
    <n v="0"/>
    <n v="4742"/>
    <n v="4.742"/>
    <n v="2"/>
    <s v="L1"/>
    <d v="2015-04-04T00:00:00"/>
    <s v="A.C."/>
    <n v="2.4"/>
    <n v="1.2749999999999999"/>
    <n v="0.82499999999999996"/>
    <n v="0.25"/>
    <n v="2.7896299999999998"/>
    <n v="3"/>
    <n v="4.5750000000000002"/>
    <n v="0.15"/>
    <n v="2.5000000000000001E-2"/>
    <n v="0"/>
    <n v="2.4809399999999999"/>
    <n v="2.5"/>
    <n v="0"/>
    <n v="0"/>
    <n v="4.75"/>
    <n v="1.23627"/>
    <n v="13.36"/>
    <n v="92.39"/>
    <n v="0.35882990901970235"/>
    <x v="116"/>
    <n v="0"/>
    <n v="0"/>
    <n v="0"/>
    <n v="0"/>
    <n v="0"/>
    <n v="0"/>
  </r>
  <r>
    <n v="1337"/>
    <s v="แขวงทางหลวงกาญจนบุรี"/>
    <n v="444"/>
    <n v="3453"/>
    <n v="100"/>
    <s v="ท่าไม้ - ตะคร้ำเอน"/>
    <n v="27928"/>
    <n v="0"/>
    <n v="27.928000000000001"/>
    <n v="2"/>
    <s v="R1"/>
    <d v="2015-07-29T00:00:00"/>
    <s v="A.C."/>
    <n v="18.024999999999999"/>
    <n v="6.2249999999999996"/>
    <n v="2.4249999999999998"/>
    <n v="1.05"/>
    <n v="2.4809399999999999"/>
    <n v="2.5"/>
    <n v="27.35"/>
    <n v="0.35"/>
    <n v="2.5000000000000001E-2"/>
    <n v="0"/>
    <n v="2.6692100000000001"/>
    <n v="2.5"/>
    <n v="0"/>
    <n v="0"/>
    <n v="27.725000000000001"/>
    <n v="1.1563099999999999"/>
    <n v="346.98"/>
    <n v="4.343"/>
    <n v="0.35719554364283668"/>
    <x v="116"/>
    <n v="543.55999999999995"/>
    <n v="0.55608298891025898"/>
    <n v="0"/>
    <n v="0"/>
    <n v="0"/>
    <n v="0"/>
  </r>
  <r>
    <n v="2176"/>
    <s v="แขวงทางหลวงสงขลาที่ 1"/>
    <n v="311"/>
    <n v="414"/>
    <n v="102"/>
    <s v="คลองวง - ท่าท้อน"/>
    <s v="24+105"/>
    <s v="19+751"/>
    <n v="4.3540000000000001"/>
    <n v="2"/>
    <s v="R1"/>
    <d v="2015-05-21T00:00:00"/>
    <s v="A.C."/>
    <n v="2.4750000000000001"/>
    <n v="1.05"/>
    <n v="0.47499999999999998"/>
    <n v="0.35"/>
    <n v="2.7692000000000001"/>
    <n v="3"/>
    <n v="3.9"/>
    <n v="0.45"/>
    <n v="0"/>
    <n v="0"/>
    <n v="4.9151499999999997"/>
    <n v="5"/>
    <n v="0"/>
    <n v="0"/>
    <n v="4.3499999999999996"/>
    <n v="0.98320700000000005"/>
    <n v="44.8"/>
    <n v="19.239999999999998"/>
    <n v="0.35711004659098361"/>
    <x v="116"/>
    <n v="0"/>
    <n v="0"/>
    <n v="25.57"/>
    <n v="0.16779316228098956"/>
    <n v="0"/>
    <n v="0"/>
  </r>
  <r>
    <n v="500"/>
    <s v="แขวงทางหลวงพิจิตร"/>
    <n v="519"/>
    <n v="1115"/>
    <n v="100"/>
    <s v="สากเหล็ก - น้อยซุ้มขี้เหล็ก"/>
    <s v="0+000"/>
    <s v="11+761"/>
    <n v="11.760999999999999"/>
    <s v="L1"/>
    <n v="2"/>
    <d v="2015-09-29T00:00:00"/>
    <s v="A.C."/>
    <n v="7.27"/>
    <n v="3.09"/>
    <n v="1.02"/>
    <n v="0.38"/>
    <n v="2.4982600000000001"/>
    <n v="2.5"/>
    <n v="11.21"/>
    <n v="0.32"/>
    <n v="0.2"/>
    <n v="0.02"/>
    <n v="3.5130300000000001"/>
    <n v="3.5"/>
    <n v="0"/>
    <n v="0"/>
    <n v="11.76"/>
    <n v="1.1773899999999999"/>
    <n v="132.215"/>
    <n v="28.95"/>
    <n v="0.35635899999999998"/>
    <x v="116"/>
    <n v="96.48"/>
    <n v="0.23438200000000001"/>
    <n v="0"/>
    <n v="0"/>
    <n v="0"/>
    <n v="0"/>
  </r>
  <r>
    <n v="538"/>
    <s v="แขวงทางหลวงอุตรดิตถ์ที่ 2"/>
    <n v="558"/>
    <n v="1123"/>
    <n v="100"/>
    <s v="ทางเข้าบ่อเบี้ย"/>
    <s v="0+000"/>
    <s v="6+053"/>
    <n v="6.0529999999999999"/>
    <s v="L1"/>
    <n v="2"/>
    <d v="2015-09-26T00:00:00"/>
    <s v="A.C."/>
    <n v="1.2250000000000001"/>
    <n v="2.65"/>
    <n v="1.65"/>
    <n v="0.88"/>
    <n v="3.6383999999999999"/>
    <n v="3.5"/>
    <n v="5.7249999999999996"/>
    <n v="0.5"/>
    <n v="2.5000000000000001E-2"/>
    <n v="0.15"/>
    <n v="5.4093900000000001"/>
    <n v="5.5"/>
    <n v="0"/>
    <n v="0"/>
    <n v="6.4050000000000002"/>
    <n v="1.1975899999999999"/>
    <n v="71.260000000000005"/>
    <n v="8.43"/>
    <n v="0.35625800000000002"/>
    <x v="116"/>
    <n v="139.47999999999999"/>
    <n v="0.65837500000000004"/>
    <n v="0"/>
    <n v="0"/>
    <n v="0"/>
    <n v="0"/>
  </r>
  <r>
    <n v="1856"/>
    <s v="แขวงทางหลวงประจวบคีรีขันธ์ (หัวหิน)"/>
    <n v="333"/>
    <n v="3168"/>
    <n v="100"/>
    <s v="ปราณบุรี - ปากน้ำปราณ"/>
    <n v="0"/>
    <n v="11710"/>
    <n v="11.71"/>
    <n v="4"/>
    <s v="L2"/>
    <d v="2015-04-04T00:00:00"/>
    <s v="A.C."/>
    <n v="7.0750000000000002"/>
    <n v="3.1"/>
    <n v="1"/>
    <n v="0.375"/>
    <n v="2.5257800000000001"/>
    <n v="2.5"/>
    <n v="11.225"/>
    <n v="0.25"/>
    <n v="0.05"/>
    <n v="2.5000000000000001E-2"/>
    <n v="3.4874000000000001"/>
    <n v="3.5"/>
    <n v="0"/>
    <n v="0"/>
    <n v="11.55"/>
    <n v="1.28064"/>
    <n v="135.68"/>
    <n v="18.98"/>
    <n v="0.35420275710625843"/>
    <x v="116"/>
    <n v="66.650000000000006"/>
    <n v="0.16262047090398929"/>
    <n v="0"/>
    <n v="0"/>
    <n v="0"/>
    <n v="0"/>
  </r>
  <r>
    <n v="1234"/>
    <s v="แขวงทางหลวงนครสวรรค์ที่ 1"/>
    <n v="437"/>
    <n v="3004"/>
    <n v="100"/>
    <s v="แยกจิรประวัติ - พระนอน"/>
    <s v="13+298"/>
    <s v="0+000"/>
    <n v="13.298"/>
    <n v="2"/>
    <s v="R1"/>
    <d v="2015-10-05T00:00:00"/>
    <s v="A.C."/>
    <n v="7.2249999999999996"/>
    <n v="3.7250000000000001"/>
    <n v="1.625"/>
    <n v="0.77500000000000002"/>
    <n v="2.9197799999999998"/>
    <n v="3"/>
    <n v="12.675000000000001"/>
    <n v="0.57499999999999996"/>
    <n v="0.05"/>
    <n v="0.05"/>
    <n v="5.0634600000000001"/>
    <n v="5"/>
    <n v="0"/>
    <n v="0"/>
    <n v="13.298"/>
    <n v="1.20651"/>
    <n v="163.19999999999999"/>
    <n v="3.2250000000000001"/>
    <n v="0.35410802913434886"/>
    <x v="116"/>
    <n v="123.068"/>
    <n v="0.26441785016006703"/>
    <n v="1.97"/>
    <n v="4.2326450808929375E-3"/>
    <n v="2"/>
    <n v="4.2326450808929375E-3"/>
  </r>
  <r>
    <n v="53"/>
    <s v="แขวงทางหลวงลำปางที่ 1"/>
    <n v="523"/>
    <n v="1124"/>
    <n v="100"/>
    <s v="ท่าผา - ปางกุ่ม"/>
    <s v="0+000"/>
    <s v="16+707"/>
    <n v="16.707000000000001"/>
    <n v="2"/>
    <s v="L1"/>
    <d v="2015-08-07T00:00:00"/>
    <s v="A.C."/>
    <n v="6.5"/>
    <n v="6.4"/>
    <n v="2.6749999999999998"/>
    <n v="1.175"/>
    <n v="2.9976400000000001"/>
    <n v="3"/>
    <n v="14.55"/>
    <n v="1.95"/>
    <n v="0.25"/>
    <n v="0"/>
    <n v="5.5029500000000002"/>
    <n v="5.5"/>
    <n v="0"/>
    <n v="0"/>
    <n v="16.75"/>
    <n v="1.38533"/>
    <n v="206.87"/>
    <n v="0"/>
    <n v="0.35377814260917145"/>
    <x v="116"/>
    <n v="65.650000000000006"/>
    <n v="0.11227116093339833"/>
    <n v="0"/>
    <n v="0"/>
    <n v="0.63"/>
    <n v="1.0773927096426647E-3"/>
  </r>
  <r>
    <n v="1537"/>
    <s v="แขวงทางหลวงนครนายก"/>
    <n v="414"/>
    <n v="3261"/>
    <n v="100"/>
    <s v="คลอง 10 - หนองเสือ"/>
    <n v="0"/>
    <n v="21120"/>
    <n v="21.12"/>
    <n v="2"/>
    <s v="R1"/>
    <d v="2015-09-19T00:00:00"/>
    <s v="A.C."/>
    <n v="12.25"/>
    <n v="5.65"/>
    <n v="2.0249999999999999"/>
    <n v="1.175"/>
    <n v="2.6004"/>
    <n v="2.5"/>
    <n v="12"/>
    <n v="4.2750000000000004"/>
    <n v="2.8250000000000002"/>
    <n v="2"/>
    <n v="10.3606"/>
    <n v="10.5"/>
    <n v="0"/>
    <n v="0"/>
    <n v="21.12"/>
    <n v="1.09385"/>
    <n v="228"/>
    <n v="65.12"/>
    <n v="0.35248917748917752"/>
    <x v="116"/>
    <n v="7078"/>
    <n v="9.5752164502164501"/>
    <n v="2125.71"/>
    <n v="2.8756899350649352"/>
    <n v="290"/>
    <n v="0.39231601731601728"/>
  </r>
  <r>
    <n v="1086"/>
    <s v="แขวงทางหลวงสระแก้ว (วัฒนานคร)"/>
    <n v="619"/>
    <n v="3479"/>
    <n v="100"/>
    <s v="ทับพริก - เขาตาง๊อก"/>
    <n v="0"/>
    <n v="27200"/>
    <n v="27.2"/>
    <n v="2"/>
    <s v="R1"/>
    <d v="2015-04-01T00:00:00"/>
    <s v="A.C."/>
    <n v="7.83"/>
    <n v="12.73"/>
    <n v="4.93"/>
    <n v="1.73"/>
    <n v="3.15266"/>
    <n v="3"/>
    <n v="25.88"/>
    <n v="1.05"/>
    <n v="0.2"/>
    <n v="0.08"/>
    <n v="4.13157"/>
    <n v="4"/>
    <n v="0"/>
    <n v="0"/>
    <n v="27.2"/>
    <n v="1.6183399999999999"/>
    <n v="334.72"/>
    <n v="0"/>
    <n v="0.3515966386554622"/>
    <x v="116"/>
    <n v="0"/>
    <n v="0"/>
    <n v="0"/>
    <n v="0"/>
    <n v="2"/>
    <n v="2.1008403361344537E-3"/>
  </r>
  <r>
    <n v="1902"/>
    <s v="แขวงทางหลวงนครปฐม"/>
    <n v="336"/>
    <n v="3403"/>
    <n v="100"/>
    <s v="วัดยกกระบัตร - หลักสี่"/>
    <s v="0+000"/>
    <s v="2+760"/>
    <n v="2.76"/>
    <n v="2"/>
    <s v="L1"/>
    <d v="2015-04-08T00:00:00"/>
    <s v="A.C."/>
    <n v="2.04"/>
    <n v="0.41"/>
    <n v="0.08"/>
    <n v="0.23"/>
    <n v="2.5120399999999998"/>
    <n v="2.5"/>
    <n v="2.73"/>
    <n v="0.03"/>
    <n v="0"/>
    <n v="0"/>
    <n v="4.9453399999999998"/>
    <n v="5"/>
    <n v="0"/>
    <n v="0"/>
    <n v="2.76"/>
    <n v="1.1559699999999999"/>
    <n v="32.700000000000003"/>
    <n v="2.09"/>
    <n v="0.34932712215320916"/>
    <x v="117"/>
    <n v="87.55"/>
    <n v="0.90631469979296064"/>
    <n v="0"/>
    <n v="0"/>
    <n v="0"/>
    <n v="0"/>
  </r>
  <r>
    <n v="1922"/>
    <s v="แขวงทางหลวงเพชรบุรี"/>
    <n v="338"/>
    <n v="3177"/>
    <n v="100"/>
    <s v="เพชรบุรี - หาดเจ้าสำราญ"/>
    <s v="9+000"/>
    <s v="0+000"/>
    <n v="9"/>
    <n v="2"/>
    <s v="R1"/>
    <d v="2015-04-02T00:00:00"/>
    <s v="A.C."/>
    <n v="7.02"/>
    <n v="1.44"/>
    <n v="0.37"/>
    <n v="0.17"/>
    <n v="2.1394799999999998"/>
    <n v="2"/>
    <n v="7.98"/>
    <n v="0.6"/>
    <n v="0.32"/>
    <n v="0.1"/>
    <n v="3.79488"/>
    <n v="4"/>
    <n v="0"/>
    <n v="0"/>
    <n v="9"/>
    <n v="1.4101300000000001"/>
    <n v="35"/>
    <n v="16.309999999999999"/>
    <n v="0.34929178470254962"/>
    <x v="117"/>
    <n v="0"/>
    <n v="0"/>
    <n v="91"/>
    <n v="0.73654390934844205"/>
    <n v="0"/>
    <n v="0"/>
  </r>
  <r>
    <n v="1630"/>
    <s v="แขวงทางหลวงสมุทรปราการ"/>
    <n v="417"/>
    <n v="3701"/>
    <n v="200"/>
    <s v="ลาดกระบัง - บางควาย"/>
    <s v="28+593"/>
    <s v="28+752"/>
    <n v="0.159"/>
    <n v="2"/>
    <s v="L1"/>
    <d v="2015-08-25T00:00:00"/>
    <s v="A.C."/>
    <n v="7.4999999999999997E-2"/>
    <n v="0.05"/>
    <n v="0.05"/>
    <n v="2.5000000000000001E-2"/>
    <n v="3.6389999999999998"/>
    <n v="3.5"/>
    <n v="0.17499999999999999"/>
    <n v="0"/>
    <n v="0"/>
    <n v="2.5000000000000001E-2"/>
    <n v="7.415"/>
    <n v="7.5"/>
    <n v="0"/>
    <n v="0"/>
    <n v="0.19999999999999998"/>
    <n v="1.754"/>
    <n v="1.94"/>
    <n v="0"/>
    <n v="0.34860736747529197"/>
    <x v="117"/>
    <n v="0"/>
    <n v="0"/>
    <n v="0"/>
    <n v="0"/>
    <n v="1.47"/>
    <n v="0.26415094339622641"/>
  </r>
  <r>
    <n v="571"/>
    <s v="แขวงทางหลวงเพชรบูรณ์ที่ 1"/>
    <n v="551"/>
    <n v="2402"/>
    <n v="100"/>
    <s v="จางวาง - ดงมูลเหล็ก"/>
    <n v="0"/>
    <n v="24432"/>
    <n v="24.431999999999999"/>
    <n v="2"/>
    <s v="L1"/>
    <d v="2015-08-08T00:00:00"/>
    <s v="A.C."/>
    <n v="17.82"/>
    <n v="4.4400000000000004"/>
    <n v="1.65"/>
    <n v="0.53"/>
    <n v="1.98952"/>
    <n v="2"/>
    <n v="23.3"/>
    <n v="0.66"/>
    <n v="0.05"/>
    <n v="0"/>
    <n v="2.6598999999999999"/>
    <n v="2.5"/>
    <n v="0"/>
    <n v="0"/>
    <n v="24.01"/>
    <n v="1.10327"/>
    <n v="11"/>
    <n v="569.32000000000005"/>
    <n v="0.34575264290391994"/>
    <x v="117"/>
    <n v="2753"/>
    <n v="3.2194311909439612"/>
    <n v="0"/>
    <n v="0"/>
    <n v="1111"/>
    <n v="1.2992328562073159"/>
  </r>
  <r>
    <n v="579"/>
    <s v="แขวงทางหลวงเพชรบูรณ์ที่ 2 (บึงสามพัน)"/>
    <n v="552"/>
    <n v="1205"/>
    <n v="100"/>
    <s v="ชนแดน - วังโป่ง"/>
    <n v="0"/>
    <n v="25031"/>
    <n v="25.030999999999999"/>
    <n v="2"/>
    <s v="L1"/>
    <d v="2015-07-10T00:00:00"/>
    <s v="A.C."/>
    <n v="17.875"/>
    <n v="4.25"/>
    <n v="1.4750000000000001"/>
    <n v="0.5"/>
    <n v="2.2811699999999999"/>
    <n v="2.5"/>
    <n v="23.2"/>
    <n v="0.75"/>
    <n v="0.15"/>
    <n v="0"/>
    <n v="4.0156200000000002"/>
    <n v="4"/>
    <n v="0"/>
    <n v="0"/>
    <n v="24.1"/>
    <n v="1.46854"/>
    <n v="301"/>
    <n v="3.49"/>
    <n v="0.34556578414194972"/>
    <x v="117"/>
    <n v="41"/>
    <n v="4.6799111958314557E-2"/>
    <n v="19"/>
    <n v="2.1687393346536011E-2"/>
    <n v="6"/>
    <n v="6.8486505304850565E-3"/>
  </r>
  <r>
    <n v="1940"/>
    <s v="แขวงทางหลวงนครศรีธรรมราชที่ 1"/>
    <n v="321"/>
    <n v="401"/>
    <n v="502"/>
    <s v="สิชล - ท่าแพ"/>
    <n v="286310"/>
    <n v="236579"/>
    <n v="49.731000000000002"/>
    <n v="4"/>
    <s v="R2"/>
    <d v="2015-04-28T00:00:00"/>
    <s v="A.C."/>
    <n v="35.15"/>
    <n v="8.625"/>
    <n v="4.1500000000000004"/>
    <n v="1.9750000000000001"/>
    <n v="2.3607"/>
    <n v="2.5"/>
    <n v="47.15"/>
    <n v="2.35"/>
    <n v="0.32500000000000001"/>
    <n v="7.4999999999999997E-2"/>
    <n v="4.9382099999999998"/>
    <n v="5"/>
    <n v="0"/>
    <n v="0"/>
    <n v="49.900000000000006"/>
    <n v="1.16029"/>
    <n v="561.80999999999995"/>
    <n v="75.31"/>
    <n v="0.3444043238336536"/>
    <x v="117"/>
    <n v="31.83"/>
    <n v="1.8286955247804618E-2"/>
    <n v="10.37"/>
    <n v="5.9577670725646835E-3"/>
    <n v="0"/>
    <n v="0"/>
  </r>
  <r>
    <n v="1620"/>
    <s v="แขวงทางหลวงสมุทรปราการ"/>
    <n v="417"/>
    <n v="303"/>
    <n v="100"/>
    <s v="ราษฎร์บูรณะ - พระสมุทรเจดีย์"/>
    <s v="15+020"/>
    <s v="13+350"/>
    <n v="1.67"/>
    <n v="8"/>
    <s v="R2"/>
    <d v="2015-08-25T00:00:00"/>
    <s v="A.C."/>
    <n v="0.27500000000000002"/>
    <n v="0.27500000000000002"/>
    <n v="0.27500000000000002"/>
    <n v="0.85"/>
    <n v="5.5423900000000001"/>
    <n v="5.5"/>
    <n v="0.32500000000000001"/>
    <n v="1.0249999999999999"/>
    <n v="0.2"/>
    <n v="0.125"/>
    <n v="13.0451"/>
    <n v="13"/>
    <n v="0"/>
    <n v="0"/>
    <n v="1.675"/>
    <n v="1.0902799999999999"/>
    <n v="20.13"/>
    <n v="0"/>
    <n v="0.34439692044482462"/>
    <x v="117"/>
    <n v="0"/>
    <n v="0"/>
    <n v="0"/>
    <n v="0"/>
    <n v="0"/>
    <n v="0"/>
  </r>
  <r>
    <n v="1044"/>
    <s v="แขวงทางหลวงบุรีรัมย์"/>
    <n v="617"/>
    <n v="2445"/>
    <n v="102"/>
    <s v="แสลงโทน - ห้วยเสว"/>
    <n v="25000"/>
    <n v="59401"/>
    <n v="34.401000000000003"/>
    <n v="2"/>
    <s v="L1"/>
    <d v="2015-05-07T00:00:00"/>
    <s v="A.C."/>
    <n v="17.899999999999999"/>
    <n v="8.9"/>
    <n v="4.5"/>
    <n v="2.2250000000000001"/>
    <n v="2.81"/>
    <n v="3"/>
    <n v="25.675000000000001"/>
    <n v="4.7249999999999996"/>
    <n v="2.1"/>
    <n v="1.0249999999999999"/>
    <n v="7.62019"/>
    <n v="7.5"/>
    <n v="0"/>
    <n v="0"/>
    <n v="33.524999999999999"/>
    <n v="1.3387800000000001"/>
    <n v="414.59"/>
    <n v="0"/>
    <n v="0.34433384411582713"/>
    <x v="117"/>
    <n v="52.73"/>
    <n v="4.3794407969867978E-2"/>
    <n v="385.71"/>
    <n v="0.32034783042021198"/>
    <n v="0"/>
    <n v="0"/>
  </r>
  <r>
    <n v="189"/>
    <s v="แขวงทางหลวงเชียงรายที่ 1"/>
    <n v="533"/>
    <n v="1384"/>
    <n v="100"/>
    <s v="บ้านใหม่ - น้ำตกขุนกรณ์"/>
    <s v="0+000"/>
    <s v="11+350"/>
    <n v="11.35"/>
    <n v="2"/>
    <s v="L1"/>
    <d v="2015-07-18T00:00:00"/>
    <s v="A.C."/>
    <n v="2.31"/>
    <n v="3.6"/>
    <n v="2.36"/>
    <n v="3.09"/>
    <n v="4.9740000000000002"/>
    <n v="5"/>
    <n v="9.15"/>
    <n v="1.62"/>
    <n v="0.35"/>
    <n v="0.23"/>
    <n v="6.8339999999999996"/>
    <n v="7"/>
    <n v="0"/>
    <n v="0"/>
    <n v="11.35"/>
    <n v="1.7350000000000001"/>
    <n v="133.65"/>
    <n v="4.9800000000000004"/>
    <n v="0.34270610446821903"/>
    <x v="117"/>
    <n v="11.82"/>
    <n v="2.9754562617998744E-2"/>
    <n v="0"/>
    <n v="0"/>
    <n v="12.7"/>
    <n v="3.1969792322215231E-2"/>
  </r>
  <r>
    <n v="1307"/>
    <s v="แขวงทางหลวงกาญจนบุรี"/>
    <n v="444"/>
    <n v="323"/>
    <n v="201"/>
    <s v="ลูกแก - ท่าเรือ"/>
    <n v="32360"/>
    <n v="18592"/>
    <n v="13.768000000000001"/>
    <n v="4"/>
    <s v="R2"/>
    <d v="2015-07-24T00:00:00"/>
    <s v="A.C."/>
    <n v="13.6"/>
    <n v="0.17499999999999999"/>
    <n v="2.5000000000000001E-2"/>
    <n v="0"/>
    <n v="1.64714"/>
    <n v="1.5"/>
    <n v="13.6"/>
    <n v="0.17499999999999999"/>
    <n v="2.5000000000000001E-2"/>
    <n v="0"/>
    <n v="2.6562600000000001"/>
    <n v="2.5"/>
    <n v="0"/>
    <n v="0"/>
    <n v="13.8"/>
    <n v="1.2060900000000001"/>
    <n v="72.224000000000004"/>
    <n v="185.553"/>
    <n v="0.34240993608367226"/>
    <x v="117"/>
    <n v="2752.59"/>
    <n v="5.7121897567859223"/>
    <n v="0"/>
    <n v="0"/>
    <n v="0"/>
    <n v="0"/>
  </r>
  <r>
    <n v="72"/>
    <s v="แขวงทางหลวงลำพูน"/>
    <n v="524"/>
    <n v="1010"/>
    <n v="200"/>
    <s v="ร้องธาร - ม่วงโตน"/>
    <s v="19+638"/>
    <s v="2+140"/>
    <n v="17.498000000000001"/>
    <n v="2"/>
    <s v="R1"/>
    <d v="2015-08-10T00:00:00"/>
    <s v="A.C."/>
    <n v="6.35"/>
    <n v="5.35"/>
    <n v="4"/>
    <n v="1.8"/>
    <n v="3.2350599999999998"/>
    <n v="3"/>
    <n v="16.5"/>
    <n v="0.85"/>
    <n v="0.1"/>
    <n v="0.05"/>
    <n v="3.9956900000000002"/>
    <n v="4"/>
    <n v="0"/>
    <n v="0"/>
    <n v="17.5"/>
    <n v="1.2542"/>
    <n v="197.36"/>
    <n v="24.63"/>
    <n v="0.34236565811602959"/>
    <x v="117"/>
    <n v="14.62"/>
    <n v="2.387211599693026E-2"/>
    <n v="1"/>
    <n v="1.6328396714726582E-3"/>
    <n v="0"/>
    <n v="0"/>
  </r>
  <r>
    <n v="1373"/>
    <s v="แขวงทางหลวงสุพรรณบุรีที่ 2 (อู่ทอง)"/>
    <n v="445"/>
    <n v="3387"/>
    <n v="10"/>
    <s v="หนองวัลย์เปรียง - ทับกระดาน"/>
    <n v="7102"/>
    <n v="0"/>
    <n v="7.1020000000000003"/>
    <n v="2"/>
    <s v="R1"/>
    <d v="2015-07-23T00:00:00"/>
    <s v="A.C."/>
    <n v="4.25"/>
    <n v="2.85"/>
    <n v="0"/>
    <n v="0"/>
    <n v="2.6970000000000001"/>
    <n v="2.5"/>
    <n v="7.1"/>
    <n v="0"/>
    <n v="0"/>
    <n v="0"/>
    <n v="2.9209999999999998"/>
    <n v="3"/>
    <n v="0"/>
    <n v="0"/>
    <n v="7.1"/>
    <n v="1.2310000000000001"/>
    <n v="12.23"/>
    <n v="21.8"/>
    <n v="0.34100000000000003"/>
    <x v="117"/>
    <n v="0"/>
    <n v="0"/>
    <n v="0"/>
    <n v="0"/>
    <n v="0"/>
    <n v="0"/>
  </r>
  <r>
    <n v="1770"/>
    <s v="แขวงทางหลวงระยอง"/>
    <n v="426"/>
    <n v="3143"/>
    <n v="100"/>
    <s v="บ้านค่าย - หนองละลอก"/>
    <n v="14041"/>
    <n v="0"/>
    <n v="14.041"/>
    <n v="2"/>
    <s v="R1"/>
    <d v="2015-08-17T00:00:00"/>
    <s v="A.C."/>
    <n v="7.8250000000000002"/>
    <n v="5.05"/>
    <n v="0.85"/>
    <n v="0.3"/>
    <n v="2.6439699999999999"/>
    <n v="2.5"/>
    <n v="13.2"/>
    <n v="0.52500000000000002"/>
    <n v="0.25"/>
    <n v="0.05"/>
    <n v="6.60276"/>
    <n v="6.5"/>
    <n v="0"/>
    <n v="0"/>
    <n v="14.025"/>
    <n v="1.2765899999999999"/>
    <n v="134.62"/>
    <n v="65.84"/>
    <n v="0.34092"/>
    <x v="117"/>
    <n v="109.36"/>
    <n v="0.22253000000000001"/>
    <n v="560"/>
    <n v="1.1395200000000001"/>
    <n v="291.32"/>
    <n v="0.59279000000000004"/>
  </r>
  <r>
    <n v="1333"/>
    <s v="แขวงทางหลวงกาญจนบุรี"/>
    <n v="444"/>
    <n v="3343"/>
    <n v="100"/>
    <s v="แยกวังโพธิ์ - โรงพยาบาลไทรโยค"/>
    <s v="0+000"/>
    <s v="3+753"/>
    <n v="3.7530000000000001"/>
    <n v="2"/>
    <s v="L1"/>
    <d v="2015-07-27T00:00:00"/>
    <s v="A.C."/>
    <n v="0.9"/>
    <n v="1.55"/>
    <n v="1.0249999999999999"/>
    <n v="0.6"/>
    <n v="3.5254599999999998"/>
    <n v="3.5"/>
    <n v="3.9"/>
    <n v="0.15"/>
    <n v="2.5000000000000001E-2"/>
    <n v="0"/>
    <n v="2.9174199999999999"/>
    <n v="3"/>
    <n v="0"/>
    <n v="0"/>
    <n v="4.0750000000000002"/>
    <n v="1.2416400000000001"/>
    <n v="31"/>
    <n v="0"/>
    <n v="0.34079041389545428"/>
    <x v="117"/>
    <n v="0"/>
    <n v="0"/>
    <n v="0"/>
    <n v="0"/>
    <n v="0"/>
    <n v="0"/>
  </r>
  <r>
    <n v="575"/>
    <s v="แขวงทางหลวงเพชรบูรณ์ที่ 2 (บึงสามพัน)"/>
    <n v="552"/>
    <n v="113"/>
    <n v="100"/>
    <s v="สามแยกวังชมภู - ดงขุย"/>
    <n v="54253"/>
    <n v="0"/>
    <n v="54.253"/>
    <n v="2"/>
    <s v="R1"/>
    <d v="2015-07-10T00:00:00"/>
    <s v="A.C."/>
    <n v="31.774999999999999"/>
    <n v="10.275"/>
    <n v="6.2249999999999996"/>
    <n v="6.2249999999999996"/>
    <n v="2.6150000000000002"/>
    <n v="2.5"/>
    <n v="48.15"/>
    <n v="4.5999999999999996"/>
    <n v="1.3"/>
    <n v="0.45"/>
    <n v="6.3170000000000002"/>
    <n v="6.5"/>
    <n v="0"/>
    <n v="7.4999999999999997E-2"/>
    <n v="54.424999999999997"/>
    <n v="1.2544"/>
    <n v="635"/>
    <n v="23.29"/>
    <n v="0.34054469667246839"/>
    <x v="117"/>
    <n v="425"/>
    <n v="0.22381909097851072"/>
    <n v="0"/>
    <n v="0"/>
    <n v="434"/>
    <n v="0.2285587893757027"/>
  </r>
  <r>
    <n v="2121"/>
    <s v="แขวงทางหลวงภูเก็ต"/>
    <n v="324"/>
    <n v="4026"/>
    <n v="100"/>
    <s v="ทางเข้าสนามบินภูเก็ต"/>
    <n v="4130"/>
    <n v="0"/>
    <n v="4.13"/>
    <n v="4"/>
    <s v="L1"/>
    <d v="2015-05-15T00:00:00"/>
    <s v="A.C."/>
    <n v="2.4249999999999998"/>
    <n v="1.3"/>
    <n v="0.27500000000000002"/>
    <n v="7.4999999999999997E-2"/>
    <n v="2.53166"/>
    <n v="2.5"/>
    <n v="2.95"/>
    <n v="0.9"/>
    <n v="0.2"/>
    <n v="2.5000000000000001E-2"/>
    <n v="7.9238999999999997"/>
    <n v="8"/>
    <n v="0"/>
    <n v="0"/>
    <n v="4.0749999999999993"/>
    <n v="1.3418300000000001"/>
    <n v="42.91"/>
    <n v="12.55"/>
    <n v="0.34026288481494288"/>
    <x v="117"/>
    <n v="38"/>
    <n v="0.26288481494292631"/>
    <n v="0"/>
    <n v="0"/>
    <n v="8.8800000000000008"/>
    <n v="6.143203043929437E-2"/>
  </r>
  <r>
    <n v="342"/>
    <s v="แขวงทางหลวงมุกดาหาร"/>
    <n v="639"/>
    <n v="2169"/>
    <n v="200"/>
    <s v="กุดชุม - เลิงนกทา"/>
    <n v="37241"/>
    <n v="64969"/>
    <n v="27.728000000000002"/>
    <n v="2"/>
    <s v="L1"/>
    <d v="2015-06-02T00:00:00"/>
    <s v="A.C."/>
    <n v="13.475"/>
    <n v="8.375"/>
    <n v="4.0750000000000002"/>
    <n v="1.8"/>
    <n v="3.0960700000000001"/>
    <n v="3"/>
    <n v="25.15"/>
    <n v="1.95"/>
    <n v="0.32500000000000001"/>
    <n v="0.3"/>
    <n v="6.8835100000000002"/>
    <n v="7"/>
    <n v="0"/>
    <n v="0"/>
    <n v="27.725000000000001"/>
    <n v="1.2503599999999999"/>
    <n v="330"/>
    <n v="0"/>
    <n v="0.34003791938010058"/>
    <x v="117"/>
    <n v="244.96"/>
    <n v="0.2524111779737862"/>
    <n v="0"/>
    <n v="0"/>
    <n v="1"/>
    <n v="1"/>
  </r>
  <r>
    <n v="1929"/>
    <s v="แขวงทางหลวงเพชรบุรี"/>
    <n v="338"/>
    <n v="3349"/>
    <n v="100"/>
    <s v="หนองควง - หนองหญ้าปล้อง"/>
    <n v="0"/>
    <n v="23516"/>
    <n v="23.515999999999998"/>
    <n v="2"/>
    <s v="L1"/>
    <d v="2015-04-03T00:00:00"/>
    <s v="A.C."/>
    <n v="10.91"/>
    <n v="8.34"/>
    <n v="2.96"/>
    <n v="1.31"/>
    <n v="2.7770600000000001"/>
    <n v="3"/>
    <n v="22.13"/>
    <n v="1.21"/>
    <n v="0.18"/>
    <n v="0"/>
    <n v="4.2802699999999998"/>
    <n v="4.5"/>
    <n v="0"/>
    <n v="0"/>
    <n v="23.52"/>
    <n v="1.4462600000000001"/>
    <n v="167"/>
    <n v="224.85"/>
    <n v="0.33949529803416523"/>
    <x v="117"/>
    <n v="15.6"/>
    <n v="1.8953660729472941E-2"/>
    <n v="19"/>
    <n v="2.3084586785896533E-2"/>
    <n v="2"/>
    <n v="2.4299565037785823E-3"/>
  </r>
  <r>
    <n v="1993"/>
    <s v="แขวงทางหลวงตรัง"/>
    <n v="322"/>
    <n v="4264"/>
    <n v="100"/>
    <s v="บ้านช่อง - หาดเลา"/>
    <n v="0"/>
    <n v="29870"/>
    <n v="29.87"/>
    <n v="2"/>
    <s v="L2"/>
    <d v="2015-05-06T00:00:00"/>
    <s v="A.C."/>
    <n v="19.824999999999999"/>
    <n v="6.5750000000000002"/>
    <n v="2.2999999999999998"/>
    <n v="1.1499999999999999"/>
    <n v="2.4978699999999998"/>
    <n v="2.5"/>
    <n v="29.4"/>
    <n v="0.4"/>
    <n v="0.05"/>
    <n v="0"/>
    <n v="2.8304900000000002"/>
    <n v="3"/>
    <n v="0"/>
    <n v="0"/>
    <n v="29.849999999999998"/>
    <n v="1.30514"/>
    <n v="329.63"/>
    <n v="46"/>
    <n v="0.3372997273901191"/>
    <x v="117"/>
    <n v="47.92"/>
    <n v="4.5836721029221872E-2"/>
    <n v="37.92"/>
    <n v="3.6271462049835002E-2"/>
    <n v="13"/>
    <n v="1.2434836673202927E-2"/>
  </r>
  <r>
    <n v="1145"/>
    <s v="แขวงทางหลวงสระบุรี"/>
    <n v="432"/>
    <n v="3041"/>
    <n v="101"/>
    <s v="เขาขาด - หนองแซง"/>
    <s v="14+200"/>
    <s v="0+000"/>
    <n v="14.2"/>
    <n v="2"/>
    <s v="R1"/>
    <d v="2015-10-05T00:00:00"/>
    <s v="A.C."/>
    <n v="8.25"/>
    <n v="3.8"/>
    <n v="1.2250000000000001"/>
    <n v="0.92500000000000004"/>
    <n v="2.9507400000000001"/>
    <n v="3"/>
    <n v="13.475"/>
    <n v="0.4"/>
    <n v="0.22500000000000001"/>
    <n v="0.1"/>
    <n v="4.1049100000000003"/>
    <n v="4"/>
    <n v="0"/>
    <n v="0"/>
    <n v="14.200000000000001"/>
    <n v="1.4421299999999999"/>
    <n v="163.9"/>
    <n v="6.47"/>
    <n v="0.33628799999999998"/>
    <x v="117"/>
    <n v="154.68"/>
    <n v="0.31122699999999998"/>
    <n v="0"/>
    <n v="0"/>
    <n v="0"/>
    <n v="0"/>
  </r>
  <r>
    <n v="1967"/>
    <s v="แขวงทางหลวงนครศรีธรรมราชที่ 1"/>
    <n v="321"/>
    <n v="4301"/>
    <n v="100"/>
    <s v="ตอม่อ - ท่าศาลา"/>
    <n v="0"/>
    <n v="990"/>
    <n v="0.99"/>
    <n v="2"/>
    <s v="L1"/>
    <d v="2015-04-30T00:00:00"/>
    <s v="A.C."/>
    <n v="0.55000000000000004"/>
    <n v="0.2"/>
    <n v="0.125"/>
    <n v="7.4999999999999997E-2"/>
    <n v="2.98895"/>
    <n v="3"/>
    <n v="0.9"/>
    <n v="0.05"/>
    <n v="0"/>
    <n v="0"/>
    <n v="3.3612099999999998"/>
    <n v="3.5"/>
    <n v="0"/>
    <n v="0"/>
    <n v="0.95000000000000007"/>
    <n v="1.06992"/>
    <n v="0"/>
    <n v="23.29"/>
    <n v="0.33607503607503608"/>
    <x v="117"/>
    <n v="0"/>
    <n v="0"/>
    <n v="26.15"/>
    <n v="0"/>
    <n v="0"/>
    <n v="0"/>
  </r>
  <r>
    <n v="822"/>
    <s v="แขวงทางหลวงกาฬสินธุ์"/>
    <n v="647"/>
    <n v="2041"/>
    <n v="100"/>
    <s v="สี่แยกสมเด็จ - แยกดงแหลม"/>
    <n v="12784"/>
    <n v="0"/>
    <n v="12.784000000000001"/>
    <n v="2"/>
    <s v="R1"/>
    <d v="2015-05-29T00:00:00"/>
    <s v="A.C."/>
    <n v="9.9749999999999996"/>
    <n v="2.2749999999999999"/>
    <n v="0.45"/>
    <n v="7.5000000000000011E-2"/>
    <n v="4.93"/>
    <n v="5"/>
    <n v="11.649999999999999"/>
    <n v="0.85"/>
    <n v="0.15"/>
    <n v="0.125"/>
    <n v="4.5063000000000004"/>
    <n v="4.5"/>
    <n v="0"/>
    <n v="0"/>
    <n v="12.774999999999999"/>
    <n v="1.0815999999999999"/>
    <n v="127"/>
    <n v="44"/>
    <n v="0.33300554264258897"/>
    <x v="117"/>
    <n v="0"/>
    <n v="0"/>
    <n v="41"/>
    <n v="9.1632397639907021E-2"/>
    <n v="0"/>
    <n v="0"/>
  </r>
  <r>
    <n v="528"/>
    <s v="แขวงทางหลวงอุตรดิตถ์ที่ 1"/>
    <n v="557"/>
    <n v="1255"/>
    <n v="100"/>
    <s v="ฟ้าเรือง - คลองกล้วย"/>
    <s v="0+000"/>
    <s v="6+640"/>
    <n v="6.64"/>
    <s v="L1"/>
    <n v="2"/>
    <d v="2015-09-23T00:00:00"/>
    <s v="A.C."/>
    <n v="4.5750000000000002"/>
    <n v="1.25"/>
    <n v="0.57499999999999996"/>
    <n v="0.23"/>
    <n v="2.4693999999999998"/>
    <n v="2.5"/>
    <n v="6.4"/>
    <n v="0.15"/>
    <n v="7.4999999999999997E-2"/>
    <n v="0"/>
    <n v="3.2482000000000002"/>
    <n v="3"/>
    <n v="0"/>
    <n v="0"/>
    <n v="6.6300000000000008"/>
    <n v="1.1352199999999999"/>
    <n v="64.75"/>
    <n v="25.14"/>
    <n v="0.332702"/>
    <x v="117"/>
    <n v="136.37"/>
    <n v="0.58679000000000003"/>
    <n v="0"/>
    <n v="0"/>
    <n v="0"/>
    <n v="0"/>
  </r>
  <r>
    <n v="1883"/>
    <s v="แขวงทางหลวงราชบุรี"/>
    <n v="335"/>
    <n v="3339"/>
    <n v="100"/>
    <s v="ห้วยชินสีห์ - พญาไม้"/>
    <n v="0"/>
    <n v="11307"/>
    <n v="11.307"/>
    <n v="2"/>
    <s v="L1"/>
    <d v="2015-04-01T00:00:00"/>
    <s v="A.C."/>
    <n v="7.91"/>
    <n v="2.14"/>
    <n v="0.65"/>
    <n v="0.6"/>
    <n v="2.4896699999999998"/>
    <n v="2.5"/>
    <n v="10.65"/>
    <n v="0.55000000000000004"/>
    <n v="0.1"/>
    <n v="0"/>
    <n v="4.0366099999999996"/>
    <n v="4"/>
    <n v="0"/>
    <n v="0"/>
    <n v="11.31"/>
    <n v="1.1446499999999999"/>
    <n v="120.35"/>
    <n v="22.36"/>
    <n v="0.33236048465552315"/>
    <x v="117"/>
    <n v="96.32"/>
    <n v="0.24338905103033517"/>
    <n v="0"/>
    <n v="0"/>
    <n v="0.06"/>
    <n v="1.516127809574347E-4"/>
  </r>
  <r>
    <n v="1257"/>
    <s v="แขวงทางหลวงนครสวรรค์ที่ 2 (ตากฟ้า)"/>
    <n v="438"/>
    <n v="1119"/>
    <n v="102"/>
    <s v="หนองผักหวาน - ท่าตะโก"/>
    <s v="36+708"/>
    <s v="26+847"/>
    <n v="9.8610000000000007"/>
    <n v="2"/>
    <s v="R1"/>
    <d v="2015-10-05T00:00:00"/>
    <s v="A.C."/>
    <n v="4.0250000000000004"/>
    <n v="3.5249999999999999"/>
    <n v="1.95"/>
    <n v="0.42499999999999999"/>
    <n v="2.9190700000000001"/>
    <n v="3"/>
    <n v="9.0500000000000007"/>
    <n v="0.65"/>
    <n v="0.2"/>
    <n v="2.5000000000000001E-2"/>
    <n v="4.5862100000000003"/>
    <n v="4.5"/>
    <n v="0"/>
    <n v="0"/>
    <n v="9.8610000000000007"/>
    <n v="1.40151"/>
    <n v="109.8"/>
    <n v="9.6649999999999991"/>
    <n v="0.33213814884030884"/>
    <x v="117"/>
    <n v="11.5"/>
    <n v="3.3320294957045797E-2"/>
    <n v="0"/>
    <n v="0"/>
    <n v="0"/>
    <n v="0"/>
  </r>
  <r>
    <n v="87"/>
    <s v="แขวงทางหลวงแม่ฮ่องสอน"/>
    <n v="526"/>
    <n v="108"/>
    <n v="202"/>
    <s v="ห้วยงู - หนองแห้ง"/>
    <s v="258+100"/>
    <s v="245+951"/>
    <n v="12.148999999999999"/>
    <n v="2"/>
    <s v="R1"/>
    <d v="2015-08-28T00:00:00"/>
    <s v="A.C."/>
    <n v="4.6900000000000004"/>
    <n v="4.74"/>
    <n v="2.34"/>
    <n v="0.37"/>
    <n v="2.86965"/>
    <n v="3"/>
    <n v="12.15"/>
    <n v="0"/>
    <n v="0"/>
    <n v="0"/>
    <n v="2.6970900000000002"/>
    <n v="2.5"/>
    <n v="0"/>
    <n v="0"/>
    <n v="12.15"/>
    <n v="3.2657500000000002"/>
    <n v="140.36000000000001"/>
    <n v="0"/>
    <n v="0.33009183589478269"/>
    <x v="117"/>
    <n v="7.9989999999999997"/>
    <n v="1.8811659983772919E-2"/>
    <n v="0"/>
    <n v="0"/>
    <n v="0.25"/>
    <n v="5.8793786672624445E-4"/>
  </r>
  <r>
    <n v="122"/>
    <s v="แขวงทางหลวงเชียงใหม่ที่ 3"/>
    <n v="527"/>
    <n v="1346"/>
    <n v="102"/>
    <s v="แดนดิน - ไชยปราการ"/>
    <n v="37136"/>
    <n v="24801"/>
    <n v="12.335000000000001"/>
    <n v="2"/>
    <s v="R1"/>
    <d v="2015-08-24T00:00:00"/>
    <s v="A.C."/>
    <n v="4.42"/>
    <n v="3.94"/>
    <n v="2.73"/>
    <n v="1.24"/>
    <n v="3.2618900000000002"/>
    <n v="3.5"/>
    <n v="11.1"/>
    <n v="0.51"/>
    <n v="0.33"/>
    <n v="0.4"/>
    <n v="5.0036800000000001"/>
    <n v="5"/>
    <n v="0"/>
    <n v="0"/>
    <n v="12.34"/>
    <n v="1.98288"/>
    <n v="142.35599999999999"/>
    <n v="0"/>
    <n v="0.32973768023626149"/>
    <x v="117"/>
    <n v="96.35"/>
    <n v="0.22317447449186401"/>
    <n v="5.3"/>
    <n v="1.2276333314030921E-2"/>
    <n v="0"/>
    <n v="0"/>
  </r>
  <r>
    <n v="2133"/>
    <s v="แขวงทางหลวงภูเก็ต"/>
    <n v="324"/>
    <n v="4233"/>
    <n v="100"/>
    <s v="ตีนเขา - นาบอน"/>
    <n v="1514"/>
    <n v="0"/>
    <n v="1.514"/>
    <n v="2"/>
    <s v="R1"/>
    <d v="2015-05-14T00:00:00"/>
    <s v="A.C."/>
    <n v="1"/>
    <n v="0.27500000000000002"/>
    <n v="0.17499999999999999"/>
    <n v="0.05"/>
    <n v="2.47417"/>
    <n v="2.5"/>
    <n v="1.5"/>
    <n v="0"/>
    <n v="0"/>
    <n v="0"/>
    <n v="2.3045200000000001"/>
    <n v="2.5"/>
    <n v="0"/>
    <n v="0"/>
    <n v="1.5"/>
    <n v="1.10415"/>
    <n v="1.1100000000000001"/>
    <n v="32.6"/>
    <n v="0.3285525570862427"/>
    <x v="117"/>
    <n v="14.78"/>
    <n v="0.2789205510473674"/>
    <n v="0"/>
    <n v="0"/>
    <n v="3.48"/>
    <n v="6.5672768446876764E-2"/>
  </r>
  <r>
    <n v="1415"/>
    <s v="แขวงทางหลวงอุทัยธานี"/>
    <n v="447"/>
    <n v="3220"/>
    <n v="100"/>
    <s v="แยกสะแกกรัง - เขาพะแวง"/>
    <n v="13707"/>
    <n v="0"/>
    <n v="13.707000000000001"/>
    <n v="2"/>
    <s v="R1"/>
    <d v="2015-07-30T00:00:00"/>
    <s v="A.C."/>
    <n v="5.375"/>
    <n v="4.7249999999999996"/>
    <n v="2.4249999999999998"/>
    <n v="0.61250000000000004"/>
    <n v="3.0690400000000002"/>
    <n v="3"/>
    <n v="12.2"/>
    <n v="1.4"/>
    <n v="0.15"/>
    <n v="0"/>
    <n v="5.0765000000000002"/>
    <n v="5"/>
    <n v="0"/>
    <n v="0"/>
    <n v="13.137499999999999"/>
    <n v="1.8098799999999999"/>
    <n v="103"/>
    <n v="108"/>
    <n v="0.32725718871483805"/>
    <x v="117"/>
    <n v="0"/>
    <n v="0"/>
    <n v="4"/>
    <n v="8.3377627698047897E-3"/>
    <n v="0"/>
    <n v="0"/>
  </r>
  <r>
    <n v="27"/>
    <s v="แขวงทางหลวงเชียงใหม่ที่ 2"/>
    <n v="522"/>
    <n v="121"/>
    <n v="104"/>
    <s v="ต้นพยอม - เหมืองกุง"/>
    <n v="41868"/>
    <n v="52957"/>
    <n v="11.089"/>
    <n v="4"/>
    <s v="L1"/>
    <d v="2015-08-19T00:00:00"/>
    <s v="A.C."/>
    <n v="6.7249999999999996"/>
    <n v="2.35"/>
    <n v="1.3"/>
    <n v="0.77500000000000002"/>
    <n v="2.6482100000000002"/>
    <n v="2.5"/>
    <n v="10.5"/>
    <n v="0.57499999999999996"/>
    <n v="7.4999999999999997E-2"/>
    <n v="0"/>
    <n v="4.5800999999999998"/>
    <n v="4.5"/>
    <n v="0"/>
    <n v="0"/>
    <n v="11.15"/>
    <n v="0.98266399999999998"/>
    <n v="117.86"/>
    <n v="18.12"/>
    <n v="0.32701647707509374"/>
    <x v="117"/>
    <n v="14.5"/>
    <n v="3.7360060806719657E-2"/>
    <n v="0"/>
    <n v="0"/>
    <n v="0"/>
    <n v="0"/>
  </r>
  <r>
    <n v="81"/>
    <s v="แขวงทางหลวงลำพูน"/>
    <n v="524"/>
    <n v="1189"/>
    <n v="200"/>
    <s v="ช่างเพี้ยน - บ้านธิ"/>
    <s v="5+041"/>
    <s v="10+641"/>
    <n v="5.6"/>
    <n v="2"/>
    <s v="L1"/>
    <d v="2015-08-11T00:00:00"/>
    <s v="A.C."/>
    <n v="2.65"/>
    <n v="2.25"/>
    <n v="0.55000000000000004"/>
    <n v="0.2"/>
    <n v="2.7667700000000002"/>
    <n v="3"/>
    <n v="5.625"/>
    <n v="0"/>
    <n v="0"/>
    <n v="2.5000000000000001E-2"/>
    <n v="2.3445499999999999"/>
    <n v="2.5"/>
    <n v="0"/>
    <n v="0"/>
    <n v="5.65"/>
    <n v="0.98792899999999995"/>
    <n v="63.957999999999998"/>
    <n v="0"/>
    <n v="0.32631632653061227"/>
    <x v="117"/>
    <n v="0"/>
    <n v="0"/>
    <n v="0"/>
    <n v="0"/>
    <n v="3.2"/>
    <n v="1.6326530612244899E-2"/>
  </r>
  <r>
    <n v="1411"/>
    <s v="แขวงทางหลวงอุทัยธานี"/>
    <n v="447"/>
    <n v="3183"/>
    <n v="200"/>
    <s v="หนองบัว - อุทัยธานี"/>
    <n v="28460"/>
    <n v="37223"/>
    <n v="8.7629999999999999"/>
    <n v="2"/>
    <s v="R1"/>
    <d v="2015-08-01T00:00:00"/>
    <s v="A.C."/>
    <n v="6.375"/>
    <n v="1.9"/>
    <n v="0.375"/>
    <n v="0.125"/>
    <n v="2.2032500000000002"/>
    <n v="2"/>
    <n v="8.6750000000000007"/>
    <n v="0.1"/>
    <n v="0"/>
    <n v="0"/>
    <n v="4.1918499999999996"/>
    <n v="4"/>
    <n v="0"/>
    <n v="0"/>
    <n v="8.7750000000000004"/>
    <n v="1.1247"/>
    <n v="100"/>
    <n v="0"/>
    <n v="0.32604620074664581"/>
    <x v="117"/>
    <n v="0"/>
    <n v="0"/>
    <n v="0"/>
    <n v="0"/>
    <n v="0"/>
    <n v="0"/>
  </r>
  <r>
    <n v="875"/>
    <s v="แขวงทางหลวงอุบลราชธานีที่ 1"/>
    <n v="631"/>
    <n v="2408"/>
    <n v="100"/>
    <s v="นาคำใหญ่ - โพนเมือง"/>
    <n v="0"/>
    <n v="18395"/>
    <n v="18.395"/>
    <n v="2"/>
    <s v="L1"/>
    <d v="2015-05-15T00:00:00"/>
    <s v="A.C."/>
    <n v="12.85"/>
    <n v="3.95"/>
    <n v="0.77500000000000002"/>
    <n v="0.67500000000000004"/>
    <n v="2.3848799999999999"/>
    <n v="2.5"/>
    <n v="18.125"/>
    <n v="0.1"/>
    <n v="0"/>
    <n v="2.5000000000000001E-2"/>
    <n v="2.2610000000000001"/>
    <n v="2.5"/>
    <n v="0"/>
    <n v="0"/>
    <n v="18.25"/>
    <n v="1.39408"/>
    <n v="209.68"/>
    <n v="0"/>
    <n v="0.32568000000000003"/>
    <x v="117"/>
    <n v="0.6"/>
    <n v="9.3000000000000005E-4"/>
    <n v="0"/>
    <n v="0"/>
    <n v="0"/>
    <n v="0"/>
  </r>
  <r>
    <n v="540"/>
    <s v="แขวงทางหลวงอุตรดิตถ์ที่ 2"/>
    <n v="558"/>
    <n v="1176"/>
    <n v="100"/>
    <s v="ท่าโพธิ์ - บ้านสวน"/>
    <s v="11+347"/>
    <s v="0+000"/>
    <n v="11.347"/>
    <s v="R1"/>
    <n v="2"/>
    <d v="2015-09-25T00:00:00"/>
    <s v="A.C."/>
    <n v="5.8"/>
    <n v="4.45"/>
    <n v="0.77500000000000002"/>
    <n v="0.3"/>
    <n v="2.665"/>
    <n v="2.5"/>
    <n v="11.3"/>
    <n v="2.5000000000000001E-2"/>
    <n v="0"/>
    <n v="0"/>
    <n v="1.9159999999999999"/>
    <n v="2"/>
    <n v="0"/>
    <n v="0"/>
    <n v="11.325000000000001"/>
    <n v="1.163"/>
    <n v="28.69"/>
    <n v="128.31"/>
    <n v="0.32400000000000001"/>
    <x v="117"/>
    <n v="0"/>
    <n v="0"/>
    <n v="0"/>
    <n v="0"/>
    <n v="0"/>
    <n v="0"/>
  </r>
  <r>
    <n v="1193"/>
    <s v="แขวงทางหลวงสิงห์บุรี"/>
    <n v="433"/>
    <n v="3509"/>
    <n v="100"/>
    <s v="ท่าช้าง - สวนกล้วย"/>
    <s v="0+000"/>
    <s v="3+600"/>
    <n v="3.6"/>
    <n v="2"/>
    <s v="L1"/>
    <d v="2015-10-05T00:00:00"/>
    <s v="A.C."/>
    <n v="2.85"/>
    <n v="0.45"/>
    <n v="0.2"/>
    <n v="0.15"/>
    <n v="2.0385599999999999"/>
    <n v="2"/>
    <n v="3.625"/>
    <n v="2.5000000000000001E-2"/>
    <n v="0"/>
    <n v="0"/>
    <n v="2.4460799999999998"/>
    <n v="2.5"/>
    <n v="0"/>
    <n v="0"/>
    <n v="3.6"/>
    <n v="1.26654"/>
    <n v="35.997999999999998"/>
    <n v="9.6479999999999997"/>
    <n v="0.32398412698412693"/>
    <x v="117"/>
    <n v="120.4"/>
    <n v="0.95555555555555571"/>
    <n v="0"/>
    <n v="0"/>
    <n v="0"/>
    <n v="0"/>
  </r>
  <r>
    <n v="959"/>
    <s v="แขวงทางหลวงนครราชสีมาที่ 1"/>
    <n v="611"/>
    <n v="2439"/>
    <n v="100"/>
    <s v="สามแยกยูคา - เทศบาลตำบลพิมาย"/>
    <n v="0"/>
    <n v="1750"/>
    <n v="1.75"/>
    <n v="2"/>
    <s v="L1"/>
    <d v="2015-04-25T00:00:00"/>
    <s v="A.C."/>
    <n v="1.075"/>
    <n v="0.3"/>
    <n v="0.32500000000000001"/>
    <n v="0.1"/>
    <n v="2.5951399999999998"/>
    <n v="2.5"/>
    <n v="1.7749999999999999"/>
    <n v="2.5000000000000001E-2"/>
    <n v="0"/>
    <n v="0"/>
    <n v="4.5803599999999998"/>
    <n v="4.5"/>
    <n v="0"/>
    <n v="0"/>
    <n v="1.75"/>
    <n v="1.0876399999999999"/>
    <n v="0"/>
    <n v="39.65"/>
    <n v="0.3236734693877551"/>
    <x v="117"/>
    <n v="0"/>
    <n v="0"/>
    <n v="1.88"/>
    <n v="3.0693877551020404E-2"/>
    <n v="0"/>
    <n v="0"/>
  </r>
  <r>
    <n v="173"/>
    <s v="แขวงทางหลวงเชียงรายที่ 1"/>
    <n v="533"/>
    <n v="1089"/>
    <n v="100"/>
    <s v="ผาเดื่อ - ห้วยหินฝน"/>
    <s v="0+000"/>
    <s v="11+916"/>
    <n v="11.916"/>
    <n v="2"/>
    <s v="R1"/>
    <d v="2015-07-16T00:00:00"/>
    <s v="A.C."/>
    <n v="4"/>
    <n v="4.88"/>
    <n v="2.1"/>
    <n v="0.94"/>
    <n v="3.085"/>
    <n v="3"/>
    <n v="11.41"/>
    <n v="0.38"/>
    <n v="0.08"/>
    <n v="0.05"/>
    <n v="3.9750000000000001"/>
    <n v="4"/>
    <n v="0.03"/>
    <n v="0.25"/>
    <n v="11.64"/>
    <n v="1.5009999999999999"/>
    <n v="10.86"/>
    <n v="247.92"/>
    <n v="0.32326283987915405"/>
    <x v="117"/>
    <n v="293.66000000000003"/>
    <n v="0.70411931137006667"/>
    <n v="57.84"/>
    <n v="0.13868508128326859"/>
    <n v="1568.8"/>
    <n v="3.7615690787896225"/>
  </r>
  <r>
    <n v="647"/>
    <s v="แขวงทางหลวงขอนแก่นที่ 1"/>
    <n v="621"/>
    <n v="2183"/>
    <n v="102"/>
    <s v="โคกท่า - ท่าหิน"/>
    <n v="23800"/>
    <n v="38737"/>
    <n v="14.173"/>
    <n v="2"/>
    <s v="L1"/>
    <d v="2015-06-17T00:00:00"/>
    <s v="A.C."/>
    <n v="11.175000000000001"/>
    <n v="1.925"/>
    <n v="0.65"/>
    <n v="0.375"/>
    <n v="2.1821199999999998"/>
    <n v="2"/>
    <n v="13.85"/>
    <n v="0.25"/>
    <n v="0"/>
    <n v="2.5000000000000001E-2"/>
    <n v="3.1297899999999998"/>
    <n v="3"/>
    <n v="0"/>
    <n v="0"/>
    <n v="14.125"/>
    <n v="1.0225"/>
    <n v="0"/>
    <n v="315.14999999999998"/>
    <n v="0.32303529146465215"/>
    <x v="117"/>
    <n v="0"/>
    <n v="0"/>
    <n v="0"/>
    <n v="0"/>
    <n v="0"/>
    <n v="0"/>
  </r>
  <r>
    <n v="1319"/>
    <s v="แขวงทางหลวงกาญจนบุรี"/>
    <n v="444"/>
    <n v="3081"/>
    <n v="100"/>
    <s v="ท่าเรือ - พระแท่นดงรัง"/>
    <s v="0+543"/>
    <s v="10+678"/>
    <n v="10.135"/>
    <n v="4"/>
    <s v="L1"/>
    <d v="2015-07-24T00:00:00"/>
    <s v="A.C."/>
    <n v="6.4749999999999996"/>
    <n v="2.5"/>
    <n v="0.9"/>
    <n v="0.32500000000000001"/>
    <n v="2.484"/>
    <n v="2.5"/>
    <n v="8.85"/>
    <n v="1.1499999999999999"/>
    <n v="0.2"/>
    <n v="0"/>
    <n v="5.3040000000000003"/>
    <n v="5.5"/>
    <n v="0"/>
    <n v="0"/>
    <n v="10.199999999999999"/>
    <n v="1.0660000000000001"/>
    <n v="103"/>
    <n v="22"/>
    <n v="0.32137571358094297"/>
    <x v="117"/>
    <n v="0"/>
    <n v="0"/>
    <n v="172"/>
    <n v="0.48488265557826488"/>
    <n v="0"/>
    <n v="0"/>
  </r>
  <r>
    <n v="1320"/>
    <s v="แขวงทางหลวงกาญจนบุรี"/>
    <n v="444"/>
    <n v="3081"/>
    <n v="100"/>
    <s v="ท่าเรือ - พระแท่นดงรัง"/>
    <n v="10678"/>
    <n v="543"/>
    <n v="10.135"/>
    <n v="4"/>
    <s v="R1"/>
    <d v="2015-07-24T00:00:00"/>
    <s v="A.C."/>
    <n v="5.9"/>
    <n v="2.8"/>
    <n v="1.1000000000000001"/>
    <n v="0.375"/>
    <n v="2.7012"/>
    <n v="2.5"/>
    <n v="5.95"/>
    <n v="2.4249999999999998"/>
    <n v="1.175"/>
    <n v="0.625"/>
    <n v="9.6978399999999993"/>
    <n v="9.5"/>
    <n v="0"/>
    <n v="0"/>
    <n v="10.174999999999999"/>
    <n v="0.95061899999999999"/>
    <n v="103"/>
    <n v="22"/>
    <n v="0.32137571358094297"/>
    <x v="117"/>
    <n v="0"/>
    <n v="0"/>
    <n v="172"/>
    <n v="0.48488265557826488"/>
    <n v="0"/>
    <n v="0"/>
  </r>
  <r>
    <n v="1907"/>
    <s v="แขวงทางหลวงสมุทรสงคราม"/>
    <n v="337"/>
    <n v="3237"/>
    <n v="100"/>
    <s v="วัดแก้ว - บ้านไร่"/>
    <n v="6709"/>
    <n v="0"/>
    <n v="6.7089999999999996"/>
    <n v="2"/>
    <s v="R1"/>
    <d v="2015-03-28T00:00:00"/>
    <s v="A.C."/>
    <n v="3.67"/>
    <n v="1.78"/>
    <n v="0.85"/>
    <n v="0.4"/>
    <n v="2.7673399999999999"/>
    <n v="3"/>
    <n v="4.13"/>
    <n v="1.6"/>
    <n v="0.61"/>
    <n v="0.37"/>
    <n v="9.49925"/>
    <n v="9.5"/>
    <n v="0"/>
    <n v="0"/>
    <n v="6.71"/>
    <n v="1.1433"/>
    <n v="73.930000000000007"/>
    <n v="2.9"/>
    <n v="0.32101867427549358"/>
    <x v="117"/>
    <n v="0.15"/>
    <n v="6.388007580435662E-4"/>
    <n v="3.72"/>
    <n v="1.5842258799480445E-2"/>
    <n v="0"/>
    <n v="0"/>
  </r>
  <r>
    <n v="786"/>
    <s v="แขวงทางหลวงยโสธร"/>
    <n v="633"/>
    <n v="292"/>
    <n v="100"/>
    <s v="ทางเลี่ยงเมืองยโสธร"/>
    <n v="8191"/>
    <n v="0"/>
    <n v="8.1910000000000007"/>
    <n v="6"/>
    <s v="R1"/>
    <d v="2015-05-23T00:00:00"/>
    <s v="A.C."/>
    <n v="3.4"/>
    <n v="1.7749999999999999"/>
    <n v="1.6749999999999998"/>
    <n v="1.2749999999999999"/>
    <n v="3.351305"/>
    <n v="3.5"/>
    <n v="6.5"/>
    <n v="1.125"/>
    <n v="0.375"/>
    <n v="0.125"/>
    <n v="7.4956800000000001"/>
    <n v="7.5"/>
    <n v="0"/>
    <n v="0"/>
    <n v="8.125"/>
    <n v="1.1599699999999999"/>
    <n v="92"/>
    <n v="0"/>
    <n v="0.32090970926277973"/>
    <x v="117"/>
    <n v="341"/>
    <n v="1.1894588136805204"/>
    <n v="303"/>
    <n v="1.0569091511589375"/>
    <n v="0"/>
    <n v="0"/>
  </r>
  <r>
    <n v="2082"/>
    <s v="แขวงทางหลวงสุราษฎร์ธานีที่ 3 (เวียงสระ)"/>
    <n v="329"/>
    <n v="4229"/>
    <n v="100"/>
    <s v="ช่องช้าง - นาสาร"/>
    <n v="20640"/>
    <n v="0"/>
    <n v="20.64"/>
    <n v="2"/>
    <s v="R1"/>
    <d v="2015-04-28T00:00:00"/>
    <s v="A.C."/>
    <n v="10.275"/>
    <n v="6.2750000000000004"/>
    <n v="2.6749999999999998"/>
    <n v="1.1499999999999999"/>
    <n v="2.77826"/>
    <n v="3"/>
    <n v="19.225000000000001"/>
    <n v="0.97499999999999998"/>
    <n v="0.15"/>
    <n v="2.5000000000000001E-2"/>
    <n v="3.9685299999999999"/>
    <n v="4"/>
    <n v="0"/>
    <n v="0"/>
    <n v="20.375"/>
    <n v="1.1617299999999999"/>
    <n v="138.26"/>
    <n v="186.75"/>
    <n v="0.32064645625692129"/>
    <x v="117"/>
    <n v="94.38"/>
    <n v="0.13064784053156142"/>
    <n v="0"/>
    <n v="0"/>
    <n v="0"/>
    <n v="0"/>
  </r>
  <r>
    <n v="1233"/>
    <s v="แขวงทางหลวงนครสวรรค์ที่ 1"/>
    <n v="437"/>
    <n v="3004"/>
    <n v="100"/>
    <s v="แยกจิรประวัติ - พระนอน"/>
    <s v="0+000"/>
    <s v="13+298"/>
    <n v="13.298"/>
    <n v="2"/>
    <s v="L1"/>
    <d v="2015-10-05T00:00:00"/>
    <s v="A.C."/>
    <n v="6.6749999999999998"/>
    <n v="4.5250000000000004"/>
    <n v="1.65"/>
    <n v="0.5"/>
    <n v="2.7881300000000002"/>
    <n v="3"/>
    <n v="12.95"/>
    <n v="0.32500000000000001"/>
    <n v="7.4999999999999997E-2"/>
    <n v="0"/>
    <n v="4.6069300000000002"/>
    <n v="4.5"/>
    <n v="0"/>
    <n v="0"/>
    <n v="13.298"/>
    <n v="1.31938"/>
    <n v="145.32"/>
    <n v="7.69"/>
    <n v="0.32048858045248479"/>
    <x v="117"/>
    <n v="125.3"/>
    <n v="0.2692134155512107"/>
    <n v="0"/>
    <n v="0"/>
    <n v="1"/>
    <n v="0"/>
  </r>
  <r>
    <n v="1169"/>
    <s v="แขวงทางหลวงสิงห์บุรี"/>
    <n v="433"/>
    <n v="309"/>
    <n v="301"/>
    <s v="ไชโย - ทางแยกวัดสว่างอารมณ์"/>
    <s v="93+300"/>
    <s v="73+943"/>
    <n v="19.356999999999999"/>
    <n v="2"/>
    <s v="R1"/>
    <d v="2015-10-05T00:00:00"/>
    <s v="A.C."/>
    <n v="15.55"/>
    <n v="2.7"/>
    <n v="0.95"/>
    <n v="0.17499999999999999"/>
    <n v="1.9903900000000001"/>
    <n v="2"/>
    <n v="19.175000000000001"/>
    <n v="0.17499999999999999"/>
    <n v="2.5000000000000001E-2"/>
    <n v="0"/>
    <n v="2.8196300000000001"/>
    <n v="3"/>
    <n v="0"/>
    <n v="0"/>
    <n v="19.356999999999999"/>
    <n v="1.2433700000000001"/>
    <n v="215.68"/>
    <n v="1.3"/>
    <n v="0.31930862958398215"/>
    <x v="117"/>
    <n v="142.36000000000001"/>
    <n v="0.21012701200746872"/>
    <n v="3.1139999999999999"/>
    <n v="4.596343884456712E-3"/>
    <n v="0"/>
    <n v="4.596343884456712E-3"/>
  </r>
  <r>
    <n v="564"/>
    <s v="แขวงทางหลวงเพชรบูรณ์ที่ 1"/>
    <n v="551"/>
    <n v="2302"/>
    <n v="102"/>
    <s v="แก้วงอย - บุ่งน้ำเต้า"/>
    <n v="3320"/>
    <n v="21850"/>
    <n v="18.649999999999999"/>
    <n v="2"/>
    <s v="L1"/>
    <d v="2015-08-08T00:00:00"/>
    <s v="A.C."/>
    <n v="7.38"/>
    <n v="5.63"/>
    <n v="3.54"/>
    <n v="2.11"/>
    <n v="2.2200000000000002"/>
    <n v="2"/>
    <n v="17.43"/>
    <n v="1.1100000000000001"/>
    <n v="0.08"/>
    <n v="0.05"/>
    <n v="5.2960000000000003"/>
    <n v="5.5"/>
    <n v="0"/>
    <n v="0"/>
    <n v="18.669999999999998"/>
    <n v="1.4570000000000001"/>
    <n v="205.89"/>
    <n v="4.17"/>
    <n v="0.31861355802374569"/>
    <x v="117"/>
    <n v="0"/>
    <n v="0"/>
    <n v="0"/>
    <n v="0"/>
    <n v="5.1999999999999993"/>
    <n v="7.9662964381463051E-3"/>
  </r>
  <r>
    <n v="1532"/>
    <s v="แขวงทางหลวงนครนายก"/>
    <n v="414"/>
    <n v="3051"/>
    <n v="101"/>
    <s v="บ้านนา-บางอ้อ"/>
    <n v="5881"/>
    <n v="0"/>
    <n v="5.8810000000000002"/>
    <n v="4"/>
    <s v="R1"/>
    <d v="2015-09-19T00:00:00"/>
    <s v="A.C."/>
    <n v="3.55"/>
    <n v="1.575"/>
    <n v="0.42499999999999999"/>
    <n v="0.35"/>
    <n v="2.6059999999999999"/>
    <n v="2.5"/>
    <n v="4.5250000000000004"/>
    <n v="1"/>
    <n v="0.375"/>
    <n v="0"/>
    <n v="8.2479999999999993"/>
    <n v="8"/>
    <n v="0"/>
    <n v="0"/>
    <n v="5.8810000000000002"/>
    <n v="0.96199999999999997"/>
    <n v="59"/>
    <n v="13.11"/>
    <n v="0.31848325114776399"/>
    <x v="117"/>
    <n v="1476"/>
    <n v="7.1707921393349041"/>
    <n v="145.13"/>
    <n v="0.70507931109869548"/>
    <n v="59"/>
    <n v="0.28663735516311611"/>
  </r>
  <r>
    <n v="2026"/>
    <s v="แขวงทางหลวงสุราษฎร์ธานี ที่ 1 (พุนพิน)"/>
    <n v="325"/>
    <n v="4313"/>
    <n v="100"/>
    <s v="ทางเข้าวัดมะปริง"/>
    <n v="0"/>
    <n v="1176"/>
    <n v="1.1759999999999999"/>
    <n v="2"/>
    <s v="L1"/>
    <d v="2015-04-26T00:00:00"/>
    <s v="A.C."/>
    <n v="0.5"/>
    <n v="0.43"/>
    <n v="0.22"/>
    <n v="0.03"/>
    <n v="2.98868"/>
    <n v="3"/>
    <n v="1.1100000000000001"/>
    <n v="0.06"/>
    <n v="0"/>
    <n v="0"/>
    <n v="5.3591800000000003"/>
    <n v="5.5"/>
    <n v="0"/>
    <n v="0"/>
    <n v="1.18"/>
    <n v="1.1421300000000001"/>
    <n v="4.62"/>
    <n v="16.91"/>
    <n v="0.31766277939747328"/>
    <x v="117"/>
    <n v="1.28"/>
    <n v="3.1098153547133137E-2"/>
    <n v="0"/>
    <n v="0"/>
    <n v="2.11"/>
    <n v="5.1263362487852279E-2"/>
  </r>
  <r>
    <n v="2104"/>
    <s v="แขวงทางหลวงกระบี่"/>
    <n v="323"/>
    <n v="4345"/>
    <n v="100"/>
    <s v="ควนกุน - หนองชุมแสง"/>
    <n v="19204"/>
    <n v="0"/>
    <n v="19.204000000000001"/>
    <n v="2"/>
    <s v="R1"/>
    <d v="2015-04-09T00:00:00"/>
    <s v="A.C."/>
    <n v="6"/>
    <n v="6.39"/>
    <n v="3.7"/>
    <n v="3.11"/>
    <n v="3.5949"/>
    <n v="3.5"/>
    <n v="17.079999999999998"/>
    <n v="1.31"/>
    <n v="0.51"/>
    <n v="0.3"/>
    <n v="5.8913900000000003"/>
    <n v="6"/>
    <n v="0"/>
    <n v="0"/>
    <n v="19.2"/>
    <n v="1.89802"/>
    <n v="201"/>
    <n v="22"/>
    <n v="0.31541047995953225"/>
    <x v="117"/>
    <n v="1977"/>
    <n v="2.9413515041509211"/>
    <n v="828"/>
    <n v="1.4577079830638275"/>
    <n v="25"/>
    <n v="3.7194632070699556E-2"/>
  </r>
  <r>
    <n v="1116"/>
    <s v="แขวงทางหลวงลพบุรีที่ 1"/>
    <n v="431"/>
    <n v="3024"/>
    <n v="100"/>
    <s v="บ้านหมี่ - เขาช่องลม"/>
    <s v="14+120"/>
    <s v="5+402"/>
    <n v="8.718"/>
    <n v="2"/>
    <s v="R1"/>
    <d v="2015-10-05T00:00:00"/>
    <s v="A.C."/>
    <n v="7.7"/>
    <n v="3.5750000000000002"/>
    <n v="2.0249999999999999"/>
    <n v="1.1000000000000001"/>
    <n v="2.77135"/>
    <n v="3"/>
    <n v="13.425000000000001"/>
    <n v="0.6"/>
    <n v="0.3"/>
    <n v="7.4999999999999997E-2"/>
    <n v="3.41736"/>
    <n v="3.5"/>
    <n v="0"/>
    <n v="0"/>
    <n v="8.718"/>
    <n v="1.2704899999999999"/>
    <n v="95.78"/>
    <n v="0.33200000000000002"/>
    <n v="0.31444302428473114"/>
    <x v="117"/>
    <n v="97.68"/>
    <n v="0.32012584799921351"/>
    <n v="0"/>
    <n v="0"/>
    <n v="0"/>
    <n v="0"/>
  </r>
  <r>
    <n v="322"/>
    <s v="แขวงทางหลวงนครพนม"/>
    <n v="644"/>
    <n v="2346"/>
    <n v="200"/>
    <s v="นาหว้า - ดงขวาง"/>
    <n v="26100"/>
    <n v="46696"/>
    <n v="20.596"/>
    <n v="2"/>
    <s v="L1"/>
    <d v="2015-06-04T00:00:00"/>
    <s v="A.C."/>
    <n v="15.52"/>
    <n v="2.85"/>
    <n v="1.18"/>
    <n v="1.05"/>
    <n v="3.1709100000000001"/>
    <n v="3"/>
    <n v="20.170000000000002"/>
    <n v="0.33"/>
    <n v="0.08"/>
    <n v="0.03"/>
    <n v="4.4179500000000003"/>
    <n v="4.5"/>
    <n v="0"/>
    <n v="0"/>
    <n v="20.6"/>
    <n v="1.21865"/>
    <n v="218"/>
    <n v="17"/>
    <n v="0.31420999999999999"/>
    <x v="117"/>
    <n v="0"/>
    <n v="0"/>
    <n v="38"/>
    <n v="5.2714999999999998E-2"/>
    <n v="0"/>
    <n v="0"/>
  </r>
  <r>
    <n v="431"/>
    <s v="แขวงทางหลวงสุโขทัย"/>
    <n v="513"/>
    <n v="1056"/>
    <n v="102"/>
    <s v="ดอนโก - เขาดิน"/>
    <s v="20+000"/>
    <s v="29+633"/>
    <n v="9.6329999999999991"/>
    <s v="L1"/>
    <n v="2"/>
    <d v="2015-09-17T00:00:00"/>
    <s v="A.C."/>
    <n v="5.03"/>
    <n v="1.84"/>
    <n v="1.82"/>
    <n v="0.95"/>
    <n v="2.89581"/>
    <n v="3"/>
    <n v="9.61"/>
    <n v="0.02"/>
    <n v="0"/>
    <n v="0"/>
    <n v="2.4300600000000001"/>
    <n v="2.5"/>
    <n v="0"/>
    <n v="0"/>
    <n v="9.6300000000000008"/>
    <n v="1.1954800000000001"/>
    <n v="99.25"/>
    <n v="13.2"/>
    <n v="0.31395055686553663"/>
    <x v="117"/>
    <n v="153.25"/>
    <n v="0.45453871364802539"/>
    <n v="0"/>
    <n v="0"/>
    <n v="0"/>
    <n v="0"/>
  </r>
  <r>
    <n v="1927"/>
    <s v="แขวงทางหลวงเพชรบุรี"/>
    <n v="338"/>
    <n v="3204"/>
    <n v="100"/>
    <s v="เขาตะเครา - หนองแก"/>
    <n v="0"/>
    <n v="11760"/>
    <n v="11.76"/>
    <n v="2"/>
    <s v="L1"/>
    <d v="2015-04-03T00:00:00"/>
    <s v="A.C."/>
    <n v="8.2899999999999991"/>
    <n v="2.2599999999999998"/>
    <n v="0.88"/>
    <n v="0.33"/>
    <n v="2.2763499999999999"/>
    <n v="2.5"/>
    <n v="11.48"/>
    <n v="0.28000000000000003"/>
    <n v="0"/>
    <n v="0"/>
    <n v="2.93323"/>
    <n v="3"/>
    <n v="0"/>
    <n v="0"/>
    <n v="11.76"/>
    <n v="1.39358"/>
    <n v="122"/>
    <n v="14.21"/>
    <n v="0.3136661807580175"/>
    <x v="117"/>
    <n v="0"/>
    <n v="0"/>
    <n v="0"/>
    <n v="0"/>
    <n v="0"/>
    <n v="0"/>
  </r>
  <r>
    <n v="823"/>
    <s v="แขวงทางหลวงกาฬสินธุ์"/>
    <n v="647"/>
    <n v="2116"/>
    <n v="100"/>
    <s v="สี่แยกยางตลาด - ร่องคำ"/>
    <n v="0"/>
    <n v="46900"/>
    <n v="46.9"/>
    <n v="2"/>
    <s v="L1"/>
    <d v="2015-05-29T00:00:00"/>
    <s v="A.C."/>
    <n v="31.15"/>
    <n v="10.125"/>
    <n v="4.25"/>
    <n v="1.325"/>
    <n v="3.1920000000000002"/>
    <n v="3"/>
    <n v="32.800000000000004"/>
    <n v="9.6750000000000007"/>
    <n v="3.375"/>
    <n v="1"/>
    <n v="8.0109999999999992"/>
    <n v="8"/>
    <n v="0"/>
    <n v="0"/>
    <n v="46.85"/>
    <n v="1.1609"/>
    <n v="496"/>
    <n v="37"/>
    <n v="0.31343283582089554"/>
    <x v="117"/>
    <n v="46"/>
    <n v="2.8023149558330792E-2"/>
    <n v="436"/>
    <n v="0.26561072190070056"/>
    <n v="0"/>
    <n v="0"/>
  </r>
  <r>
    <n v="179"/>
    <s v="แขวงทางหลวงเชียงรายที่ 1"/>
    <n v="533"/>
    <n v="1209"/>
    <n v="100"/>
    <s v="บ้านเด่น - ท่าข้าวเปลือก"/>
    <s v="0+000"/>
    <s v="29+322"/>
    <n v="29.321999999999999"/>
    <n v="2"/>
    <s v="R1"/>
    <d v="2015-07-17T00:00:00"/>
    <s v="A.C."/>
    <n v="21.19"/>
    <n v="4.29"/>
    <n v="1.9"/>
    <n v="1.95"/>
    <n v="2.52"/>
    <n v="2.5"/>
    <n v="27.33"/>
    <n v="1.59"/>
    <n v="0.25"/>
    <n v="0.15"/>
    <n v="4.7930000000000001"/>
    <n v="5"/>
    <n v="0"/>
    <n v="0"/>
    <n v="29.32"/>
    <n v="1.1859999999999999"/>
    <n v="188.52"/>
    <n v="265.41000000000003"/>
    <n v="0.31300242626209479"/>
    <x v="117"/>
    <n v="0"/>
    <n v="0"/>
    <n v="0"/>
    <n v="0"/>
    <n v="0"/>
    <n v="0"/>
  </r>
  <r>
    <n v="863"/>
    <s v="แขวงทางหลวงสุรินทร์"/>
    <n v="615"/>
    <n v="2397"/>
    <n v="100"/>
    <s v="นิคมสร้างตนเองปราสาท - ช้างหมอบพัฒนา"/>
    <n v="0"/>
    <n v="18467"/>
    <n v="18.466999999999999"/>
    <n v="2"/>
    <s v="L1"/>
    <d v="2015-05-11T00:00:00"/>
    <s v="A.C."/>
    <n v="11.25"/>
    <n v="5.25"/>
    <n v="1.5"/>
    <n v="0.47499999999999998"/>
    <n v="3.1359699999999999"/>
    <n v="3"/>
    <n v="17.899999999999999"/>
    <n v="0.3"/>
    <n v="0.22500000000000001"/>
    <n v="0.05"/>
    <n v="3.7912400000000002"/>
    <n v="4"/>
    <n v="0"/>
    <n v="0"/>
    <n v="18.475000000000001"/>
    <n v="1.2844500000000001"/>
    <n v="104.56"/>
    <n v="195.12"/>
    <n v="0.31270999999999999"/>
    <x v="117"/>
    <n v="269.25"/>
    <n v="0.41657"/>
    <n v="55.01"/>
    <n v="8.5109000000000004E-2"/>
    <n v="35.549999999999997"/>
    <n v="5.5E-2"/>
  </r>
  <r>
    <n v="617"/>
    <s v="แขวงทางหลวงเลยที่ 2 (ด่านซ้าย)"/>
    <n v="555"/>
    <n v="2013"/>
    <n v="200"/>
    <s v="บ่อโพธิ์ - โคกงาม"/>
    <n v="62782"/>
    <n v="90071"/>
    <n v="27.289000000000001"/>
    <n v="2"/>
    <s v="L1"/>
    <d v="2015-07-02T00:00:00"/>
    <s v="A.C."/>
    <n v="17.600000000000001"/>
    <n v="5.3"/>
    <n v="2.875"/>
    <n v="1.85"/>
    <n v="2.6539999999999999"/>
    <n v="2.5"/>
    <n v="26.625"/>
    <n v="0.85"/>
    <n v="0.1"/>
    <n v="0.05"/>
    <n v="3.7029999999999998"/>
    <n v="3.5"/>
    <n v="0"/>
    <n v="0.05"/>
    <n v="27.625000000000004"/>
    <n v="1.1120000000000001"/>
    <n v="247"/>
    <n v="103.29"/>
    <n v="0.31267962496662699"/>
    <x v="117"/>
    <n v="0"/>
    <n v="0"/>
    <n v="1183"/>
    <n v="1.238594305397779"/>
    <n v="0"/>
    <n v="0"/>
  </r>
  <r>
    <n v="1211"/>
    <s v="แขวงทางหลวงลพบุรีที่ 2 (ลำนารายณ์)"/>
    <n v="435"/>
    <n v="2272"/>
    <n v="100"/>
    <s v="หนองยายโต๊ะ - แยกท่ามะนาว"/>
    <s v="0+000"/>
    <s v="13+532"/>
    <n v="13.532"/>
    <n v="2"/>
    <s v="L1"/>
    <d v="2015-10-05T00:00:00"/>
    <s v="A.C."/>
    <n v="6.125"/>
    <n v="3.6"/>
    <n v="2.2749999999999999"/>
    <n v="1.5"/>
    <n v="3.2920699999999998"/>
    <n v="3.5"/>
    <n v="10.7"/>
    <n v="2.1"/>
    <n v="0.625"/>
    <n v="7.4999999999999997E-2"/>
    <n v="6.74057"/>
    <n v="6.5"/>
    <n v="0"/>
    <n v="0"/>
    <n v="13.532"/>
    <n v="1.18614"/>
    <n v="143.65"/>
    <n v="8.65"/>
    <n v="0.31243401883366412"/>
    <x v="117"/>
    <n v="132.68"/>
    <n v="0.28014"/>
    <n v="86.31"/>
    <n v="0.18223500000000001"/>
    <n v="0"/>
    <n v="0"/>
  </r>
  <r>
    <n v="2036"/>
    <s v="แขวงทางหลวงนครศรีธรรมราชที่ 2 (ทุ่งสง)"/>
    <n v="326"/>
    <n v="4110"/>
    <n v="101"/>
    <s v="ทุ่งสง - ทุ่งใหญ่"/>
    <s v="0+000"/>
    <s v="47+731"/>
    <n v="47.731000000000002"/>
    <n v="2"/>
    <s v="L1"/>
    <d v="2015-05-01T00:00:00"/>
    <s v="A.C."/>
    <n v="15.175000000000001"/>
    <n v="3.9249999999999998"/>
    <n v="0.77500000000000002"/>
    <n v="0.35"/>
    <n v="2.2227700000000001"/>
    <n v="2"/>
    <n v="16.824999999999999"/>
    <n v="2"/>
    <n v="1"/>
    <n v="0.4"/>
    <n v="5.6563699999999999"/>
    <n v="5.5"/>
    <n v="0"/>
    <n v="0"/>
    <n v="20.225000000000001"/>
    <n v="1.0177400000000001"/>
    <n v="50.41"/>
    <n v="942.37"/>
    <n v="0.31222296381207781"/>
    <x v="117"/>
    <n v="3"/>
    <n v="1.7668676969468528E-3"/>
    <n v="10"/>
    <n v="5.8895589898228422E-3"/>
    <n v="0"/>
    <n v="0"/>
  </r>
  <r>
    <n v="953"/>
    <s v="แขวงทางหลวงนครราชสีมาที่ 1"/>
    <n v="611"/>
    <n v="2246"/>
    <n v="202"/>
    <s v="โคกสี - ตะโก"/>
    <n v="39877"/>
    <n v="66651"/>
    <n v="26.774000000000001"/>
    <n v="2"/>
    <s v="L1"/>
    <d v="2015-04-24T00:00:00"/>
    <s v="A.C."/>
    <n v="13.375"/>
    <n v="7.65"/>
    <n v="2.9750000000000001"/>
    <n v="2.5750000000000002"/>
    <n v="2.7757999999999998"/>
    <n v="3"/>
    <n v="20.25"/>
    <n v="5.2750000000000004"/>
    <n v="0.95"/>
    <n v="0.1"/>
    <n v="6.5835900000000001"/>
    <n v="6.5"/>
    <n v="0"/>
    <n v="0"/>
    <n v="26.774000000000001"/>
    <n v="1.4149700000000001"/>
    <n v="292.05"/>
    <n v="0"/>
    <n v="0.31165629768752201"/>
    <x v="117"/>
    <n v="0"/>
    <n v="0"/>
    <n v="0"/>
    <n v="0"/>
    <n v="0"/>
    <n v="0"/>
  </r>
  <r>
    <n v="626"/>
    <s v="แขวงทางหลวงเลยที่ 2 (ด่านซ้าย)"/>
    <n v="555"/>
    <n v="2399"/>
    <n v="101"/>
    <s v="สานตม - โคกใหญ่"/>
    <n v="0"/>
    <n v="16909"/>
    <n v="16.908999999999999"/>
    <n v="2"/>
    <s v="L1"/>
    <d v="2015-07-03T00:00:00"/>
    <s v="A.C."/>
    <n v="6.5"/>
    <n v="5.45"/>
    <n v="3.15"/>
    <n v="1.7749999999999999"/>
    <n v="3.23671"/>
    <n v="3"/>
    <n v="16.475000000000001"/>
    <n v="0.35"/>
    <n v="2.5000000000000001E-2"/>
    <n v="2.5000000000000001E-2"/>
    <n v="2.6511900000000002"/>
    <n v="2.5"/>
    <n v="0"/>
    <n v="0"/>
    <n v="16.875"/>
    <n v="1.1974899999999999"/>
    <n v="177"/>
    <n v="14.64"/>
    <n v="0.31144867906355872"/>
    <x v="117"/>
    <n v="0"/>
    <n v="0"/>
    <n v="194"/>
    <n v="0.3278051418095182"/>
    <n v="0"/>
    <n v="0"/>
  </r>
  <r>
    <n v="1971"/>
    <s v="แขวงทางหลวงตรัง"/>
    <n v="322"/>
    <n v="403"/>
    <n v="301"/>
    <s v="กะปาง - ห้วยนาง"/>
    <n v="82997"/>
    <n v="67076"/>
    <n v="15.920999999999999"/>
    <n v="4"/>
    <s v="R2"/>
    <d v="2015-05-02T00:00:00"/>
    <s v="A.C."/>
    <n v="10.975"/>
    <n v="3.1"/>
    <n v="1.05"/>
    <n v="0.7"/>
    <n v="2.44381"/>
    <n v="2.5"/>
    <n v="12.525"/>
    <n v="2.85"/>
    <n v="0.375"/>
    <n v="7.4999999999999997E-2"/>
    <n v="7.2579000000000002"/>
    <n v="7.5"/>
    <n v="0"/>
    <n v="0"/>
    <n v="15.824999999999999"/>
    <n v="1.14018"/>
    <n v="172.76"/>
    <n v="0"/>
    <n v="0.31003077696124615"/>
    <x v="117"/>
    <n v="87.31"/>
    <n v="0.15668434323041447"/>
    <n v="162.88"/>
    <n v="0.29230037596346242"/>
    <n v="0"/>
    <n v="0"/>
  </r>
  <r>
    <n v="102"/>
    <s v="แขวงทางหลวงแม่ฮ่องสอน"/>
    <n v="526"/>
    <n v="1395"/>
    <n v="100"/>
    <s v="ทางเข้าปาย"/>
    <s v="0+000"/>
    <s v="1+625"/>
    <n v="1.625"/>
    <n v="2"/>
    <s v="L1"/>
    <d v="2015-08-27T00:00:00"/>
    <s v="A.C."/>
    <n v="0.08"/>
    <n v="0.69"/>
    <n v="0.69"/>
    <n v="0.16"/>
    <n v="3.8367200000000001"/>
    <n v="4"/>
    <n v="1.63"/>
    <n v="0"/>
    <n v="0"/>
    <n v="0"/>
    <n v="3.0580699999999998"/>
    <n v="3"/>
    <n v="0"/>
    <n v="0"/>
    <n v="1.63"/>
    <n v="1.25905"/>
    <n v="14.3"/>
    <n v="6.3250000000000002"/>
    <n v="0.30703296703296706"/>
    <x v="117"/>
    <n v="0"/>
    <n v="0"/>
    <n v="0"/>
    <n v="0"/>
    <n v="1.32"/>
    <n v="2.3208791208791209E-2"/>
  </r>
  <r>
    <n v="561"/>
    <s v="แขวงทางหลวงเพชรบูรณ์ที่ 1"/>
    <n v="551"/>
    <n v="2275"/>
    <n v="302"/>
    <s v="บ้านกลาง - น้ำดุก"/>
    <n v="177738"/>
    <n v="194778"/>
    <n v="17.04"/>
    <n v="2"/>
    <s v="L2"/>
    <d v="2015-08-07T00:00:00"/>
    <s v="A.C."/>
    <n v="11.72"/>
    <n v="3.74"/>
    <n v="1.1200000000000001"/>
    <n v="0.47"/>
    <n v="2.5026000000000002"/>
    <n v="2.5"/>
    <n v="16.77"/>
    <n v="0.27"/>
    <n v="0"/>
    <n v="0"/>
    <n v="4.2629999999999999"/>
    <n v="4.5"/>
    <n v="0"/>
    <n v="0"/>
    <n v="17.04"/>
    <n v="1.0189999999999999"/>
    <n v="0"/>
    <n v="360.93"/>
    <n v="0.30259054325955737"/>
    <x v="117"/>
    <n v="22"/>
    <n v="3.6887994634473509E-2"/>
    <n v="0"/>
    <n v="0"/>
    <n v="642"/>
    <n v="1.0764587525150906"/>
  </r>
  <r>
    <n v="1720"/>
    <s v="แขวงทางหลวงชลบุรีที่ 1"/>
    <n v="422"/>
    <n v="3289"/>
    <n v="100"/>
    <s v="หนองชาก - เนินโมก"/>
    <n v="0"/>
    <n v="8732"/>
    <n v="8.7319999999999993"/>
    <n v="2"/>
    <s v="L1"/>
    <d v="2015-08-13T00:00:00"/>
    <s v="A.C."/>
    <n v="1.3"/>
    <n v="1.87"/>
    <n v="2.38"/>
    <n v="3.18"/>
    <n v="2.92116"/>
    <n v="3"/>
    <n v="7.41"/>
    <n v="0.98"/>
    <n v="0.23"/>
    <n v="0.13"/>
    <n v="6.9689399999999999"/>
    <n v="7"/>
    <n v="0"/>
    <n v="0"/>
    <n v="8.7319999999999993"/>
    <n v="1.02633"/>
    <n v="89.8"/>
    <n v="5.13"/>
    <n v="0.30221999999999999"/>
    <x v="117"/>
    <n v="0"/>
    <n v="0"/>
    <n v="0"/>
    <n v="0"/>
    <n v="0"/>
    <n v="0"/>
  </r>
  <r>
    <n v="1152"/>
    <s v="แขวงทางหลวงสระบุรี"/>
    <n v="432"/>
    <n v="3048"/>
    <n v="100"/>
    <s v="ห้วยบง - ท่าลาน"/>
    <s v="0+000"/>
    <s v="13+059"/>
    <n v="13.058999999999999"/>
    <n v="4"/>
    <s v="L1"/>
    <d v="2015-10-05T00:00:00"/>
    <s v="A.C."/>
    <n v="9.875"/>
    <n v="2.4750000000000001"/>
    <n v="0.57499999999999996"/>
    <n v="0.35"/>
    <n v="2.2399399999999998"/>
    <n v="2"/>
    <n v="11.324999999999999"/>
    <n v="1.125"/>
    <n v="0.45"/>
    <n v="0.375"/>
    <n v="6.0753399999999997"/>
    <n v="6"/>
    <n v="0"/>
    <n v="0"/>
    <n v="13.274999999999999"/>
    <n v="1.47986"/>
    <n v="135.97999999999999"/>
    <n v="4.0999999999999996"/>
    <n v="0.30199199999999998"/>
    <x v="117"/>
    <n v="89.65"/>
    <n v="0.19614300000000001"/>
    <n v="0"/>
    <n v="0"/>
    <n v="0"/>
    <n v="0"/>
  </r>
  <r>
    <n v="523"/>
    <s v="แขวงทางหลวงอุตรดิตถ์ที่ 1"/>
    <n v="557"/>
    <n v="1214"/>
    <n v="101"/>
    <s v="บ้านแก่ง - น้ำอ่าง"/>
    <s v="12+682"/>
    <s v="0+000"/>
    <n v="12.682"/>
    <s v="R2"/>
    <n v="2"/>
    <d v="2015-09-23T00:00:00"/>
    <s v="A.C."/>
    <n v="8.3000000000000007"/>
    <n v="3.3"/>
    <n v="0.67500000000000004"/>
    <n v="0.08"/>
    <n v="2.3424700000000001"/>
    <n v="2.5"/>
    <n v="12.2"/>
    <n v="0.1162"/>
    <n v="0.05"/>
    <n v="0"/>
    <n v="3.06433"/>
    <n v="3"/>
    <n v="0"/>
    <n v="0"/>
    <n v="12.355000000000002"/>
    <n v="1.0858399999999999"/>
    <n v="118.24"/>
    <n v="25.158000000000001"/>
    <n v="0.30191299999999999"/>
    <x v="117"/>
    <n v="96.74"/>
    <n v="0.22326299999999999"/>
    <n v="0.45"/>
    <n v="1.039E-3"/>
    <n v="0"/>
    <n v="0"/>
  </r>
  <r>
    <n v="1483"/>
    <s v="แขวงทางหลวงกรุงเทพ"/>
    <n v="411"/>
    <n v="3701"/>
    <n v="100"/>
    <s v="ถนนศรีนครินทร์ - ลาดกระบัง"/>
    <s v="0+312"/>
    <s v="5+785"/>
    <n v="5.4729999999999999"/>
    <n v="2"/>
    <s v="L1"/>
    <d v="2015-09-01T00:00:00"/>
    <s v="A.C."/>
    <n v="2.4"/>
    <n v="1.3"/>
    <n v="1"/>
    <n v="0.7"/>
    <n v="3.1909999999999998"/>
    <n v="3"/>
    <n v="4.55"/>
    <n v="0.77500000000000002"/>
    <n v="7.4999999999999997E-2"/>
    <n v="0"/>
    <n v="6.1120000000000001"/>
    <n v="6"/>
    <n v="0"/>
    <n v="0"/>
    <n v="5.4"/>
    <n v="1.1499999999999999"/>
    <n v="36"/>
    <n v="43.66"/>
    <n v="0.30189762731330427"/>
    <x v="117"/>
    <n v="9689"/>
    <n v="50.580773146093819"/>
    <n v="517.75"/>
    <n v="2.7028790686747928"/>
    <n v="4"/>
    <n v="2.0881731095507818E-2"/>
  </r>
  <r>
    <n v="1138"/>
    <s v="แขวงทางหลวงสระบุรี"/>
    <n v="432"/>
    <n v="2089"/>
    <n v="100"/>
    <s v="มวกเหล็ก - แสลงพัน"/>
    <s v="16+000"/>
    <s v="0+675"/>
    <n v="15.324999999999999"/>
    <n v="2"/>
    <s v="R1"/>
    <d v="2015-10-05T00:00:00"/>
    <s v="A.C."/>
    <n v="10.25"/>
    <n v="3.4"/>
    <n v="1.35"/>
    <n v="0.67500000000000004"/>
    <n v="2.5606900000000001"/>
    <n v="2.5"/>
    <n v="14.824999999999999"/>
    <n v="0.8"/>
    <n v="0.05"/>
    <n v="0"/>
    <n v="5.0292500000000002"/>
    <n v="5"/>
    <n v="0"/>
    <n v="0"/>
    <n v="15.675000000000001"/>
    <n v="1.7336100000000001"/>
    <n v="158.6"/>
    <n v="6.3"/>
    <n v="0.30156100000000002"/>
    <x v="117"/>
    <n v="96.325000000000003"/>
    <n v="0.17958499999999999"/>
    <n v="1.68"/>
    <n v="3.1319999999999998E-3"/>
    <n v="0"/>
    <n v="0"/>
  </r>
  <r>
    <n v="712"/>
    <s v="แขวงทางหลวงชัยภูมิ"/>
    <n v="626"/>
    <n v="2359"/>
    <n v="101"/>
    <s v="หนองบัวแดง - บ้านเจียง"/>
    <n v="41628"/>
    <n v="0"/>
    <n v="41.628"/>
    <n v="2"/>
    <s v="R1"/>
    <d v="2015-06-19T00:00:00"/>
    <s v="A.C."/>
    <n v="19.975000000000001"/>
    <n v="13.275"/>
    <n v="5.4749999999999996"/>
    <n v="2.6"/>
    <n v="2.87921"/>
    <n v="3"/>
    <n v="38.75"/>
    <n v="1.825"/>
    <n v="0.52500000000000002"/>
    <n v="0.22500000000000001"/>
    <n v="4.6279700000000004"/>
    <n v="4.5"/>
    <n v="0"/>
    <n v="0"/>
    <n v="41.325000000000003"/>
    <n v="1.1413599999999999"/>
    <n v="434.93"/>
    <n v="7.12"/>
    <n v="0.30095814630262602"/>
    <x v="117"/>
    <n v="0"/>
    <n v="0"/>
    <n v="329.03"/>
    <n v="0.22583014180016198"/>
    <n v="0"/>
    <n v="0"/>
  </r>
  <r>
    <n v="760"/>
    <s v="แขวงทางหลวงชัยภูมิ"/>
    <n v="626"/>
    <n v="2359"/>
    <n v="101"/>
    <s v="หนองบัวแดง - บ้านเจียง"/>
    <n v="41628"/>
    <n v="0"/>
    <n v="41.628"/>
    <n v="2"/>
    <s v="R1"/>
    <d v="2015-06-19T00:00:00"/>
    <s v="A.C."/>
    <n v="19.975000000000001"/>
    <n v="13.275"/>
    <n v="5.4749999999999996"/>
    <n v="2.6"/>
    <n v="2.87921"/>
    <n v="3"/>
    <n v="38.75"/>
    <n v="1.825"/>
    <n v="0.52500000000000002"/>
    <n v="0.22500000000000001"/>
    <n v="4.6279700000000004"/>
    <n v="4.5"/>
    <n v="0"/>
    <n v="0"/>
    <n v="41.325000000000003"/>
    <n v="1.1413599999999999"/>
    <n v="434.93"/>
    <n v="7.12"/>
    <n v="0.30095814630262602"/>
    <x v="117"/>
    <n v="0"/>
    <n v="0"/>
    <n v="329.03"/>
    <n v="0.22583014180016198"/>
    <n v="0"/>
    <n v="0"/>
  </r>
  <r>
    <n v="415"/>
    <s v="แขวงทางหลวงสุโขทัย"/>
    <n v="513"/>
    <n v="101"/>
    <n v="301"/>
    <s v="คุยประดู่ - คลองโพธิ์"/>
    <s v="41+451"/>
    <s v="79+969"/>
    <n v="38.518000000000001"/>
    <s v="L1"/>
    <n v="2"/>
    <d v="2015-09-15T00:00:00"/>
    <s v="A.C."/>
    <n v="19.91"/>
    <n v="7.94"/>
    <n v="5.72"/>
    <n v="4.95"/>
    <n v="3.01"/>
    <n v="3"/>
    <n v="35.15"/>
    <n v="2.35"/>
    <n v="0.92"/>
    <n v="0.1"/>
    <n v="4.5960000000000001"/>
    <n v="4.5"/>
    <n v="0"/>
    <n v="0"/>
    <n v="38.520000000000003"/>
    <n v="1.103"/>
    <n v="339.23099999999999"/>
    <n v="128.32"/>
    <n v="0.29922262689799944"/>
    <x v="117"/>
    <n v="136.32"/>
    <n v="0.10111784471823933"/>
    <n v="20.56"/>
    <n v="1.5250754749171074E-2"/>
    <n v="2.6"/>
    <n v="1.9285973904593771E-3"/>
  </r>
  <r>
    <n v="806"/>
    <s v="แขวงทางหลวงร้อยเอ็ด"/>
    <n v="635"/>
    <n v="2327"/>
    <n v="100"/>
    <s v="บัวคำ - โพธิ์ชัย"/>
    <n v="0"/>
    <n v="6500"/>
    <n v="6.5"/>
    <n v="2"/>
    <s v="L1"/>
    <d v="2015-05-27T00:00:00"/>
    <s v="A.C."/>
    <n v="4.0750000000000002"/>
    <n v="1.325"/>
    <n v="0.85000000000000009"/>
    <n v="0.25"/>
    <n v="3.3319000000000001"/>
    <n v="3.5"/>
    <n v="6.5"/>
    <n v="0"/>
    <n v="0"/>
    <n v="0"/>
    <n v="2.9268000000000001"/>
    <n v="3"/>
    <n v="0"/>
    <n v="0"/>
    <n v="6.5"/>
    <n v="1.3429"/>
    <n v="0"/>
    <n v="136"/>
    <n v="0.2989"/>
    <x v="117"/>
    <n v="0"/>
    <n v="0"/>
    <n v="0"/>
    <n v="0"/>
    <n v="0"/>
    <n v="0"/>
  </r>
  <r>
    <n v="321"/>
    <s v="แขวงทางหลวงนครพนม"/>
    <n v="644"/>
    <n v="2276"/>
    <n v="100"/>
    <s v="กุรุคุ - เรณูนคร"/>
    <n v="0"/>
    <n v="40090"/>
    <n v="39.819000000000003"/>
    <n v="2"/>
    <s v="L1"/>
    <d v="2015-06-03T00:00:00"/>
    <s v="A.C."/>
    <n v="26.79"/>
    <n v="8.5399999999999991"/>
    <n v="3.15"/>
    <n v="1.35"/>
    <n v="2.4428200000000002"/>
    <n v="2.5"/>
    <n v="37.479999999999997"/>
    <n v="1.75"/>
    <n v="0.43"/>
    <n v="0.18"/>
    <n v="3.6278100000000002"/>
    <n v="3.5"/>
    <n v="0"/>
    <n v="0.03"/>
    <n v="39.79"/>
    <n v="1.30836"/>
    <n v="349"/>
    <n v="140"/>
    <n v="0.29860999999999999"/>
    <x v="117"/>
    <n v="60.03"/>
    <n v="4.2779999999999999E-2"/>
    <n v="0"/>
    <n v="0"/>
    <n v="2"/>
    <n v="1.4300000000000001E-3"/>
  </r>
  <r>
    <n v="349"/>
    <s v="แขวงทางหลวงตากที่ 1"/>
    <n v="512"/>
    <n v="1107"/>
    <n v="101"/>
    <s v="เชิงสะพานกิตติขจร - หนองบัวเหนือ"/>
    <s v="0+000"/>
    <s v="12+000"/>
    <n v="12"/>
    <n v="2"/>
    <s v="L1"/>
    <d v="2015-09-11T00:00:00"/>
    <s v="A.C."/>
    <n v="4.1500000000000004"/>
    <n v="4.46"/>
    <n v="1.93"/>
    <n v="1.5"/>
    <n v="3.024"/>
    <n v="3"/>
    <n v="11.9054"/>
    <n v="9.8799999999999999E-2"/>
    <n v="0"/>
    <n v="0"/>
    <n v="3.1520000000000001"/>
    <n v="3"/>
    <n v="0"/>
    <n v="0"/>
    <n v="12"/>
    <n v="1.157"/>
    <n v="112.21"/>
    <n v="26.25"/>
    <n v="0.29841666666666666"/>
    <x v="117"/>
    <n v="78.650000000000006"/>
    <n v="0.18726190476190477"/>
    <n v="0.84"/>
    <n v="2E-3"/>
    <n v="0"/>
    <n v="0"/>
  </r>
  <r>
    <n v="1221"/>
    <s v="แขวงทางหลวงลพบุรีที่ 2 (ลำนารายณ์)"/>
    <n v="435"/>
    <n v="3623"/>
    <n v="100"/>
    <s v="กุดตาเพชร - อ่างเก็บน้ำกุดตาเพชร"/>
    <s v="0+000"/>
    <s v="1+810"/>
    <n v="1.81"/>
    <n v="2"/>
    <s v="L1"/>
    <d v="2015-10-05T00:00:00"/>
    <s v="A.C."/>
    <n v="0.17499999999999999"/>
    <n v="0.875"/>
    <n v="0.625"/>
    <n v="0.25"/>
    <n v="3.6679200000000001"/>
    <n v="3.5"/>
    <n v="1.9"/>
    <n v="2.5000000000000001E-2"/>
    <n v="0"/>
    <n v="0"/>
    <n v="2.7004800000000002"/>
    <n v="2.5"/>
    <n v="0"/>
    <n v="0"/>
    <n v="1.81"/>
    <n v="1.2795700000000001"/>
    <n v="15"/>
    <n v="7.74"/>
    <n v="0.29786898184688243"/>
    <x v="117"/>
    <n v="18.326000000000001"/>
    <n v="0.28928199999999998"/>
    <n v="1.78"/>
    <n v="2.8098000000000001E-2"/>
    <n v="0"/>
    <n v="0"/>
  </r>
  <r>
    <n v="207"/>
    <s v="แขวงทางหลวงพะเยา"/>
    <n v="535"/>
    <n v="1193"/>
    <n v="100"/>
    <s v="แม่ต๋ำ - แม่ใจ"/>
    <n v="700"/>
    <n v="35245"/>
    <n v="34.545000000000002"/>
    <n v="2"/>
    <s v="L1"/>
    <d v="2015-07-25T00:00:00"/>
    <s v="A.C."/>
    <n v="27.87"/>
    <n v="4.6500000000000004"/>
    <n v="1.39"/>
    <n v="0.65"/>
    <n v="2.14012"/>
    <n v="2"/>
    <n v="31.96"/>
    <n v="2.21"/>
    <n v="0.38"/>
    <n v="0"/>
    <n v="5.4292600000000002"/>
    <n v="5.5"/>
    <n v="0"/>
    <n v="0"/>
    <n v="34.54"/>
    <n v="1.1951099999999999"/>
    <n v="338"/>
    <n v="43.75"/>
    <n v="0.29764489382379095"/>
    <x v="117"/>
    <n v="64"/>
    <n v="5.2933027314269167E-2"/>
    <n v="332"/>
    <n v="0.27459007919277134"/>
    <n v="0"/>
    <n v="0"/>
  </r>
  <r>
    <n v="1796"/>
    <s v="แขวงทางหลวงชลบุรีที่ 2"/>
    <n v="428"/>
    <n v="3241"/>
    <n v="102"/>
    <s v="อ่างเก็บน้ำหนองค้อ - มาบเอียง"/>
    <n v="14000"/>
    <n v="27009"/>
    <n v="13.009"/>
    <n v="2"/>
    <s v="L1"/>
    <d v="2015-08-14T00:00:00"/>
    <s v="A.C."/>
    <n v="7.3"/>
    <n v="3.5249999999999999"/>
    <n v="1.075"/>
    <n v="0.35"/>
    <n v="2.5157099999999999"/>
    <n v="2.5"/>
    <n v="10.525"/>
    <n v="1.675"/>
    <n v="0.05"/>
    <n v="0"/>
    <n v="7.2427900000000003"/>
    <n v="7"/>
    <n v="0"/>
    <n v="0"/>
    <n v="12.249999999999998"/>
    <n v="1.2768600000000001"/>
    <n v="134.66999999999999"/>
    <n v="0"/>
    <n v="0.29577325587779885"/>
    <x v="117"/>
    <n v="0"/>
    <n v="0"/>
    <n v="0"/>
    <n v="0"/>
    <n v="0"/>
    <n v="0"/>
  </r>
  <r>
    <n v="1992"/>
    <s v="แขวงทางหลวงตรัง"/>
    <n v="322"/>
    <n v="4261"/>
    <n v="100"/>
    <s v="ป่าเตียว - ทุ่งค่าย"/>
    <n v="0"/>
    <n v="12523"/>
    <n v="12.523"/>
    <n v="2"/>
    <s v="R2"/>
    <d v="2015-05-06T00:00:00"/>
    <s v="A.C."/>
    <n v="8.3249999999999993"/>
    <n v="2.625"/>
    <n v="1.1000000000000001"/>
    <n v="0.55000000000000004"/>
    <n v="2.5036900000000002"/>
    <n v="2.5"/>
    <n v="12.5"/>
    <n v="0.1"/>
    <n v="0"/>
    <n v="0"/>
    <n v="1.9132199999999999"/>
    <n v="2"/>
    <n v="0"/>
    <n v="0"/>
    <n v="12.6"/>
    <n v="1.3486400000000001"/>
    <n v="125.57"/>
    <n v="8"/>
    <n v="0.29561606643775451"/>
    <x v="117"/>
    <n v="36.58"/>
    <n v="8.34578660978086E-2"/>
    <n v="0"/>
    <n v="0"/>
    <n v="0"/>
    <n v="0"/>
  </r>
  <r>
    <n v="23"/>
    <s v="แขวงทางหลวงเชียงใหม่ที่ 2"/>
    <n v="522"/>
    <n v="107"/>
    <n v="100"/>
    <s v="เชียงใหม่ - ขี้เหล็กหลวง"/>
    <n v="17915"/>
    <s v="30+893"/>
    <n v="13.891999999999999"/>
    <n v="4"/>
    <s v="L2"/>
    <d v="2015-08-18T00:00:00"/>
    <s v="A.C."/>
    <n v="3.55"/>
    <n v="3.9"/>
    <n v="2.85"/>
    <n v="3.5"/>
    <n v="4.1368099999999997"/>
    <n v="4"/>
    <n v="13.8"/>
    <n v="0"/>
    <n v="0"/>
    <n v="0"/>
    <n v="2.2136399999999998"/>
    <n v="2"/>
    <n v="0"/>
    <n v="0"/>
    <n v="13.799999999999999"/>
    <n v="1.1223399999999999"/>
    <n v="132.05000000000001"/>
    <n v="21.44"/>
    <n v="0.29363251203159069"/>
    <x v="117"/>
    <n v="125.44"/>
    <n v="0.25799021019291679"/>
    <n v="0"/>
    <n v="0"/>
    <n v="0"/>
    <n v="0"/>
  </r>
  <r>
    <n v="1507"/>
    <s v="แขวงทางหลวงอยุธยา"/>
    <n v="413"/>
    <n v="347"/>
    <n v="200"/>
    <s v="บางกระสั้น - บางปะหัน"/>
    <s v="40+141"/>
    <s v="49+141"/>
    <n v="9"/>
    <n v="4"/>
    <s v="R2"/>
    <d v="2015-09-17T00:00:00"/>
    <s v="A.C."/>
    <n v="1.65"/>
    <n v="4.4749999999999996"/>
    <n v="2.0499999999999998"/>
    <n v="0.92500000000000004"/>
    <n v="3.7440000000000002"/>
    <n v="3.5"/>
    <n v="7.4"/>
    <n v="0.97499999999999998"/>
    <n v="0.42499999999999999"/>
    <n v="0.3"/>
    <n v="4.8899999999999997"/>
    <n v="5"/>
    <n v="0"/>
    <n v="0"/>
    <n v="9"/>
    <n v="1.405"/>
    <n v="62"/>
    <n v="60.2"/>
    <n v="0.29238095238095241"/>
    <x v="117"/>
    <n v="0"/>
    <n v="0"/>
    <n v="37.89"/>
    <n v="0.12028571428571429"/>
    <n v="0"/>
    <n v="0"/>
  </r>
  <r>
    <n v="37"/>
    <s v="แขวงทางหลวงเชียงใหม่ที่ 2"/>
    <n v="522"/>
    <n v="1230"/>
    <n v="100"/>
    <s v="บ้านใหม่ - ห้วยแก้ว"/>
    <s v="0+000"/>
    <s v="20+734"/>
    <n v="20.734000000000002"/>
    <n v="2"/>
    <s v="L1"/>
    <d v="2015-08-22T00:00:00"/>
    <s v="A.C."/>
    <n v="2.625"/>
    <n v="2.6749999999999998"/>
    <n v="5.5"/>
    <n v="9.9250000000000007"/>
    <n v="5.6279500000000002"/>
    <n v="5.5"/>
    <n v="15.225"/>
    <n v="2.2000000000000002"/>
    <n v="1.0249999999999999"/>
    <n v="2.2749999999999999"/>
    <n v="8.7755700000000001"/>
    <n v="9"/>
    <n v="0"/>
    <n v="0"/>
    <n v="20.725000000000001"/>
    <n v="2.4024299999999998"/>
    <n v="43.15"/>
    <n v="337.72"/>
    <n v="0.29214954043737684"/>
    <x v="117"/>
    <n v="10584.09"/>
    <n v="14.584864060411471"/>
    <n v="618"/>
    <n v="0.85160330168529264"/>
    <n v="57.7"/>
    <n v="7.9510534801361457E-2"/>
  </r>
  <r>
    <n v="197"/>
    <s v="แขวงทางหลวงพะเยา"/>
    <n v="535"/>
    <n v="1091"/>
    <n v="101"/>
    <s v="จุน - ห้วยคอกหมู"/>
    <s v="0+000"/>
    <s v="22+000"/>
    <n v="22"/>
    <n v="2"/>
    <s v="R1"/>
    <d v="2015-07-24T00:00:00"/>
    <s v="A.C."/>
    <n v="18.71"/>
    <n v="2.54"/>
    <n v="0.57999999999999996"/>
    <n v="0.18"/>
    <n v="1.865"/>
    <n v="2"/>
    <n v="21.75"/>
    <n v="0.18"/>
    <n v="0.08"/>
    <n v="0"/>
    <n v="2.8769999999999998"/>
    <n v="3"/>
    <n v="0"/>
    <n v="0"/>
    <n v="22.01"/>
    <n v="1.1890000000000001"/>
    <n v="0"/>
    <n v="448.14"/>
    <n v="0.29099999999999998"/>
    <x v="117"/>
    <n v="0.73"/>
    <n v="9.4805194805194803E-4"/>
    <n v="0"/>
    <n v="0"/>
    <n v="0"/>
    <n v="0"/>
  </r>
  <r>
    <n v="1068"/>
    <s v="แขวงทางหลวงสระแก้ว (วัฒนานคร)"/>
    <n v="619"/>
    <n v="359"/>
    <n v="102"/>
    <s v="สระขวัญ - เขามะกา"/>
    <n v="10396"/>
    <n v="26793"/>
    <n v="16.396999999999998"/>
    <n v="4"/>
    <s v="L2"/>
    <d v="2015-03-31T00:00:00"/>
    <s v="A.C."/>
    <n v="13.69"/>
    <n v="2"/>
    <n v="0.34"/>
    <n v="0.37"/>
    <n v="2.11843"/>
    <n v="2"/>
    <n v="15.46"/>
    <n v="0.79"/>
    <n v="0.15"/>
    <n v="0"/>
    <n v="6.4491500000000004"/>
    <n v="6.5"/>
    <n v="0"/>
    <n v="0"/>
    <n v="16.399999999999999"/>
    <n v="1.46872"/>
    <n v="167"/>
    <n v="0"/>
    <n v="0.29099399715975915"/>
    <x v="117"/>
    <n v="0"/>
    <n v="0"/>
    <n v="0"/>
    <n v="0"/>
    <n v="0"/>
    <n v="0"/>
  </r>
  <r>
    <n v="1175"/>
    <s v="แขวงทางหลวงสิงห์บุรี"/>
    <n v="433"/>
    <n v="311"/>
    <n v="201"/>
    <s v="แยกวัดสนามไชย - วัดกระดังงา"/>
    <s v="39+772"/>
    <s v="28+071"/>
    <n v="11.701000000000001"/>
    <n v="4"/>
    <s v="R3"/>
    <d v="2015-10-05T00:00:00"/>
    <s v="A.C."/>
    <n v="8.1"/>
    <n v="2.3250000000000002"/>
    <n v="0.75"/>
    <n v="0.57499999999999996"/>
    <n v="2.6793999999999998"/>
    <n v="2.5"/>
    <n v="11.475"/>
    <n v="0.25"/>
    <n v="2.5000000000000001E-2"/>
    <n v="0"/>
    <n v="4.3825599999999998"/>
    <n v="4.5"/>
    <n v="0"/>
    <n v="0"/>
    <n v="11.701000000000001"/>
    <n v="1.1644699999999999"/>
    <n v="118"/>
    <n v="1.2"/>
    <n v="0.28959673776356104"/>
    <x v="117"/>
    <n v="75.599999999999994"/>
    <n v="0.18459960687120755"/>
    <n v="0"/>
    <n v="0"/>
    <n v="0"/>
    <n v="0"/>
  </r>
  <r>
    <n v="1897"/>
    <s v="แขวงทางหลวงนครปฐม"/>
    <n v="336"/>
    <n v="3274"/>
    <n v="100"/>
    <s v="หลักสาม - บางโทรัด"/>
    <s v="6+178"/>
    <s v="0+000"/>
    <n v="6.1779999999999999"/>
    <n v="2"/>
    <s v="R1"/>
    <d v="2015-04-08T00:00:00"/>
    <s v="A.C."/>
    <n v="4.2300000000000004"/>
    <n v="1.1000000000000001"/>
    <n v="0.28000000000000003"/>
    <n v="0.57999999999999996"/>
    <n v="2.77583"/>
    <n v="3"/>
    <n v="5.7"/>
    <n v="0.45"/>
    <n v="0.03"/>
    <n v="0"/>
    <n v="5.6795"/>
    <n v="5.5"/>
    <n v="0"/>
    <n v="0"/>
    <n v="6.18"/>
    <n v="1.17065"/>
    <n v="55.88"/>
    <n v="12.43"/>
    <n v="0.28717106784442492"/>
    <x v="117"/>
    <n v="345.08"/>
    <n v="1.59589326180456"/>
    <n v="0"/>
    <n v="0"/>
    <n v="2.29"/>
    <n v="1.0590574850853258E-2"/>
  </r>
  <r>
    <n v="1111"/>
    <s v="แขวงทางหลวงลพบุรีที่ 1"/>
    <n v="431"/>
    <n v="3017"/>
    <n v="101"/>
    <s v="แยกนิคมสร้างตนเอง - แยกพัฒนานิคม"/>
    <s v="12+990"/>
    <s v="0+000"/>
    <n v="12.99"/>
    <n v="4"/>
    <s v="R1"/>
    <d v="2015-10-05T00:00:00"/>
    <s v="A.C."/>
    <n v="4.3"/>
    <n v="1.35"/>
    <n v="0.65"/>
    <n v="0.2"/>
    <n v="2.4281899999999998"/>
    <n v="2.5"/>
    <n v="6.0250000000000004"/>
    <n v="0.05"/>
    <n v="0.1"/>
    <n v="0.32500000000000001"/>
    <n v="4.1602300000000003"/>
    <n v="4"/>
    <n v="0"/>
    <n v="0"/>
    <n v="12.99"/>
    <n v="1.15909"/>
    <n v="129.87"/>
    <n v="1.36"/>
    <n v="0.28714395688991534"/>
    <x v="117"/>
    <n v="14.36"/>
    <n v="3.1584735510832511E-2"/>
    <n v="0"/>
    <n v="0"/>
    <n v="0"/>
    <n v="0"/>
  </r>
  <r>
    <n v="713"/>
    <s v="แขวงทางหลวงชัยภูมิ"/>
    <n v="626"/>
    <n v="2359"/>
    <n v="102"/>
    <s v="บ้านเจียง - วังใหญ่"/>
    <n v="41628"/>
    <n v="77482"/>
    <n v="35.853999999999999"/>
    <n v="2"/>
    <s v="L1"/>
    <d v="2015-06-19T00:00:00"/>
    <s v="A.C."/>
    <n v="16.425000000000001"/>
    <n v="11.2"/>
    <n v="4.6500000000000004"/>
    <n v="3.35"/>
    <n v="3.0196100000000001"/>
    <n v="3"/>
    <n v="32.924999999999997"/>
    <n v="1.65"/>
    <n v="0.65"/>
    <n v="0.4"/>
    <n v="4.8288399999999996"/>
    <n v="5"/>
    <n v="0"/>
    <n v="0"/>
    <n v="35.625"/>
    <n v="1.17316"/>
    <n v="356.64"/>
    <n v="5.84"/>
    <n v="0.28652710596147868"/>
    <x v="117"/>
    <n v="0"/>
    <n v="0"/>
    <n v="269.8"/>
    <n v="0.21499892420849637"/>
    <n v="0"/>
    <n v="0"/>
  </r>
  <r>
    <n v="761"/>
    <s v="แขวงทางหลวงชัยภูมิ"/>
    <n v="626"/>
    <n v="2359"/>
    <n v="102"/>
    <s v="บ้านเจียง - วังใหญ่"/>
    <n v="41628"/>
    <n v="77482"/>
    <n v="35.853999999999999"/>
    <n v="2"/>
    <s v="L1"/>
    <d v="2015-06-19T00:00:00"/>
    <s v="A.C."/>
    <n v="16.425000000000001"/>
    <n v="11.2"/>
    <n v="4.6500000000000004"/>
    <n v="3.35"/>
    <n v="3.0196100000000001"/>
    <n v="3"/>
    <n v="32.924999999999997"/>
    <n v="1.65"/>
    <n v="0.65"/>
    <n v="0.4"/>
    <n v="4.8288399999999996"/>
    <n v="5"/>
    <n v="0"/>
    <n v="0"/>
    <n v="35.625"/>
    <n v="1.17316"/>
    <n v="356.64"/>
    <n v="5.84"/>
    <n v="0.28652710596147868"/>
    <x v="117"/>
    <n v="0"/>
    <n v="0"/>
    <n v="269.8"/>
    <n v="0.21499892420849637"/>
    <n v="0"/>
    <n v="0"/>
  </r>
  <r>
    <n v="794"/>
    <s v="แขวงทางหลวงร้อยเอ็ด"/>
    <n v="635"/>
    <n v="202"/>
    <n v="501"/>
    <s v="ห้วยลำเตา - เกษตรวิสัย"/>
    <s v="162+395"/>
    <n v="184580"/>
    <n v="22.18"/>
    <n v="4"/>
    <s v="L1"/>
    <d v="2015-05-26T00:00:00"/>
    <s v="A.C."/>
    <n v="10.75"/>
    <n v="6.7910000000000004"/>
    <n v="3.3540000000000001"/>
    <n v="1.284"/>
    <n v="2.8287550000000001"/>
    <n v="3"/>
    <n v="18.670000000000002"/>
    <n v="2.798"/>
    <n v="0.60399999999999998"/>
    <n v="0.108"/>
    <n v="5.3049999999999997"/>
    <n v="5.5"/>
    <n v="0"/>
    <n v="0"/>
    <n v="22.18"/>
    <n v="1.2749999999999999"/>
    <n v="269"/>
    <n v="0"/>
    <n v="0.28645999999999999"/>
    <x v="117"/>
    <n v="6"/>
    <n v="6.3899999999999998E-3"/>
    <n v="150"/>
    <n v="0.15973599999999999"/>
    <n v="0"/>
    <n v="0"/>
  </r>
  <r>
    <n v="2078"/>
    <s v="แขวงทางหลวงสุราษฎร์ธานีที่ 3 (เวียงสระ)"/>
    <n v="329"/>
    <n v="4133"/>
    <n v="102"/>
    <s v="ควนสามัคคี - พระแสง"/>
    <n v="42300"/>
    <n v="56772"/>
    <n v="14.472"/>
    <n v="2"/>
    <s v="L1"/>
    <d v="2015-04-27T00:00:00"/>
    <s v="A.C."/>
    <n v="8.75"/>
    <n v="3.9"/>
    <n v="1.2749999999999999"/>
    <n v="0.35"/>
    <n v="2.5021200000000001"/>
    <n v="2.5"/>
    <n v="13.1"/>
    <n v="0.97499999999999998"/>
    <n v="0.2"/>
    <n v="0"/>
    <n v="4.1819699999999997"/>
    <n v="4"/>
    <n v="0"/>
    <n v="0"/>
    <n v="14.275"/>
    <n v="1.50464"/>
    <n v="138.02000000000001"/>
    <n v="13.27"/>
    <n v="0.28558595909342177"/>
    <x v="117"/>
    <n v="0"/>
    <n v="0"/>
    <n v="0"/>
    <n v="0"/>
    <n v="0"/>
    <n v="0"/>
  </r>
  <r>
    <n v="1310"/>
    <s v="แขวงทางหลวงกาญจนบุรี"/>
    <n v="444"/>
    <n v="323"/>
    <n v="203"/>
    <s v="ท่ามะขาม - แก่งเสี้ยน"/>
    <n v="64416"/>
    <n v="64850"/>
    <n v="0.434"/>
    <n v="6"/>
    <s v="L3"/>
    <d v="2015-07-24T00:00:00"/>
    <s v="A.C."/>
    <n v="0.45"/>
    <n v="0"/>
    <n v="0"/>
    <n v="0"/>
    <n v="0.94111100000000003"/>
    <n v="1"/>
    <n v="0.45"/>
    <n v="0"/>
    <n v="0"/>
    <n v="0"/>
    <n v="0.70150000000000001"/>
    <n v="0.5"/>
    <n v="0"/>
    <n v="0"/>
    <n v="0.45"/>
    <n v="0.79166700000000001"/>
    <n v="2.5"/>
    <n v="3.66"/>
    <n v="0.28505595786701776"/>
    <x v="117"/>
    <n v="0"/>
    <n v="0"/>
    <n v="1.54"/>
    <n v="0.10138248847926268"/>
    <n v="0"/>
    <n v="0"/>
  </r>
  <r>
    <n v="505"/>
    <s v="แขวงทางหลวงพิจิตร"/>
    <n v="519"/>
    <n v="1301"/>
    <n v="100"/>
    <s v="หนองขนาก - หนองระมาน"/>
    <s v="0+000"/>
    <s v="6+255"/>
    <n v="6.2549999999999999"/>
    <s v="L1"/>
    <n v="2"/>
    <d v="2015-09-29T00:00:00"/>
    <s v="A.C."/>
    <n v="3.83"/>
    <n v="1.18"/>
    <n v="0.73"/>
    <n v="0.48"/>
    <n v="3.0051600000000001"/>
    <n v="3"/>
    <n v="5.6"/>
    <n v="0.39"/>
    <n v="0.14000000000000001"/>
    <n v="0.09"/>
    <n v="6.5727200000000003"/>
    <n v="6.5"/>
    <n v="0"/>
    <n v="0"/>
    <n v="9.15"/>
    <n v="1.45262"/>
    <n v="55.24"/>
    <n v="14.28"/>
    <n v="0.28493800000000002"/>
    <x v="117"/>
    <n v="85.47"/>
    <n v="0.39040799999999998"/>
    <n v="0"/>
    <n v="0"/>
    <n v="0"/>
    <n v="0"/>
  </r>
  <r>
    <n v="1094"/>
    <s v="แขวงทางหลวงลพบุรีที่ 1"/>
    <n v="431"/>
    <n v="205"/>
    <n v="101"/>
    <s v="บ้านหมี่ - ดงพลับ"/>
    <s v="0+000"/>
    <s v="9+800"/>
    <n v="9.8000000000000007"/>
    <n v="4"/>
    <s v="L2"/>
    <d v="2015-10-05T00:00:00"/>
    <s v="A.C."/>
    <n v="4.3499999999999996"/>
    <n v="2.2999999999999998"/>
    <n v="1.7250000000000001"/>
    <n v="1.4750000000000001"/>
    <n v="3.2867000000000002"/>
    <n v="3.5"/>
    <n v="8.375"/>
    <n v="1.075"/>
    <n v="0.22500000000000001"/>
    <n v="0.17499999999999999"/>
    <n v="5.6875099999999996"/>
    <n v="5.5"/>
    <n v="0"/>
    <n v="0"/>
    <n v="9.85"/>
    <n v="1.2350300000000001"/>
    <n v="96.668000000000006"/>
    <n v="1.6"/>
    <n v="0.2841632653061224"/>
    <x v="117"/>
    <n v="15.26"/>
    <n v="4.4489795918367339E-2"/>
    <n v="3.25"/>
    <n v="9.4752186588921272E-3"/>
    <n v="0"/>
    <n v="0"/>
  </r>
  <r>
    <n v="1165"/>
    <s v="แขวงทางหลวงสระบุรี"/>
    <n v="432"/>
    <n v="3385"/>
    <n v="100"/>
    <s v="หน้าพระลาน - หนองจาน"/>
    <s v="2+350"/>
    <s v="0+000"/>
    <n v="2.35"/>
    <n v="4"/>
    <s v="R2"/>
    <d v="2015-10-05T00:00:00"/>
    <s v="A.C."/>
    <n v="1.175"/>
    <n v="0.82499999999999996"/>
    <n v="0.22500000000000001"/>
    <n v="0.125"/>
    <n v="2.7910599999999999"/>
    <n v="3"/>
    <n v="1.45"/>
    <n v="0.47499999999999998"/>
    <n v="0.25"/>
    <n v="0.17499999999999999"/>
    <n v="9.8272700000000004"/>
    <n v="10"/>
    <n v="0"/>
    <n v="0"/>
    <n v="2.35"/>
    <n v="1.37293"/>
    <n v="20.69"/>
    <n v="4.9800000000000004"/>
    <n v="0.28182400000000002"/>
    <x v="117"/>
    <n v="2.3199999999999998"/>
    <n v="2.8206999999999999E-2"/>
    <n v="0"/>
    <n v="0"/>
    <n v="0"/>
    <n v="0"/>
  </r>
  <r>
    <n v="1980"/>
    <s v="แขวงทางหลวงตรัง"/>
    <n v="322"/>
    <n v="4045"/>
    <n v="100"/>
    <s v="บางรัก - ควนขัน"/>
    <n v="0"/>
    <n v="5294"/>
    <n v="5.2939999999999996"/>
    <n v="4"/>
    <s v="L4"/>
    <d v="2015-05-07T00:00:00"/>
    <s v="A.C."/>
    <n v="2.5499999999999998"/>
    <n v="1.3"/>
    <n v="0.77500000000000002"/>
    <n v="0.625"/>
    <n v="3.0567099999999998"/>
    <n v="3"/>
    <n v="5.0999999999999996"/>
    <n v="0.125"/>
    <n v="2.5000000000000001E-2"/>
    <n v="0"/>
    <n v="3.8528600000000002"/>
    <n v="4"/>
    <n v="0"/>
    <n v="0"/>
    <n v="5.25"/>
    <n v="1.15852"/>
    <n v="50.14"/>
    <n v="4.12"/>
    <n v="0.28172054617086734"/>
    <x v="117"/>
    <n v="15.3"/>
    <n v="8.2573263532840419E-2"/>
    <n v="0"/>
    <n v="0"/>
    <n v="0"/>
    <n v="0"/>
  </r>
  <r>
    <n v="1128"/>
    <s v="แขวงทางหลวงลพบุรีที่ 1"/>
    <n v="431"/>
    <n v="3562"/>
    <n v="100"/>
    <s v="ลพบุรี - ป่าหวาย"/>
    <s v="0+650"/>
    <s v="4+900"/>
    <n v="4.25"/>
    <n v="4"/>
    <s v="L1"/>
    <d v="2015-10-05T00:00:00"/>
    <s v="A.C."/>
    <n v="3.0750000000000002"/>
    <n v="0.72499999999999998"/>
    <n v="0.3"/>
    <n v="0.25"/>
    <n v="2.5718999999999999"/>
    <n v="2.5"/>
    <n v="4.3250000000000002"/>
    <n v="2.5000000000000001E-2"/>
    <n v="0"/>
    <n v="0"/>
    <n v="3.1273300000000002"/>
    <n v="3"/>
    <n v="0"/>
    <n v="0"/>
    <n v="4.3500000000000005"/>
    <n v="1.1925300000000001"/>
    <n v="41.863"/>
    <n v="0.05"/>
    <n v="0.28160000000000002"/>
    <x v="117"/>
    <n v="34.979999999999997"/>
    <n v="0.23515966386554618"/>
    <n v="0"/>
    <n v="0"/>
    <n v="0"/>
    <n v="0"/>
  </r>
  <r>
    <n v="1621"/>
    <s v="แขวงทางหลวงสมุทรปราการ"/>
    <n v="417"/>
    <n v="370"/>
    <n v="100"/>
    <s v="ทางเข้าท่าอากาศยานสุวรรณภูมิด้านถนนบางนา - บางวัว"/>
    <s v="2+742"/>
    <s v="0+000"/>
    <n v="2.742"/>
    <n v="4"/>
    <s v="R2"/>
    <d v="2015-08-24T00:00:00"/>
    <s v="A.C."/>
    <n v="0.85"/>
    <n v="0.95"/>
    <n v="0.45"/>
    <n v="0.47499999999999998"/>
    <n v="3.641"/>
    <n v="3.5"/>
    <n v="2.2000000000000002"/>
    <n v="0.47499999999999998"/>
    <n v="0.05"/>
    <n v="0"/>
    <n v="7.8330000000000002"/>
    <n v="8"/>
    <n v="0"/>
    <n v="0"/>
    <n v="2.7250000000000001"/>
    <n v="1.2809999999999999"/>
    <n v="27"/>
    <n v="0"/>
    <n v="0.28133791809940606"/>
    <x v="117"/>
    <n v="0"/>
    <n v="0"/>
    <n v="0"/>
    <n v="0"/>
    <n v="0"/>
    <n v="0"/>
  </r>
  <r>
    <n v="1471"/>
    <s v="แขวงทางหลวงกรุงเทพ"/>
    <n v="411"/>
    <n v="304"/>
    <n v="201"/>
    <s v="คลองประปา - คันนายาว"/>
    <s v="19+600"/>
    <s v="7+916"/>
    <n v="11.683999999999999"/>
    <n v="8"/>
    <s v="R2"/>
    <d v="2015-08-31T00:00:00"/>
    <s v="A.C."/>
    <n v="0.8"/>
    <n v="3.4"/>
    <n v="5.2249999999999996"/>
    <n v="2.2250000000000001"/>
    <n v="4.407"/>
    <n v="4.5"/>
    <n v="11.475"/>
    <n v="0.17499999999999999"/>
    <n v="0"/>
    <n v="0"/>
    <n v="4.0229999999999997"/>
    <n v="4"/>
    <n v="0"/>
    <n v="7.4999999999999997E-2"/>
    <n v="11.574999999999999"/>
    <n v="1.087"/>
    <n v="0"/>
    <n v="229.35"/>
    <n v="0.28042011052966204"/>
    <x v="117"/>
    <n v="0"/>
    <n v="0"/>
    <n v="3.59"/>
    <n v="8.7787939551034373E-3"/>
    <n v="0"/>
    <n v="0"/>
  </r>
  <r>
    <n v="2140"/>
    <s v="แขวงทางหลวงพังงา"/>
    <n v="327"/>
    <n v="401"/>
    <n v="100"/>
    <s v="เขาศก - พนม"/>
    <n v="73742"/>
    <s v="32+492"/>
    <n v="41.25"/>
    <n v="2"/>
    <s v="R1"/>
    <d v="2015-05-11T00:00:00"/>
    <s v="A.C."/>
    <n v="26.95"/>
    <n v="8.85"/>
    <n v="4.4000000000000004"/>
    <n v="1.7250000000000001"/>
    <n v="2.4729999999999999"/>
    <n v="2.5"/>
    <n v="40.375"/>
    <n v="1.375"/>
    <n v="0.17499999999999999"/>
    <n v="0"/>
    <n v="3.484"/>
    <n v="3.5"/>
    <n v="0"/>
    <n v="0"/>
    <n v="41.924999999999997"/>
    <n v="1.3520000000000001"/>
    <n v="372"/>
    <n v="62"/>
    <n v="0.27913419913419912"/>
    <x v="117"/>
    <n v="0"/>
    <n v="0"/>
    <n v="40"/>
    <n v="2.7705627705627702E-2"/>
    <n v="0"/>
    <n v="0"/>
  </r>
  <r>
    <n v="611"/>
    <s v="แขวงทางหลวงเลยที่ 1"/>
    <n v="554"/>
    <n v="2348"/>
    <n v="200"/>
    <s v="คีรีวงกต - ปากมั่ง"/>
    <n v="86500"/>
    <n v="98213"/>
    <n v="11.712999999999999"/>
    <n v="2"/>
    <s v="L1"/>
    <d v="2015-06-26T00:00:00"/>
    <s v="A.C."/>
    <n v="3.17"/>
    <n v="5.01"/>
    <n v="2.62"/>
    <n v="0.93"/>
    <n v="3.5662600000000002"/>
    <n v="3.5"/>
    <n v="10.53"/>
    <n v="1.1599999999999999"/>
    <n v="0.1"/>
    <n v="0"/>
    <n v="6.1932400000000003"/>
    <n v="6"/>
    <n v="0.03"/>
    <n v="0.03"/>
    <n v="11.66"/>
    <n v="1.3238300000000001"/>
    <n v="114"/>
    <n v="0"/>
    <n v="0.27807930138673759"/>
    <x v="117"/>
    <n v="44"/>
    <n v="0.10732885316681098"/>
    <n v="134"/>
    <n v="0.32686514373528802"/>
    <n v="0"/>
    <n v="0"/>
  </r>
  <r>
    <n v="2008"/>
    <s v="แขวงทางหลวงสุราษฎร์ธานี ที่ 1 (พุนพิน)"/>
    <n v="325"/>
    <n v="4011"/>
    <n v="100"/>
    <s v="เชิงสมอ - พุมเรียง"/>
    <s v="0+000"/>
    <s v="2+150"/>
    <n v="2.15"/>
    <n v="2"/>
    <s v="L1"/>
    <d v="2015-04-22T00:00:00"/>
    <s v="A.C."/>
    <n v="1.28"/>
    <n v="0.5"/>
    <n v="0.3"/>
    <n v="0.08"/>
    <n v="2.5979100000000002"/>
    <n v="2.5"/>
    <n v="2.1"/>
    <n v="0.05"/>
    <n v="0"/>
    <n v="0"/>
    <n v="4.1724899999999998"/>
    <n v="4"/>
    <n v="0"/>
    <n v="0"/>
    <n v="2.15"/>
    <n v="1.1772899999999999"/>
    <n v="14.04"/>
    <n v="13.74"/>
    <n v="0.27787375415282395"/>
    <x v="117"/>
    <n v="0"/>
    <n v="0"/>
    <n v="0"/>
    <n v="0"/>
    <n v="0"/>
    <n v="0"/>
  </r>
  <r>
    <n v="956"/>
    <s v="แขวงทางหลวงนครราชสีมาที่ 1"/>
    <n v="611"/>
    <n v="2369"/>
    <n v="102"/>
    <s v="ดอนไผ่ - แก้งสนามนาง"/>
    <n v="45941"/>
    <n v="64263"/>
    <n v="18.321999999999999"/>
    <n v="2"/>
    <s v="L1"/>
    <d v="2015-04-24T00:00:00"/>
    <s v="A.C."/>
    <n v="10.6"/>
    <n v="4.125"/>
    <n v="2.0750000000000002"/>
    <n v="1.625"/>
    <n v="2.8060700000000001"/>
    <n v="3"/>
    <n v="15.2"/>
    <n v="1.9"/>
    <n v="0.85"/>
    <n v="0.47499999999999998"/>
    <n v="6.0825800000000001"/>
    <n v="6"/>
    <n v="0"/>
    <n v="0"/>
    <n v="18.321999999999999"/>
    <n v="1.2376799999999999"/>
    <n v="178"/>
    <n v="0"/>
    <n v="0.27757418871926021"/>
    <x v="117"/>
    <n v="0"/>
    <n v="0"/>
    <n v="0"/>
    <n v="0"/>
    <n v="0"/>
    <n v="0"/>
  </r>
  <r>
    <n v="1393"/>
    <s v="แขวงทางหลวงชัยนาท"/>
    <n v="446"/>
    <n v="3211"/>
    <n v="100"/>
    <s v="ทางเข้าหันคา - กะบกเตี้ย"/>
    <s v="8+537"/>
    <s v="40+802"/>
    <n v="32.265000000000001"/>
    <n v="2"/>
    <s v="L1"/>
    <d v="2015-08-03T00:00:00"/>
    <s v="A.C."/>
    <n v="15.92"/>
    <n v="9.15"/>
    <n v="6.27"/>
    <n v="0.93"/>
    <n v="2.7416999999999998"/>
    <n v="2.5"/>
    <n v="31.26"/>
    <n v="0.79"/>
    <n v="0.2"/>
    <n v="0.02"/>
    <n v="3.3137799999999999"/>
    <n v="3.5"/>
    <n v="0"/>
    <n v="0"/>
    <n v="32.270000000000003"/>
    <n v="1.3171999999999999"/>
    <n v="340.35"/>
    <n v="108.248"/>
    <n v="0.27622875629345905"/>
    <x v="117"/>
    <n v="49"/>
    <n v="4.3390671005733759E-2"/>
    <n v="0"/>
    <n v="0"/>
    <n v="1.95"/>
    <n v="1.7267716012485885E-3"/>
  </r>
  <r>
    <n v="1020"/>
    <s v="แขวงทางหลวงบุรีรัมย์"/>
    <n v="617"/>
    <n v="2073"/>
    <n v="102"/>
    <s v="บัวตารุ่ง - ลำปลายมาศ"/>
    <n v="8475"/>
    <n v="43475"/>
    <n v="35"/>
    <n v="2"/>
    <s v="L1"/>
    <d v="2015-05-06T00:00:00"/>
    <s v="A.C."/>
    <n v="28.05"/>
    <n v="4.8"/>
    <n v="1.4750000000000001"/>
    <n v="0.42499999999999999"/>
    <n v="1.91659"/>
    <n v="2"/>
    <n v="34"/>
    <n v="0.67500000000000004"/>
    <n v="0.05"/>
    <n v="2.5000000000000001E-2"/>
    <n v="3.95322"/>
    <n v="4"/>
    <n v="0"/>
    <n v="0"/>
    <n v="34.75"/>
    <n v="1.3369599999999999"/>
    <n v="244.58"/>
    <n v="186.96"/>
    <n v="0.2759673469387755"/>
    <x v="117"/>
    <n v="317.42"/>
    <n v="0.25911836734693877"/>
    <n v="24.73"/>
    <n v="2.0187755102040815E-2"/>
    <n v="0"/>
    <n v="0"/>
  </r>
  <r>
    <n v="256"/>
    <s v="แขวงทางหลวงน่านที่ 2"/>
    <n v="539"/>
    <n v="101"/>
    <n v="603"/>
    <s v="ปางหก - จุดผ่านแดนถาวรห้วยโก๋น/น้ำเงิน(เขตแดนไทย/ลาว)"/>
    <s v="494+499"/>
    <s v="499+958"/>
    <n v="19.303999999999998"/>
    <n v="2"/>
    <s v="R1"/>
    <d v="2015-07-28T00:00:00"/>
    <s v="A.C."/>
    <n v="10.64"/>
    <n v="4.01"/>
    <n v="2.29"/>
    <n v="2.37"/>
    <n v="2.92177"/>
    <n v="3"/>
    <n v="16.87"/>
    <n v="1.83"/>
    <n v="0.49"/>
    <n v="0.13"/>
    <n v="6.4172099999999999"/>
    <n v="6.5"/>
    <n v="0.05"/>
    <n v="0.13"/>
    <n v="19.13"/>
    <n v="1.38636"/>
    <n v="182"/>
    <n v="8.51"/>
    <n v="0.27567195547924933"/>
    <x v="117"/>
    <n v="0"/>
    <n v="0"/>
    <n v="0"/>
    <n v="0"/>
    <n v="0"/>
    <n v="0"/>
  </r>
  <r>
    <n v="1984"/>
    <s v="แขวงทางหลวงตรัง"/>
    <n v="322"/>
    <n v="4123"/>
    <n v="100"/>
    <s v="บ้านโพธิ์ - ห้วยยอด"/>
    <n v="31229"/>
    <n v="0"/>
    <n v="31.228999999999999"/>
    <n v="2"/>
    <s v="R2"/>
    <d v="2015-05-06T00:00:00"/>
    <s v="A.C."/>
    <n v="23.824999999999999"/>
    <n v="3.85"/>
    <n v="1.925"/>
    <n v="1.55"/>
    <n v="2.2579899999999999"/>
    <n v="2.5"/>
    <n v="30.625"/>
    <n v="0.5"/>
    <n v="2.5000000000000001E-2"/>
    <n v="0"/>
    <n v="2.8370299999999999"/>
    <n v="3"/>
    <n v="0"/>
    <n v="0"/>
    <n v="31.150000000000002"/>
    <n v="1.14724"/>
    <n v="287.37"/>
    <n v="27"/>
    <n v="0.27526612169091913"/>
    <x v="117"/>
    <n v="2.4500000000000002"/>
    <n v="2.2415062922283777E-3"/>
    <n v="81.84"/>
    <n v="7.4875459165702193E-2"/>
    <n v="1"/>
    <n v="9.1490052744015412E-4"/>
  </r>
  <r>
    <n v="1135"/>
    <s v="แขวงทางหลวงสระบุรี"/>
    <n v="432"/>
    <n v="310"/>
    <n v="100"/>
    <s v="ทางเข้าพระพุทธบาทสระบุรี"/>
    <s v="0+000"/>
    <s v="1+975"/>
    <n v="1.9750000000000001"/>
    <n v="4"/>
    <s v="L2"/>
    <d v="2015-10-05T00:00:00"/>
    <s v="A.C."/>
    <n v="0.77500000000000002"/>
    <n v="0.95"/>
    <n v="0.27500000000000002"/>
    <n v="0.22500000000000001"/>
    <n v="3.3578700000000001"/>
    <n v="3.5"/>
    <n v="1.425"/>
    <n v="0.42499999999999999"/>
    <n v="0.25"/>
    <n v="0.125"/>
    <n v="9.1973800000000008"/>
    <n v="9"/>
    <n v="0"/>
    <n v="0"/>
    <n v="2.2250000000000001"/>
    <n v="1.3848400000000001"/>
    <n v="14.68"/>
    <n v="8.69"/>
    <n v="0.27522600000000003"/>
    <x v="117"/>
    <n v="123.62"/>
    <n v="1.788354"/>
    <n v="0"/>
    <n v="0"/>
    <n v="3.22"/>
    <n v="4.6581999999999998E-2"/>
  </r>
  <r>
    <n v="771"/>
    <s v="แขวงทางหลวงมหาสารคาม"/>
    <n v="622"/>
    <n v="2269"/>
    <n v="200"/>
    <s v="หนองคู - ดงบัง"/>
    <n v="19251"/>
    <n v="23720"/>
    <n v="4.4690000000000003"/>
    <n v="2"/>
    <s v="L1"/>
    <d v="2015-05-27T00:00:00"/>
    <s v="A.C."/>
    <n v="3.8250000000000002"/>
    <n v="0.47499999999999998"/>
    <n v="7.4999999999999997E-2"/>
    <n v="7.4999999999999997E-2"/>
    <n v="2.0573000000000001"/>
    <n v="2"/>
    <n v="4.47"/>
    <n v="0"/>
    <n v="0"/>
    <n v="0"/>
    <n v="3.3393799999999998"/>
    <n v="3.5"/>
    <n v="0"/>
    <n v="0"/>
    <n v="4.47"/>
    <n v="1.2906599999999999"/>
    <n v="14"/>
    <n v="58"/>
    <n v="0.27490969536169807"/>
    <x v="117"/>
    <n v="88"/>
    <n v="0.56260588818207979"/>
    <n v="104"/>
    <n v="0.66489786785154881"/>
    <n v="242"/>
    <n v="1.5471661925007192"/>
  </r>
  <r>
    <n v="1998"/>
    <s v="แขวงทางหลวงตรัง"/>
    <n v="322"/>
    <n v="4269"/>
    <n v="102"/>
    <s v="คลองมวน - คลองโกง"/>
    <n v="21738"/>
    <n v="9720"/>
    <n v="12.018000000000001"/>
    <n v="2"/>
    <s v="R2"/>
    <d v="2015-05-02T00:00:00"/>
    <s v="A.C."/>
    <n v="5.4249999999999998"/>
    <n v="4.875"/>
    <n v="1.05"/>
    <n v="0.65"/>
    <n v="2.7934000000000001"/>
    <n v="3"/>
    <n v="11.175000000000001"/>
    <n v="0.72499999999999998"/>
    <n v="0.05"/>
    <n v="0.05"/>
    <n v="4.5208300000000001"/>
    <n v="4.5"/>
    <n v="0"/>
    <n v="0"/>
    <n v="12.000000000000002"/>
    <n v="1.0989800000000001"/>
    <n v="102.54"/>
    <n v="25.99"/>
    <n v="0.27467132634381763"/>
    <x v="117"/>
    <n v="56.63"/>
    <n v="0.13463138625395243"/>
    <n v="12.94"/>
    <n v="3.076337874141169E-2"/>
    <n v="0"/>
    <n v="0"/>
  </r>
  <r>
    <n v="471"/>
    <s v="แขวงทางหลวงพิษณุโลกที่ 2 (วังทอง)"/>
    <n v="515"/>
    <n v="1310"/>
    <n v="100"/>
    <s v="ทับยายเชียง - พรหมพิราม"/>
    <s v="0+000"/>
    <s v="15+593"/>
    <n v="15.593"/>
    <s v="L1"/>
    <n v="2"/>
    <d v="2015-09-22T00:00:00"/>
    <s v="A.C."/>
    <n v="10.050000000000001"/>
    <n v="3.3"/>
    <n v="1.625"/>
    <n v="0.6"/>
    <n v="2.46841"/>
    <n v="2.5"/>
    <n v="14.55"/>
    <n v="0.6"/>
    <n v="0.15"/>
    <n v="0.27500000000000002"/>
    <n v="4.4380699999999997"/>
    <n v="4.5"/>
    <n v="0"/>
    <n v="0"/>
    <n v="15.575000000000001"/>
    <n v="1.17848"/>
    <n v="142.255"/>
    <n v="15.11"/>
    <n v="0.2745004626618171"/>
    <x v="117"/>
    <n v="88.456999999999994"/>
    <n v="0.1620818865608194"/>
    <n v="0"/>
    <n v="0"/>
    <n v="0"/>
    <n v="0"/>
  </r>
  <r>
    <n v="1365"/>
    <s v="แขวงทางหลวงสุพรรณบุรีที่ 2 (อู่ทอง)"/>
    <n v="445"/>
    <n v="3318"/>
    <n v="200"/>
    <s v="มะขามล้ม - ดอนแจง"/>
    <n v="16000"/>
    <n v="29757"/>
    <n v="13.757"/>
    <n v="2"/>
    <s v="L1"/>
    <d v="2015-07-22T00:00:00"/>
    <s v="A.C."/>
    <n v="10.375"/>
    <n v="2.4"/>
    <n v="0.6"/>
    <n v="0.4"/>
    <n v="2.4067699999999999"/>
    <n v="2.5"/>
    <n v="13.675000000000001"/>
    <n v="0.05"/>
    <n v="2.5000000000000001E-2"/>
    <n v="2.5000000000000001E-2"/>
    <n v="4.0161600000000002"/>
    <n v="4"/>
    <n v="0"/>
    <n v="0"/>
    <n v="13.775"/>
    <n v="1.0003500000000001"/>
    <n v="43"/>
    <n v="178"/>
    <n v="0.27414614897350964"/>
    <x v="117"/>
    <n v="0"/>
    <n v="0"/>
    <n v="11"/>
    <n v="2.2845512414459136E-2"/>
    <n v="0"/>
    <n v="0"/>
  </r>
  <r>
    <n v="1377"/>
    <s v="แขวงทางหลวงสุพรรณบุรีที่ 2 (อู่ทอง)"/>
    <n v="445"/>
    <n v="3440"/>
    <n v="100"/>
    <s v="ดอนพรหม - ตลาดเขต"/>
    <n v="0"/>
    <n v="19000"/>
    <n v="19"/>
    <n v="2"/>
    <s v="L1"/>
    <d v="2015-07-23T00:00:00"/>
    <s v="A.C."/>
    <n v="14.9"/>
    <n v="2.7749999999999999"/>
    <n v="0.92500000000000004"/>
    <n v="0.45"/>
    <n v="2.0849700000000002"/>
    <n v="2"/>
    <n v="18.5"/>
    <n v="0.47499999999999998"/>
    <n v="7.4999999999999997E-2"/>
    <n v="0"/>
    <n v="3.9758399999999998"/>
    <n v="4"/>
    <n v="0"/>
    <n v="0"/>
    <n v="19.05"/>
    <n v="1.11755"/>
    <n v="152"/>
    <n v="59"/>
    <n v="0.27293233082706769"/>
    <x v="117"/>
    <n v="7"/>
    <n v="1.0526315789473684E-2"/>
    <n v="289"/>
    <n v="0.43458646616541358"/>
    <n v="0"/>
    <n v="0"/>
  </r>
  <r>
    <n v="1760"/>
    <s v="แขวงทางหลวงตราด"/>
    <n v="425"/>
    <n v="3299"/>
    <n v="100"/>
    <s v="ช้างทูน - โชคดี"/>
    <n v="0"/>
    <n v="30000"/>
    <n v="30"/>
    <n v="2"/>
    <s v="L1"/>
    <d v="2015-08-20T00:00:00"/>
    <s v="A.C."/>
    <n v="14.7"/>
    <n v="9.65"/>
    <n v="3.0249999999999999"/>
    <n v="2.5750000000000002"/>
    <n v="3.0032399999999999"/>
    <n v="3"/>
    <n v="25.15"/>
    <n v="3.95"/>
    <n v="0.57499999999999996"/>
    <n v="0.27500000000000002"/>
    <n v="6.8481100000000001"/>
    <n v="7"/>
    <n v="0"/>
    <n v="0"/>
    <n v="29.949999999999996"/>
    <n v="1.4038999999999999"/>
    <n v="281.93"/>
    <n v="8.6"/>
    <n v="0.27260000000000001"/>
    <x v="117"/>
    <n v="147.27000000000001"/>
    <n v="0.14025714285714286"/>
    <n v="0"/>
    <n v="0"/>
    <n v="207.01"/>
    <n v="0.19715238095238094"/>
  </r>
  <r>
    <n v="329"/>
    <s v="แขวงทางหลวงหนองคาย"/>
    <n v="646"/>
    <n v="212"/>
    <n v="102"/>
    <s v="ปากสวย - น้ำเป"/>
    <n v="32600"/>
    <n v="61485"/>
    <n v="28.885000000000002"/>
    <n v="4"/>
    <s v="L2"/>
    <d v="2015-06-09T00:00:00"/>
    <s v="A.C."/>
    <n v="17.05"/>
    <n v="7.05"/>
    <n v="3.1749999999999998"/>
    <n v="1.45"/>
    <n v="2.5542600000000002"/>
    <n v="2.5"/>
    <n v="25.75"/>
    <n v="2.4750000000000001"/>
    <n v="0.3"/>
    <n v="0.2"/>
    <n v="5.4763999999999999"/>
    <n v="5.5"/>
    <n v="0"/>
    <n v="0"/>
    <n v="28.725000000000001"/>
    <n v="1.2175"/>
    <n v="246"/>
    <n v="59"/>
    <n v="0.27250921140483192"/>
    <x v="117"/>
    <n v="14"/>
    <n v="1.38480180024234E-2"/>
    <n v="0"/>
    <n v="0"/>
    <n v="0"/>
    <n v="0"/>
  </r>
  <r>
    <n v="1296"/>
    <s v="แขวงทางหลวงสุพรรณบุรีที่ 1"/>
    <n v="441"/>
    <n v="3507"/>
    <n v="100"/>
    <s v="วัดพระศรีรัตนมหาธาตุ - บ้านกล้วย"/>
    <n v="27215"/>
    <n v="0"/>
    <n v="27.215"/>
    <n v="2"/>
    <s v="R1"/>
    <d v="2015-06-30T00:00:00"/>
    <s v="A.C."/>
    <n v="23.225000000000001"/>
    <n v="2.85"/>
    <n v="0.67500000000000004"/>
    <n v="0.27500000000000002"/>
    <n v="1.92964"/>
    <n v="2"/>
    <n v="26.675000000000001"/>
    <n v="0.32500000000000001"/>
    <n v="0"/>
    <n v="2.5000000000000001E-2"/>
    <n v="2.54135"/>
    <n v="2.5"/>
    <n v="0"/>
    <n v="0"/>
    <n v="27.025000000000002"/>
    <n v="1.0755600000000001"/>
    <n v="237.4"/>
    <n v="43.8"/>
    <n v="0.27222382614629537"/>
    <x v="117"/>
    <n v="54.88"/>
    <n v="5.7615285688039683E-2"/>
    <n v="0"/>
    <n v="0"/>
    <n v="0"/>
    <n v="0"/>
  </r>
  <r>
    <n v="1285"/>
    <s v="แขวงทางหลวงสุพรรณบุรีที่ 1"/>
    <n v="441"/>
    <n v="3264"/>
    <n v="100"/>
    <s v="ดอนเจดีย์  -  สระกระโจม"/>
    <n v="950"/>
    <n v="16344"/>
    <n v="15.394"/>
    <n v="2"/>
    <s v="L1"/>
    <d v="2015-06-29T00:00:00"/>
    <s v="A.C."/>
    <n v="13.375"/>
    <n v="1.9"/>
    <n v="0.45"/>
    <n v="0.25"/>
    <n v="2.0212500000000002"/>
    <n v="2"/>
    <n v="15.725"/>
    <n v="0.22500000000000001"/>
    <n v="0"/>
    <n v="2.5000000000000001E-2"/>
    <n v="4.0113500000000002"/>
    <n v="4"/>
    <n v="0"/>
    <n v="0"/>
    <n v="15.975"/>
    <n v="1.06551"/>
    <n v="139"/>
    <n v="15"/>
    <n v="0.27190556617606115"/>
    <x v="117"/>
    <n v="6"/>
    <n v="0"/>
    <n v="0"/>
    <n v="0"/>
    <n v="0"/>
    <n v="0"/>
  </r>
  <r>
    <n v="525"/>
    <s v="แขวงทางหลวงอุตรดิตถ์ที่ 1"/>
    <n v="557"/>
    <n v="1244"/>
    <n v="100"/>
    <s v="น้ำอ่าง - น้ำพี้"/>
    <s v="0+000"/>
    <s v="10+850"/>
    <n v="10.85"/>
    <s v="L1"/>
    <n v="2"/>
    <d v="2015-09-22T00:00:00"/>
    <s v="A.C."/>
    <n v="5.7249999999999996"/>
    <n v="2.8"/>
    <n v="1.7"/>
    <n v="0.6"/>
    <n v="2.6595399999999998"/>
    <n v="2.5"/>
    <n v="10.475"/>
    <n v="0.32500000000000001"/>
    <n v="2.5000000000000001E-2"/>
    <n v="0"/>
    <n v="2.9879099999999998"/>
    <n v="3"/>
    <n v="0"/>
    <n v="0"/>
    <n v="10.824999999999998"/>
    <n v="1.27152"/>
    <n v="96.31"/>
    <n v="13.657999999999999"/>
    <n v="0.27159699999999998"/>
    <x v="117"/>
    <n v="143.65"/>
    <n v="0.37827499999999997"/>
    <n v="0"/>
    <n v="0"/>
    <n v="0"/>
    <n v="0"/>
  </r>
  <r>
    <n v="192"/>
    <s v="แขวงทางหลวงพะเยา"/>
    <n v="535"/>
    <n v="120"/>
    <n v="100"/>
    <s v="พะเยา - ปากบอก"/>
    <s v="20+200"/>
    <s v="0+000"/>
    <n v="20.2"/>
    <n v="2"/>
    <s v="R1"/>
    <d v="2015-07-21T00:00:00"/>
    <s v="A.C."/>
    <n v="13.65"/>
    <n v="4.4000000000000004"/>
    <n v="1.46"/>
    <n v="0.7"/>
    <n v="2.3860299999999999"/>
    <n v="2.5"/>
    <n v="19.07"/>
    <n v="0.88"/>
    <n v="0.18"/>
    <n v="0.08"/>
    <n v="4.9408000000000003"/>
    <n v="5"/>
    <n v="0"/>
    <n v="0"/>
    <n v="20.2"/>
    <n v="1.48692"/>
    <n v="186"/>
    <n v="11.28"/>
    <n v="0.27106082036775103"/>
    <x v="117"/>
    <n v="2"/>
    <n v="2.828854314002829E-3"/>
    <n v="280"/>
    <n v="0.39603960396039606"/>
    <n v="0"/>
    <n v="0"/>
  </r>
  <r>
    <n v="1941"/>
    <s v="แขวงทางหลวงนครศรีธรรมราชที่ 1"/>
    <n v="321"/>
    <n v="401"/>
    <n v="503"/>
    <s v="ท่าแพ - นครศรีธรรมราช"/>
    <n v="286310"/>
    <n v="292863"/>
    <n v="6.1529999999999996"/>
    <n v="4"/>
    <s v="L2"/>
    <d v="2015-04-28T00:00:00"/>
    <s v="A.C."/>
    <n v="5.05"/>
    <n v="1"/>
    <n v="0.3"/>
    <n v="0.22500000000000001"/>
    <n v="2.13734"/>
    <n v="2"/>
    <n v="5.8"/>
    <n v="0.625"/>
    <n v="0.1"/>
    <n v="0.05"/>
    <n v="6.3857299999999997"/>
    <n v="6.5"/>
    <n v="0"/>
    <n v="0"/>
    <n v="6.5749999999999993"/>
    <n v="1.08403"/>
    <n v="58.04"/>
    <n v="7.96"/>
    <n v="0.27041049900808789"/>
    <x v="117"/>
    <n v="15.65"/>
    <n v="7.2670706507859117E-2"/>
    <n v="29.68"/>
    <n v="0.12940637875782085"/>
    <n v="0"/>
    <n v="0"/>
  </r>
  <r>
    <n v="1412"/>
    <s v="แขวงทางหลวงอุทัยธานี"/>
    <n v="447"/>
    <n v="3211"/>
    <n v="200"/>
    <s v="กระบกเตี้ย -  แยกหูช้าง"/>
    <n v="57313"/>
    <n v="40802"/>
    <n v="16.510999999999999"/>
    <n v="2"/>
    <s v="R1"/>
    <d v="2015-07-30T00:00:00"/>
    <s v="A.C."/>
    <n v="8.1"/>
    <n v="5.7750000000000004"/>
    <n v="2.2250000000000001"/>
    <n v="0.625"/>
    <n v="2.8109099999999998"/>
    <n v="3"/>
    <n v="15.925000000000001"/>
    <n v="0.67500000000000004"/>
    <n v="0.1"/>
    <n v="2.5000000000000001E-2"/>
    <n v="4.6886400000000004"/>
    <n v="4.5"/>
    <n v="0"/>
    <n v="0"/>
    <n v="16.725000000000001"/>
    <n v="1.18814"/>
    <n v="108.51600000000001"/>
    <n v="95.021000000000001"/>
    <n v="0.26999576040215612"/>
    <x v="117"/>
    <n v="99.4"/>
    <n v="0.17200654109381627"/>
    <n v="0"/>
    <n v="0"/>
    <n v="1.1200000000000001"/>
    <n v="1.9381018714796198E-3"/>
  </r>
  <r>
    <n v="1038"/>
    <s v="แขวงทางหลวงบุรีรัมย์"/>
    <n v="617"/>
    <n v="2226"/>
    <n v="201"/>
    <s v="หนองนาดำ - หนองขมาร"/>
    <n v="60605"/>
    <n v="63656"/>
    <n v="3.0510000000000002"/>
    <n v="2"/>
    <s v="L1"/>
    <d v="2015-05-05T00:00:00"/>
    <s v="A.C."/>
    <n v="2.7749999999999999"/>
    <n v="0.25"/>
    <n v="0.125"/>
    <n v="0.125"/>
    <n v="3.0236999999999998"/>
    <n v="3"/>
    <n v="3.125"/>
    <n v="0.125"/>
    <n v="2.5000000000000001E-2"/>
    <n v="0"/>
    <n v="3.8450199999999999"/>
    <n v="4"/>
    <n v="0"/>
    <n v="0"/>
    <n v="3.2749999999999999"/>
    <n v="1.1978899999999999"/>
    <n v="10.58"/>
    <n v="36.19"/>
    <n v="0.26853022428243667"/>
    <x v="117"/>
    <n v="90.78"/>
    <n v="0.85011939879196508"/>
    <n v="22.17"/>
    <n v="0.20761342885236692"/>
    <n v="0"/>
    <n v="0"/>
  </r>
  <r>
    <n v="1517"/>
    <s v="แขวงทางหลวงอยุธยา"/>
    <n v="413"/>
    <n v="3263"/>
    <n v="100"/>
    <s v="อยุธยา -ไผ่กองดิน"/>
    <n v="25000"/>
    <n v="30000"/>
    <n v="5"/>
    <n v="2"/>
    <s v="L2"/>
    <d v="2015-09-18T00:00:00"/>
    <s v="A.C."/>
    <n v="3.75"/>
    <n v="0.875"/>
    <n v="0.375"/>
    <n v="2.5000000000000001E-2"/>
    <n v="2.1698499999999998"/>
    <n v="2"/>
    <n v="4.5750000000000002"/>
    <n v="0.125"/>
    <n v="0.17499999999999999"/>
    <n v="0.15"/>
    <n v="6.2643000000000004"/>
    <n v="6.5"/>
    <n v="0"/>
    <n v="0"/>
    <n v="5"/>
    <n v="1.0945199999999999"/>
    <n v="0"/>
    <n v="93.85"/>
    <n v="0.26814285714285713"/>
    <x v="117"/>
    <n v="0"/>
    <n v="0"/>
    <n v="0"/>
    <n v="0"/>
    <n v="53"/>
    <n v="0.30285714285714288"/>
  </r>
  <r>
    <n v="614"/>
    <s v="แขวงทางหลวงเลยที่ 1"/>
    <n v="554"/>
    <n v="2481"/>
    <n v="100"/>
    <s v="ศรีศักดิ์ดา - ซำบ่าง"/>
    <n v="0"/>
    <n v="9618"/>
    <n v="9.6180000000000003"/>
    <n v="2"/>
    <s v="L1"/>
    <d v="2015-06-27T00:00:00"/>
    <s v="A.C."/>
    <n v="4.3499999999999996"/>
    <n v="2.93"/>
    <n v="1.44"/>
    <n v="0.89"/>
    <n v="3.1504500000000002"/>
    <n v="3"/>
    <n v="9.52"/>
    <n v="0.1"/>
    <n v="0"/>
    <n v="0"/>
    <n v="2.9538700000000002"/>
    <n v="3"/>
    <n v="0"/>
    <n v="0.04"/>
    <n v="9.58"/>
    <n v="1.0524899999999999"/>
    <n v="72.36"/>
    <n v="35.47"/>
    <n v="0.26763799999999999"/>
    <x v="117"/>
    <n v="0"/>
    <n v="0"/>
    <n v="0"/>
    <n v="0"/>
    <n v="0"/>
    <n v="0"/>
  </r>
  <r>
    <n v="79"/>
    <s v="แขวงทางหลวงลำพูน"/>
    <n v="524"/>
    <n v="1156"/>
    <n v="100"/>
    <s v="สบทา - ท่าลี่"/>
    <s v="25+321"/>
    <s v="0+000"/>
    <n v="25.321000000000002"/>
    <n v="2"/>
    <s v="R1"/>
    <d v="2015-08-11T00:00:00"/>
    <s v="A.C."/>
    <n v="16.975000000000001"/>
    <n v="5.5750000000000002"/>
    <n v="2.125"/>
    <n v="0.72499999999999998"/>
    <n v="2.4293100000000001"/>
    <n v="2.5"/>
    <n v="24.324999999999999"/>
    <n v="0.9"/>
    <n v="0.125"/>
    <n v="0.05"/>
    <n v="3.4839699999999998"/>
    <n v="3.5"/>
    <n v="0"/>
    <n v="0"/>
    <n v="25.400000000000002"/>
    <n v="1.2125999999999999"/>
    <n v="236.65"/>
    <n v="0.83"/>
    <n v="0.2674967700440628"/>
    <x v="117"/>
    <n v="1.6099999999999999"/>
    <n v="1.8166739070336873E-3"/>
    <n v="6.31"/>
    <n v="7.1200076729084263E-3"/>
    <n v="0"/>
    <n v="0"/>
  </r>
  <r>
    <n v="1768"/>
    <s v="แขวงทางหลวงระยอง"/>
    <n v="426"/>
    <n v="364"/>
    <n v="100"/>
    <s v="ทางเลี่ยงเมืองระยอง"/>
    <n v="3909"/>
    <n v="0"/>
    <n v="3.9089999999999998"/>
    <n v="4"/>
    <s v="R2"/>
    <d v="2015-08-17T00:00:00"/>
    <s v="A.C."/>
    <n v="2.0750000000000002"/>
    <n v="1.35"/>
    <n v="0.32500000000000001"/>
    <n v="0.17499999999999999"/>
    <n v="2.6239499999999998"/>
    <n v="2.5"/>
    <n v="3.5249999999999999"/>
    <n v="0.3"/>
    <n v="2.5000000000000001E-2"/>
    <n v="7.4999999999999997E-2"/>
    <n v="5.1879900000000001"/>
    <n v="5"/>
    <n v="0"/>
    <n v="0"/>
    <n v="3.9249999999999998"/>
    <n v="1.06731"/>
    <n v="29.03"/>
    <n v="15.08"/>
    <n v="0.26729999999999998"/>
    <x v="117"/>
    <n v="2074.96"/>
    <n v="15.1662"/>
    <n v="328"/>
    <n v="2.3973979999999999"/>
    <n v="55.71"/>
    <n v="0.40719"/>
  </r>
  <r>
    <n v="1456"/>
    <s v="แขวงทางหลวงอ่างทอง"/>
    <n v="448"/>
    <n v="3195"/>
    <n v="202"/>
    <s v="วิเศษชัยชาญ - ป่างิ้ว"/>
    <n v="25300"/>
    <n v="33357"/>
    <n v="8.0570000000000004"/>
    <n v="4"/>
    <s v="L2"/>
    <d v="2015-06-27T00:00:00"/>
    <s v="A.C."/>
    <n v="5.5750000000000002"/>
    <n v="1.5"/>
    <n v="0.6"/>
    <n v="0.375"/>
    <n v="2.4705599999999999"/>
    <n v="2.5"/>
    <n v="7.55"/>
    <n v="0.32500000000000001"/>
    <n v="0.15"/>
    <n v="2.5000000000000001E-2"/>
    <n v="5.3348399999999998"/>
    <n v="5.5"/>
    <n v="0"/>
    <n v="0"/>
    <n v="8.0500000000000007"/>
    <n v="0.96322399999999997"/>
    <n v="1"/>
    <n v="148"/>
    <n v="0.26596216244968884"/>
    <x v="117"/>
    <n v="0"/>
    <n v="0"/>
    <n v="16"/>
    <n v="5.6738594655933609E-2"/>
    <n v="0"/>
    <n v="0"/>
  </r>
  <r>
    <n v="622"/>
    <s v="แขวงทางหลวงเลยที่ 2 (ด่านซ้าย)"/>
    <n v="555"/>
    <n v="2195"/>
    <n v="101"/>
    <s v="เชียงคาน - ปากคาน"/>
    <n v="0"/>
    <n v="48049"/>
    <n v="48.048999999999999"/>
    <n v="2"/>
    <s v="L1"/>
    <d v="2015-07-01T00:00:00"/>
    <s v="A.C."/>
    <n v="30.3"/>
    <n v="10.824999999999999"/>
    <n v="3.3250000000000002"/>
    <n v="3.5750000000000002"/>
    <n v="2.7177099999999998"/>
    <n v="2.5"/>
    <n v="46.5"/>
    <n v="0.85"/>
    <n v="0.3"/>
    <n v="0.375"/>
    <n v="2.6030799999999998"/>
    <n v="2.5"/>
    <n v="0.05"/>
    <n v="0.15"/>
    <n v="48.025000000000006"/>
    <n v="1.24688"/>
    <n v="445"/>
    <n v="3.24"/>
    <n v="0.26557413116966905"/>
    <x v="117"/>
    <n v="245"/>
    <n v="0.14568461362359258"/>
    <n v="0"/>
    <n v="0"/>
    <n v="0"/>
    <n v="0"/>
  </r>
  <r>
    <n v="1410"/>
    <s v="แขวงทางหลวงอุทัยธานี"/>
    <n v="447"/>
    <n v="3013"/>
    <n v="102"/>
    <s v="ทัพทัน - คลองแบ่ง"/>
    <s v="29+930"/>
    <n v="7746"/>
    <n v="22.184000000000001"/>
    <n v="2"/>
    <s v="R1"/>
    <d v="2015-07-31T00:00:00"/>
    <s v="A.C."/>
    <n v="13.975"/>
    <n v="6.35"/>
    <n v="1.55"/>
    <n v="0.42499999999999999"/>
    <n v="2.4173200000000001"/>
    <n v="2.5"/>
    <n v="22.15"/>
    <n v="0.15"/>
    <n v="0"/>
    <n v="0"/>
    <n v="3.8152599999999999"/>
    <n v="4"/>
    <n v="0"/>
    <n v="0"/>
    <n v="22.3"/>
    <n v="1.3223"/>
    <n v="156"/>
    <n v="6"/>
    <n v="0.26488962932111626"/>
    <x v="117"/>
    <n v="0"/>
    <n v="0"/>
    <n v="0"/>
    <n v="0"/>
    <n v="0"/>
    <n v="0"/>
  </r>
  <r>
    <n v="456"/>
    <s v="แขวงทางหลวงสุโขทัย"/>
    <n v="513"/>
    <n v="1373"/>
    <n v="100"/>
    <s v="คลองยาง - บ้านเหมือง"/>
    <s v="10+298"/>
    <s v="0+000"/>
    <n v="10.298"/>
    <s v="R1"/>
    <n v="2"/>
    <d v="2015-09-17T00:00:00"/>
    <s v="A.C."/>
    <n v="5.51"/>
    <n v="1.73"/>
    <n v="1.35"/>
    <n v="1.7"/>
    <n v="3.07423"/>
    <n v="3"/>
    <n v="9.25"/>
    <n v="0.57999999999999996"/>
    <n v="0.3"/>
    <n v="0.18"/>
    <n v="4.0173399999999999"/>
    <n v="4"/>
    <n v="0"/>
    <n v="0"/>
    <n v="10.3"/>
    <n v="1.3665400000000001"/>
    <n v="91.25"/>
    <n v="8.25"/>
    <n v="0.26461448825014566"/>
    <x v="117"/>
    <n v="76.578000000000003"/>
    <n v="0.2124628915462087"/>
    <n v="0"/>
    <n v="0"/>
    <n v="0"/>
    <n v="0"/>
  </r>
  <r>
    <n v="955"/>
    <s v="แขวงทางหลวงนครราชสีมาที่ 1"/>
    <n v="611"/>
    <n v="2369"/>
    <n v="101"/>
    <s v="พระทองคำ - ดอนไผ่"/>
    <n v="1207"/>
    <n v="45941"/>
    <n v="44.734000000000002"/>
    <n v="2"/>
    <s v="L1"/>
    <d v="2015-04-24T00:00:00"/>
    <s v="A.C."/>
    <n v="32.375"/>
    <n v="8.4749999999999996"/>
    <n v="2.875"/>
    <n v="0.75"/>
    <n v="2.1230899999999999"/>
    <n v="2"/>
    <n v="41.174999999999997"/>
    <n v="2.4500000000000002"/>
    <n v="0.45"/>
    <n v="0.4"/>
    <n v="4.7613799999999999"/>
    <n v="5"/>
    <n v="0"/>
    <n v="0"/>
    <n v="44.734000000000002"/>
    <n v="1.2849999999999999"/>
    <n v="413.92"/>
    <n v="0"/>
    <n v="0.26436906411869521"/>
    <x v="117"/>
    <n v="0"/>
    <n v="0"/>
    <n v="0"/>
    <n v="0"/>
    <n v="0"/>
    <n v="0"/>
  </r>
  <r>
    <n v="1166"/>
    <s v="แขวงทางหลวงสระบุรี"/>
    <n v="432"/>
    <n v="3560"/>
    <n v="100"/>
    <s v="แยกไปลพบุรี"/>
    <s v="0+000"/>
    <s v="0+690"/>
    <n v="0.69"/>
    <n v="2"/>
    <s v="L1"/>
    <d v="2015-10-05T00:00:00"/>
    <s v="A.C."/>
    <n v="0.72499999999999998"/>
    <n v="0.15"/>
    <n v="0.1"/>
    <n v="0"/>
    <n v="2.1689699999999998"/>
    <n v="2"/>
    <n v="0.97499999999999998"/>
    <n v="0"/>
    <n v="0"/>
    <n v="0"/>
    <n v="4.9264400000000004"/>
    <n v="5"/>
    <n v="0"/>
    <n v="0"/>
    <n v="0.97499999999999998"/>
    <n v="1.3912800000000001"/>
    <n v="5.2"/>
    <n v="2.35"/>
    <n v="0.26397500000000002"/>
    <x v="117"/>
    <n v="0.32"/>
    <n v="1.3251000000000001E-2"/>
    <n v="0"/>
    <n v="0"/>
    <n v="0"/>
    <n v="0"/>
  </r>
  <r>
    <n v="2079"/>
    <s v="แขวงทางหลวงสุราษฎร์ธานีที่ 3 (เวียงสระ)"/>
    <n v="329"/>
    <n v="4199"/>
    <n v="100"/>
    <s v="บ่อพระ - ควนสามัคคี"/>
    <n v="0"/>
    <n v="18956"/>
    <n v="18.956"/>
    <n v="2"/>
    <s v="L1"/>
    <d v="2015-04-27T00:00:00"/>
    <s v="A.C."/>
    <n v="15.1"/>
    <n v="2.7250000000000001"/>
    <n v="0.7"/>
    <n v="0.32500000000000001"/>
    <n v="2.0655600000000001"/>
    <n v="2"/>
    <n v="18.5"/>
    <n v="0.22500000000000001"/>
    <n v="0.125"/>
    <n v="0"/>
    <n v="3.8308800000000001"/>
    <n v="4"/>
    <n v="0"/>
    <n v="0"/>
    <n v="18.849999999999998"/>
    <n v="1.21872"/>
    <n v="0"/>
    <n v="349.75"/>
    <n v="0.26358032134567272"/>
    <x v="117"/>
    <n v="0"/>
    <n v="0"/>
    <n v="0"/>
    <n v="0"/>
    <n v="1"/>
    <n v="1.5072498718837609E-3"/>
  </r>
  <r>
    <n v="1176"/>
    <s v="แขวงทางหลวงสิงห์บุรี"/>
    <n v="433"/>
    <n v="311"/>
    <n v="202"/>
    <s v="วัดกระดังงา - บ้านม้า"/>
    <s v="58+263"/>
    <s v="39+772"/>
    <n v="18.491"/>
    <n v="2"/>
    <s v="R1"/>
    <d v="2015-10-05T00:00:00"/>
    <s v="A.C."/>
    <n v="14.75"/>
    <n v="2.25"/>
    <n v="0.95"/>
    <n v="0.4"/>
    <n v="2.1195200000000001"/>
    <n v="2"/>
    <n v="18.175000000000001"/>
    <n v="0.17499999999999999"/>
    <n v="0"/>
    <n v="0"/>
    <n v="3.2501000000000002"/>
    <n v="3.5"/>
    <n v="0"/>
    <n v="0"/>
    <n v="18.491"/>
    <n v="1.1827000000000001"/>
    <n v="168.26"/>
    <n v="3.85"/>
    <n v="0.26296190424685367"/>
    <x v="117"/>
    <n v="42.314999999999998"/>
    <n v="6.5383159374830982E-2"/>
    <n v="0"/>
    <n v="0"/>
    <n v="0"/>
    <n v="0"/>
  </r>
  <r>
    <n v="7"/>
    <s v="แขวงทางหลวงเชียงใหม่ที่ 1"/>
    <n v="521"/>
    <n v="108"/>
    <n v="104"/>
    <s v="ออบหลวง - สะพานแม่ริด"/>
    <s v="126+910"/>
    <s v="109+900"/>
    <n v="17.010000000000002"/>
    <n v="2"/>
    <s v="R1"/>
    <d v="2015-08-17T00:00:00"/>
    <s v="A.C."/>
    <n v="4.7750000000000004"/>
    <n v="4.625"/>
    <n v="4.8250000000000002"/>
    <n v="2.9"/>
    <n v="3.5344099999999998"/>
    <n v="3.5"/>
    <n v="15.35"/>
    <n v="0.92500000000000004"/>
    <n v="0.65"/>
    <n v="0.2"/>
    <n v="4.4363200000000003"/>
    <n v="4.5"/>
    <n v="0"/>
    <n v="0"/>
    <n v="17.125"/>
    <n v="1.2344900000000001"/>
    <n v="148.62"/>
    <n v="15.853999999999999"/>
    <n v="0.26294952548920802"/>
    <x v="117"/>
    <n v="97.543000000000006"/>
    <n v="0.16384143780969176"/>
    <n v="0"/>
    <n v="0"/>
    <n v="0"/>
    <n v="0"/>
  </r>
  <r>
    <n v="1858"/>
    <s v="แขวงทางหลวงประจวบคีรีขันธ์ (หัวหิน)"/>
    <n v="333"/>
    <n v="3169"/>
    <n v="100"/>
    <s v="สามแยกบางสะพาน - ชายทะเล"/>
    <n v="0"/>
    <n v="14224"/>
    <n v="14.224"/>
    <n v="4"/>
    <s v="L2"/>
    <d v="2015-04-04T00:00:00"/>
    <s v="A.C."/>
    <n v="6.5"/>
    <n v="4.0999999999999996"/>
    <n v="2.5"/>
    <n v="1.075"/>
    <n v="3.0083799999999998"/>
    <n v="3"/>
    <n v="12.225"/>
    <n v="1.2250000000000001"/>
    <n v="0.47499999999999998"/>
    <n v="0.25"/>
    <n v="5.5448399999999998"/>
    <n v="5.5"/>
    <n v="0"/>
    <n v="0"/>
    <n v="14.174999999999999"/>
    <n v="1.16849"/>
    <n v="118.17"/>
    <n v="24.63"/>
    <n v="0.26210228185762496"/>
    <x v="117"/>
    <n v="158.63"/>
    <n v="0.31863650972199903"/>
    <n v="60.06"/>
    <n v="0.12064116985376828"/>
    <n v="2.63"/>
    <n v="5.2828217901333763E-3"/>
  </r>
  <r>
    <n v="2155"/>
    <s v="แขวงทางหลวงระนอง"/>
    <n v="331"/>
    <n v="4091"/>
    <n v="102"/>
    <s v="เขาค่าย - เขาปีบ"/>
    <n v="70358"/>
    <n v="56173"/>
    <n v="14.185"/>
    <n v="2"/>
    <s v="R1"/>
    <d v="2015-10-26T00:00:00"/>
    <s v="A.C."/>
    <n v="9.6750000000000007"/>
    <n v="3.0249999999999999"/>
    <n v="0.92500000000000004"/>
    <n v="0.55000000000000004"/>
    <n v="2.4682400000000002"/>
    <n v="2.5"/>
    <n v="14.05"/>
    <n v="0.125"/>
    <n v="1"/>
    <n v="0"/>
    <n v="1.2314499999999999"/>
    <n v="1"/>
    <n v="0"/>
    <n v="0"/>
    <n v="14.175000000000002"/>
    <n v="1.1214299999999999"/>
    <n v="111.26"/>
    <n v="37.65"/>
    <n v="0.26201722141094719"/>
    <x v="117"/>
    <n v="89.474999999999994"/>
    <n v="0.18022055491213052"/>
    <n v="0"/>
    <n v="0"/>
    <n v="0"/>
    <n v="0"/>
  </r>
  <r>
    <n v="2039"/>
    <s v="แขวงทางหลวงนครศรีธรรมราชที่ 2 (ทุ่งสง)"/>
    <n v="326"/>
    <n v="4165"/>
    <n v="100"/>
    <s v="ชะอวด - บ้านตูล"/>
    <n v="290"/>
    <n v="9492"/>
    <n v="9.202"/>
    <n v="2"/>
    <s v="L1"/>
    <d v="2015-05-02T00:00:00"/>
    <s v="A.C."/>
    <n v="5.9249999999999998"/>
    <n v="1.8"/>
    <n v="0.72499999999999998"/>
    <n v="0.77500000000000002"/>
    <n v="2.5629"/>
    <n v="2.5"/>
    <n v="8.1750000000000007"/>
    <n v="0.9"/>
    <n v="0.15"/>
    <n v="0"/>
    <n v="4.9648099999999999"/>
    <n v="5"/>
    <n v="0"/>
    <n v="0"/>
    <n v="9.2249999999999996"/>
    <n v="1.19126"/>
    <n v="84.22"/>
    <n v="0"/>
    <n v="0.26149594808581983"/>
    <x v="117"/>
    <n v="369.29"/>
    <n v="1.1466140901046358"/>
    <n v="811.93"/>
    <n v="2.5209737013692677"/>
    <n v="0"/>
    <n v="0"/>
  </r>
  <r>
    <n v="1736"/>
    <s v="แขวงทางหลวงจันทบุรี"/>
    <n v="423"/>
    <n v="3193"/>
    <n v="101"/>
    <s v="ทับไทร - เทพนิมิต"/>
    <n v="0"/>
    <n v="34000"/>
    <n v="34"/>
    <n v="2"/>
    <s v="L1"/>
    <d v="2015-08-18T00:00:00"/>
    <s v="A.C."/>
    <n v="11.223000000000001"/>
    <n v="12.005000000000001"/>
    <n v="6.9889999999999999"/>
    <n v="3.7829999999999999"/>
    <n v="3.2668599999999999"/>
    <n v="3.5"/>
    <n v="29.4"/>
    <n v="3.75"/>
    <n v="0.625"/>
    <n v="0.15"/>
    <n v="6.1404899999999998"/>
    <n v="6"/>
    <n v="0"/>
    <n v="0"/>
    <n v="34"/>
    <n v="1.3141099999999999"/>
    <n v="252.46"/>
    <n v="117.4"/>
    <n v="0.26147999999999999"/>
    <x v="117"/>
    <n v="0"/>
    <n v="0"/>
    <n v="600"/>
    <n v="0.50420168067226889"/>
    <n v="182.23"/>
    <n v="0.15312999999999999"/>
  </r>
  <r>
    <n v="1494"/>
    <s v="แขวงทางหลวงกรุงเทพ"/>
    <n v="411"/>
    <n v="3902"/>
    <n v="602"/>
    <s v="คู้บอน - ประเวศ"/>
    <s v="41+681"/>
    <s v="41+100"/>
    <n v="0.58099999999999996"/>
    <n v="2"/>
    <s v="R1"/>
    <d v="2015-09-01T00:00:00"/>
    <s v="A.C."/>
    <n v="0.33200000000000002"/>
    <n v="0.10100000000000001"/>
    <n v="9.1999999999999998E-2"/>
    <n v="5.5E-2"/>
    <n v="2.5680000000000001"/>
    <n v="2.5"/>
    <n v="1.875"/>
    <n v="0"/>
    <n v="0"/>
    <n v="0"/>
    <n v="3.1909999999999998"/>
    <n v="3"/>
    <n v="0"/>
    <n v="0"/>
    <n v="1.875"/>
    <n v="1.1399999999999999"/>
    <n v="0"/>
    <n v="10.62"/>
    <n v="0.26112613720186867"/>
    <x v="117"/>
    <n v="0"/>
    <n v="0"/>
    <n v="61.06"/>
    <n v="3.0027046963363659"/>
    <n v="26"/>
    <n v="1.2785837226456849"/>
  </r>
  <r>
    <n v="470"/>
    <s v="แขวงทางหลวงพิษณุโลกที่ 2 (วังทอง)"/>
    <n v="515"/>
    <n v="1309"/>
    <n v="100"/>
    <s v="ป่าแดง - หนองตม"/>
    <s v="15+450"/>
    <s v="0+000"/>
    <n v="15.45"/>
    <s v="R1"/>
    <n v="2"/>
    <d v="2015-09-22T00:00:00"/>
    <s v="A.C."/>
    <n v="11.78"/>
    <n v="2.5249999999999999"/>
    <n v="0.85"/>
    <n v="0.45"/>
    <n v="2.2778499999999999"/>
    <n v="2.5"/>
    <n v="15.1"/>
    <n v="0.45"/>
    <n v="0.05"/>
    <n v="0"/>
    <n v="3.1539100000000002"/>
    <n v="3"/>
    <n v="0"/>
    <n v="0"/>
    <n v="15.604999999999999"/>
    <n v="1.09796"/>
    <n v="134.22999999999999"/>
    <n v="13.654"/>
    <n v="0.26085436893203884"/>
    <x v="117"/>
    <n v="76.58"/>
    <n v="0.1416181229773463"/>
    <n v="0"/>
    <n v="0"/>
    <n v="0"/>
    <n v="0"/>
  </r>
  <r>
    <n v="1402"/>
    <s v="แขวงทางหลวงอุทัยธานี"/>
    <n v="447"/>
    <n v="333"/>
    <n v="301"/>
    <s v="บ้านไร่ - การุ้ง"/>
    <n v="83075"/>
    <n v="112386"/>
    <n v="29.311"/>
    <n v="2"/>
    <s v="L2"/>
    <d v="2015-07-29T00:00:00"/>
    <s v="A.C."/>
    <n v="29.3"/>
    <n v="0.15"/>
    <n v="0"/>
    <n v="0"/>
    <n v="1.6104700000000001"/>
    <n v="1.5"/>
    <n v="29.35"/>
    <n v="7.4999999999999997E-2"/>
    <n v="2.5000000000000001E-2"/>
    <n v="0"/>
    <n v="1.5043200000000001"/>
    <n v="1.5"/>
    <n v="0"/>
    <n v="0"/>
    <n v="29.45"/>
    <n v="0.99686900000000001"/>
    <n v="245.24"/>
    <n v="44.24"/>
    <n v="0.26061400644321736"/>
    <x v="117"/>
    <n v="165.3"/>
    <n v="0.16112917139835364"/>
    <n v="0"/>
    <n v="0"/>
    <n v="2.44"/>
    <n v="2.3784342299575491E-3"/>
  </r>
  <r>
    <n v="1859"/>
    <s v="แขวงทางหลวงประจวบคีรีขันธ์ (หัวหิน)"/>
    <n v="333"/>
    <n v="3217"/>
    <n v="100"/>
    <s v="กุยบุรี - ยางชุม"/>
    <n v="0"/>
    <n v="17375"/>
    <n v="17.375"/>
    <n v="2"/>
    <s v="L1"/>
    <d v="2015-04-04T00:00:00"/>
    <s v="A.C."/>
    <n v="10.925000000000001"/>
    <n v="4.3"/>
    <n v="1.5"/>
    <n v="0.57499999999999996"/>
    <n v="2.4843500000000001"/>
    <n v="2.5"/>
    <n v="16.774999999999999"/>
    <n v="0.4"/>
    <n v="0.1"/>
    <n v="2.5000000000000001E-2"/>
    <n v="3.2597499999999999"/>
    <n v="3.5"/>
    <n v="0"/>
    <n v="0"/>
    <n v="17.3"/>
    <n v="1.4056500000000001"/>
    <n v="23.25"/>
    <n v="270.04000000000002"/>
    <n v="0.26025899280575543"/>
    <x v="117"/>
    <n v="0"/>
    <n v="0"/>
    <n v="1.69"/>
    <n v="2.7790339157245628E-3"/>
    <n v="0"/>
    <n v="0"/>
  </r>
  <r>
    <n v="612"/>
    <s v="แขวงทางหลวงเลยที่ 1"/>
    <n v="554"/>
    <n v="2414"/>
    <n v="200"/>
    <s v="นาเมืองไทย - บ้านกลาง"/>
    <n v="19150"/>
    <n v="33582"/>
    <n v="14.432"/>
    <n v="2"/>
    <s v="L1"/>
    <d v="2015-06-26T00:00:00"/>
    <s v="A.C."/>
    <n v="5.28"/>
    <n v="4.93"/>
    <n v="2.9"/>
    <n v="1.34"/>
    <n v="3.5228100000000002"/>
    <n v="3.5"/>
    <n v="13.68"/>
    <n v="0.6"/>
    <n v="0.12"/>
    <n v="0"/>
    <n v="5.4316700000000004"/>
    <n v="5.5"/>
    <n v="0"/>
    <n v="0"/>
    <n v="14.43"/>
    <n v="1.28363"/>
    <n v="122.48"/>
    <n v="16.350000000000001"/>
    <n v="0.25866130820399114"/>
    <x v="117"/>
    <n v="71"/>
    <n v="0.14056065885334176"/>
    <n v="983.61"/>
    <n v="1.9472798542920493"/>
    <n v="1.29"/>
    <n v="2.5538485904339561E-3"/>
  </r>
  <r>
    <n v="291"/>
    <s v="แขวงทางหลวงสกลนครที่ 2 (สว่างแดนดิน)"/>
    <n v="642"/>
    <n v="2177"/>
    <n v="200"/>
    <s v="นาน้อย - อากาศอำนวย"/>
    <n v="26250"/>
    <n v="33212"/>
    <n v="6.9619999999999997"/>
    <n v="2"/>
    <s v="L1"/>
    <d v="2015-06-06T00:00:00"/>
    <s v="A.C."/>
    <n v="5.35"/>
    <n v="1.1000000000000001"/>
    <n v="0.375"/>
    <n v="0.1"/>
    <n v="2.07538"/>
    <n v="2"/>
    <n v="6.8250000000000002"/>
    <n v="0.1"/>
    <n v="0"/>
    <n v="0"/>
    <n v="3.9402599999999999"/>
    <n v="4"/>
    <n v="0"/>
    <n v="0"/>
    <n v="6.9249999999999998"/>
    <n v="1.27023"/>
    <n v="63"/>
    <n v="0"/>
    <n v="0.25854639471416263"/>
    <x v="117"/>
    <n v="0"/>
    <n v="0"/>
    <n v="0"/>
    <n v="0"/>
    <n v="0"/>
    <n v="0"/>
  </r>
  <r>
    <n v="568"/>
    <s v="แขวงทางหลวงเพชรบูรณ์ที่ 1"/>
    <n v="551"/>
    <n v="2331"/>
    <n v="100"/>
    <s v="โจ๊ะโหวะ - อุทยานแห่งชาติภูหินร่องกล้า"/>
    <n v="0"/>
    <n v="34100"/>
    <n v="34.1"/>
    <n v="2"/>
    <s v="R1"/>
    <d v="2015-07-03T00:00:00"/>
    <s v="A.C."/>
    <n v="15.34"/>
    <n v="11.23"/>
    <n v="6.1"/>
    <n v="2.4300000000000002"/>
    <n v="2.8449399999999998"/>
    <n v="3"/>
    <n v="31.5"/>
    <n v="2.27"/>
    <n v="0.95"/>
    <n v="0.32"/>
    <n v="5.9097200000000001"/>
    <n v="6"/>
    <n v="0"/>
    <n v="0"/>
    <n v="35.040000000000006"/>
    <n v="1.14975"/>
    <n v="239"/>
    <n v="138.22"/>
    <n v="0.25815668202764974"/>
    <x v="117"/>
    <n v="0"/>
    <n v="0"/>
    <n v="259"/>
    <n v="0.21700879765395889"/>
    <n v="0"/>
    <n v="0"/>
  </r>
  <r>
    <n v="845"/>
    <s v="แขวงทางหลวงสุรินทร์"/>
    <n v="615"/>
    <n v="219"/>
    <n v="200"/>
    <s v="พยัคฆภูมิพิสัย - สตึก"/>
    <s v="79+889"/>
    <s v="97+604"/>
    <n v="0"/>
    <n v="4"/>
    <s v="L2"/>
    <d v="2015-05-11T00:00:00"/>
    <s v="A.C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6"/>
    <n v="0"/>
    <n v="0"/>
    <n v="0"/>
    <n v="0"/>
    <n v="0"/>
    <n v="0"/>
  </r>
  <r>
    <n v="1756"/>
    <s v="แขวงทางหลวงตราด"/>
    <n v="425"/>
    <n v="3158"/>
    <n v="100"/>
    <s v="แสนตุ้ง - หนองบัว"/>
    <s v="0+000"/>
    <s v="31+887"/>
    <n v="31.887"/>
    <n v="2"/>
    <s v="R1"/>
    <d v="2015-08-19T00:00:00"/>
    <s v="A.C."/>
    <n v="14.7"/>
    <n v="8.6750000000000007"/>
    <n v="4.6500000000000004"/>
    <n v="3.65"/>
    <n v="3.48"/>
    <n v="3.5"/>
    <n v="28.95"/>
    <n v="2.2250000000000001"/>
    <n v="0.35"/>
    <n v="0.15"/>
    <n v="5.4260000000000002"/>
    <n v="5.5"/>
    <n v="0"/>
    <n v="0"/>
    <n v="31.675000000000001"/>
    <n v="1.214"/>
    <n v="110.26"/>
    <n v="353.98"/>
    <n v="0.25738209480800506"/>
    <x v="117"/>
    <n v="70.819999999999993"/>
    <n v="6.3456222643352184E-2"/>
    <n v="0"/>
    <n v="0"/>
    <n v="75.349999999999994"/>
    <n v="6.7515198759906622E-2"/>
  </r>
  <r>
    <n v="499"/>
    <s v="แขวงทางหลวงพิจิตร"/>
    <n v="519"/>
    <n v="1070"/>
    <n v="102"/>
    <s v="ไผ่ท่าโพ - ดงเสือเหลือง"/>
    <s v="20+000"/>
    <s v="33+451"/>
    <n v="13.451000000000001"/>
    <s v="L1"/>
    <n v="2"/>
    <d v="2015-09-29T00:00:00"/>
    <s v="A.C."/>
    <n v="8.4700000000000006"/>
    <n v="2.38"/>
    <n v="1.6"/>
    <n v="1"/>
    <n v="2.6097700000000001"/>
    <n v="2.5"/>
    <n v="11.82"/>
    <n v="0.83"/>
    <n v="0.36"/>
    <n v="0.44"/>
    <n v="5.1130399999999998"/>
    <n v="5"/>
    <n v="0"/>
    <n v="0"/>
    <n v="13.45"/>
    <n v="1.2861400000000001"/>
    <n v="112.315"/>
    <n v="17.283999999999999"/>
    <n v="0.25692599999999999"/>
    <x v="117"/>
    <n v="75.459999999999994"/>
    <n v="0.16028500000000001"/>
    <n v="0"/>
    <n v="0"/>
    <n v="0"/>
    <n v="0"/>
  </r>
  <r>
    <n v="686"/>
    <s v="แขวงทางหลวงอุดรธานีที่ 2"/>
    <n v="624"/>
    <n v="2225"/>
    <n v="100"/>
    <s v="นาข่า - สุมเส้า"/>
    <n v="0"/>
    <n v="22031"/>
    <n v="22.030999999999999"/>
    <n v="2"/>
    <s v="L1"/>
    <d v="2015-06-16T00:00:00"/>
    <s v="A.C."/>
    <n v="17.75"/>
    <n v="2.9"/>
    <n v="0.95"/>
    <n v="0.35"/>
    <n v="2.34023"/>
    <n v="2.5"/>
    <n v="20.774999999999999"/>
    <n v="1.05"/>
    <n v="0.125"/>
    <n v="0"/>
    <n v="3.9040400000000002"/>
    <n v="4"/>
    <n v="0"/>
    <n v="0"/>
    <n v="21.95"/>
    <n v="1.1653800000000001"/>
    <n v="181.96"/>
    <n v="32.24"/>
    <n v="0.25688"/>
    <x v="117"/>
    <n v="18.62"/>
    <n v="2.4150000000000001E-2"/>
    <n v="441.24"/>
    <n v="0.57223299999999999"/>
    <n v="69.849999999999994"/>
    <n v="9.0590000000000004E-2"/>
  </r>
  <r>
    <n v="1872"/>
    <s v="แขวงทางหลวงราชบุรี"/>
    <n v="335"/>
    <n v="3208"/>
    <n v="1000"/>
    <s v="เขาวัง - เหมืองผาปกค้างคาว"/>
    <s v="40+662"/>
    <s v="0+000"/>
    <n v="40.661999999999999"/>
    <n v="2"/>
    <s v="R1"/>
    <d v="2015-03-30T00:00:00"/>
    <s v="A.C."/>
    <n v="9.59"/>
    <n v="17.41"/>
    <n v="9.31"/>
    <n v="4.3499999999999996"/>
    <n v="3.4503300000000001"/>
    <n v="3.5"/>
    <n v="32.01"/>
    <n v="3.75"/>
    <n v="2.74"/>
    <n v="2.16"/>
    <n v="6.99796"/>
    <n v="7"/>
    <n v="0"/>
    <n v="0"/>
    <n v="40.659999999999997"/>
    <n v="1.6459699999999999"/>
    <n v="365.3"/>
    <n v="0"/>
    <n v="0.2566805090045462"/>
    <x v="117"/>
    <n v="27.9"/>
    <n v="1.9604123189780557E-2"/>
    <n v="0"/>
    <n v="0"/>
    <n v="1.365"/>
    <n v="9.5912645713442518E-4"/>
  </r>
  <r>
    <n v="689"/>
    <s v="แขวงทางหลวงอุดรธานีที่ 2"/>
    <n v="624"/>
    <n v="2312"/>
    <n v="100"/>
    <s v="หนองหาน - สุมเส้า"/>
    <n v="436"/>
    <n v="28738"/>
    <n v="28.302"/>
    <n v="2"/>
    <s v="L1"/>
    <d v="2015-06-16T00:00:00"/>
    <s v="A.C."/>
    <n v="17.375"/>
    <n v="6.65"/>
    <n v="3.15"/>
    <n v="1.425"/>
    <n v="3.10928"/>
    <n v="3"/>
    <n v="27.425000000000001"/>
    <n v="1.05"/>
    <n v="0.1"/>
    <n v="2.5000000000000001E-2"/>
    <n v="4.6302500000000002"/>
    <n v="4.5"/>
    <n v="0"/>
    <n v="0"/>
    <n v="28.599999999999998"/>
    <n v="1.16628"/>
    <n v="124.09"/>
    <n v="260.2"/>
    <n v="0.25661"/>
    <x v="117"/>
    <n v="623.66"/>
    <n v="0.62960000000000005"/>
    <n v="49.05"/>
    <n v="4.9516999999999999E-2"/>
    <n v="357.87"/>
    <n v="0.36127999999999999"/>
  </r>
  <r>
    <n v="1543"/>
    <s v="แขวงทางหลวงนครนายก"/>
    <n v="414"/>
    <n v="3596"/>
    <n v="100"/>
    <s v="ทองหลาง - ทรายมูล"/>
    <s v="0+000"/>
    <s v="1+130"/>
    <n v="1.1299999999999999"/>
    <n v="2"/>
    <s v="L1"/>
    <d v="2015-09-19T00:00:00"/>
    <s v="A.C."/>
    <n v="0.25"/>
    <n v="0.42499999999999999"/>
    <n v="0.17499999999999999"/>
    <n v="0.25"/>
    <n v="3.8340000000000001"/>
    <n v="4"/>
    <n v="1.1000000000000001"/>
    <n v="0"/>
    <n v="0"/>
    <n v="0"/>
    <n v="4.88"/>
    <n v="5"/>
    <n v="0"/>
    <n v="0"/>
    <n v="1.1299999999999999"/>
    <n v="1.135"/>
    <n v="0"/>
    <n v="20.27"/>
    <n v="0.25625790139064475"/>
    <x v="117"/>
    <n v="6"/>
    <n v="0.15170670037926678"/>
    <n v="86.23"/>
    <n v="2.1802781289506958"/>
    <n v="12"/>
    <n v="0.30341340075853357"/>
  </r>
  <r>
    <n v="1475"/>
    <s v="แขวงทางหลวงกรุงเทพ"/>
    <n v="411"/>
    <n v="336"/>
    <n v="100"/>
    <s v="ทางแยกต่างระดับลาดพร้าว"/>
    <s v="0+000"/>
    <s v="0+851"/>
    <n v="0.85099999999999998"/>
    <n v="2"/>
    <s v="L1"/>
    <d v="2015-09-15T00:00:00"/>
    <s v="A.C."/>
    <n v="0"/>
    <n v="0"/>
    <n v="0.436"/>
    <n v="0.41499999999999998"/>
    <n v="5.5570000000000004"/>
    <n v="5.5"/>
    <n v="0.77500000000000002"/>
    <n v="0"/>
    <n v="0"/>
    <n v="0"/>
    <n v="4.4379999999999997"/>
    <n v="4.5"/>
    <n v="0"/>
    <n v="0"/>
    <n v="0.77500000000000002"/>
    <n v="1.046"/>
    <n v="0"/>
    <n v="15.23"/>
    <n v="0.25566560349169043"/>
    <x v="117"/>
    <n v="1"/>
    <n v="3.3573946617424875E-2"/>
    <n v="33.15"/>
    <n v="1.1129763303676348"/>
    <n v="0"/>
    <n v="0"/>
  </r>
  <r>
    <n v="119"/>
    <s v="แขวงทางหลวงเชียงใหม่ที่ 3"/>
    <n v="527"/>
    <n v="1314"/>
    <n v="100"/>
    <s v="ท่าตอน - แม่แหลง"/>
    <s v="0+000"/>
    <s v="26+505"/>
    <n v="26.504999999999999"/>
    <n v="2"/>
    <s v="L1"/>
    <d v="2015-08-26T00:00:00"/>
    <s v="A.C."/>
    <n v="2.41"/>
    <n v="8.18"/>
    <n v="10.039999999999999"/>
    <n v="5.88"/>
    <n v="4.1612600000000004"/>
    <n v="4"/>
    <n v="25.74"/>
    <n v="0.6"/>
    <n v="0.1"/>
    <n v="7.0000000000000007E-2"/>
    <n v="3.6354899999999999"/>
    <n v="3.5"/>
    <n v="0"/>
    <n v="0"/>
    <n v="26.51"/>
    <n v="1.57673"/>
    <n v="187.23"/>
    <n v="99.6"/>
    <n v="0.25550974209717842"/>
    <x v="117"/>
    <n v="121.5"/>
    <n v="0.1309725927722532"/>
    <n v="20.5"/>
    <n v="2.2098256393672355E-2"/>
    <n v="5"/>
    <n v="5.3898186326030127E-3"/>
  </r>
  <r>
    <n v="82"/>
    <s v="แขวงทางหลวงลำพูน"/>
    <n v="524"/>
    <n v="1219"/>
    <n v="100"/>
    <s v="แม่เทย - ทุ่งหัวช้าง"/>
    <s v="0+000"/>
    <s v="16+645"/>
    <n v="16.645"/>
    <n v="2"/>
    <s v="L1"/>
    <d v="2015-08-10T00:00:00"/>
    <s v="A.C."/>
    <n v="9.8000000000000007"/>
    <n v="4.5750000000000002"/>
    <n v="1.7"/>
    <n v="0.57499999999999996"/>
    <n v="2.5966499999999999"/>
    <n v="2.5"/>
    <n v="16.574999999999999"/>
    <n v="7.4999999999999997E-2"/>
    <n v="0"/>
    <n v="0"/>
    <n v="1.6319900000000001"/>
    <n v="1.5"/>
    <n v="0"/>
    <n v="0"/>
    <n v="16.649999999999999"/>
    <n v="1.24847"/>
    <n v="148.25"/>
    <n v="0"/>
    <n v="0.25447367291765011"/>
    <x v="117"/>
    <n v="0"/>
    <n v="0"/>
    <n v="1.2"/>
    <n v="2.0598206239539974E-3"/>
    <n v="0"/>
    <n v="0"/>
  </r>
  <r>
    <n v="957"/>
    <s v="แขวงทางหลวงนครราชสีมาที่ 1"/>
    <n v="611"/>
    <n v="2438"/>
    <n v="100"/>
    <s v="สี่แยกตลาดเมืองใหม่ - เทศบาลตำบลพิมาย"/>
    <n v="0"/>
    <n v="620"/>
    <n v="0.62"/>
    <n v="4"/>
    <s v="L2"/>
    <d v="2015-04-25T00:00:00"/>
    <s v="A.C."/>
    <n v="0.27500000000000002"/>
    <n v="0.05"/>
    <n v="0.15"/>
    <n v="0.2"/>
    <n v="3.92889"/>
    <n v="4"/>
    <n v="0.625"/>
    <n v="0.05"/>
    <n v="0"/>
    <n v="0"/>
    <n v="4.6477000000000004"/>
    <n v="4.5"/>
    <n v="0"/>
    <n v="0"/>
    <n v="0.62"/>
    <n v="1.20922"/>
    <n v="0"/>
    <n v="11.02"/>
    <n v="0.25391705069124426"/>
    <x v="117"/>
    <n v="0"/>
    <n v="0"/>
    <n v="0"/>
    <n v="0"/>
    <n v="0"/>
    <n v="0"/>
  </r>
  <r>
    <n v="354"/>
    <s v="แขวงทางหลวงตากที่ 1"/>
    <n v="512"/>
    <n v="1132"/>
    <n v="101"/>
    <s v="วังประจบ - ลานทอง"/>
    <s v="0+000"/>
    <s v="12+133"/>
    <n v="12.132999999999999"/>
    <n v="2"/>
    <s v="L1"/>
    <d v="2015-09-12T00:00:00"/>
    <s v="A.C."/>
    <n v="8.3249999999999993"/>
    <n v="2.9249999999999998"/>
    <n v="0.77500000000000002"/>
    <n v="0.1"/>
    <n v="2.2991999999999999"/>
    <n v="2.5"/>
    <n v="11.9"/>
    <n v="0.22500000000000001"/>
    <n v="0"/>
    <n v="0"/>
    <n v="4.14757"/>
    <n v="4"/>
    <n v="0"/>
    <n v="0"/>
    <n v="12.125"/>
    <n v="1.17069"/>
    <n v="87.120999999999995"/>
    <n v="41.33"/>
    <n v="0.25382015989450257"/>
    <x v="117"/>
    <n v="95.578000000000003"/>
    <n v="0.22507211736586172"/>
    <n v="0"/>
    <n v="0"/>
    <n v="0"/>
    <n v="0"/>
  </r>
  <r>
    <n v="451"/>
    <s v="แขวงทางหลวงสุโขทัย"/>
    <n v="513"/>
    <n v="1332"/>
    <n v="100"/>
    <s v="นาไผ่ล้อม - ถ้ำแม่ย่า"/>
    <s v="0+000"/>
    <s v="15+319"/>
    <n v="15.319000000000001"/>
    <s v="L1"/>
    <n v="2"/>
    <d v="2015-09-16T00:00:00"/>
    <s v="A.C."/>
    <n v="12.54"/>
    <n v="2.35"/>
    <n v="0.35"/>
    <n v="0.08"/>
    <n v="2.0810900000000001"/>
    <n v="2"/>
    <n v="15.32"/>
    <n v="0"/>
    <n v="0"/>
    <n v="0"/>
    <n v="2.1341899999999998"/>
    <n v="2"/>
    <n v="0"/>
    <n v="0"/>
    <n v="15.32"/>
    <n v="1.1883600000000001"/>
    <n v="126.32"/>
    <n v="18.95"/>
    <n v="0.25327091473706786"/>
    <x v="117"/>
    <n v="67.45"/>
    <n v="0.12580082623819161"/>
    <n v="0"/>
    <n v="0"/>
    <n v="0"/>
    <n v="0"/>
  </r>
  <r>
    <n v="997"/>
    <s v="แขวงทางหลวงบุรีรัมย์"/>
    <n v="617"/>
    <n v="218"/>
    <n v="101"/>
    <s v="บุรีรัมย์ - โคกสูง"/>
    <n v="1715"/>
    <n v="29500"/>
    <n v="27.785"/>
    <n v="2"/>
    <s v="L1"/>
    <d v="2015-05-06T00:00:00"/>
    <s v="A.C."/>
    <n v="18.7"/>
    <n v="6.7"/>
    <n v="1.7749999999999999"/>
    <n v="0.5"/>
    <n v="2.3253499999999998"/>
    <n v="2.5"/>
    <n v="26.574999999999999"/>
    <n v="0.875"/>
    <n v="0.15"/>
    <n v="7.4999999999999997E-2"/>
    <n v="4.5343"/>
    <n v="4.5"/>
    <n v="0"/>
    <n v="0"/>
    <n v="27.674999999999997"/>
    <n v="1.1582600000000001"/>
    <n v="148"/>
    <n v="195.22"/>
    <n v="0.25256176251317514"/>
    <x v="117"/>
    <n v="108.28"/>
    <n v="0.11134476464690608"/>
    <n v="34.53"/>
    <n v="3.5507339520296152E-2"/>
    <n v="0.97"/>
    <n v="9.974549474279545E-4"/>
  </r>
  <r>
    <n v="1399"/>
    <s v="แขวงทางหลวงชัยนาท"/>
    <n v="446"/>
    <n v="3454"/>
    <n v="100"/>
    <s v="แยกเข้าโรงเรียนครูประชาสรรค์ - สะพานของโครงการฯชัณสูตร"/>
    <n v="0"/>
    <n v="21256"/>
    <n v="21.256"/>
    <n v="2"/>
    <s v="L1"/>
    <d v="2015-08-03T00:00:00"/>
    <s v="A.C."/>
    <n v="16.940000000000001"/>
    <n v="2.5"/>
    <n v="0.98"/>
    <n v="0.83"/>
    <n v="2.1383700000000001"/>
    <n v="2"/>
    <n v="20.62"/>
    <n v="0.4"/>
    <n v="0.18"/>
    <n v="0.05"/>
    <n v="2.7528100000000002"/>
    <n v="3"/>
    <n v="0"/>
    <n v="0"/>
    <n v="21.26"/>
    <n v="1.3037399999999999"/>
    <n v="164.87"/>
    <n v="44.2"/>
    <n v="0.25131727512231838"/>
    <x v="117"/>
    <n v="43.6"/>
    <n v="5.8605301360288187E-2"/>
    <n v="0"/>
    <n v="0"/>
    <n v="0"/>
    <n v="0"/>
  </r>
  <r>
    <n v="998"/>
    <s v="แขวงทางหลวงบุรีรัมย์"/>
    <n v="617"/>
    <n v="218"/>
    <n v="102"/>
    <s v="โคกสูง - นางรอง"/>
    <n v="29500"/>
    <n v="51177"/>
    <n v="21.677"/>
    <n v="2"/>
    <s v="L1"/>
    <d v="2015-05-06T00:00:00"/>
    <s v="A.C."/>
    <n v="12.6"/>
    <n v="5.25"/>
    <n v="3.1749999999999998"/>
    <n v="0.52500000000000002"/>
    <n v="2.2787500000000001"/>
    <n v="2.5"/>
    <n v="18.95"/>
    <n v="2.15"/>
    <n v="0.35"/>
    <n v="0.1"/>
    <n v="5.7958299999999996"/>
    <n v="6"/>
    <n v="0"/>
    <n v="0"/>
    <n v="21.55"/>
    <n v="1.13761"/>
    <n v="114.51"/>
    <n v="151.33000000000001"/>
    <n v="0.25066067392035007"/>
    <x v="117"/>
    <n v="83.94"/>
    <n v="0.11063734438740205"/>
    <n v="26.77"/>
    <n v="3.5284271017998012E-2"/>
    <n v="0.75"/>
    <n v="9.8853953169587253E-4"/>
  </r>
  <r>
    <n v="1143"/>
    <s v="แขวงทางหลวงสระบุรี"/>
    <n v="432"/>
    <n v="3022"/>
    <n v="100"/>
    <s v="พระพุทธบาท - ท่าเรือ"/>
    <s v="17+500"/>
    <s v="0+000"/>
    <n v="17.5"/>
    <n v="4"/>
    <s v="R1"/>
    <d v="2015-10-05T00:00:00"/>
    <s v="A.C."/>
    <n v="12.275"/>
    <n v="2.8"/>
    <n v="1.5"/>
    <n v="1.075"/>
    <n v="2.6076600000000001"/>
    <n v="2.5"/>
    <n v="15.4"/>
    <n v="1.55"/>
    <n v="0.4"/>
    <n v="0.3"/>
    <n v="5.4811100000000001"/>
    <n v="5.5"/>
    <n v="0"/>
    <n v="0"/>
    <n v="17.649999999999999"/>
    <n v="1.44983"/>
    <n v="147.86000000000001"/>
    <n v="11.254"/>
    <n v="0.25059100000000001"/>
    <x v="117"/>
    <n v="152.32"/>
    <n v="0.24868599999999999"/>
    <n v="0"/>
    <n v="0"/>
    <n v="0"/>
    <n v="0"/>
  </r>
  <r>
    <n v="2118"/>
    <s v="แขวงทางหลวงภูเก็ต"/>
    <n v="324"/>
    <n v="4024"/>
    <n v="102"/>
    <s v="ตีนเขา - หาดราไวย์"/>
    <n v="11650"/>
    <n v="22720"/>
    <n v="11.07"/>
    <n v="4"/>
    <s v="L2"/>
    <d v="2015-05-14T00:00:00"/>
    <s v="A.C."/>
    <n v="6.8"/>
    <n v="2.4500000000000002"/>
    <n v="1.0249999999999999"/>
    <n v="0.7"/>
    <n v="2.6573799999999999"/>
    <n v="2.5"/>
    <n v="10.5"/>
    <n v="0.375"/>
    <n v="0.05"/>
    <n v="0.05"/>
    <n v="4.6063099999999997"/>
    <n v="4.5"/>
    <n v="0"/>
    <n v="0"/>
    <n v="10.975"/>
    <n v="1.30114"/>
    <n v="63.52"/>
    <n v="66.59"/>
    <n v="0.24987740353594007"/>
    <x v="118"/>
    <n v="395.11"/>
    <n v="1.0197702929410244"/>
    <n v="0"/>
    <n v="0"/>
    <n v="22.41"/>
    <n v="5.7839721254355388E-2"/>
  </r>
  <r>
    <n v="1107"/>
    <s v="แขวงทางหลวงลพบุรีที่ 1"/>
    <n v="431"/>
    <n v="2340"/>
    <n v="200"/>
    <s v="โคกแสมสาร - สระโบสถ์"/>
    <s v="36+363"/>
    <s v="56+013"/>
    <n v="19.649999999999999"/>
    <n v="2"/>
    <s v="L1"/>
    <d v="2015-10-05T00:00:00"/>
    <s v="A.C."/>
    <n v="9.5749999999999993"/>
    <n v="5.25"/>
    <n v="2.9249999999999998"/>
    <n v="2.2250000000000001"/>
    <n v="3.1990500000000002"/>
    <n v="3"/>
    <n v="18.25"/>
    <n v="1.1499999999999999"/>
    <n v="0.32500000000000001"/>
    <n v="0.25"/>
    <n v="3.93953"/>
    <n v="4"/>
    <n v="0"/>
    <n v="0"/>
    <n v="19.975000000000001"/>
    <n v="1.4226799999999999"/>
    <n v="167.82"/>
    <n v="4.99"/>
    <n v="0.24764085786986556"/>
    <x v="118"/>
    <n v="13.023"/>
    <n v="1.8935659760087244E-2"/>
    <n v="0"/>
    <n v="0"/>
    <n v="0"/>
    <n v="0"/>
  </r>
  <r>
    <n v="1123"/>
    <s v="แขวงทางหลวงลพบุรีที่ 1"/>
    <n v="431"/>
    <n v="3333"/>
    <n v="102"/>
    <s v="แยกมะนาวหวาน - เขาพระ"/>
    <s v="18+462"/>
    <s v="34+167"/>
    <n v="15.608000000000001"/>
    <n v="2"/>
    <s v="L4"/>
    <d v="2015-10-05T00:00:00"/>
    <s v="A.C."/>
    <n v="12.175000000000001"/>
    <n v="2.6"/>
    <n v="0.55000000000000004"/>
    <n v="0.35"/>
    <n v="2.0682900000000002"/>
    <n v="2"/>
    <n v="14.275"/>
    <n v="1.3"/>
    <n v="0.1"/>
    <n v="0"/>
    <n v="5.4051600000000004"/>
    <n v="5.5"/>
    <n v="0"/>
    <n v="0"/>
    <n v="15.675000000000001"/>
    <n v="1.32037"/>
    <n v="133.99600000000001"/>
    <n v="1.69"/>
    <n v="0.24683495643259867"/>
    <x v="118"/>
    <n v="69.78"/>
    <n v="0.12773669180639963"/>
    <n v="1.002"/>
    <n v="1.8342242073661858E-3"/>
    <n v="2.69"/>
    <n v="4.9242146884381629E-3"/>
  </r>
  <r>
    <n v="1011"/>
    <s v="แขวงทางหลวงบุรีรัมย์"/>
    <n v="617"/>
    <n v="226"/>
    <n v="204"/>
    <s v="กระสัง-ระกา"/>
    <s v="126+342"/>
    <s v="147+079"/>
    <n v="20.736999999999998"/>
    <n v="4"/>
    <s v="L2"/>
    <d v="2015-05-07T00:00:00"/>
    <s v="A.C."/>
    <n v="10.675000000000001"/>
    <n v="6.5250000000000004"/>
    <n v="2.625"/>
    <n v="0.8"/>
    <n v="2.7574900000000002"/>
    <n v="3"/>
    <n v="14.904"/>
    <n v="3.8580000000000001"/>
    <n v="1.929"/>
    <n v="4.5999999999999999E-2"/>
    <n v="6.5860599999999998"/>
    <n v="6.5"/>
    <n v="0"/>
    <n v="0"/>
    <n v="20.625000000000004"/>
    <n v="1.2778099999999999"/>
    <n v="178.83"/>
    <n v="0"/>
    <n v="0.2463918875164475"/>
    <x v="118"/>
    <n v="135.01"/>
    <n v="0.18601671270813383"/>
    <n v="564.37"/>
    <n v="0.77758871306636179"/>
    <n v="0"/>
    <n v="0"/>
  </r>
  <r>
    <n v="152"/>
    <s v="แขวงทางหลวงแพร่"/>
    <n v="531"/>
    <n v="1134"/>
    <n v="100"/>
    <s v="โจโก้ - ร้องเข็ม"/>
    <s v="22+425"/>
    <s v="11+136"/>
    <n v="11.289"/>
    <n v="2"/>
    <s v="R1"/>
    <d v="2015-08-05T00:00:00"/>
    <s v="A.C."/>
    <n v="8.8000000000000007"/>
    <n v="1.71"/>
    <n v="0.45"/>
    <n v="0.33"/>
    <n v="2.1160000000000001"/>
    <n v="2"/>
    <n v="4.58"/>
    <n v="2.04"/>
    <n v="1.19"/>
    <n v="3.5"/>
    <n v="16.890999999999998"/>
    <n v="17"/>
    <n v="0"/>
    <n v="0"/>
    <n v="11.29"/>
    <n v="1.0680000000000001"/>
    <n v="41"/>
    <n v="112.36"/>
    <n v="0.24595370967946042"/>
    <x v="118"/>
    <n v="170"/>
    <n v="0.43025448287207518"/>
    <n v="484"/>
    <n v="1.2249598218240259"/>
    <n v="40"/>
    <n v="0.10123634891107652"/>
  </r>
  <r>
    <n v="2123"/>
    <s v="แขวงทางหลวงภูเก็ต"/>
    <n v="324"/>
    <n v="4028"/>
    <n v="100"/>
    <s v="ห้าแยกฉลอง - กะรน"/>
    <n v="8608"/>
    <n v="0"/>
    <n v="8.6080000000000005"/>
    <n v="2"/>
    <s v="R2"/>
    <d v="2015-05-14T00:00:00"/>
    <s v="A.C."/>
    <n v="3.1749999999999998"/>
    <n v="2.5750000000000002"/>
    <n v="1.875"/>
    <n v="1.0249999999999999"/>
    <n v="3.3084099999999999"/>
    <n v="3.5"/>
    <n v="8.125"/>
    <n v="0.3"/>
    <n v="0.125"/>
    <n v="0.1"/>
    <n v="4.3015600000000003"/>
    <n v="4.5"/>
    <n v="0"/>
    <n v="0"/>
    <n v="8.65"/>
    <n v="1.19669"/>
    <n v="74"/>
    <n v="0"/>
    <n v="0.24561869357408389"/>
    <x v="118"/>
    <n v="0"/>
    <n v="0"/>
    <n v="0"/>
    <n v="0"/>
    <n v="0"/>
    <n v="0"/>
  </r>
  <r>
    <n v="1404"/>
    <s v="แขวงทางหลวงอุทัยธานี"/>
    <n v="447"/>
    <n v="333"/>
    <n v="303"/>
    <s v="อุทัยธานี - สะพานข้ามแม่น้ำเจ้าพระยา"/>
    <n v="166073"/>
    <n v="182227"/>
    <n v="16.154"/>
    <n v="6"/>
    <s v="L1"/>
    <d v="2015-08-01T00:00:00"/>
    <s v="A.C."/>
    <n v="8.85"/>
    <n v="4.7750000000000004"/>
    <n v="2.15"/>
    <n v="0.7"/>
    <n v="2.8281000000000001"/>
    <n v="3"/>
    <n v="14.725"/>
    <n v="1.425"/>
    <n v="0.25"/>
    <n v="7.4999999999999997E-2"/>
    <n v="5.7773000000000003"/>
    <n v="6"/>
    <n v="0"/>
    <n v="0"/>
    <n v="16.475000000000001"/>
    <n v="1.2141"/>
    <n v="94"/>
    <n v="88"/>
    <n v="0.24407930808822229"/>
    <x v="118"/>
    <n v="0"/>
    <n v="0"/>
    <n v="0"/>
    <n v="0"/>
    <n v="0"/>
    <n v="0"/>
  </r>
  <r>
    <n v="275"/>
    <s v="แขวงทางหลวงสกลนครที่ 1"/>
    <n v="641"/>
    <n v="2101"/>
    <n v="101"/>
    <s v="ห้วยผึ้ง - น้ำปุ้น"/>
    <s v="20+500"/>
    <s v="0+000"/>
    <n v="20.5"/>
    <n v="2"/>
    <s v="R1"/>
    <d v="2015-06-05T00:00:00"/>
    <s v="A.C."/>
    <n v="14.625"/>
    <n v="4.5"/>
    <n v="0.85"/>
    <n v="0.45"/>
    <n v="2.3163399999999998"/>
    <n v="2.5"/>
    <n v="20.2"/>
    <n v="0.22500000000000001"/>
    <n v="0"/>
    <n v="0"/>
    <n v="4.6641399999999997"/>
    <n v="4.5"/>
    <n v="0"/>
    <n v="0"/>
    <n v="20.425000000000001"/>
    <n v="1.1525399999999999"/>
    <n v="146"/>
    <n v="58"/>
    <n v="0.24390243902439024"/>
    <x v="118"/>
    <n v="0"/>
    <n v="0"/>
    <n v="199.63"/>
    <n v="0"/>
    <n v="0"/>
    <n v="0"/>
  </r>
  <r>
    <n v="1224"/>
    <s v="แขวงทางหลวงนครสวรรค์ที่ 1"/>
    <n v="437"/>
    <n v="225"/>
    <n v="100"/>
    <s v="แยกบึงบอระเพ็ด - เกรียงไกรกลาง"/>
    <s v="0+000"/>
    <s v="10+000"/>
    <n v="10"/>
    <n v="2"/>
    <s v="L1"/>
    <d v="2015-10-05T00:00:00"/>
    <s v="A.C."/>
    <n v="6"/>
    <n v="2.7250000000000001"/>
    <n v="1"/>
    <n v="0.3"/>
    <n v="2.5642900000000002"/>
    <n v="2.5"/>
    <n v="9.9749999999999996"/>
    <n v="2.5000000000000001E-2"/>
    <n v="2.5000000000000001E-2"/>
    <n v="0"/>
    <n v="1.9567399999999999"/>
    <n v="2"/>
    <n v="0"/>
    <n v="0"/>
    <n v="10"/>
    <n v="1.0505199999999999"/>
    <n v="83.18"/>
    <n v="4.17"/>
    <n v="0.24361428571428573"/>
    <x v="118"/>
    <n v="23.21"/>
    <n v="6.6314285714285715E-2"/>
    <n v="2.85"/>
    <n v="8.1428571428571427E-3"/>
    <n v="0"/>
    <n v="8.1428571428571427E-3"/>
  </r>
  <r>
    <n v="2199"/>
    <s v="แขวงทางหลวงพัทลุง"/>
    <n v="314"/>
    <n v="4163"/>
    <n v="101"/>
    <s v="ควนดินสอ - เขาปู่"/>
    <n v="0"/>
    <n v="26767"/>
    <n v="26.766999999999999"/>
    <n v="2"/>
    <s v="R1"/>
    <d v="2015-05-20T00:00:00"/>
    <s v="A.C."/>
    <n v="18.100000000000001"/>
    <n v="5.4749999999999996"/>
    <n v="1.7"/>
    <n v="1.575"/>
    <n v="2.5076100000000001"/>
    <n v="2.5"/>
    <n v="23.55"/>
    <n v="2.4500000000000002"/>
    <n v="0.72499999999999998"/>
    <n v="0.125"/>
    <n v="5.2294200000000002"/>
    <n v="5"/>
    <n v="0"/>
    <n v="0"/>
    <n v="26.85"/>
    <n v="1.1948300000000001"/>
    <n v="203.14"/>
    <n v="49.65"/>
    <n v="0.24333267509566681"/>
    <x v="118"/>
    <n v="174.26"/>
    <n v="0.18600729042691158"/>
    <n v="0"/>
    <n v="0"/>
    <n v="1"/>
    <n v="1.0674124321525971E-3"/>
  </r>
  <r>
    <n v="68"/>
    <s v="แขวงทางหลวงลำพูน"/>
    <n v="524"/>
    <n v="116"/>
    <n v="101"/>
    <s v="ป่าสัก - สะปุ๋ง"/>
    <s v="0+000"/>
    <s v="16+348"/>
    <n v="16.347999999999999"/>
    <n v="2"/>
    <s v="L1"/>
    <d v="2015-08-11T00:00:00"/>
    <s v="A.C."/>
    <n v="7.8"/>
    <n v="6.1"/>
    <n v="1.6"/>
    <n v="0.92500000000000004"/>
    <n v="2.8081900000000002"/>
    <n v="3"/>
    <n v="16.225000000000001"/>
    <n v="0.125"/>
    <n v="0.05"/>
    <n v="2.5000000000000001E-2"/>
    <n v="2.2830400000000002"/>
    <n v="2.5"/>
    <n v="0"/>
    <n v="0"/>
    <n v="16.424999999999997"/>
    <n v="1.0023200000000001"/>
    <n v="138.96"/>
    <n v="0.36"/>
    <n v="0.24317522457967777"/>
    <x v="118"/>
    <n v="205.64"/>
    <n v="0.35939739242895591"/>
    <n v="1.63"/>
    <n v="2.848753888636443E-3"/>
    <n v="0"/>
    <n v="0"/>
  </r>
  <r>
    <n v="485"/>
    <s v="แขวงทางหลวงพิจิตร"/>
    <n v="519"/>
    <n v="113"/>
    <n v="203"/>
    <s v="ฆะมัง - พิจิตร"/>
    <s v="107+209"/>
    <s v="96+209"/>
    <n v="11"/>
    <s v="R2"/>
    <n v="2"/>
    <d v="2015-09-29T00:00:00"/>
    <s v="A.C."/>
    <n v="5.41"/>
    <n v="3.62"/>
    <n v="1.54"/>
    <n v="0.43"/>
    <n v="2.70126"/>
    <n v="2.5"/>
    <n v="9.86"/>
    <n v="1.07"/>
    <n v="7.0000000000000007E-2"/>
    <n v="0"/>
    <n v="5.4501999999999997"/>
    <n v="5.5"/>
    <n v="0"/>
    <n v="0"/>
    <n v="11"/>
    <n v="1.26305"/>
    <n v="84.7"/>
    <n v="16.850000000000001"/>
    <n v="0.24188299999999999"/>
    <x v="118"/>
    <n v="98.45"/>
    <n v="0.255714"/>
    <n v="0"/>
    <n v="0"/>
    <n v="0"/>
    <n v="0"/>
  </r>
  <r>
    <n v="1799"/>
    <s v="แขวงทางหลวงชลบุรีที่ 2"/>
    <n v="428"/>
    <n v="3573"/>
    <n v="100"/>
    <s v="อนุสาวรีย์ ร.6 - สถานีรถไฟแสมสาร"/>
    <s v="2+335"/>
    <s v="0+000"/>
    <n v="2.335"/>
    <n v="2"/>
    <s v="R1"/>
    <d v="2015-08-14T00:00:00"/>
    <s v="A.C."/>
    <n v="1.0249999999999999"/>
    <n v="0.875"/>
    <n v="0.32500000000000001"/>
    <n v="0.125"/>
    <n v="2.9154300000000002"/>
    <n v="3"/>
    <n v="2.15"/>
    <n v="0.17499999999999999"/>
    <n v="2.5000000000000001E-2"/>
    <n v="0"/>
    <n v="7.7088900000000002"/>
    <n v="7.5"/>
    <n v="0"/>
    <n v="0"/>
    <n v="2.35"/>
    <n v="1.2273000000000001"/>
    <n v="19.739999999999998"/>
    <n v="0"/>
    <n v="0.24154175588865096"/>
    <x v="118"/>
    <n v="0"/>
    <n v="0"/>
    <n v="0"/>
    <n v="0"/>
    <n v="0"/>
    <n v="0"/>
  </r>
  <r>
    <n v="2180"/>
    <s v="แขวงทางหลวงสงขลาที่ 1"/>
    <n v="311"/>
    <n v="4135"/>
    <n v="100"/>
    <s v="ทางเข้าสนามบินหาดใหญ่"/>
    <n v="10187"/>
    <n v="0"/>
    <n v="10.186999999999999"/>
    <n v="2"/>
    <s v="R1"/>
    <d v="2015-05-23T00:00:00"/>
    <s v="A.C."/>
    <n v="7.0250000000000004"/>
    <n v="1.95"/>
    <n v="0.7"/>
    <n v="0.4"/>
    <n v="2.45174"/>
    <n v="2.5"/>
    <n v="9.4"/>
    <n v="0.625"/>
    <n v="2.5000000000000001E-2"/>
    <n v="2.5000000000000001E-2"/>
    <n v="5.2114399999999996"/>
    <n v="5"/>
    <n v="0"/>
    <n v="0"/>
    <n v="10.074999999999999"/>
    <n v="1.2308600000000001"/>
    <n v="80.319999999999993"/>
    <n v="11.12"/>
    <n v="0.24086721171240655"/>
    <x v="118"/>
    <n v="6.23"/>
    <n v="1.7473250220869738E-2"/>
    <n v="0"/>
    <n v="0"/>
    <n v="0"/>
    <n v="0"/>
  </r>
  <r>
    <n v="1531"/>
    <s v="แขวงทางหลวงนครนายก"/>
    <n v="414"/>
    <n v="3051"/>
    <n v="101"/>
    <s v="บ้านนา-บางอ้อ"/>
    <n v="0"/>
    <n v="5881"/>
    <n v="5.8810000000000002"/>
    <n v="4"/>
    <s v="L1"/>
    <d v="2015-09-19T00:00:00"/>
    <s v="A.C."/>
    <n v="3.1"/>
    <n v="2.0249999999999999"/>
    <n v="0.42499999999999999"/>
    <n v="0.375"/>
    <n v="2.78287"/>
    <n v="3"/>
    <n v="4.1500000000000004"/>
    <n v="1.375"/>
    <n v="0.35"/>
    <n v="0.05"/>
    <n v="8.2199200000000001"/>
    <n v="8"/>
    <n v="0"/>
    <n v="0"/>
    <n v="5.8810000000000002"/>
    <n v="1.11168"/>
    <n v="42"/>
    <n v="14.87"/>
    <n v="0.24016809580489229"/>
    <x v="118"/>
    <n v="2535"/>
    <n v="12.315689751499988"/>
    <n v="1189.7"/>
    <n v="5.7798722277552406"/>
    <n v="136"/>
    <n v="0.66072339495226762"/>
  </r>
  <r>
    <n v="607"/>
    <s v="แขวงทางหลวงเลยที่ 1"/>
    <n v="554"/>
    <n v="2140"/>
    <n v="100"/>
    <s v="วังสะพุง - นาหลวง"/>
    <n v="0"/>
    <n v="23233"/>
    <n v="23.233000000000001"/>
    <n v="2"/>
    <s v="L1"/>
    <d v="2015-06-27T00:00:00"/>
    <s v="A.C."/>
    <n v="11.6"/>
    <n v="6.08"/>
    <n v="3.57"/>
    <n v="1.99"/>
    <n v="3.6613500000000001"/>
    <n v="3.5"/>
    <n v="20.76"/>
    <n v="1.29"/>
    <n v="0.73"/>
    <n v="0.5"/>
    <n v="4.6312600000000002"/>
    <n v="4.5"/>
    <n v="0"/>
    <n v="0"/>
    <n v="23.24"/>
    <n v="1.1996899999999999"/>
    <n v="195"/>
    <n v="0"/>
    <n v="0.23980667892345248"/>
    <x v="118"/>
    <n v="0"/>
    <n v="0"/>
    <n v="0"/>
    <n v="0"/>
    <n v="0"/>
    <n v="0"/>
  </r>
  <r>
    <n v="281"/>
    <s v="แขวงทางหลวงสกลนครที่ 1"/>
    <n v="641"/>
    <n v="2346"/>
    <n v="100"/>
    <s v="ดอนเชียงบาน - นาหว้า"/>
    <n v="0"/>
    <n v="26100"/>
    <n v="26.1"/>
    <n v="2"/>
    <s v="L1"/>
    <d v="2015-06-04T00:00:00"/>
    <s v="A.C."/>
    <n v="19.274999999999999"/>
    <n v="5.45"/>
    <n v="1.05"/>
    <n v="0.25"/>
    <n v="2.3944800000000002"/>
    <n v="2.5"/>
    <n v="25.6"/>
    <n v="0.4"/>
    <n v="2.5000000000000001E-2"/>
    <n v="0"/>
    <n v="3.0819100000000001"/>
    <n v="3"/>
    <n v="0"/>
    <n v="0"/>
    <n v="26.024999999999999"/>
    <n v="1.2381500000000001"/>
    <n v="157"/>
    <n v="124"/>
    <n v="0.23973727422003283"/>
    <x v="118"/>
    <n v="0"/>
    <n v="0"/>
    <n v="1"/>
    <n v="0"/>
    <n v="0"/>
    <n v="0"/>
  </r>
  <r>
    <n v="404"/>
    <s v="แขวงทางหลวงพิษณุโลกที่ 1"/>
    <n v="511"/>
    <n v="1064"/>
    <n v="100"/>
    <s v="พิษณุโลก - บึงพระ"/>
    <s v="0+000"/>
    <s v="5+650"/>
    <n v="5.65"/>
    <s v="L2"/>
    <n v="4"/>
    <d v="2015-09-19T00:00:00"/>
    <s v="A.C."/>
    <n v="5.09"/>
    <n v="0.38"/>
    <n v="0.15"/>
    <n v="0.03"/>
    <n v="1.8940399999999999"/>
    <n v="2"/>
    <n v="5.5"/>
    <n v="0.15"/>
    <n v="0"/>
    <n v="0"/>
    <n v="4.5509700000000004"/>
    <n v="4.5"/>
    <n v="0"/>
    <n v="0"/>
    <n v="5.65"/>
    <n v="1.17611"/>
    <n v="12.68"/>
    <n v="69.319999999999993"/>
    <n v="0.23939299999999999"/>
    <x v="118"/>
    <n v="19.600000000000001"/>
    <n v="9.9114999999999995E-2"/>
    <n v="0"/>
    <n v="0"/>
    <n v="0"/>
    <n v="0"/>
  </r>
  <r>
    <n v="1439"/>
    <s v="แขวงทางหลวงอ่างทอง"/>
    <n v="448"/>
    <n v="33"/>
    <n v="201"/>
    <s v="นาคู - ป่าโมก"/>
    <n v="40318"/>
    <n v="12346"/>
    <n v="27.972000000000001"/>
    <n v="4"/>
    <s v="R2"/>
    <d v="2015-06-27T00:00:00"/>
    <s v="A.C."/>
    <n v="22.125"/>
    <n v="3.35"/>
    <n v="1.9750000000000001"/>
    <n v="0.6"/>
    <n v="2.3130000000000002"/>
    <n v="2.5"/>
    <n v="25.475000000000001"/>
    <n v="2.5750000000000002"/>
    <n v="0"/>
    <n v="0"/>
    <n v="3.0179999999999998"/>
    <n v="3"/>
    <n v="0"/>
    <n v="0"/>
    <n v="28.050000000000004"/>
    <n v="1.218"/>
    <n v="214.32"/>
    <n v="39.36"/>
    <n v="0.23901452472881043"/>
    <x v="118"/>
    <n v="57.31"/>
    <n v="5.8538129966701401E-2"/>
    <n v="0"/>
    <n v="0"/>
    <n v="0"/>
    <n v="0"/>
  </r>
  <r>
    <n v="319"/>
    <s v="แขวงทางหลวงนครพนม"/>
    <n v="644"/>
    <n v="2177"/>
    <n v="100"/>
    <s v="ศรีสงคราม - นาน้อย"/>
    <n v="26250"/>
    <n v="0"/>
    <n v="26.25"/>
    <n v="2"/>
    <s v="R1"/>
    <d v="2015-06-03T00:00:00"/>
    <s v="A.C."/>
    <n v="19.54"/>
    <n v="4.21"/>
    <n v="1.58"/>
    <n v="0.93"/>
    <n v="2.72403"/>
    <n v="2.5"/>
    <n v="26.07"/>
    <n v="0.1"/>
    <n v="0.08"/>
    <n v="0"/>
    <n v="3.0339399999999999"/>
    <n v="3"/>
    <n v="0"/>
    <n v="0"/>
    <n v="26.26"/>
    <n v="1.26983"/>
    <n v="166"/>
    <n v="107"/>
    <n v="0.23891000000000001"/>
    <x v="118"/>
    <n v="234.99"/>
    <n v="0.25577"/>
    <n v="0"/>
    <n v="0"/>
    <n v="0"/>
    <n v="0"/>
  </r>
  <r>
    <n v="67"/>
    <s v="แขวงทางหลวงลำพูน"/>
    <n v="524"/>
    <n v="106"/>
    <n v="203"/>
    <s v="ม่วงโตน - ท่าจักร"/>
    <s v="149+556"/>
    <s v="118+533"/>
    <n v="31.023"/>
    <n v="2"/>
    <s v="R1"/>
    <d v="2015-08-12T00:00:00"/>
    <s v="A.C."/>
    <n v="18.324999999999999"/>
    <n v="7.9"/>
    <n v="3.65"/>
    <n v="1.35"/>
    <n v="2.6003799999999999"/>
    <n v="2.5"/>
    <n v="31.074999999999999"/>
    <n v="0.125"/>
    <n v="2.5000000000000001E-2"/>
    <n v="0"/>
    <n v="2.09219"/>
    <n v="2"/>
    <n v="0"/>
    <n v="0"/>
    <n v="31.225000000000001"/>
    <n v="1.0559799999999999"/>
    <n v="258.63"/>
    <n v="0"/>
    <n v="0.23819194054180998"/>
    <x v="118"/>
    <n v="39.612000000000002"/>
    <n v="3.6481688701009853E-2"/>
    <n v="0"/>
    <n v="0"/>
    <n v="0.63"/>
    <n v="5.8021467943138963E-4"/>
  </r>
  <r>
    <n v="2127"/>
    <s v="แขวงทางหลวงภูเก็ต"/>
    <n v="324"/>
    <n v="4031"/>
    <n v="100"/>
    <s v="มุดดอกขาว - สนามบินภูเก็ต"/>
    <n v="13093"/>
    <n v="0"/>
    <n v="13.093"/>
    <n v="2"/>
    <s v="R1"/>
    <d v="2015-05-15T00:00:00"/>
    <s v="A.C."/>
    <n v="3.875"/>
    <n v="4.55"/>
    <n v="2.4249999999999998"/>
    <n v="1.9"/>
    <n v="3.6432899999999999"/>
    <n v="3.5"/>
    <n v="11.574999999999999"/>
    <n v="0.375"/>
    <n v="7.4999999999999997E-2"/>
    <n v="0.72499999999999998"/>
    <n v="5.4568700000000003"/>
    <n v="5.5"/>
    <n v="0"/>
    <n v="0"/>
    <n v="12.750000000000002"/>
    <n v="1.71638"/>
    <n v="96.26"/>
    <n v="25.16"/>
    <n v="0.23750968347317544"/>
    <x v="118"/>
    <n v="69"/>
    <n v="0.15057118853040338"/>
    <n v="69.94"/>
    <n v="0.15262244820023785"/>
    <n v="0"/>
    <n v="0"/>
  </r>
  <r>
    <n v="1437"/>
    <s v="แขวงทางหลวงอ่างทอง"/>
    <n v="448"/>
    <n v="32"/>
    <n v="202"/>
    <s v="อ่างทอง - ไชโย"/>
    <n v="66800"/>
    <n v="49087"/>
    <n v="17.713000000000001"/>
    <n v="8"/>
    <s v="R4"/>
    <d v="2015-06-27T00:00:00"/>
    <s v="A.C."/>
    <n v="11.1"/>
    <n v="4.1500000000000004"/>
    <n v="2.0499999999999998"/>
    <n v="0.32500000000000001"/>
    <n v="2.4009999999999998"/>
    <n v="2.5"/>
    <n v="14.15"/>
    <n v="2.125"/>
    <n v="1.2749999999999999"/>
    <n v="7.4999999999999997E-2"/>
    <n v="5.7539999999999996"/>
    <n v="6"/>
    <n v="0"/>
    <n v="0"/>
    <n v="17.625"/>
    <n v="1.198"/>
    <n v="84.12"/>
    <n v="125.69"/>
    <n v="0.23705752836899449"/>
    <x v="118"/>
    <n v="25.62"/>
    <n v="4.1325580082425331E-2"/>
    <n v="10.5"/>
    <n v="1.6936713148534972E-2"/>
    <n v="0"/>
    <n v="0"/>
  </r>
  <r>
    <n v="1715"/>
    <s v="แขวงทางหลวงชลบุรีที่ 1"/>
    <n v="422"/>
    <n v="3127"/>
    <n v="100"/>
    <s v="มาบโป่ง - หัวไผ่"/>
    <n v="18935"/>
    <n v="6992"/>
    <n v="11.943"/>
    <n v="2"/>
    <s v="R1"/>
    <d v="2015-08-13T00:00:00"/>
    <s v="A.C."/>
    <n v="4.66"/>
    <n v="3.27"/>
    <n v="2.14"/>
    <n v="1.88"/>
    <n v="3.1870599999999998"/>
    <n v="3"/>
    <n v="10.220000000000001"/>
    <n v="1.38"/>
    <n v="0.33"/>
    <n v="0.03"/>
    <n v="6.7101800000000003"/>
    <n v="6.5"/>
    <n v="0"/>
    <n v="0"/>
    <n v="11.943"/>
    <n v="1.08561"/>
    <n v="94.55"/>
    <n v="8.7799999999999994"/>
    <n v="0.23669999999999999"/>
    <x v="118"/>
    <n v="0"/>
    <n v="0"/>
    <n v="0"/>
    <n v="0"/>
    <n v="0"/>
    <n v="0"/>
  </r>
  <r>
    <n v="241"/>
    <s v="แขวงทางหลวงเชียงรายที่ 2"/>
    <n v="537"/>
    <n v="1174"/>
    <n v="102"/>
    <s v="แม่ต๋ำน้อย - ทุ่งงิ้ว"/>
    <n v="43504"/>
    <n v="84182"/>
    <n v="40.677999999999997"/>
    <n v="2"/>
    <s v="L1"/>
    <d v="2015-07-14T00:00:00"/>
    <s v="A.C."/>
    <n v="23.47"/>
    <n v="11.71"/>
    <n v="3.72"/>
    <n v="1.79"/>
    <n v="2.661"/>
    <n v="2.5"/>
    <n v="36.86"/>
    <n v="2.74"/>
    <n v="0.83"/>
    <n v="0.25"/>
    <n v="5.5339999999999998"/>
    <n v="5.5"/>
    <n v="0"/>
    <n v="0"/>
    <n v="40.68"/>
    <n v="1.137"/>
    <n v="336.06"/>
    <n v="0.8"/>
    <n v="0.23632289830234662"/>
    <x v="118"/>
    <n v="83.53"/>
    <n v="5.8669832060854243E-2"/>
    <n v="32.93"/>
    <n v="2.3129385487416856E-2"/>
    <n v="3.25"/>
    <n v="2.2827361929579344E-3"/>
  </r>
  <r>
    <n v="1236"/>
    <s v="แขวงทางหลวงนครสวรรค์ที่ 1"/>
    <n v="437"/>
    <n v="3005"/>
    <n v="100"/>
    <s v="นครสวรรค์ - โกรกพระ"/>
    <s v="14+554"/>
    <s v="0+044"/>
    <n v="14.51"/>
    <n v="4"/>
    <s v="R2"/>
    <d v="2015-10-05T00:00:00"/>
    <s v="A.C."/>
    <n v="8.8000000000000007"/>
    <n v="3.8"/>
    <n v="1.625"/>
    <n v="0.67500000000000004"/>
    <n v="2.6077900000000001"/>
    <n v="2.5"/>
    <n v="14.625"/>
    <n v="0.25"/>
    <n v="2.5000000000000001E-2"/>
    <n v="0"/>
    <n v="3.3519600000000001"/>
    <n v="3.5"/>
    <n v="0"/>
    <n v="0"/>
    <n v="14.51"/>
    <n v="1.2299100000000001"/>
    <n v="115.62"/>
    <n v="6.2"/>
    <n v="0.23376981392143351"/>
    <x v="118"/>
    <n v="96.35"/>
    <n v="0.18972137442158116"/>
    <n v="0"/>
    <n v="0"/>
    <n v="0"/>
    <n v="0"/>
  </r>
  <r>
    <n v="110"/>
    <s v="แขวงทางหลวงเชียงใหม่ที่ 3"/>
    <n v="527"/>
    <n v="1001"/>
    <n v="200"/>
    <s v="บ้านโป่ง - พร้าว"/>
    <s v="34+140"/>
    <s v="93+657"/>
    <n v="59.517000000000003"/>
    <n v="2"/>
    <s v="L1"/>
    <d v="2015-08-26T00:00:00"/>
    <s v="A.C."/>
    <n v="43.1"/>
    <n v="12.64"/>
    <n v="3.14"/>
    <n v="0.65"/>
    <n v="2.23787"/>
    <n v="2"/>
    <n v="59.07"/>
    <n v="0.42"/>
    <n v="0"/>
    <n v="0.02"/>
    <n v="2.6686700000000001"/>
    <n v="2.5"/>
    <n v="0"/>
    <n v="0"/>
    <n v="59.52"/>
    <n v="1.1842999999999999"/>
    <n v="275.92"/>
    <n v="419.91"/>
    <n v="0.2332466834205833"/>
    <x v="118"/>
    <n v="0"/>
    <n v="0"/>
    <n v="4"/>
    <n v="1.9202196731306061E-3"/>
    <n v="0"/>
    <n v="0"/>
  </r>
  <r>
    <n v="12"/>
    <s v="แขวงทางหลวงเชียงใหม่ที่ 1"/>
    <n v="521"/>
    <n v="1012"/>
    <n v="100"/>
    <s v="ฮอด  -  วังลุง"/>
    <n v="0"/>
    <n v="14900"/>
    <n v="14.9"/>
    <n v="2"/>
    <s v="L1"/>
    <d v="2015-08-15T00:00:00"/>
    <s v="A.C."/>
    <n v="1.925"/>
    <n v="4.125"/>
    <n v="5"/>
    <n v="3.9249999999999998"/>
    <n v="4.1885300000000001"/>
    <n v="4"/>
    <n v="14.824999999999999"/>
    <n v="0.1"/>
    <n v="0.05"/>
    <n v="0"/>
    <n v="1.9483299999999999"/>
    <n v="2"/>
    <n v="0"/>
    <n v="0"/>
    <n v="14.975000000000001"/>
    <n v="1.1577900000000001"/>
    <n v="115.36"/>
    <n v="11.32"/>
    <n v="0.23206136145733464"/>
    <x v="118"/>
    <n v="2.57"/>
    <n v="4.9280920421860015E-3"/>
    <n v="1.32"/>
    <n v="2.5311601150527327E-3"/>
    <n v="0"/>
    <n v="0"/>
  </r>
  <r>
    <n v="1762"/>
    <s v="แขวงทางหลวงตราด"/>
    <n v="425"/>
    <n v="3447"/>
    <n v="101"/>
    <s v="หนองระหาน - คลองเวฬุ"/>
    <n v="0"/>
    <n v="7569"/>
    <n v="7.569"/>
    <n v="2"/>
    <s v="L1"/>
    <d v="2015-08-19T00:00:00"/>
    <s v="A.C."/>
    <n v="4.4749999999999996"/>
    <n v="1.7"/>
    <n v="0.9"/>
    <n v="0.5"/>
    <n v="2.9097200000000001"/>
    <n v="3"/>
    <n v="7.3250000000000002"/>
    <n v="0.2"/>
    <n v="0.05"/>
    <n v="0"/>
    <n v="4.4138500000000001"/>
    <n v="4.5"/>
    <n v="0"/>
    <n v="0"/>
    <n v="7.5750000000000002"/>
    <n v="1.21052"/>
    <n v="61.17"/>
    <n v="0"/>
    <n v="0.23090425230734385"/>
    <x v="118"/>
    <n v="37.369999999999997"/>
    <n v="0.14106411490478077"/>
    <n v="51"/>
    <n v="0.19251458014834946"/>
    <n v="8.0299999999999994"/>
    <n v="3.0311609384142083E-2"/>
  </r>
  <r>
    <n v="1042"/>
    <s v="แขวงทางหลวงบุรีรัมย์"/>
    <n v="617"/>
    <n v="2440"/>
    <n v="100"/>
    <s v="บ้านใหม่ไชยพจน์ - ทางพาด"/>
    <n v="0"/>
    <n v="8647"/>
    <n v="8.6470000000000002"/>
    <n v="2"/>
    <s v="L1"/>
    <d v="2015-05-05T00:00:00"/>
    <s v="A.C."/>
    <n v="5.0250000000000004"/>
    <n v="3.15"/>
    <n v="0.375"/>
    <n v="7.4999999999999997E-2"/>
    <n v="2.4173200000000001"/>
    <n v="2.5"/>
    <n v="8.6"/>
    <n v="2.5000000000000001E-2"/>
    <n v="0"/>
    <n v="0"/>
    <n v="2.6302300000000001"/>
    <n v="2.5"/>
    <n v="0"/>
    <n v="0"/>
    <n v="8.625"/>
    <n v="1.36663"/>
    <n v="3.09"/>
    <n v="133.41"/>
    <n v="0.23061672917114112"/>
    <x v="118"/>
    <n v="10.49"/>
    <n v="3.4661071552478974E-2"/>
    <n v="4.08"/>
    <n v="1.3481141271126236E-2"/>
    <n v="0"/>
    <n v="0"/>
  </r>
  <r>
    <n v="1229"/>
    <s v="แขวงทางหลวงนครสวรรค์ที่ 1"/>
    <n v="437"/>
    <n v="1182"/>
    <n v="101"/>
    <s v="แยกนวมินทร์  - เขาดินเหนือ"/>
    <s v="0+000"/>
    <s v="20+000"/>
    <n v="20"/>
    <n v="2"/>
    <s v="L1"/>
    <d v="2015-10-05T00:00:00"/>
    <s v="A.C."/>
    <n v="14.25"/>
    <n v="4.3"/>
    <n v="1.25"/>
    <n v="0.35"/>
    <n v="2.2797499999999999"/>
    <n v="2.5"/>
    <n v="19.649999999999999"/>
    <n v="0.4"/>
    <n v="7.4999999999999997E-2"/>
    <n v="2.5000000000000001E-2"/>
    <n v="3.7698999999999998"/>
    <n v="4"/>
    <n v="0"/>
    <n v="0"/>
    <n v="20"/>
    <n v="1.1499699999999999"/>
    <n v="158.19999999999999"/>
    <n v="3.26"/>
    <n v="0.22832857142857144"/>
    <x v="118"/>
    <n v="136.9"/>
    <n v="0.19557142857142859"/>
    <n v="0"/>
    <n v="0"/>
    <n v="0"/>
    <n v="0"/>
  </r>
  <r>
    <n v="1153"/>
    <s v="แขวงทางหลวงสระบุรี"/>
    <n v="432"/>
    <n v="3188"/>
    <n v="101"/>
    <s v="ท่าเยี่ยม - ขอนหอม"/>
    <s v="0+000"/>
    <s v="5+338"/>
    <n v="5.3380000000000001"/>
    <n v="6"/>
    <s v="L1"/>
    <d v="2015-10-05T00:00:00"/>
    <s v="A.C."/>
    <n v="1.85"/>
    <n v="1.95"/>
    <n v="1"/>
    <n v="0.57499999999999996"/>
    <n v="3.7548400000000002"/>
    <n v="4"/>
    <n v="5.125"/>
    <n v="0.25"/>
    <n v="0"/>
    <n v="0"/>
    <n v="3.6633800000000001"/>
    <n v="3.5"/>
    <n v="0"/>
    <n v="0"/>
    <n v="5.375"/>
    <n v="1.25491"/>
    <n v="39.1"/>
    <n v="6.5"/>
    <n v="0.22667699999999999"/>
    <x v="118"/>
    <n v="14.65"/>
    <n v="7.8413999999999998E-2"/>
    <n v="1.3"/>
    <n v="6.9579999999999998E-3"/>
    <n v="0"/>
    <n v="0"/>
  </r>
  <r>
    <n v="762"/>
    <s v="แขวงทางหลวงมหาสารคาม"/>
    <n v="622"/>
    <n v="202"/>
    <n v="400"/>
    <s v="ลำพังชู - ห้วยลำเตา"/>
    <n v="127975"/>
    <n v="162395"/>
    <n v="34.42"/>
    <n v="2"/>
    <s v="L1"/>
    <d v="2015-05-27T00:00:00"/>
    <s v="A.C."/>
    <n v="16.5"/>
    <n v="10.6"/>
    <n v="5.7249999999999996"/>
    <n v="1.9"/>
    <n v="2.7250000000000001"/>
    <n v="2.5"/>
    <n v="29.46"/>
    <n v="4.45"/>
    <n v="0.13"/>
    <n v="0.4"/>
    <n v="5.2370000000000001"/>
    <n v="5"/>
    <n v="0"/>
    <n v="0"/>
    <n v="34.42"/>
    <n v="2.3690000000000002"/>
    <n v="256"/>
    <n v="28"/>
    <n v="0.22412218809662157"/>
    <x v="118"/>
    <n v="0"/>
    <n v="0"/>
    <n v="709"/>
    <n v="0.58852826429816552"/>
    <n v="0"/>
    <n v="0"/>
  </r>
  <r>
    <n v="2214"/>
    <s v="แขวงทางหลวงสตูล"/>
    <n v="318"/>
    <n v="406"/>
    <n v="103"/>
    <s v="ย่านซื่อ - ตำมะลัง"/>
    <s v="89+115"/>
    <s v="75+725"/>
    <n v="13.39"/>
    <n v="2"/>
    <s v="R2"/>
    <d v="2015-05-26T00:00:00"/>
    <s v="A.C."/>
    <n v="10.025"/>
    <n v="2.375"/>
    <n v="0.72499999999999998"/>
    <n v="0.35"/>
    <n v="2.2697799999999999"/>
    <n v="2.5"/>
    <n v="13.25"/>
    <n v="0.2"/>
    <n v="2.5000000000000001E-2"/>
    <n v="0"/>
    <n v="3.7820299999999998"/>
    <n v="4"/>
    <n v="0"/>
    <n v="0"/>
    <n v="13.475"/>
    <n v="1.0749299999999999"/>
    <n v="103.71"/>
    <n v="2"/>
    <n v="0.22342899818627973"/>
    <x v="118"/>
    <n v="0"/>
    <n v="0"/>
    <n v="0"/>
    <n v="0"/>
    <n v="0"/>
    <n v="0"/>
  </r>
  <r>
    <n v="1212"/>
    <s v="แขวงทางหลวงลพบุรีที่ 2 (ลำนารายณ์)"/>
    <n v="435"/>
    <n v="2273"/>
    <n v="200"/>
    <s v="เขาแดง - สวนมะเดื่อ"/>
    <s v="28+544"/>
    <s v="2+203"/>
    <n v="26.341000000000001"/>
    <n v="2"/>
    <s v="R1"/>
    <d v="2015-10-05T00:00:00"/>
    <s v="A.C."/>
    <n v="9"/>
    <n v="7.4749999999999996"/>
    <n v="5.4749999999999996"/>
    <n v="4.4249999999999998"/>
    <n v="3.5811299999999999"/>
    <n v="3.5"/>
    <n v="25.2"/>
    <n v="0.875"/>
    <n v="0.2"/>
    <n v="0.1"/>
    <n v="3.9489399999999999"/>
    <n v="4"/>
    <n v="0"/>
    <n v="0"/>
    <n v="26.341000000000001"/>
    <n v="1.5358799999999999"/>
    <n v="203.84"/>
    <n v="4.1689999999999996"/>
    <n v="0.22336119140720334"/>
    <x v="118"/>
    <n v="18.690000000000001"/>
    <n v="2.0272999999999999E-2"/>
    <n v="50.65"/>
    <n v="5.4939000000000002E-2"/>
    <n v="0"/>
    <n v="0"/>
  </r>
  <r>
    <n v="2217"/>
    <s v="แขวงทางหลวงสตูล"/>
    <n v="318"/>
    <n v="416"/>
    <n v="101"/>
    <s v="ฉลุง - ละงู"/>
    <n v="37039"/>
    <n v="0"/>
    <n v="37.039000000000001"/>
    <n v="4"/>
    <s v="R1"/>
    <d v="2015-05-26T00:00:00"/>
    <s v="A.C."/>
    <n v="20.024999999999999"/>
    <n v="10.4"/>
    <n v="5.0750000000000002"/>
    <n v="1.55"/>
    <n v="2.6620599999999999"/>
    <n v="2.5"/>
    <n v="34.125"/>
    <n v="2.4750000000000001"/>
    <n v="0.4"/>
    <n v="0.05"/>
    <n v="4.7019500000000001"/>
    <n v="4.5"/>
    <n v="0"/>
    <n v="0"/>
    <n v="37.049999999999997"/>
    <n v="1.1552899999999999"/>
    <n v="205.07"/>
    <n v="167"/>
    <n v="0.22259934509185295"/>
    <x v="118"/>
    <n v="644"/>
    <n v="0.49677367099543718"/>
    <n v="0"/>
    <n v="0"/>
    <n v="0"/>
    <n v="0"/>
  </r>
  <r>
    <n v="1464"/>
    <s v="แขวงทางหลวงอ่างทอง"/>
    <n v="448"/>
    <n v="3454"/>
    <n v="302"/>
    <s v="โพธิ์ทอง - วิเศษชัยชาญ"/>
    <n v="74609"/>
    <n v="62493"/>
    <n v="12.116"/>
    <n v="2"/>
    <s v="R1"/>
    <d v="2015-06-27T00:00:00"/>
    <s v="A.C."/>
    <n v="9.25"/>
    <n v="2.2749999999999999"/>
    <n v="0.7"/>
    <n v="0.3"/>
    <n v="2.23142"/>
    <n v="2"/>
    <n v="11.824999999999999"/>
    <n v="0.625"/>
    <n v="0.05"/>
    <n v="2.5000000000000001E-2"/>
    <n v="3.32246"/>
    <n v="3.5"/>
    <n v="0"/>
    <n v="0"/>
    <n v="12.525"/>
    <n v="1.0952599999999999"/>
    <n v="67.239999999999995"/>
    <n v="54.27"/>
    <n v="0.22255105409611847"/>
    <x v="118"/>
    <n v="256.39999999999998"/>
    <n v="0.60463142008206383"/>
    <n v="0"/>
    <n v="0"/>
    <n v="2.1"/>
    <n v="4.9521294156487294E-3"/>
  </r>
  <r>
    <n v="2012"/>
    <s v="แขวงทางหลวงสุราษฎร์ธานี ที่ 1 (พุนพิน)"/>
    <n v="325"/>
    <n v="4152"/>
    <n v="100"/>
    <s v="บางชุมโถ - วัดประดู่"/>
    <n v="1410"/>
    <n v="0"/>
    <n v="1.41"/>
    <n v="2"/>
    <s v="R1"/>
    <d v="2015-04-26T00:00:00"/>
    <s v="A.C."/>
    <n v="0.9"/>
    <n v="0.41"/>
    <n v="0.05"/>
    <n v="0.05"/>
    <n v="2.41255"/>
    <n v="2.5"/>
    <n v="1.41"/>
    <n v="0"/>
    <n v="0"/>
    <n v="0"/>
    <n v="1.5418400000000001"/>
    <n v="1.5"/>
    <n v="0"/>
    <n v="0"/>
    <n v="1.41"/>
    <n v="1.17442"/>
    <n v="9.48"/>
    <n v="3.0049999999999999"/>
    <n v="0.22254305977710231"/>
    <x v="118"/>
    <n v="19.963999999999999"/>
    <n v="0.40453900709219853"/>
    <n v="1.06"/>
    <n v="2.147922998986829E-2"/>
    <n v="0"/>
    <n v="0"/>
  </r>
  <r>
    <n v="2170"/>
    <s v="แขวงทางหลวงสงขลาที่ 1"/>
    <n v="311"/>
    <n v="414"/>
    <n v="102"/>
    <s v="คลองวง - ท่าท้อน"/>
    <s v="16+292"/>
    <s v="19+574"/>
    <n v="3.282"/>
    <n v="2"/>
    <s v="L1"/>
    <d v="2015-05-23T00:00:00"/>
    <s v="A.C."/>
    <n v="1.5249999999999999"/>
    <n v="0.55000000000000004"/>
    <n v="0.5"/>
    <n v="0.67500000000000004"/>
    <n v="3.53931"/>
    <n v="3.5"/>
    <n v="3.0750000000000002"/>
    <n v="7.4999999999999997E-2"/>
    <n v="7.4999999999999997E-2"/>
    <n v="2.5000000000000001E-2"/>
    <n v="3.32185"/>
    <n v="3.5"/>
    <n v="0"/>
    <n v="0"/>
    <n v="3.25"/>
    <n v="1.17445"/>
    <n v="25.33"/>
    <n v="0"/>
    <n v="0.22051014189953858"/>
    <x v="118"/>
    <n v="2.36"/>
    <n v="2.0544963872203358E-2"/>
    <n v="0"/>
    <n v="0"/>
    <n v="0"/>
    <n v="0"/>
  </r>
  <r>
    <n v="1840"/>
    <s v="แขวงทางหลวงชุมพร"/>
    <n v="332"/>
    <n v="3180"/>
    <n v="102"/>
    <s v="ท่าเสม็ด - ศูนย์ราชการชุมพร"/>
    <n v="14864"/>
    <n v="27722"/>
    <n v="12.858000000000001"/>
    <n v="2"/>
    <s v="L1"/>
    <d v="2015-04-07T00:00:00"/>
    <s v="A.C."/>
    <n v="8.125"/>
    <n v="3.05"/>
    <n v="1.0249999999999999"/>
    <n v="0.6"/>
    <n v="2.4701200000000001"/>
    <n v="2.5"/>
    <n v="12.45"/>
    <n v="0.25"/>
    <n v="0.05"/>
    <n v="0.05"/>
    <n v="3.0976900000000001"/>
    <n v="3"/>
    <n v="0"/>
    <n v="0"/>
    <n v="12.8"/>
    <n v="1.12724"/>
    <n v="89.9"/>
    <n v="18.64"/>
    <n v="0.2204741906095149"/>
    <x v="118"/>
    <n v="22.38"/>
    <n v="4.9730017998800072E-2"/>
    <n v="1.36"/>
    <n v="3.0220207541719443E-3"/>
    <n v="0"/>
    <n v="0"/>
  </r>
  <r>
    <n v="59"/>
    <s v="แขวงทางหลวงลำปางที่ 1"/>
    <n v="523"/>
    <n v="1352"/>
    <n v="100"/>
    <s v="ทางเข้าดอนไชย"/>
    <s v="0+000"/>
    <s v="2+175"/>
    <n v="2.1749999999999998"/>
    <n v="4"/>
    <s v="L2"/>
    <d v="2015-08-05T00:00:00"/>
    <s v="A.C."/>
    <n v="1.1499999999999999"/>
    <n v="0.6"/>
    <n v="0.2"/>
    <n v="0.2"/>
    <n v="2.8233700000000002"/>
    <n v="3"/>
    <n v="2.1"/>
    <n v="0.05"/>
    <n v="0"/>
    <n v="0"/>
    <n v="3.9629799999999999"/>
    <n v="4"/>
    <n v="0"/>
    <n v="0"/>
    <n v="2.15"/>
    <n v="1.1936899999999999"/>
    <n v="16.78"/>
    <n v="0"/>
    <n v="0.22042692939244668"/>
    <x v="118"/>
    <n v="145.55000000000001"/>
    <n v="1.911986863711002"/>
    <n v="1.36"/>
    <n v="1.7865353037766835E-2"/>
    <n v="0"/>
    <n v="0"/>
  </r>
  <r>
    <n v="605"/>
    <s v="แขวงทางหลวงเลยที่ 1"/>
    <n v="554"/>
    <n v="2108"/>
    <n v="102"/>
    <s v="ชมเจริญ - ปากชม"/>
    <n v="20000"/>
    <n v="62524"/>
    <n v="42.524000000000001"/>
    <n v="2"/>
    <s v="L1"/>
    <d v="2015-06-26T00:00:00"/>
    <s v="A.C."/>
    <n v="21.55"/>
    <n v="13.62"/>
    <n v="5.16"/>
    <n v="2.2000000000000002"/>
    <n v="2.7205400000000002"/>
    <n v="2.5"/>
    <n v="41.8"/>
    <n v="0.49"/>
    <n v="0.08"/>
    <n v="0.03"/>
    <n v="4.4008399999999996"/>
    <n v="4.5"/>
    <n v="0"/>
    <n v="0"/>
    <n v="42.53"/>
    <n v="1.10606"/>
    <n v="328"/>
    <n v="0"/>
    <n v="0.2203797519384012"/>
    <x v="118"/>
    <n v="4"/>
    <n v="2.6875579504683071E-3"/>
    <n v="681"/>
    <n v="0.45755674106722932"/>
    <n v="0"/>
    <n v="0"/>
  </r>
  <r>
    <n v="787"/>
    <s v="แขวงทางหลวงยโสธร"/>
    <n v="633"/>
    <n v="2043"/>
    <n v="200"/>
    <s v="ยางเฌอ - พนมไพร"/>
    <s v="24+500"/>
    <s v="64+565"/>
    <n v="40.064999999999998"/>
    <n v="2"/>
    <s v="L1"/>
    <d v="2015-05-25T00:00:00"/>
    <s v="A.C."/>
    <n v="30.599999999999998"/>
    <n v="6.0500000000000007"/>
    <n v="1.625"/>
    <n v="1.7749999999999999"/>
    <n v="2.7732099999999997"/>
    <n v="3"/>
    <n v="38.774999999999999"/>
    <n v="0.8"/>
    <n v="0.35"/>
    <n v="0.125"/>
    <n v="4.5535605518763811"/>
    <n v="4.5"/>
    <n v="0"/>
    <n v="0"/>
    <n v="40.049999999999997"/>
    <n v="1.1487099999999999"/>
    <n v="295"/>
    <n v="28"/>
    <n v="0.22035620687810881"/>
    <x v="118"/>
    <n v="219"/>
    <n v="0.156174787399048"/>
    <n v="349"/>
    <n v="0.24888128220213582"/>
    <n v="0"/>
    <n v="0"/>
  </r>
  <r>
    <n v="1499"/>
    <s v="แขวงทางหลวงอยุธยา"/>
    <n v="413"/>
    <n v="308"/>
    <n v="100"/>
    <s v="ทางเข้าบางปะอิน"/>
    <s v="0+000"/>
    <s v="6+550"/>
    <n v="6.55"/>
    <n v="6"/>
    <s v="L1"/>
    <d v="2015-09-16T00:00:00"/>
    <s v="A.C."/>
    <n v="4.3250000000000002"/>
    <n v="1.075"/>
    <n v="0.8"/>
    <n v="0.4"/>
    <n v="3.0434000000000001"/>
    <n v="3"/>
    <n v="6.125"/>
    <n v="0.375"/>
    <n v="0.05"/>
    <n v="0.05"/>
    <n v="5.0541"/>
    <n v="5"/>
    <n v="0"/>
    <n v="0"/>
    <n v="6.55"/>
    <n v="1.032"/>
    <n v="35"/>
    <n v="30.83"/>
    <n v="0.21991275899672846"/>
    <x v="118"/>
    <n v="0"/>
    <n v="0"/>
    <n v="0"/>
    <n v="0"/>
    <n v="0"/>
    <n v="0"/>
  </r>
  <r>
    <n v="1879"/>
    <s v="แขวงทางหลวงราชบุรี"/>
    <n v="335"/>
    <n v="3291"/>
    <n v="101"/>
    <s v="เจดีย์หัก - แก้วฟ้า"/>
    <s v="14+207"/>
    <s v="4+207"/>
    <n v="10"/>
    <n v="2"/>
    <s v="R1"/>
    <d v="2015-04-01T00:00:00"/>
    <s v="A.C."/>
    <n v="9.5500000000000007"/>
    <n v="0.43"/>
    <n v="0.03"/>
    <n v="0"/>
    <n v="1.8237399999999999"/>
    <n v="2"/>
    <n v="9.4"/>
    <n v="0.45"/>
    <n v="0.13"/>
    <n v="0.03"/>
    <n v="3.5794199999999998"/>
    <n v="3.5"/>
    <n v="0"/>
    <n v="0"/>
    <n v="10"/>
    <n v="1.1001399999999999"/>
    <n v="75.900000000000006"/>
    <n v="2.0099999999999998"/>
    <n v="0.21972857142857141"/>
    <x v="118"/>
    <n v="26.66"/>
    <n v="7.617142857142857E-2"/>
    <n v="0"/>
    <n v="0"/>
    <n v="0"/>
    <n v="0"/>
  </r>
  <r>
    <n v="824"/>
    <s v="แขวงทางหลวงกาฬสินธุ์"/>
    <n v="647"/>
    <n v="2156"/>
    <n v="100"/>
    <s v="ยางตลาด - บ้านเสียว"/>
    <n v="0"/>
    <n v="9268"/>
    <n v="9.2680000000000007"/>
    <n v="2"/>
    <s v="L1"/>
    <d v="2015-05-30T00:00:00"/>
    <s v="A.C."/>
    <n v="8.2750000000000004"/>
    <n v="0.67500000000000004"/>
    <n v="0.2"/>
    <n v="0.1"/>
    <n v="2.0270899999999998"/>
    <n v="2"/>
    <n v="9.25"/>
    <n v="0"/>
    <n v="0"/>
    <n v="0"/>
    <n v="3.4349400000000001"/>
    <n v="3.5"/>
    <n v="0"/>
    <n v="0"/>
    <n v="9.25"/>
    <n v="1.3580300000000001"/>
    <n v="0"/>
    <n v="142"/>
    <n v="0.21887909242246745"/>
    <x v="118"/>
    <n v="0"/>
    <n v="0"/>
    <n v="114"/>
    <n v="0.35143966952339845"/>
    <n v="0"/>
    <n v="0"/>
  </r>
  <r>
    <n v="1384"/>
    <s v="แขวงทางหลวงสุพรรณบุรีที่ 2 (อู่ทอง)"/>
    <n v="445"/>
    <n v="3488"/>
    <n v="100"/>
    <s v="หนองโสน - หนองมะสังข์"/>
    <n v="0"/>
    <n v="25700"/>
    <n v="25.7"/>
    <n v="2"/>
    <s v="L1"/>
    <d v="2015-07-23T00:00:00"/>
    <s v="A.C."/>
    <n v="18.574999999999999"/>
    <n v="3.25"/>
    <n v="2.5750000000000002"/>
    <n v="1.3"/>
    <n v="3.4980000000000002"/>
    <n v="3.5"/>
    <n v="22.47398900032352"/>
    <n v="3.2260109996764799"/>
    <n v="0"/>
    <n v="0"/>
    <n v="2.3940000000000001"/>
    <n v="2.5"/>
    <n v="0"/>
    <n v="0"/>
    <n v="25.7"/>
    <n v="1.1240000000000001"/>
    <n v="58.32"/>
    <n v="98.14"/>
    <n v="0.217"/>
    <x v="118"/>
    <n v="26.25"/>
    <n v="1.0999999999999999E-2"/>
    <n v="0"/>
    <n v="0"/>
    <n v="0"/>
    <n v="0"/>
  </r>
  <r>
    <n v="255"/>
    <s v="แขวงทางหลวงน่านที่ 2"/>
    <n v="539"/>
    <n v="101"/>
    <n v="602"/>
    <s v="ท่าวังผา - ปางหก"/>
    <s v="413+434"/>
    <s v="471+649"/>
    <n v="75.415000000000006"/>
    <n v="2"/>
    <s v="R1"/>
    <d v="2015-07-28T00:00:00"/>
    <s v="A.C."/>
    <n v="42.15"/>
    <n v="17.22"/>
    <n v="10.37"/>
    <n v="5.67"/>
    <n v="2.5969899999999999"/>
    <n v="2.5"/>
    <n v="66.709999999999994"/>
    <n v="6.43"/>
    <n v="1.76"/>
    <n v="0.53"/>
    <n v="6.19496"/>
    <n v="6"/>
    <n v="0.03"/>
    <n v="0"/>
    <n v="75.39"/>
    <n v="1.296"/>
    <n v="566"/>
    <n v="12.62"/>
    <n v="0.21682310264157367"/>
    <x v="118"/>
    <n v="0"/>
    <n v="0"/>
    <n v="0"/>
    <n v="0"/>
    <n v="0"/>
    <n v="0"/>
  </r>
  <r>
    <n v="2037"/>
    <s v="แขวงทางหลวงนครศรีธรรมราชที่ 2 (ทุ่งสง)"/>
    <n v="326"/>
    <n v="4110"/>
    <n v="102"/>
    <s v="ทุ่งใหญ่ - บางรูป"/>
    <n v="50933"/>
    <n v="71254"/>
    <n v="20.321000000000002"/>
    <n v="2"/>
    <s v="L1"/>
    <d v="2015-05-01T00:00:00"/>
    <s v="A.C."/>
    <n v="29.375"/>
    <n v="11.45"/>
    <n v="5.0750000000000002"/>
    <n v="1.85"/>
    <n v="2.5235400000000001"/>
    <n v="2.5"/>
    <n v="46.2"/>
    <n v="1.2"/>
    <n v="0.3"/>
    <n v="0.05"/>
    <n v="3.64669"/>
    <n v="3.5"/>
    <n v="0"/>
    <n v="0"/>
    <n v="47.750000000000007"/>
    <n v="1.21166"/>
    <n v="130.35"/>
    <n v="47.38"/>
    <n v="0.21658101752585293"/>
    <x v="118"/>
    <n v="736"/>
    <n v="1.0348197150027767"/>
    <n v="4"/>
    <n v="5.624020190232483E-3"/>
    <n v="0"/>
    <n v="0"/>
  </r>
  <r>
    <n v="504"/>
    <s v="แขวงทางหลวงพิจิตร"/>
    <n v="519"/>
    <n v="1289"/>
    <n v="102"/>
    <s v="บางลาย - บึงนาราง"/>
    <s v="23+728"/>
    <s v="9+400"/>
    <n v="14.327999999999999"/>
    <s v="R1"/>
    <n v="2"/>
    <d v="2015-09-29T00:00:00"/>
    <s v="A.C."/>
    <n v="5.75"/>
    <n v="2.61"/>
    <n v="3.27"/>
    <n v="2.68"/>
    <n v="2.0861399999999999"/>
    <n v="2"/>
    <n v="11.89"/>
    <n v="2.11"/>
    <n v="0.34"/>
    <n v="0"/>
    <n v="2.2646999999999999"/>
    <n v="2.5"/>
    <n v="0"/>
    <n v="0"/>
    <n v="6.25"/>
    <n v="1.21051"/>
    <n v="99.5"/>
    <n v="18.193999999999999"/>
    <n v="0.216553"/>
    <x v="118"/>
    <n v="67.58"/>
    <n v="0.13476099999999999"/>
    <n v="0"/>
    <n v="0"/>
    <n v="0"/>
    <n v="0"/>
  </r>
  <r>
    <n v="412"/>
    <s v="แขวงทางหลวงพิษณุโลกที่ 1"/>
    <n v="511"/>
    <n v="1303"/>
    <n v="100"/>
    <s v="ปลายนา - หนองตูม"/>
    <s v="0+000"/>
    <s v="21+118"/>
    <n v="21.117999999999999"/>
    <s v="L1"/>
    <n v="2"/>
    <d v="2015-09-18T00:00:00"/>
    <s v="A.C."/>
    <n v="10.039999999999999"/>
    <n v="7.53"/>
    <n v="2.6"/>
    <n v="0.95"/>
    <n v="2.8053400000000002"/>
    <n v="3"/>
    <n v="18.239999999999998"/>
    <n v="2.2000000000000002"/>
    <n v="0.53"/>
    <n v="0.15"/>
    <n v="5.8414700000000002"/>
    <n v="6"/>
    <n v="0"/>
    <n v="0"/>
    <n v="21.12"/>
    <n v="1.1817"/>
    <n v="158.63"/>
    <n v="1.36"/>
    <n v="0.21553700000000001"/>
    <x v="118"/>
    <n v="113.58"/>
    <n v="0.153667"/>
    <n v="1.6"/>
    <n v="2.1649999999999998E-3"/>
    <n v="0"/>
    <n v="0"/>
  </r>
  <r>
    <n v="1787"/>
    <s v="แขวงทางหลวงชลบุรีที่ 2"/>
    <n v="428"/>
    <n v="332"/>
    <n v="100"/>
    <s v="เขาหาดยาว - สำนักท้อน"/>
    <s v="0+000"/>
    <s v="14+487"/>
    <n v="14.487"/>
    <n v="2"/>
    <s v="L1"/>
    <d v="2015-08-14T00:00:00"/>
    <s v="A.C."/>
    <n v="7.7"/>
    <n v="4.8499999999999996"/>
    <n v="1.5249999999999999"/>
    <n v="0.5"/>
    <n v="2.97"/>
    <n v="3"/>
    <n v="13.025"/>
    <n v="1.45"/>
    <n v="0.1"/>
    <n v="0"/>
    <n v="6.3109999999999999"/>
    <n v="6.5"/>
    <n v="0"/>
    <n v="0"/>
    <n v="14.575000000000001"/>
    <n v="1.208"/>
    <n v="109.26"/>
    <n v="0"/>
    <n v="0.21548383279590572"/>
    <x v="118"/>
    <n v="0"/>
    <n v="0"/>
    <n v="0"/>
    <n v="0"/>
    <n v="0"/>
    <n v="0"/>
  </r>
  <r>
    <n v="185"/>
    <s v="แขวงทางหลวงเชียงรายที่ 1"/>
    <n v="533"/>
    <n v="1338"/>
    <n v="100"/>
    <s v="ขาแหย่ง - ป่าเมี่ยง"/>
    <s v="0+000"/>
    <s v="19+440"/>
    <n v="19.440000000000001"/>
    <n v="2"/>
    <s v="L1"/>
    <d v="2015-07-17T00:00:00"/>
    <s v="A.C."/>
    <n v="7.42"/>
    <n v="7.15"/>
    <n v="3.36"/>
    <n v="1.51"/>
    <n v="3.0670000000000002"/>
    <n v="3"/>
    <n v="17.27"/>
    <n v="1.24"/>
    <n v="0.5"/>
    <n v="0.43"/>
    <n v="6.0389999999999997"/>
    <n v="6"/>
    <n v="0.3"/>
    <n v="0.53"/>
    <n v="18.61"/>
    <n v="1.355"/>
    <n v="48.7"/>
    <n v="195.14"/>
    <n v="0.21497648442092887"/>
    <x v="118"/>
    <n v="0"/>
    <n v="0"/>
    <n v="0"/>
    <n v="0"/>
    <n v="0"/>
    <n v="0"/>
  </r>
  <r>
    <n v="1096"/>
    <s v="แขวงทางหลวงลพบุรีที่ 1"/>
    <n v="431"/>
    <n v="205"/>
    <n v="102"/>
    <s v="ดงพลับ -  ม่วงค่อม"/>
    <s v="9+800"/>
    <s v="19+209"/>
    <n v="9.4090000000000007"/>
    <n v="4"/>
    <s v="L2"/>
    <d v="2015-10-05T00:00:00"/>
    <s v="A.C."/>
    <n v="4.3"/>
    <n v="2.9"/>
    <n v="1.425"/>
    <n v="0.72499999999999998"/>
    <n v="2.9157000000000002"/>
    <n v="3"/>
    <n v="7.4749999999999996"/>
    <n v="1.2749999999999999"/>
    <n v="0.3"/>
    <n v="0.3"/>
    <n v="6.78484"/>
    <n v="7"/>
    <n v="0"/>
    <n v="0"/>
    <n v="9.35"/>
    <n v="1.34643"/>
    <n v="69.34"/>
    <n v="2.9"/>
    <n v="0.21496135918497489"/>
    <x v="118"/>
    <n v="99.569000000000003"/>
    <n v="0.30235185157068462"/>
    <n v="0"/>
    <n v="0"/>
    <n v="2E-3"/>
    <n v="6.0732125776232485E-6"/>
  </r>
  <r>
    <n v="1079"/>
    <s v="แขวงทางหลวงสระแก้ว (วัฒนานคร)"/>
    <n v="619"/>
    <n v="3395"/>
    <n v="201"/>
    <s v="ทับทิมสยาม05 - วัฒนานคร"/>
    <n v="8908"/>
    <n v="59008"/>
    <n v="50.1"/>
    <n v="2"/>
    <s v="L1"/>
    <d v="2015-03-31T00:00:00"/>
    <s v="A.C."/>
    <n v="37.130000000000003"/>
    <n v="8.4"/>
    <n v="3.03"/>
    <n v="1.55"/>
    <n v="3.0137999999999998"/>
    <n v="3"/>
    <n v="43.95"/>
    <n v="4.5999999999999996"/>
    <n v="1.28"/>
    <n v="0.28000000000000003"/>
    <n v="6.8496300000000003"/>
    <n v="7"/>
    <n v="0"/>
    <n v="0"/>
    <n v="50.1"/>
    <n v="1.2447299999999999"/>
    <n v="376.51"/>
    <n v="0"/>
    <n v="0.21471913316224692"/>
    <x v="118"/>
    <n v="7.12"/>
    <n v="4.0604505275163962E-3"/>
    <n v="0"/>
    <n v="0"/>
    <n v="0"/>
    <n v="0"/>
  </r>
  <r>
    <n v="1005"/>
    <s v="แขวงทางหลวงบุรีรัมย์"/>
    <n v="617"/>
    <n v="226"/>
    <n v="201"/>
    <s v="หนองกระทิง - ลำปลายมาศ"/>
    <n v="78698"/>
    <n v="91010"/>
    <n v="12.311999999999999"/>
    <n v="4"/>
    <s v="L2"/>
    <d v="2015-05-05T00:00:00"/>
    <s v="A.C."/>
    <n v="4.55"/>
    <n v="4.5250000000000004"/>
    <n v="2.25"/>
    <n v="0.8"/>
    <n v="3.04094"/>
    <n v="3"/>
    <n v="9.4749999999999996"/>
    <n v="1.825"/>
    <n v="0.5"/>
    <n v="0.32500000000000001"/>
    <n v="5.9077500000000001"/>
    <n v="6"/>
    <n v="0"/>
    <n v="0"/>
    <n v="12.125"/>
    <n v="1.28061"/>
    <n v="32.08"/>
    <n v="120.43"/>
    <n v="0.21418128654970761"/>
    <x v="118"/>
    <n v="53.85"/>
    <n v="0.12496519075466445"/>
    <n v="91.64"/>
    <n v="0.21266128283672142"/>
    <n v="0.19"/>
    <n v="4.4091710758377428E-4"/>
  </r>
  <r>
    <n v="1006"/>
    <s v="แขวงทางหลวงบุรีรัมย์"/>
    <n v="617"/>
    <n v="226"/>
    <n v="201"/>
    <s v="หนองกระทิง - ลำปลายมาศ"/>
    <s v="91+010"/>
    <s v="78+698"/>
    <n v="12.311999999999999"/>
    <n v="4"/>
    <s v="R2"/>
    <d v="2015-05-05T00:00:00"/>
    <s v="A.C."/>
    <n v="4.75"/>
    <n v="4.875"/>
    <n v="1.675"/>
    <n v="0.77500000000000002"/>
    <n v="3.1181199999999998"/>
    <n v="3"/>
    <n v="10.625"/>
    <n v="1.075"/>
    <n v="0.22500000000000001"/>
    <n v="0.15"/>
    <n v="5.6376200000000001"/>
    <n v="5.5"/>
    <n v="0"/>
    <n v="0"/>
    <n v="12.075000000000001"/>
    <n v="1.28233"/>
    <n v="32.08"/>
    <n v="120.43"/>
    <n v="0.21418128654970761"/>
    <x v="118"/>
    <n v="53.85"/>
    <n v="0.12496519075466445"/>
    <n v="91.64"/>
    <n v="0.21266128283672142"/>
    <n v="0.19"/>
    <n v="4.4091710758377428E-4"/>
  </r>
  <r>
    <n v="1370"/>
    <s v="แขวงทางหลวงสุพรรณบุรีที่ 2 (อู่ทอง)"/>
    <n v="445"/>
    <n v="3358"/>
    <n v="100"/>
    <s v="ทุ่งคอก - เบญพาด"/>
    <n v="20213"/>
    <n v="0"/>
    <n v="20.213000000000001"/>
    <n v="2"/>
    <s v="R1"/>
    <d v="2015-07-03T00:00:00"/>
    <s v="A.C."/>
    <n v="15.6"/>
    <n v="3.15"/>
    <n v="0.92500000000000004"/>
    <n v="0.42499999999999999"/>
    <n v="2.09598"/>
    <n v="2"/>
    <n v="19.7"/>
    <n v="0.3"/>
    <n v="7.4999999999999997E-2"/>
    <n v="2.5000000000000001E-2"/>
    <n v="4.2315399999999999"/>
    <n v="4"/>
    <n v="0"/>
    <n v="0"/>
    <n v="20.100000000000001"/>
    <n v="0.99338400000000004"/>
    <n v="134.69"/>
    <n v="33.340000000000003"/>
    <n v="0.21395000388717303"/>
    <x v="118"/>
    <n v="6.5"/>
    <n v="9.1878635390236843E-3"/>
    <n v="1.6"/>
    <n v="2.2616279480673681E-3"/>
    <n v="0"/>
    <n v="0"/>
  </r>
  <r>
    <n v="555"/>
    <s v="แขวงทางหลวงเพชรบูรณ์ที่ 1"/>
    <n v="551"/>
    <n v="2215"/>
    <n v="100"/>
    <s v="บุ่งน้ำเต้า - โนนสว่าง"/>
    <n v="0"/>
    <n v="18595"/>
    <n v="18.594999999999999"/>
    <n v="2"/>
    <s v="L1"/>
    <d v="2015-07-07T00:00:00"/>
    <s v="A.C."/>
    <n v="13.7"/>
    <n v="3.21"/>
    <n v="1.07"/>
    <n v="0.63"/>
    <n v="2.173"/>
    <n v="2"/>
    <n v="18.55"/>
    <n v="0.03"/>
    <n v="0"/>
    <n v="0.03"/>
    <n v="2.7850000000000001"/>
    <n v="3"/>
    <n v="0"/>
    <n v="0"/>
    <n v="18.610000000000003"/>
    <n v="1.147"/>
    <n v="20.5"/>
    <n v="236.35"/>
    <n v="0.21307571159681948"/>
    <x v="118"/>
    <n v="268"/>
    <n v="0.41178504206199829"/>
    <n v="2612.5800000000004"/>
    <n v="4.0142588253370732"/>
    <n v="65.400000000000006"/>
    <n v="0.1004878423539354"/>
  </r>
  <r>
    <n v="399"/>
    <s v="แขวงทางหลวงพิษณุโลกที่ 1"/>
    <n v="511"/>
    <n v="126"/>
    <n v="200"/>
    <s v="ถนนวงแหวนรอบเมืองพิษณุโลกด้านทิศใต้"/>
    <s v="51+054"/>
    <s v="30+203"/>
    <n v="20.850999999999999"/>
    <s v="R1"/>
    <n v="2"/>
    <d v="2015-09-19T00:00:00"/>
    <s v="A.C."/>
    <n v="15.27"/>
    <n v="3.28"/>
    <n v="1.52"/>
    <n v="0.78"/>
    <n v="2.13951"/>
    <n v="2"/>
    <n v="20.85"/>
    <n v="0"/>
    <n v="0"/>
    <n v="0"/>
    <n v="1.94069"/>
    <n v="2"/>
    <n v="0"/>
    <n v="0"/>
    <n v="20.85"/>
    <n v="1.23634"/>
    <n v="154.62"/>
    <n v="1.3"/>
    <n v="0.21276100000000001"/>
    <x v="118"/>
    <n v="18.625"/>
    <n v="2.5520999999999999E-2"/>
    <n v="0.54"/>
    <n v="7.3999999999999999E-4"/>
    <n v="0"/>
    <n v="0"/>
  </r>
  <r>
    <n v="2233"/>
    <s v="แขวงทางหลวงสงขลาที่ 2"/>
    <n v="319"/>
    <n v="408"/>
    <n v="301"/>
    <s v="ทุ่งหวัง - นาทวี"/>
    <n v="182261"/>
    <n v="190317"/>
    <n v="8.0559999999999992"/>
    <n v="2"/>
    <s v="L1"/>
    <d v="2015-05-25T00:00:00"/>
    <s v="A.C."/>
    <n v="5.75"/>
    <n v="1.7749999999999999"/>
    <n v="0.47499999999999998"/>
    <n v="0.15"/>
    <n v="2.3206099999999998"/>
    <n v="2.5"/>
    <n v="8"/>
    <n v="0.15"/>
    <n v="0"/>
    <n v="0"/>
    <n v="3.9422799999999998"/>
    <n v="4"/>
    <n v="0"/>
    <n v="0"/>
    <n v="8.15"/>
    <n v="1.37896"/>
    <n v="55.56"/>
    <n v="8.74"/>
    <n v="0.21254787913179174"/>
    <x v="118"/>
    <n v="5.5"/>
    <n v="1.9506312952191802E-2"/>
    <n v="0"/>
    <n v="0"/>
    <n v="0"/>
    <n v="0"/>
  </r>
  <r>
    <n v="370"/>
    <s v="แขวงทางหลวงตากที่ 2 (แม่สอด)"/>
    <n v="514"/>
    <n v="1175"/>
    <n v="100"/>
    <s v="แม่ระมาด - ห้วยส้มป่อย"/>
    <n v="0"/>
    <s v="16+100"/>
    <n v="16.100000000000001"/>
    <n v="2"/>
    <s v="L1"/>
    <d v="2015-09-07T00:00:00"/>
    <s v="A.C."/>
    <n v="4.5"/>
    <n v="6.125"/>
    <n v="3.55"/>
    <n v="2.0750000000000002"/>
    <n v="3.452"/>
    <n v="3.5"/>
    <n v="15.025"/>
    <n v="0.92500000000000004"/>
    <n v="0.1"/>
    <n v="0.2"/>
    <n v="4.3781299999999996"/>
    <n v="4.5"/>
    <n v="0"/>
    <n v="0"/>
    <n v="16.25"/>
    <n v="1.3404100000000001"/>
    <n v="108.38"/>
    <n v="22.315000000000001"/>
    <n v="0.2121339840283939"/>
    <x v="118"/>
    <n v="130.25399999999999"/>
    <n v="0.23115173025732025"/>
    <n v="0"/>
    <n v="0"/>
    <n v="0"/>
    <n v="0"/>
  </r>
  <r>
    <n v="675"/>
    <s v="แขวงทางหลวงอุดรธานีที่ 2"/>
    <n v="624"/>
    <n v="227"/>
    <n v="200"/>
    <s v="ลำพันชาด - บ้านผาสุก"/>
    <n v="83967"/>
    <n v="120850"/>
    <n v="36.883000000000003"/>
    <n v="2"/>
    <s v="L1"/>
    <d v="2015-06-15T00:00:00"/>
    <s v="A.C."/>
    <n v="21.35"/>
    <n v="9.4499999999999993"/>
    <n v="3.4"/>
    <n v="2.4750000000000001"/>
    <n v="2.6959499999999998"/>
    <n v="2.5"/>
    <n v="35.85"/>
    <n v="0.7"/>
    <n v="0.1"/>
    <n v="2.5000000000000001E-2"/>
    <n v="3.27738"/>
    <n v="3.5"/>
    <n v="0"/>
    <n v="2.5000000000000001E-2"/>
    <n v="36.65"/>
    <n v="1.1450400000000001"/>
    <n v="47.84"/>
    <n v="447.47"/>
    <n v="0.21038000000000001"/>
    <x v="118"/>
    <n v="95.21"/>
    <n v="7.3749999999999996E-2"/>
    <n v="135.57"/>
    <n v="0.105019"/>
    <n v="3.35"/>
    <n v="2.5999999999999999E-3"/>
  </r>
  <r>
    <n v="684"/>
    <s v="แขวงทางหลวงอุดรธานีที่ 2"/>
    <n v="624"/>
    <n v="2231"/>
    <n v="100"/>
    <s v="โนนสวรรค์  - ท่าไฮ"/>
    <n v="0"/>
    <n v="4425"/>
    <n v="4.4249999999999998"/>
    <n v="2"/>
    <s v="L1"/>
    <d v="2015-06-15T00:00:00"/>
    <s v="A.C."/>
    <n v="2.5249999999999999"/>
    <n v="1.05"/>
    <n v="0.6"/>
    <n v="0.25"/>
    <n v="2.7453699999999999"/>
    <n v="2.5"/>
    <n v="4.4249999999999998"/>
    <n v="0"/>
    <n v="0"/>
    <n v="0"/>
    <n v="1.8440399999999999"/>
    <n v="2"/>
    <n v="0"/>
    <n v="0"/>
    <n v="4.4249999999999998"/>
    <n v="1.30606"/>
    <n v="12"/>
    <n v="3.78"/>
    <n v="0.21471913316224692"/>
    <x v="118"/>
    <n v="110.42"/>
    <n v="0.71296206618240521"/>
    <n v="0"/>
    <n v="0"/>
    <n v="0"/>
    <n v="0"/>
  </r>
  <r>
    <n v="1916"/>
    <s v="แขวงทางหลวงเพชรบุรี"/>
    <n v="338"/>
    <n v="4"/>
    <n v="503"/>
    <s v="ชะอำ - ห้วยทรายใต้"/>
    <n v="191982"/>
    <n v="210060"/>
    <n v="18.077999999999999"/>
    <n v="6"/>
    <s v="L3"/>
    <d v="2015-04-08T00:00:00"/>
    <s v="A.C."/>
    <n v="14.79"/>
    <n v="2.04"/>
    <n v="1.02"/>
    <n v="0.22"/>
    <n v="2.0081500000000001"/>
    <n v="2"/>
    <n v="17.850000000000001"/>
    <n v="0.22"/>
    <n v="0"/>
    <n v="0"/>
    <n v="3.6758899999999999"/>
    <n v="3.5"/>
    <n v="0"/>
    <n v="0"/>
    <n v="18.079999999999998"/>
    <n v="1.30077"/>
    <n v="87.22"/>
    <n v="90.3"/>
    <n v="0.20920455802633039"/>
    <x v="118"/>
    <n v="96.23"/>
    <n v="0.15208698813079832"/>
    <n v="0"/>
    <n v="0"/>
    <n v="0"/>
    <n v="0"/>
  </r>
  <r>
    <n v="1237"/>
    <s v="แขวงทางหลวงนครสวรรค์ที่ 1"/>
    <n v="437"/>
    <n v="3008"/>
    <n v="100"/>
    <s v="พยุหะคีรี - เนินมะกอก"/>
    <s v="0+601"/>
    <s v="4+254"/>
    <n v="3.653"/>
    <n v="2"/>
    <s v="L1"/>
    <d v="2015-10-05T00:00:00"/>
    <s v="A.C."/>
    <n v="2.2999999999999998"/>
    <n v="0.77500000000000002"/>
    <n v="0.25"/>
    <n v="0.42499999999999999"/>
    <n v="3.1273300000000002"/>
    <n v="3"/>
    <n v="3.75"/>
    <n v="0"/>
    <n v="0"/>
    <n v="0"/>
    <n v="2.41472"/>
    <n v="2.5"/>
    <n v="0"/>
    <n v="0"/>
    <n v="3.653"/>
    <n v="1.1614599999999999"/>
    <n v="14.2"/>
    <n v="25"/>
    <n v="0.20883031559188145"/>
    <x v="118"/>
    <n v="0"/>
    <n v="0"/>
    <n v="0"/>
    <n v="0"/>
    <n v="0"/>
    <n v="0"/>
  </r>
  <r>
    <n v="738"/>
    <s v="แขวงทางหลวงขอนแก่นที่ 3 (บ้านไผ่)"/>
    <n v="628"/>
    <n v="2233"/>
    <n v="101"/>
    <s v="พล - ใหม่นาเพียง"/>
    <n v="0"/>
    <n v="13258"/>
    <n v="13.257999999999999"/>
    <n v="2"/>
    <s v="L1"/>
    <d v="2015-06-18T00:00:00"/>
    <s v="A.C."/>
    <n v="5.5750000000000002"/>
    <n v="4.3499999999999996"/>
    <n v="2.35"/>
    <n v="0.9"/>
    <n v="2.9720900000000001"/>
    <n v="3"/>
    <n v="11.25"/>
    <n v="1.425"/>
    <n v="0.35"/>
    <n v="0.15"/>
    <n v="6.3945699999999999"/>
    <n v="6.5"/>
    <n v="0"/>
    <n v="0"/>
    <n v="13.175000000000001"/>
    <n v="1.26772"/>
    <n v="79.44"/>
    <n v="34.57"/>
    <n v="0.20844557463957072"/>
    <x v="118"/>
    <n v="0"/>
    <n v="0"/>
    <n v="30.12"/>
    <n v="6.4909596362304159E-2"/>
    <n v="0"/>
    <n v="0"/>
  </r>
  <r>
    <n v="1440"/>
    <s v="แขวงทางหลวงอ่างทอง"/>
    <n v="448"/>
    <n v="33"/>
    <n v="202"/>
    <s v="ป่าโมก - บางปะหัน"/>
    <n v="40318"/>
    <n v="48242"/>
    <n v="7.9240000000000004"/>
    <n v="4"/>
    <s v="L2"/>
    <d v="2015-06-27T00:00:00"/>
    <s v="A.C."/>
    <n v="3.9750000000000001"/>
    <n v="2.5499999999999998"/>
    <n v="0.75"/>
    <n v="0.65"/>
    <n v="2.625"/>
    <n v="2.5"/>
    <n v="6.55"/>
    <n v="0.8"/>
    <n v="0.5"/>
    <n v="0"/>
    <n v="4.5979999999999999"/>
    <n v="4.5"/>
    <n v="0"/>
    <n v="0"/>
    <n v="7.9250000000000007"/>
    <n v="1.1890000000000001"/>
    <n v="32.15"/>
    <n v="51.25"/>
    <n v="0.20831830965601789"/>
    <x v="118"/>
    <n v="0"/>
    <n v="0"/>
    <n v="0"/>
    <n v="0"/>
    <n v="0"/>
    <n v="0"/>
  </r>
  <r>
    <n v="3"/>
    <s v="แขวงทางหลวงเชียงใหม่ที่ 1"/>
    <n v="521"/>
    <n v="108"/>
    <n v="102"/>
    <s v="ปากทางท่าลี่ - สะพานแม่กลาง"/>
    <s v="62+395"/>
    <s v="49+615"/>
    <n v="12.78"/>
    <n v="4"/>
    <s v="R1"/>
    <d v="2015-08-15T00:00:00"/>
    <s v="A.C."/>
    <n v="9.9499999999999993"/>
    <n v="1.575"/>
    <n v="0.875"/>
    <n v="0.5"/>
    <n v="2.2031399999999999"/>
    <n v="2"/>
    <n v="11.824999999999999"/>
    <n v="0.82499999999999996"/>
    <n v="0.22500000000000001"/>
    <n v="2.5000000000000001E-2"/>
    <n v="4.1338800000000004"/>
    <n v="4"/>
    <n v="0"/>
    <n v="0"/>
    <n v="12.899999999999999"/>
    <n v="0.95299199999999995"/>
    <n v="85.63"/>
    <n v="15.1"/>
    <n v="0.20831656606304494"/>
    <x v="118"/>
    <n v="0"/>
    <n v="0"/>
    <n v="0"/>
    <n v="0"/>
    <n v="1"/>
    <n v="2.2356360384529401E-3"/>
  </r>
  <r>
    <n v="2081"/>
    <s v="แขวงทางหลวงสุราษฎร์ธานีที่ 3 (เวียงสระ)"/>
    <n v="329"/>
    <n v="4224"/>
    <n v="200"/>
    <s v="ห้วยทรายขาว - ห้วยปริก"/>
    <n v="16940"/>
    <n v="150"/>
    <n v="16.79"/>
    <n v="2"/>
    <s v="R1"/>
    <d v="2015-04-28T00:00:00"/>
    <s v="A.C."/>
    <n v="5.55"/>
    <n v="6.6749999999999998"/>
    <n v="2.85"/>
    <n v="1.4750000000000001"/>
    <n v="3.2307700000000001"/>
    <n v="3"/>
    <n v="15.375"/>
    <n v="0.75"/>
    <n v="0.27500000000000002"/>
    <n v="0.15"/>
    <n v="4.2480200000000004"/>
    <n v="4"/>
    <n v="0"/>
    <n v="0"/>
    <n v="16.55"/>
    <n v="1.1589100000000001"/>
    <n v="53.09"/>
    <n v="138.36000000000001"/>
    <n v="0.20806602569556709"/>
    <x v="118"/>
    <n v="127.97"/>
    <n v="0.21776567684846423"/>
    <n v="22.99"/>
    <n v="3.9121926316685096E-2"/>
    <n v="0"/>
    <n v="0"/>
  </r>
  <r>
    <n v="446"/>
    <s v="แขวงทางหลวงสุโขทัย"/>
    <n v="513"/>
    <n v="1311"/>
    <n v="100"/>
    <s v="คีรีมาศ - หนองบัว"/>
    <s v="11+839"/>
    <s v="0+000"/>
    <n v="11.839"/>
    <s v="R1"/>
    <n v="2"/>
    <d v="2015-09-17T00:00:00"/>
    <s v="A.C."/>
    <n v="9.17"/>
    <n v="1.76"/>
    <n v="0.63"/>
    <n v="0.28000000000000003"/>
    <n v="2.1573899999999999"/>
    <n v="2"/>
    <n v="11.51"/>
    <n v="0.15"/>
    <n v="0.05"/>
    <n v="0.13"/>
    <n v="2.89785"/>
    <n v="3"/>
    <n v="0"/>
    <n v="0"/>
    <n v="11.84"/>
    <n v="1.3792"/>
    <n v="78.650000000000006"/>
    <n v="14.62"/>
    <n v="0.20744995354337359"/>
    <x v="118"/>
    <n v="76.48"/>
    <n v="0.18457157337130309"/>
    <n v="0"/>
    <n v="0"/>
    <n v="0.97"/>
    <n v="2.340931304526203E-3"/>
  </r>
  <r>
    <n v="1522"/>
    <s v="แขวงทางหลวงอยุธยา"/>
    <n v="413"/>
    <n v="3469"/>
    <n v="100"/>
    <s v="อยุธยา - บางปะอิน"/>
    <s v="0+000"/>
    <s v="17+103"/>
    <n v="17.103000000000002"/>
    <n v="2"/>
    <s v="L1"/>
    <d v="2015-09-17T00:00:00"/>
    <s v="A.C."/>
    <n v="12.15"/>
    <n v="3.5"/>
    <n v="1.4"/>
    <n v="0.52500000000000002"/>
    <n v="2.0989200000000001"/>
    <n v="2"/>
    <n v="2.657"/>
    <n v="0.26600000000000001"/>
    <n v="4.8000000000000001E-2"/>
    <n v="14.132"/>
    <n v="4.54237"/>
    <n v="4.5"/>
    <n v="0"/>
    <n v="0"/>
    <n v="17.103000000000002"/>
    <n v="1.16299"/>
    <n v="124"/>
    <n v="0"/>
    <n v="0.20714828643262251"/>
    <x v="118"/>
    <n v="0"/>
    <n v="0"/>
    <n v="36.950000000000003"/>
    <n v="6.172684825552744E-2"/>
    <n v="0"/>
    <n v="0"/>
  </r>
  <r>
    <n v="1954"/>
    <s v="แขวงทางหลวงนครศรีธรรมราชที่ 1"/>
    <n v="321"/>
    <n v="4094"/>
    <n v="101"/>
    <s v="บ่อล้อ - เชียรใหญ่"/>
    <n v="0"/>
    <n v="9426"/>
    <n v="9.4260000000000002"/>
    <n v="2"/>
    <s v="L1"/>
    <d v="2015-04-29T00:00:00"/>
    <s v="A.C."/>
    <n v="8.2750000000000004"/>
    <n v="0.67500000000000004"/>
    <n v="0.3"/>
    <n v="0.125"/>
    <n v="1.86117"/>
    <n v="2"/>
    <n v="8.875"/>
    <n v="0.47499999999999998"/>
    <n v="2.5000000000000001E-2"/>
    <n v="0"/>
    <n v="4.5537299999999998"/>
    <n v="4.5"/>
    <n v="0"/>
    <n v="0"/>
    <n v="9.375"/>
    <n v="1.2426200000000001"/>
    <n v="0"/>
    <n v="136"/>
    <n v="0.20611681973871659"/>
    <x v="118"/>
    <n v="0"/>
    <n v="0"/>
    <n v="0"/>
    <n v="0"/>
    <n v="0"/>
    <n v="0"/>
  </r>
  <r>
    <n v="176"/>
    <s v="แขวงทางหลวงเชียงรายที่ 1"/>
    <n v="533"/>
    <n v="1152"/>
    <n v="100"/>
    <s v="หัวดอย - บ้านดอน"/>
    <n v="0"/>
    <n v="19000"/>
    <n v="19"/>
    <n v="2"/>
    <s v="R1"/>
    <d v="2015-07-18T00:00:00"/>
    <s v="A.C."/>
    <n v="8.57"/>
    <n v="5.69"/>
    <n v="2.9"/>
    <n v="1.84"/>
    <n v="3.0621100000000001"/>
    <n v="3"/>
    <n v="13.95"/>
    <n v="3.28"/>
    <n v="1.24"/>
    <n v="0.53"/>
    <n v="8.0821799999999993"/>
    <n v="8"/>
    <n v="0"/>
    <n v="0"/>
    <n v="19"/>
    <n v="1.0346"/>
    <n v="113"/>
    <n v="47.99"/>
    <n v="0.2060075187969925"/>
    <x v="118"/>
    <n v="1"/>
    <n v="1.5037593984962405E-3"/>
    <n v="7"/>
    <n v="1.0526315789473684E-2"/>
    <n v="0"/>
    <n v="0"/>
  </r>
  <r>
    <n v="1670"/>
    <s v="แขวงทางหลวงธนบุรี"/>
    <n v="419"/>
    <n v="338"/>
    <n v="101"/>
    <s v="อรุณอมรินทร์ - พุทธมณฑลสาย 4"/>
    <n v="0"/>
    <n v="15111"/>
    <n v="15.111000000000001"/>
    <n v="10"/>
    <s v="R2"/>
    <d v="2015-08-27T00:00:00"/>
    <s v="A.C."/>
    <n v="3.875"/>
    <n v="8"/>
    <n v="2.35"/>
    <n v="0.875"/>
    <n v="2.79819"/>
    <n v="3"/>
    <n v="13.2"/>
    <n v="1.3"/>
    <n v="0.45"/>
    <n v="0.15"/>
    <n v="6.81067"/>
    <n v="7"/>
    <n v="0"/>
    <n v="0"/>
    <n v="15.1"/>
    <n v="1.1736"/>
    <n v="95"/>
    <n v="27.78"/>
    <n v="0.20588596764892181"/>
    <x v="118"/>
    <n v="0"/>
    <n v="0"/>
    <n v="0"/>
    <n v="0"/>
    <n v="0"/>
    <n v="0"/>
  </r>
  <r>
    <n v="1451"/>
    <s v="แขวงทางหลวงอ่างทอง"/>
    <n v="448"/>
    <n v="368"/>
    <n v="100"/>
    <s v="ทางเลี่ยงเมืองอ่างทอง"/>
    <n v="4865"/>
    <n v="0"/>
    <n v="4.8650000000000002"/>
    <n v="4"/>
    <s v="R2"/>
    <d v="2015-06-26T00:00:00"/>
    <s v="A.C."/>
    <n v="2.5"/>
    <n v="1.1499999999999999"/>
    <n v="0.77500000000000002"/>
    <n v="0.47499999999999998"/>
    <n v="3.1100500000000002"/>
    <n v="3"/>
    <n v="4.05"/>
    <n v="0.75"/>
    <n v="0.1"/>
    <n v="0"/>
    <n v="6.1210199999999997"/>
    <n v="6"/>
    <n v="0"/>
    <n v="0"/>
    <n v="4.8999999999999995"/>
    <n v="0.956403"/>
    <n v="0"/>
    <n v="70"/>
    <n v="0.20554984583761562"/>
    <x v="118"/>
    <n v="28"/>
    <n v="0.16443987667009249"/>
    <n v="3"/>
    <n v="1.7618558214652767E-2"/>
    <n v="0"/>
    <n v="0"/>
  </r>
  <r>
    <n v="1975"/>
    <s v="แขวงทางหลวงตรัง"/>
    <n v="322"/>
    <n v="403"/>
    <n v="303"/>
    <s v="ต้นม่วง - ตรัง"/>
    <n v="118075"/>
    <n v="93211"/>
    <n v="24.864000000000001"/>
    <n v="4"/>
    <s v="R4"/>
    <d v="2015-05-05T00:00:00"/>
    <s v="A.C."/>
    <n v="19.024999999999999"/>
    <n v="3.5249999999999999"/>
    <n v="1.375"/>
    <n v="0.85"/>
    <n v="2.2011799999999999"/>
    <n v="2"/>
    <n v="23.225000000000001"/>
    <n v="1.2749999999999999"/>
    <n v="0.2"/>
    <n v="0"/>
    <n v="4.9826100000000002"/>
    <n v="5"/>
    <n v="0"/>
    <n v="0"/>
    <n v="24.774999999999999"/>
    <n v="1.1467700000000001"/>
    <n v="175.56"/>
    <n v="6"/>
    <n v="0.20518477661334802"/>
    <x v="118"/>
    <n v="31.91"/>
    <n v="3.6668045596617023E-2"/>
    <n v="0"/>
    <n v="0"/>
    <n v="0"/>
    <n v="0"/>
  </r>
  <r>
    <n v="1867"/>
    <s v="แขวงทางหลวงราชบุรี"/>
    <n v="335"/>
    <n v="3087"/>
    <n v="100"/>
    <s v="ราชบุรี - แก้มอ้น"/>
    <n v="0"/>
    <n v="54940"/>
    <n v="54.94"/>
    <n v="2"/>
    <s v="L1"/>
    <d v="2015-03-30T00:00:00"/>
    <s v="A.C."/>
    <n v="32.72"/>
    <n v="14.17"/>
    <n v="4.97"/>
    <n v="3.08"/>
    <n v="2.6897199999999999"/>
    <n v="2.5"/>
    <n v="52.48"/>
    <n v="1.98"/>
    <n v="0.4"/>
    <n v="0.08"/>
    <n v="3.9349699999999999"/>
    <n v="4"/>
    <n v="0"/>
    <n v="0"/>
    <n v="54.94"/>
    <n v="1.34954"/>
    <n v="362.05"/>
    <n v="59.66"/>
    <n v="0.20379634926413229"/>
    <x v="118"/>
    <n v="29.353999999999999"/>
    <n v="1.5265484424567058E-2"/>
    <n v="0"/>
    <n v="0"/>
    <n v="0"/>
    <n v="0"/>
  </r>
  <r>
    <n v="1915"/>
    <s v="แขวงทางหลวงเพชรบุรี"/>
    <n v="338"/>
    <n v="4"/>
    <n v="501"/>
    <s v="สระพัง - เขาวัง"/>
    <n v="162217"/>
    <n v="134587"/>
    <n v="27.63"/>
    <n v="7"/>
    <s v="R3"/>
    <d v="2015-04-01T00:00:00"/>
    <s v="A.C."/>
    <n v="18.41"/>
    <n v="4.47"/>
    <n v="2.91"/>
    <n v="1.83"/>
    <n v="2.4160200000000001"/>
    <n v="2.5"/>
    <n v="22.96"/>
    <n v="3.47"/>
    <n v="0.88"/>
    <n v="0.33"/>
    <n v="6.8119699999999996"/>
    <n v="7"/>
    <n v="0"/>
    <n v="0"/>
    <n v="27.63"/>
    <n v="1.50797"/>
    <n v="154.32"/>
    <n v="84.2"/>
    <n v="0.20311255881288454"/>
    <x v="118"/>
    <n v="342.6"/>
    <n v="0.3542733054133706"/>
    <n v="0"/>
    <n v="0"/>
    <n v="0"/>
    <n v="0"/>
  </r>
  <r>
    <n v="512"/>
    <s v="แขวงทางหลวงอุตรดิตถ์ที่ 1"/>
    <n v="557"/>
    <n v="117"/>
    <n v="401"/>
    <s v="พญาแมน - ไร่อ้อย"/>
    <s v="185+232"/>
    <s v="208+053"/>
    <n v="22.821000000000002"/>
    <s v="L1"/>
    <n v="2"/>
    <d v="2015-09-23T00:00:00"/>
    <s v="A.C."/>
    <n v="13.75"/>
    <n v="5.875"/>
    <n v="2.5499999999999998"/>
    <n v="0.65"/>
    <n v="2.5346899999999999"/>
    <n v="2.5"/>
    <n v="21.774999999999999"/>
    <n v="0.82499999999999996"/>
    <n v="0.17499999999999999"/>
    <n v="0.05"/>
    <n v="3.3687499999999999"/>
    <n v="3.5"/>
    <n v="0"/>
    <n v="0"/>
    <n v="22.824999999999999"/>
    <n v="1.1656200000000001"/>
    <n v="153.25"/>
    <n v="16.45"/>
    <n v="0.20216300000000001"/>
    <x v="118"/>
    <n v="85.466999999999999"/>
    <n v="0.107003"/>
    <n v="0"/>
    <n v="0"/>
    <n v="0"/>
    <n v="0"/>
  </r>
  <r>
    <n v="763"/>
    <s v="แขวงทางหลวงมหาสารคาม"/>
    <n v="622"/>
    <n v="219"/>
    <n v="101"/>
    <s v="บรบือ -  ยางสีสุราช"/>
    <s v="1+412"/>
    <s v="49+202"/>
    <n v="47.4"/>
    <n v="2"/>
    <s v="L1"/>
    <d v="2015-05-27T00:00:00"/>
    <s v="A.C."/>
    <n v="35.274999999999999"/>
    <n v="9.4749999999999996"/>
    <n v="2.5499999999999998"/>
    <n v="0.45"/>
    <n v="2.2370000000000001"/>
    <n v="2"/>
    <n v="46.2"/>
    <n v="1.35"/>
    <n v="0.28000000000000003"/>
    <n v="0.03"/>
    <n v="3.7670050677966103"/>
    <n v="4"/>
    <n v="0"/>
    <n v="0"/>
    <n v="47.85"/>
    <n v="1.2580199999999999"/>
    <n v="309.16000000000003"/>
    <n v="50.67"/>
    <n v="0.2016244725738397"/>
    <x v="118"/>
    <n v="0"/>
    <n v="0"/>
    <n v="114.25"/>
    <n v="6.8866787221217599E-2"/>
    <n v="0"/>
    <n v="0"/>
  </r>
  <r>
    <n v="2090"/>
    <s v="แขวงทางหลวงกระบี่"/>
    <n v="323"/>
    <n v="4041"/>
    <n v="100"/>
    <s v="บางผึ้ง - โคกยาง"/>
    <n v="0"/>
    <n v="4393"/>
    <n v="4.3929999999999998"/>
    <n v="2"/>
    <s v="L1"/>
    <d v="2015-05-08T00:00:00"/>
    <s v="A.C."/>
    <n v="2.58"/>
    <n v="1.1399999999999999"/>
    <n v="0.4"/>
    <n v="0.28000000000000003"/>
    <n v="2.7761499999999999"/>
    <n v="3"/>
    <n v="4.34"/>
    <n v="0.05"/>
    <n v="0"/>
    <n v="0"/>
    <n v="2.3585600000000002"/>
    <n v="2.5"/>
    <n v="0"/>
    <n v="0"/>
    <n v="4.3899999999999997"/>
    <n v="1.1894499999999999"/>
    <n v="20"/>
    <n v="22"/>
    <n v="0.20161945952977142"/>
    <x v="118"/>
    <n v="0"/>
    <n v="0"/>
    <n v="0"/>
    <n v="0"/>
    <n v="0"/>
    <n v="0"/>
  </r>
  <r>
    <n v="885"/>
    <s v="แขวงทางหลวงอุบลราชธานีที่ 2 (หนองหาน)"/>
    <n v="632"/>
    <n v="2182"/>
    <n v="102"/>
    <s v="โนนเรียง - หนองแสง"/>
    <n v="35000"/>
    <n v="49489"/>
    <n v="14.489000000000001"/>
    <n v="2"/>
    <s v="L1"/>
    <d v="2015-05-20T00:00:00"/>
    <s v="A.C."/>
    <n v="6.1319999999999997"/>
    <n v="3.5190000000000001"/>
    <n v="2.7650000000000001"/>
    <n v="2.073"/>
    <n v="3.83914"/>
    <n v="4"/>
    <n v="13.346"/>
    <n v="0.753"/>
    <n v="0.35199999999999998"/>
    <n v="3.7999999999999999E-2"/>
    <n v="4.2199200000000001"/>
    <n v="4"/>
    <n v="0"/>
    <n v="0"/>
    <n v="14.489000000000001"/>
    <n v="1.64499"/>
    <n v="102.2"/>
    <n v="0"/>
    <n v="0.20153199999999999"/>
    <x v="118"/>
    <n v="677.1"/>
    <n v="1.3351999999999999"/>
    <n v="0"/>
    <n v="0"/>
    <n v="4.7"/>
    <n v="9.2680000000000002E-3"/>
  </r>
  <r>
    <n v="2030"/>
    <s v="แขวงทางหลวงนครศรีธรรมราชที่ 2 (ทุ่งสง)"/>
    <n v="326"/>
    <n v="403"/>
    <n v="201"/>
    <s v="เสาธง - สวนผัก"/>
    <n v="14276"/>
    <n v="32352"/>
    <n v="18.076000000000001"/>
    <n v="4"/>
    <s v="L2"/>
    <d v="2015-04-30T00:00:00"/>
    <s v="A.C."/>
    <n v="10.85"/>
    <n v="4.0750000000000002"/>
    <n v="2.2000000000000002"/>
    <n v="0.95"/>
    <n v="2.5159899999999999"/>
    <n v="2.5"/>
    <n v="14.975"/>
    <n v="2.4750000000000001"/>
    <n v="0.5"/>
    <n v="0.125"/>
    <n v="6.1505000000000001"/>
    <n v="6"/>
    <n v="0"/>
    <n v="0"/>
    <n v="18.074999999999999"/>
    <n v="1.2442599999999999"/>
    <n v="104.78"/>
    <n v="45.19"/>
    <n v="0.20133246925678874"/>
    <x v="118"/>
    <n v="29.03"/>
    <n v="4.5885625770556063E-2"/>
    <n v="189.15"/>
    <n v="0.29897575316915875"/>
    <n v="0"/>
    <n v="0"/>
  </r>
  <r>
    <n v="1899"/>
    <s v="แขวงทางหลวงนครปฐม"/>
    <n v="336"/>
    <n v="3297"/>
    <n v="100"/>
    <s v="หนองปลาไหล - ดอนตูม"/>
    <s v="0+000"/>
    <s v="8+422"/>
    <n v="8.4220000000000006"/>
    <n v="2"/>
    <s v="L1"/>
    <d v="2015-03-26T00:00:00"/>
    <s v="A.C."/>
    <n v="5.34"/>
    <n v="1.97"/>
    <n v="0.88"/>
    <n v="0.24"/>
    <n v="2.3805399999999999"/>
    <n v="2.5"/>
    <n v="7.36"/>
    <n v="0.77"/>
    <n v="0.24"/>
    <n v="0.05"/>
    <n v="5.9729999999999999"/>
    <n v="6"/>
    <n v="0"/>
    <n v="0"/>
    <n v="8.42"/>
    <n v="1.04809"/>
    <n v="55.220999999999997"/>
    <n v="7.7"/>
    <n v="0.20039691963225562"/>
    <x v="118"/>
    <n v="16.38"/>
    <n v="5.5568748515791959E-2"/>
    <n v="0"/>
    <n v="0"/>
    <n v="1.0034000000000001"/>
    <n v="3.4040099060284289E-3"/>
  </r>
  <r>
    <n v="344"/>
    <s v="แขวงทางหลวงมุกดาหาร"/>
    <n v="639"/>
    <n v="2292"/>
    <n v="101"/>
    <s v="ก้านเหลืองดง - สงเปือย"/>
    <s v="10+000"/>
    <s v="0+000"/>
    <n v="10"/>
    <n v="2"/>
    <s v="R1"/>
    <d v="2015-06-02T00:00:00"/>
    <s v="A.C."/>
    <n v="4.9749999999999996"/>
    <n v="3.35"/>
    <n v="0.97499999999999998"/>
    <n v="0.625"/>
    <n v="3.0420600000000002"/>
    <n v="3"/>
    <n v="9.6"/>
    <n v="0.32500000000000001"/>
    <n v="0"/>
    <n v="0"/>
    <n v="4.1389399999999998"/>
    <n v="4"/>
    <n v="0"/>
    <n v="0"/>
    <n v="9.9249999999999989"/>
    <n v="1.20076"/>
    <n v="67"/>
    <n v="6"/>
    <n v="0.2"/>
    <x v="118"/>
    <n v="38.92"/>
    <n v="0.11120000000000002"/>
    <n v="0"/>
    <n v="0"/>
    <n v="0"/>
    <n v="0"/>
  </r>
  <r>
    <n v="1657"/>
    <s v="แขวงทางหลวงนนทบุรี"/>
    <n v="418"/>
    <n v="307"/>
    <n v="102"/>
    <s v="สะพานนนทบุรี  - บางคูวัด"/>
    <s v="0+942"/>
    <s v="2+700"/>
    <n v="1.758"/>
    <n v="2"/>
    <s v="L2"/>
    <d v="2015-08-29T00:00:00"/>
    <s v="A.C."/>
    <n v="1.05"/>
    <n v="0.45"/>
    <n v="0.2"/>
    <n v="0.1"/>
    <n v="2.6237499999999998"/>
    <n v="2.5"/>
    <n v="1.8"/>
    <n v="0"/>
    <n v="0"/>
    <n v="0"/>
    <n v="4.0245699999999998"/>
    <n v="4"/>
    <n v="0"/>
    <n v="0"/>
    <n v="1.8"/>
    <n v="1.1184700000000001"/>
    <n v="12.3"/>
    <n v="0"/>
    <n v="0.19990248659190638"/>
    <x v="118"/>
    <n v="0"/>
    <n v="0"/>
    <n v="0"/>
    <n v="0"/>
    <n v="0"/>
    <n v="0"/>
  </r>
  <r>
    <n v="842"/>
    <s v="แขวงทางหลวงสุรินทร์"/>
    <n v="615"/>
    <n v="214"/>
    <n v="301"/>
    <s v="ห้วยพลับพลา - โคกปูน"/>
    <n v="119391"/>
    <n v="130855"/>
    <n v="11.464"/>
    <n v="2"/>
    <s v="L1"/>
    <d v="2015-05-11T00:00:00"/>
    <s v="A.C."/>
    <n v="7.85"/>
    <n v="2.4500000000000002"/>
    <n v="0.8"/>
    <n v="0.32500000000000001"/>
    <n v="2.3706299999999998"/>
    <n v="2.5"/>
    <n v="11.225"/>
    <n v="0.17499999999999999"/>
    <n v="0"/>
    <n v="2.5000000000000001E-2"/>
    <n v="3.18404"/>
    <n v="3"/>
    <n v="0.05"/>
    <n v="2.5000000000000001E-2"/>
    <n v="11.375"/>
    <n v="1.3342700000000001"/>
    <n v="29.4"/>
    <n v="99.79"/>
    <n v="0.19761999999999999"/>
    <x v="118"/>
    <n v="27.74"/>
    <n v="6.9139999999999993E-2"/>
    <n v="108.97"/>
    <n v="0.27158300000000002"/>
    <n v="14.96"/>
    <n v="3.7280000000000001E-2"/>
  </r>
  <r>
    <n v="506"/>
    <s v="แขวงทางหลวงพิจิตร"/>
    <n v="519"/>
    <n v="1312"/>
    <n v="100"/>
    <s v="สามง่าม - กำแพงดิน"/>
    <s v="0+000"/>
    <s v="9+150"/>
    <n v="9.15"/>
    <s v="L1"/>
    <n v="2"/>
    <d v="2015-09-29T00:00:00"/>
    <s v="A.C."/>
    <n v="2.54"/>
    <n v="3.12"/>
    <n v="3.12"/>
    <n v="0.35"/>
    <n v="3.4831599999999998"/>
    <n v="3.5"/>
    <n v="9.1199999999999992"/>
    <n v="0"/>
    <n v="0"/>
    <n v="0"/>
    <n v="4.0016400000000001"/>
    <n v="4"/>
    <n v="0"/>
    <n v="0"/>
    <n v="15.45"/>
    <n v="1.27704"/>
    <n v="63.23"/>
    <n v="0"/>
    <n v="0.19744"/>
    <x v="118"/>
    <n v="69.245000000000005"/>
    <n v="0.216222"/>
    <n v="0"/>
    <n v="0"/>
    <n v="0"/>
    <n v="0"/>
  </r>
  <r>
    <n v="29"/>
    <s v="แขวงทางหลวงเชียงใหม่ที่ 2"/>
    <n v="522"/>
    <n v="1001"/>
    <n v="100"/>
    <s v="เชียงใหม่ - บ้านโป่ง"/>
    <s v="34+140"/>
    <s v="0+000"/>
    <n v="34.14"/>
    <n v="2"/>
    <s v="R1"/>
    <d v="2015-08-19T00:00:00"/>
    <s v="A.C."/>
    <n v="18.975000000000001"/>
    <n v="9.5749999999999993"/>
    <n v="3.9249999999999998"/>
    <n v="1.7"/>
    <n v="2.6682000000000001"/>
    <n v="2.5"/>
    <n v="33.950000000000003"/>
    <n v="0.17499999999999999"/>
    <n v="0.05"/>
    <n v="0"/>
    <n v="2.6717200000000001"/>
    <n v="2.5"/>
    <n v="0"/>
    <n v="0"/>
    <n v="34.175000000000004"/>
    <n v="1.0325500000000001"/>
    <n v="223.34"/>
    <n v="23.17"/>
    <n v="0.19660641057829106"/>
    <x v="118"/>
    <n v="0"/>
    <n v="0"/>
    <n v="28"/>
    <n v="2.343292325717633E-2"/>
    <n v="0"/>
    <n v="0"/>
  </r>
  <r>
    <n v="1216"/>
    <s v="แขวงทางหลวงลพบุรีที่ 2 (ลำนารายณ์)"/>
    <n v="435"/>
    <n v="2321"/>
    <n v="100"/>
    <s v="ใหม่สามัคคี - นิยมชัย"/>
    <s v="0+000"/>
    <s v="34+301"/>
    <n v="34.301000000000002"/>
    <n v="2"/>
    <s v="L1"/>
    <d v="2015-10-05T00:00:00"/>
    <s v="A.C."/>
    <n v="18.05"/>
    <n v="11.025"/>
    <n v="3.85"/>
    <n v="1.8"/>
    <n v="2.8064900000000002"/>
    <n v="3"/>
    <n v="30.875"/>
    <n v="2.9"/>
    <n v="0.82499999999999996"/>
    <n v="0.125"/>
    <n v="4.8523800000000001"/>
    <n v="5"/>
    <n v="0"/>
    <n v="0"/>
    <n v="34.301000000000002"/>
    <n v="1.40696"/>
    <n v="226.98"/>
    <n v="17.8"/>
    <n v="0.19647906974807061"/>
    <x v="118"/>
    <n v="154.69"/>
    <n v="0.12885099999999999"/>
    <n v="0"/>
    <n v="0"/>
    <n v="1.2014"/>
    <n v="1.0009999999999999E-3"/>
  </r>
  <r>
    <n v="1728"/>
    <s v="แขวงทางหลวงจันทบุรี"/>
    <n v="423"/>
    <n v="317"/>
    <n v="101"/>
    <s v="ปากแซง - หน้าค่าย ตชด."/>
    <n v="0"/>
    <n v="10000"/>
    <n v="10"/>
    <n v="4"/>
    <s v="L2"/>
    <d v="2015-08-18T00:00:00"/>
    <s v="A.C."/>
    <n v="7.5750000000000002"/>
    <n v="1.7"/>
    <n v="0.5"/>
    <n v="0.27500000000000002"/>
    <n v="2.78268"/>
    <n v="3"/>
    <n v="9.625"/>
    <n v="0.375"/>
    <n v="0.05"/>
    <n v="0"/>
    <n v="6.9831500000000002"/>
    <n v="7"/>
    <n v="0"/>
    <n v="0"/>
    <n v="10"/>
    <n v="1.1054999999999999"/>
    <n v="68.64"/>
    <n v="0"/>
    <n v="0.19611428571428571"/>
    <x v="118"/>
    <n v="0"/>
    <n v="0"/>
    <n v="104"/>
    <n v="0.29714285714285715"/>
    <n v="0"/>
    <n v="0"/>
  </r>
  <r>
    <n v="1837"/>
    <s v="แขวงทางหลวงชุมพร"/>
    <n v="332"/>
    <n v="327"/>
    <n v="100"/>
    <s v="สี่แยกปฐมพร - แยกหมอเล็ก"/>
    <n v="0"/>
    <n v="7833"/>
    <n v="7.8330000000000002"/>
    <n v="6"/>
    <s v="L3"/>
    <d v="2015-04-07T00:00:00"/>
    <s v="A.C."/>
    <n v="5.45"/>
    <n v="1.2"/>
    <n v="0.57499999999999996"/>
    <n v="0.52500000000000002"/>
    <n v="2.4268100000000001"/>
    <n v="2.5"/>
    <n v="7.6"/>
    <n v="0.05"/>
    <n v="2.5000000000000001E-2"/>
    <n v="7.4999999999999997E-2"/>
    <n v="3.3525999999999998"/>
    <n v="3.5"/>
    <n v="0"/>
    <n v="0"/>
    <n v="7.7500000000000009"/>
    <n v="1.1763699999999999"/>
    <n v="53.68"/>
    <n v="0"/>
    <n v="0.19580164505480499"/>
    <x v="118"/>
    <n v="2.33"/>
    <n v="8.4988418960077299E-3"/>
    <n v="1.69"/>
    <n v="6.1643960533275003E-3"/>
    <n v="0"/>
    <n v="0"/>
  </r>
  <r>
    <n v="2088"/>
    <s v="แขวงทางหลวงกระบี่"/>
    <n v="323"/>
    <n v="4037"/>
    <n v="100"/>
    <s v="เหนือคลอง - สองแพรก"/>
    <n v="0"/>
    <n v="33450"/>
    <n v="33.450000000000003"/>
    <n v="2"/>
    <s v="L1"/>
    <d v="2015-05-08T00:00:00"/>
    <s v="A.C."/>
    <n v="27.18"/>
    <n v="4.67"/>
    <n v="1.25"/>
    <n v="0.35"/>
    <n v="1.9648600000000001"/>
    <n v="2"/>
    <n v="32.6"/>
    <n v="0.8"/>
    <n v="0.03"/>
    <n v="0.03"/>
    <n v="3.3094100000000002"/>
    <n v="3.5"/>
    <n v="0"/>
    <n v="0"/>
    <n v="33.450000000000003"/>
    <n v="1.4138599999999999"/>
    <n v="228.35"/>
    <n v="1.69"/>
    <n v="0.19576767029681827"/>
    <x v="118"/>
    <n v="159.69"/>
    <n v="0.13639974375400382"/>
    <n v="0"/>
    <n v="0"/>
    <n v="5.96"/>
    <n v="5.0907537903053593E-3"/>
  </r>
  <r>
    <n v="1550"/>
    <s v="แขวงทางหลวงสมุทรสาคร"/>
    <n v="415"/>
    <n v="3415"/>
    <n v="100"/>
    <s v="สามพราน - แม่น้ำนครชัยศรี"/>
    <s v="5+153"/>
    <s v="0+000"/>
    <n v="5.1529999999999996"/>
    <n v="2"/>
    <s v="R1"/>
    <d v="2015-08-26T00:00:00"/>
    <s v="A.C."/>
    <n v="0.625"/>
    <n v="0.625"/>
    <n v="2.8250000000000002"/>
    <n v="1.1499999999999999"/>
    <n v="3.8209"/>
    <n v="4"/>
    <n v="5.2249999999999996"/>
    <n v="0"/>
    <n v="0"/>
    <n v="0"/>
    <n v="3.0007799999999998"/>
    <n v="3"/>
    <n v="0"/>
    <n v="0"/>
    <n v="5.2249999999999996"/>
    <n v="1.3491899999999999"/>
    <n v="0"/>
    <n v="70.52"/>
    <n v="0.19550000000000001"/>
    <x v="118"/>
    <n v="0"/>
    <n v="0"/>
    <n v="10.97"/>
    <n v="6.0824000000000003E-2"/>
    <n v="0"/>
    <n v="0"/>
  </r>
  <r>
    <n v="583"/>
    <s v="แขวงทางหลวงเพชรบูรณ์ที่ 2 (บึงสามพัน)"/>
    <n v="552"/>
    <n v="2244"/>
    <n v="100"/>
    <s v="มอดินแดง - ศรีเทพน้อย"/>
    <n v="0"/>
    <n v="14500"/>
    <n v="14.5"/>
    <n v="2"/>
    <s v="L1"/>
    <d v="2015-07-09T00:00:00"/>
    <s v="A.C."/>
    <n v="9.5"/>
    <n v="2.4"/>
    <n v="1.3"/>
    <n v="1.325"/>
    <n v="2.2729400000000002"/>
    <n v="2.5"/>
    <n v="14.225"/>
    <n v="0.17499999999999999"/>
    <n v="7.4999999999999997E-2"/>
    <n v="0.05"/>
    <n v="3.2328399999999999"/>
    <n v="3"/>
    <n v="0"/>
    <n v="0"/>
    <n v="14.525"/>
    <n v="1.3307599999999999"/>
    <n v="94"/>
    <n v="10.07"/>
    <n v="0.19514285714285715"/>
    <x v="118"/>
    <n v="0"/>
    <n v="0"/>
    <n v="0"/>
    <n v="0"/>
    <n v="21"/>
    <n v="4.1379310344827586E-2"/>
  </r>
  <r>
    <n v="1862"/>
    <s v="แขวงทางหลวงประจวบคีรีขันธ์ (หัวหิน)"/>
    <n v="333"/>
    <n v="3325"/>
    <n v="100"/>
    <s v="ทางเข้าหาดทรายใหญ่"/>
    <n v="30"/>
    <n v="4200"/>
    <n v="4.17"/>
    <n v="2"/>
    <s v="L1"/>
    <d v="2015-04-04T00:00:00"/>
    <s v="A.C."/>
    <n v="2.8250000000000002"/>
    <n v="0.625"/>
    <n v="0.25"/>
    <n v="0.375"/>
    <n v="2.6642299999999999"/>
    <n v="2.5"/>
    <n v="4.0750000000000002"/>
    <n v="0"/>
    <n v="0"/>
    <n v="0"/>
    <n v="1.32847"/>
    <n v="1.5"/>
    <n v="0"/>
    <n v="0"/>
    <n v="4.0750000000000002"/>
    <n v="1.2083699999999999"/>
    <n v="0"/>
    <n v="56.88"/>
    <n v="0.19486125385405964"/>
    <x v="118"/>
    <n v="0"/>
    <n v="0"/>
    <n v="0"/>
    <n v="0"/>
    <n v="0"/>
    <n v="0"/>
  </r>
  <r>
    <n v="166"/>
    <s v="แขวงทางหลวงเชียงรายที่ 1"/>
    <n v="533"/>
    <n v="1"/>
    <n v="1404"/>
    <s v="บ้านเด่น - แม่คำ"/>
    <s v="944+000"/>
    <s v="970+000"/>
    <n v="25.247"/>
    <n v="4"/>
    <s v="L2"/>
    <d v="2015-07-17T00:00:00"/>
    <s v="A.C."/>
    <n v="17.989999999999998"/>
    <n v="3.68"/>
    <n v="2.48"/>
    <n v="1.1000000000000001"/>
    <n v="2.5230000000000001"/>
    <n v="2.5"/>
    <n v="19.55"/>
    <n v="4.79"/>
    <n v="0.68"/>
    <n v="0.23"/>
    <n v="8.11"/>
    <n v="8"/>
    <n v="0"/>
    <n v="0"/>
    <n v="25.25"/>
    <n v="1.0620000000000001"/>
    <n v="109.92"/>
    <n v="124.48"/>
    <n v="0.19482937152363225"/>
    <x v="118"/>
    <n v="0.95"/>
    <n v="1.0750923730683704E-3"/>
    <n v="263.14999999999998"/>
    <n v="0.29780058733993858"/>
    <n v="27.49"/>
    <n v="3.1109778248052104E-2"/>
  </r>
  <r>
    <n v="2013"/>
    <s v="แขวงทางหลวงสุราษฎร์ธานี ที่ 1 (พุนพิน)"/>
    <n v="325"/>
    <n v="4153"/>
    <n v="100"/>
    <s v="หนองขรี - เทศบาลเมืองท่าข้าม"/>
    <n v="0"/>
    <n v="8354"/>
    <n v="8.3539999999999992"/>
    <n v="6"/>
    <s v="L3"/>
    <d v="2015-04-23T00:00:00"/>
    <s v="A.C."/>
    <n v="5.35"/>
    <n v="1.83"/>
    <n v="0.85"/>
    <n v="0.33"/>
    <n v="2.5103"/>
    <n v="2.5"/>
    <n v="7.85"/>
    <n v="0.45"/>
    <n v="0.05"/>
    <n v="0"/>
    <n v="3.9691000000000001"/>
    <n v="4"/>
    <n v="0"/>
    <n v="0"/>
    <n v="8.35"/>
    <n v="1.35063"/>
    <n v="56.76"/>
    <n v="0"/>
    <n v="0.1941242860562947"/>
    <x v="118"/>
    <n v="6"/>
    <n v="2.0520537638086121E-2"/>
    <n v="0"/>
    <n v="0"/>
    <n v="0"/>
    <n v="0"/>
  </r>
  <r>
    <n v="550"/>
    <s v="แขวงทางหลวงเพชรบูรณ์ที่ 1"/>
    <n v="551"/>
    <n v="234"/>
    <n v="100"/>
    <s v="ทางเลี่ยงเมืองเพชรบูรณ์"/>
    <n v="18367"/>
    <n v="0"/>
    <n v="18.367000000000001"/>
    <n v="4"/>
    <s v="R2"/>
    <d v="2015-07-07T00:00:00"/>
    <s v="A.C."/>
    <n v="13.51"/>
    <n v="2.84"/>
    <n v="1.33"/>
    <n v="0.7"/>
    <n v="2.1909800000000001"/>
    <n v="2"/>
    <n v="16.690000000000001"/>
    <n v="1.28"/>
    <n v="0.3"/>
    <n v="0.1"/>
    <n v="6.2565299999999997"/>
    <n v="6.5"/>
    <n v="0"/>
    <n v="0"/>
    <n v="18.370000000000005"/>
    <n v="1.2338499999999999"/>
    <n v="119"/>
    <n v="11.54"/>
    <n v="0.19409033281739763"/>
    <x v="118"/>
    <n v="32"/>
    <n v="4.9778718042451903E-2"/>
    <n v="255"/>
    <n v="0.39667415940078865"/>
    <n v="0"/>
    <n v="0"/>
  </r>
  <r>
    <n v="2139"/>
    <s v="แขวงทางหลวงพังงา"/>
    <n v="327"/>
    <n v="401"/>
    <n v="100"/>
    <s v="เขาศก - พนม"/>
    <s v="32+492"/>
    <n v="73742"/>
    <n v="41.25"/>
    <n v="2"/>
    <s v="L1"/>
    <d v="2015-05-11T00:00:00"/>
    <s v="A.C."/>
    <n v="25.324999999999999"/>
    <n v="10.15"/>
    <n v="4.4749999999999996"/>
    <n v="1.45"/>
    <n v="2.5209999999999999"/>
    <n v="2.5"/>
    <n v="39.4"/>
    <n v="1.6"/>
    <n v="0.35"/>
    <n v="0.05"/>
    <n v="4.2220000000000004"/>
    <n v="4"/>
    <n v="0"/>
    <n v="0"/>
    <n v="41.400000000000006"/>
    <n v="1.5209999999999999"/>
    <n v="249.3"/>
    <n v="61.6"/>
    <n v="0.19400865800865802"/>
    <x v="118"/>
    <n v="45.3"/>
    <n v="3.1376623376623371E-2"/>
    <n v="1.99"/>
    <n v="0"/>
    <n v="0"/>
    <n v="0"/>
  </r>
  <r>
    <n v="858"/>
    <s v="แขวงทางหลวงสุรินทร์"/>
    <n v="615"/>
    <n v="2328"/>
    <n v="102"/>
    <s v="ปวงตึก - นาตำบล"/>
    <n v="11359"/>
    <n v="41982"/>
    <n v="30.623000000000001"/>
    <n v="2"/>
    <s v="L1"/>
    <d v="2015-05-09T00:00:00"/>
    <s v="A.C."/>
    <n v="20.75"/>
    <n v="6.875"/>
    <n v="2.2749999999999999"/>
    <n v="0.6"/>
    <n v="2.4684699999999999"/>
    <n v="2.5"/>
    <n v="30.25"/>
    <n v="0.15"/>
    <n v="0.1"/>
    <n v="0"/>
    <n v="2.7581699999999998"/>
    <n v="3"/>
    <n v="0"/>
    <n v="0"/>
    <n v="30.5"/>
    <n v="1.2742199999999999"/>
    <n v="10.07"/>
    <n v="395.55"/>
    <n v="0.19392000000000001"/>
    <x v="118"/>
    <n v="138.82"/>
    <n v="0.12952"/>
    <n v="0"/>
    <n v="0"/>
    <n v="0"/>
    <n v="0"/>
  </r>
  <r>
    <n v="63"/>
    <s v="แขวงทางหลวงลำพูน"/>
    <n v="524"/>
    <n v="106"/>
    <n v="201"/>
    <s v="ห้วยหญ้าไทร - ลี้"/>
    <s v="52+000"/>
    <s v="28+507"/>
    <n v="23.492999999999999"/>
    <n v="2"/>
    <s v="R1"/>
    <d v="2015-08-12T00:00:00"/>
    <s v="A.C."/>
    <n v="15.574999999999999"/>
    <n v="4.5999999999999996"/>
    <n v="2.2000000000000002"/>
    <n v="0.67500000000000004"/>
    <n v="2.3933599999999999"/>
    <n v="2.5"/>
    <n v="23.05"/>
    <n v="0"/>
    <n v="0"/>
    <n v="0"/>
    <n v="2.8139400000000001"/>
    <n v="3"/>
    <n v="0"/>
    <n v="0"/>
    <n v="23.049999999999997"/>
    <n v="1.2609600000000001"/>
    <n v="158.96"/>
    <n v="0.63"/>
    <n v="0.19370511580957248"/>
    <x v="118"/>
    <n v="0"/>
    <n v="0"/>
    <n v="0"/>
    <n v="0"/>
    <n v="0"/>
    <n v="0"/>
  </r>
  <r>
    <n v="19"/>
    <s v="แขวงทางหลวงเชียงใหม่ที่ 1"/>
    <n v="521"/>
    <n v="1103"/>
    <n v="200"/>
    <s v="พระบาทตะเมาะ  - ฮอด"/>
    <n v="6000"/>
    <n v="67784"/>
    <n v="61.783999999999999"/>
    <n v="2"/>
    <s v="R1"/>
    <d v="2015-08-15T00:00:00"/>
    <s v="A.C."/>
    <n v="15.4"/>
    <n v="22.1"/>
    <n v="16.350000000000001"/>
    <n v="7.875"/>
    <n v="3.4637799999999999"/>
    <n v="3.5"/>
    <n v="56.5"/>
    <n v="3.65"/>
    <n v="1.45"/>
    <n v="0.125"/>
    <n v="4.3934100000000003"/>
    <n v="4.5"/>
    <n v="0"/>
    <n v="0"/>
    <n v="61.725000000000001"/>
    <n v="1.36049"/>
    <n v="418.83"/>
    <n v="0"/>
    <n v="0.1936839866077209"/>
    <x v="118"/>
    <n v="0"/>
    <n v="0"/>
    <n v="0"/>
    <n v="0"/>
    <n v="0"/>
    <n v="0"/>
  </r>
  <r>
    <n v="457"/>
    <s v="แขวงทางหลวงสุโขทัย"/>
    <n v="513"/>
    <n v="1404"/>
    <n v="100"/>
    <s v="หนองช้าง - ศรีสัชนาลัย"/>
    <s v="13+858"/>
    <s v="0+000"/>
    <n v="13.858000000000001"/>
    <s v="R1"/>
    <n v="2"/>
    <d v="2015-09-16T00:00:00"/>
    <s v="A.C."/>
    <n v="11.04"/>
    <n v="2.2999999999999998"/>
    <n v="0.47"/>
    <n v="0.05"/>
    <n v="1.9474100000000001"/>
    <n v="2"/>
    <n v="13.86"/>
    <n v="0"/>
    <n v="0"/>
    <n v="0"/>
    <n v="2.6118299999999999"/>
    <n v="2.5"/>
    <n v="0"/>
    <n v="0"/>
    <n v="13.86"/>
    <n v="1.3160400000000001"/>
    <n v="92.3"/>
    <n v="3.21"/>
    <n v="0.19360658103622458"/>
    <x v="118"/>
    <n v="68.14"/>
    <n v="0.14048615549553636"/>
    <n v="0"/>
    <n v="0"/>
    <n v="0"/>
    <n v="0"/>
  </r>
  <r>
    <n v="1956"/>
    <s v="แขวงทางหลวงนครศรีธรรมราชที่ 1"/>
    <n v="321"/>
    <n v="4103"/>
    <n v="101"/>
    <s v="ปากพูน - เบญจม"/>
    <n v="0"/>
    <n v="13699"/>
    <n v="13.699"/>
    <n v="4"/>
    <s v="F2"/>
    <d v="2015-04-30T00:00:00"/>
    <s v="A.C."/>
    <n v="8.0500000000000007"/>
    <n v="3.6"/>
    <n v="1.55"/>
    <n v="0.45"/>
    <n v="2.5580599999999998"/>
    <n v="2.5"/>
    <n v="12.975"/>
    <n v="0.57499999999999996"/>
    <n v="0.1"/>
    <n v="0"/>
    <n v="4.6648699999999996"/>
    <n v="4.5"/>
    <n v="0"/>
    <n v="0"/>
    <n v="13.649999999999999"/>
    <n v="1.13984"/>
    <n v="88.3"/>
    <n v="7.92"/>
    <n v="0.19242280458427621"/>
    <x v="118"/>
    <n v="50.62"/>
    <n v="0.1055760065906792"/>
    <n v="32.81"/>
    <n v="6.8430438092457219E-2"/>
    <n v="0"/>
    <n v="0"/>
  </r>
  <r>
    <n v="817"/>
    <s v="แขวงทางหลวงกาฬสินธุ์"/>
    <n v="647"/>
    <n v="214"/>
    <n v="100"/>
    <s v="กาฬสินธุ์ - ลำชี"/>
    <s v="1+000"/>
    <s v="12+500"/>
    <n v="11.5"/>
    <n v="4"/>
    <s v="L1"/>
    <d v="2015-05-30T00:00:00"/>
    <s v="A.C."/>
    <n v="7.1"/>
    <n v="2.5499999999999998"/>
    <n v="1.05"/>
    <n v="0.8"/>
    <n v="2.8330000000000002"/>
    <n v="3"/>
    <n v="10.5"/>
    <n v="0.85"/>
    <n v="0.1"/>
    <n v="0.05"/>
    <n v="6.2969999999999997"/>
    <n v="6.5"/>
    <n v="0"/>
    <n v="0"/>
    <n v="11.5"/>
    <n v="1.171"/>
    <n v="24"/>
    <n v="106"/>
    <n v="0.19130434782608696"/>
    <x v="118"/>
    <n v="875"/>
    <n v="2.1739130434782608"/>
    <n v="345"/>
    <n v="0.85714285714285721"/>
    <n v="1"/>
    <n v="2.4844720496894411E-3"/>
  </r>
  <r>
    <n v="625"/>
    <s v="แขวงทางหลวงเลยที่ 2 (ด่านซ้าย)"/>
    <n v="555"/>
    <n v="2294"/>
    <n v="100"/>
    <s v="แก่งไฮ - ห้วยติ้ว"/>
    <n v="0"/>
    <n v="23930"/>
    <n v="23.93"/>
    <n v="2"/>
    <s v="L1"/>
    <d v="2015-07-02T00:00:00"/>
    <s v="A.C."/>
    <n v="16.399999999999999"/>
    <n v="4.5750000000000002"/>
    <n v="2.0249999999999999"/>
    <n v="0.72499999999999998"/>
    <n v="2.5963599999999998"/>
    <n v="2.5"/>
    <n v="23.074999999999999"/>
    <n v="0.625"/>
    <n v="2.5000000000000001E-2"/>
    <n v="0"/>
    <n v="5.9980599999999997"/>
    <n v="6"/>
    <n v="0"/>
    <n v="0"/>
    <n v="23.724999999999998"/>
    <n v="1.1718"/>
    <n v="0"/>
    <n v="320.27"/>
    <n v="0.19119455554892245"/>
    <x v="118"/>
    <n v="0"/>
    <n v="0"/>
    <n v="0"/>
    <n v="0"/>
    <n v="0"/>
    <n v="0"/>
  </r>
  <r>
    <n v="1313"/>
    <s v="แขวงทางหลวงกาญจนบุรี"/>
    <n v="444"/>
    <n v="323"/>
    <n v="206"/>
    <s v="น้ำตกไทรโยคใหญ่ - ทองผาภูมิ"/>
    <n v="155136"/>
    <n v="199826"/>
    <n v="44.69"/>
    <n v="2"/>
    <s v="L1"/>
    <d v="2015-07-24T00:00:00"/>
    <s v="A.C."/>
    <n v="32.799999999999997"/>
    <n v="10.925000000000001"/>
    <n v="1.05"/>
    <n v="0"/>
    <n v="2.2485400000000002"/>
    <n v="2"/>
    <n v="44.65"/>
    <n v="0.125"/>
    <n v="0"/>
    <n v="0"/>
    <n v="2.2328899999999998"/>
    <n v="2"/>
    <n v="0"/>
    <n v="0"/>
    <n v="44.774999999999991"/>
    <n v="1.26946"/>
    <n v="165.56"/>
    <n v="264.60000000000002"/>
    <n v="0.19042930665217533"/>
    <x v="118"/>
    <n v="1.5620000000000001"/>
    <n v="9.9862545152319161E-4"/>
    <n v="0"/>
    <n v="0"/>
    <n v="0"/>
    <n v="0"/>
  </r>
  <r>
    <n v="160"/>
    <s v="แขวงทางหลวงเชียงรายที่ 1"/>
    <n v="533"/>
    <n v="1"/>
    <n v="1401"/>
    <s v="พาน - สบห้วย"/>
    <s v="912+300"/>
    <s v="890+370"/>
    <n v="21.63"/>
    <n v="4"/>
    <s v="R2"/>
    <d v="2015-07-18T00:00:00"/>
    <s v="A.C."/>
    <n v="9.5399999999999991"/>
    <n v="7.55"/>
    <n v="3.02"/>
    <n v="1.53"/>
    <n v="2.7592599999999998"/>
    <n v="3"/>
    <n v="8.36"/>
    <n v="7.51"/>
    <n v="3.92"/>
    <n v="1.84"/>
    <n v="13.856299999999999"/>
    <n v="14"/>
    <n v="0"/>
    <n v="0"/>
    <n v="21.63"/>
    <n v="1.1044799999999999"/>
    <n v="114"/>
    <n v="59.88"/>
    <n v="0.19013275212997818"/>
    <x v="118"/>
    <n v="0"/>
    <n v="0"/>
    <n v="59"/>
    <n v="7.7934086255861568E-2"/>
    <n v="0"/>
    <n v="0"/>
  </r>
  <r>
    <n v="924"/>
    <s v="แขวงทางหลวงศรีสะเกษที่ 1"/>
    <n v="638"/>
    <n v="2157"/>
    <n v="101"/>
    <s v="ขุขันธ์ - แยกโคกตาล"/>
    <n v="0"/>
    <n v="6495"/>
    <n v="6.4950000000000001"/>
    <n v="2"/>
    <s v="L1"/>
    <d v="2015-05-13T00:00:00"/>
    <s v="A.C."/>
    <n v="2.5499999999999998"/>
    <n v="1.35"/>
    <n v="1.0249999999999999"/>
    <n v="0.65"/>
    <n v="3.2082999999999999"/>
    <n v="3"/>
    <n v="5.3"/>
    <n v="0.27500000000000002"/>
    <n v="0"/>
    <n v="0"/>
    <n v="4.75671"/>
    <n v="5"/>
    <n v="0"/>
    <n v="0"/>
    <n v="5.5750000000000002"/>
    <n v="1.3226800000000001"/>
    <n v="35.39"/>
    <n v="2.0099999999999998"/>
    <n v="0.18923999999999999"/>
    <x v="118"/>
    <n v="0"/>
    <n v="0"/>
    <n v="613.69000000000005"/>
    <n v="3.1909010000000002"/>
    <n v="1.31"/>
    <n v="6.8100000000000001E-3"/>
  </r>
  <r>
    <n v="2179"/>
    <s v="แขวงทางหลวงสงขลาที่ 1"/>
    <n v="311"/>
    <n v="4135"/>
    <n v="100"/>
    <s v="ทางเข้าสนามบินหาดใหญ่"/>
    <n v="0"/>
    <n v="10187"/>
    <n v="10.186999999999999"/>
    <n v="2"/>
    <s v="L1"/>
    <d v="2015-05-23T00:00:00"/>
    <s v="A.C."/>
    <n v="6.625"/>
    <n v="2.2749999999999999"/>
    <n v="0.75"/>
    <n v="0.45"/>
    <n v="2.51797"/>
    <n v="2.5"/>
    <n v="9.0250000000000004"/>
    <n v="0.9"/>
    <n v="0.125"/>
    <n v="0.05"/>
    <n v="5.9420799999999998"/>
    <n v="6"/>
    <n v="0"/>
    <n v="0"/>
    <n v="10.1"/>
    <n v="1.1957599999999999"/>
    <n v="66.680000000000007"/>
    <n v="0"/>
    <n v="0.18701706656943726"/>
    <x v="118"/>
    <n v="7.54"/>
    <n v="2.1147400748853584E-2"/>
    <n v="0"/>
    <n v="0"/>
    <n v="0"/>
    <n v="0"/>
  </r>
  <r>
    <n v="1376"/>
    <s v="แขวงทางหลวงสุพรรณบุรีที่ 2 (อู่ทอง)"/>
    <n v="445"/>
    <n v="3422"/>
    <n v="100"/>
    <s v="ลาดบัวหลวง - สองพี่น้อง"/>
    <n v="32355"/>
    <n v="0"/>
    <n v="32.354999999999997"/>
    <n v="4"/>
    <s v="R2"/>
    <d v="2015-07-22T00:00:00"/>
    <s v="A.C."/>
    <n v="22.925000000000001"/>
    <n v="6.125"/>
    <n v="2.0499999999999998"/>
    <n v="1.35"/>
    <n v="2.37798"/>
    <n v="2.5"/>
    <n v="23.5"/>
    <n v="6"/>
    <n v="2.0499999999999998"/>
    <n v="0.9"/>
    <n v="7.9175599999999999"/>
    <n v="8"/>
    <n v="0"/>
    <n v="0"/>
    <n v="32.450000000000003"/>
    <n v="1.11816"/>
    <n v="161"/>
    <n v="100"/>
    <n v="0.1863258052409652"/>
    <x v="118"/>
    <n v="0"/>
    <n v="0"/>
    <n v="514"/>
    <n v="0.45389319380974463"/>
    <n v="2"/>
    <n v="1.7661213766916135E-3"/>
  </r>
  <r>
    <n v="991"/>
    <s v="แขวงทางหลวงนครราชสีมาที่ 3"/>
    <n v="614"/>
    <n v="2298"/>
    <n v="100"/>
    <s v="แหลมทอง - สระมะค่า"/>
    <n v="0"/>
    <n v="14063"/>
    <n v="14.063000000000001"/>
    <n v="2"/>
    <s v="L1"/>
    <d v="2015-05-01T00:00:00"/>
    <s v="A.C."/>
    <n v="11.175000000000001"/>
    <n v="1.85"/>
    <n v="0.3"/>
    <n v="0.05"/>
    <n v="2.0001699999999998"/>
    <n v="2"/>
    <n v="13.324999999999999"/>
    <n v="0.05"/>
    <n v="0"/>
    <n v="0"/>
    <n v="2.8862199999999998"/>
    <n v="3"/>
    <n v="0"/>
    <n v="0"/>
    <n v="13.375000000000002"/>
    <n v="1.16913"/>
    <n v="90.98"/>
    <n v="0"/>
    <n v="0.18484168181956706"/>
    <x v="118"/>
    <n v="8.42"/>
    <n v="1.7106693349315832E-2"/>
    <n v="0"/>
    <n v="0"/>
    <n v="0"/>
    <n v="0"/>
  </r>
  <r>
    <n v="516"/>
    <s v="แขวงทางหลวงอุตรดิตถ์ที่ 1"/>
    <n v="557"/>
    <n v="1046"/>
    <n v="100"/>
    <s v="ทุ่งยั้ง - ดงสระแก้ว"/>
    <s v="14+596"/>
    <s v="0+000"/>
    <n v="14.596"/>
    <s v="R1"/>
    <n v="2"/>
    <d v="2015-09-24T00:00:00"/>
    <s v="A.C."/>
    <n v="9.8000000000000007"/>
    <n v="3.2250000000000001"/>
    <n v="1.075"/>
    <n v="0.48"/>
    <n v="2.45763"/>
    <n v="2.5"/>
    <n v="14.5"/>
    <n v="7.4999999999999997E-2"/>
    <n v="0"/>
    <n v="0"/>
    <n v="3.0355400000000001"/>
    <n v="3"/>
    <n v="0"/>
    <n v="0"/>
    <n v="14.58"/>
    <n v="1.1504399999999999"/>
    <n v="77.12"/>
    <n v="34.119999999999997"/>
    <n v="0.18435599999999999"/>
    <x v="118"/>
    <n v="88.49"/>
    <n v="0.17321800000000001"/>
    <n v="0"/>
    <n v="0"/>
    <n v="0"/>
    <n v="0"/>
  </r>
  <r>
    <n v="1485"/>
    <s v="แขวงทางหลวงกรุงเทพ"/>
    <n v="411"/>
    <n v="3701"/>
    <n v="100"/>
    <s v="ถนนศรีนครินทร์ - ลาดกระบัง"/>
    <s v="13+118"/>
    <s v="20+371"/>
    <n v="7.2530000000000001"/>
    <n v="2"/>
    <s v="L1"/>
    <d v="2015-09-01T00:00:00"/>
    <s v="A.C."/>
    <n v="3.2749999999999999"/>
    <n v="2.0249999999999999"/>
    <n v="1.05"/>
    <n v="0.95"/>
    <n v="3.16"/>
    <n v="3"/>
    <n v="7.1749999999999998"/>
    <n v="0.125"/>
    <n v="0"/>
    <n v="0"/>
    <n v="4.2270000000000003"/>
    <n v="4"/>
    <n v="0"/>
    <n v="0"/>
    <n v="7.3"/>
    <n v="1.1599999999999999"/>
    <n v="0"/>
    <n v="93.46"/>
    <n v="0.18408146382777568"/>
    <x v="118"/>
    <n v="736"/>
    <n v="2.899292903429123"/>
    <n v="546.64"/>
    <n v="2.1533552618620866"/>
    <n v="16"/>
    <n v="6.3028106596285285E-2"/>
  </r>
  <r>
    <n v="1704"/>
    <s v="แขวงทางหลวงฉะเชิงเทรา"/>
    <n v="421"/>
    <n v="3702"/>
    <n v="300"/>
    <s v="บางควาย - เขาดิน"/>
    <s v="38+600"/>
    <s v="39+475"/>
    <n v="0.875"/>
    <n v="2"/>
    <s v="L1"/>
    <d v="2015-08-11T00:00:00"/>
    <s v="A.C."/>
    <n v="0.27500000000000002"/>
    <n v="0.57499999999999996"/>
    <n v="7.4999999999999997E-2"/>
    <n v="0"/>
    <n v="2.762"/>
    <n v="3"/>
    <n v="0.75"/>
    <n v="0.05"/>
    <n v="2.5000000000000001E-2"/>
    <n v="0.1"/>
    <n v="9.6609999999999996"/>
    <n v="9.5"/>
    <n v="0"/>
    <n v="0"/>
    <n v="0.875"/>
    <n v="1.2150000000000001"/>
    <n v="5.63"/>
    <n v="0"/>
    <n v="0.18383673469387754"/>
    <x v="118"/>
    <n v="0"/>
    <n v="0"/>
    <n v="0"/>
    <n v="0"/>
    <n v="0"/>
    <n v="0"/>
  </r>
  <r>
    <n v="1931"/>
    <s v="แขวงทางหลวงเพชรบุรี"/>
    <n v="338"/>
    <n v="3410"/>
    <n v="100"/>
    <s v="เขื่อนเพชร - ห้วยโสก"/>
    <n v="43982"/>
    <n v="0"/>
    <n v="43.981999999999999"/>
    <n v="2"/>
    <s v="R1"/>
    <d v="2015-04-02T00:00:00"/>
    <s v="A.C."/>
    <n v="21.44"/>
    <n v="14.48"/>
    <n v="5.9"/>
    <n v="2.16"/>
    <n v="2.7639100000000001"/>
    <n v="3"/>
    <n v="42.33"/>
    <n v="1.31"/>
    <n v="0.13"/>
    <n v="0.21"/>
    <n v="3.5653199999999998"/>
    <n v="3.5"/>
    <n v="0"/>
    <n v="0"/>
    <n v="43.98"/>
    <n v="1.3068900000000001"/>
    <n v="136"/>
    <n v="293.77"/>
    <n v="0.18376673574254401"/>
    <x v="118"/>
    <n v="69.34"/>
    <n v="4.5044401281043547E-2"/>
    <n v="4"/>
    <n v="2.5984656060596216E-3"/>
    <n v="2"/>
    <n v="1.2992328030298108E-3"/>
  </r>
  <r>
    <n v="2"/>
    <s v="แขวงทางหลวงเชียงใหม่ที่ 1"/>
    <n v="521"/>
    <n v="108"/>
    <n v="101"/>
    <s v="เชียงใหม่ - ปากทางท่าลี่"/>
    <n v="49615"/>
    <n v="14714"/>
    <n v="34.901000000000003"/>
    <n v="4"/>
    <s v="R2"/>
    <d v="2015-08-07T00:00:00"/>
    <s v="A.C."/>
    <n v="19.55"/>
    <n v="7.75"/>
    <n v="5.6749999999999998"/>
    <n v="0.95"/>
    <n v="3.5139999999999998"/>
    <n v="3.5"/>
    <n v="27.3"/>
    <n v="6.625"/>
    <n v="0"/>
    <n v="0"/>
    <n v="3.8119999999999998"/>
    <n v="4"/>
    <n v="0"/>
    <n v="0"/>
    <n v="33.925000000000004"/>
    <n v="1.089"/>
    <n v="214.3"/>
    <n v="18.690000000000001"/>
    <n v="0.18308521655130633"/>
    <x v="118"/>
    <n v="12.32"/>
    <n v="1.0085670897682013E-2"/>
    <n v="9.8000000000000007"/>
    <n v="8.0226927595197835E-3"/>
    <n v="1"/>
    <n v="8.1864211831834521E-4"/>
  </r>
  <r>
    <n v="1242"/>
    <s v="แขวงทางหลวงนครสวรรค์ที่ 1"/>
    <n v="437"/>
    <n v="3327"/>
    <n v="100"/>
    <s v="เนินมะกอก - นิคมเขาบ่อแก้ว"/>
    <s v="0+000"/>
    <s v="8+000"/>
    <n v="8"/>
    <n v="2"/>
    <s v="L1"/>
    <d v="2015-10-05T00:00:00"/>
    <s v="A.C."/>
    <n v="4.05"/>
    <n v="2.25"/>
    <n v="1.0249999999999999"/>
    <n v="0.7"/>
    <n v="2.9079100000000002"/>
    <n v="3"/>
    <n v="7.55"/>
    <n v="0.42499999999999999"/>
    <n v="0.05"/>
    <n v="0"/>
    <n v="4.5149800000000004"/>
    <n v="4.5"/>
    <n v="0"/>
    <n v="0"/>
    <n v="8"/>
    <n v="1.13123"/>
    <n v="48.9"/>
    <n v="4.6900000000000004"/>
    <n v="0.18301785714285715"/>
    <x v="118"/>
    <n v="4.21"/>
    <n v="1.5035714285714286E-2"/>
    <n v="1.2250000000000001"/>
    <n v="4.3750000000000004E-3"/>
    <n v="0"/>
    <n v="4.3750000000000004E-3"/>
  </r>
  <r>
    <n v="1354"/>
    <s v="แขวงทางหลวงสุพรรณบุรีที่ 2 (อู่ทอง)"/>
    <n v="445"/>
    <n v="324"/>
    <n v="201"/>
    <s v="หนองขาว  - ตลาดเขต"/>
    <s v="12+300"/>
    <s v="44+000"/>
    <n v="31.7"/>
    <n v="4"/>
    <s v="R2"/>
    <d v="2015-07-03T00:00:00"/>
    <s v="A.C."/>
    <n v="25.4"/>
    <n v="4.1500000000000004"/>
    <n v="1.075"/>
    <n v="0.97499999999999998"/>
    <n v="2.06237"/>
    <n v="2"/>
    <n v="27.6"/>
    <n v="2.875"/>
    <n v="0.72499999999999998"/>
    <n v="0.4"/>
    <n v="5.8982799999999997"/>
    <n v="6"/>
    <n v="0"/>
    <n v="0"/>
    <n v="31.599999999999998"/>
    <n v="1.13784"/>
    <n v="203"/>
    <n v="0"/>
    <n v="0.18296529968454259"/>
    <x v="118"/>
    <n v="0"/>
    <n v="0"/>
    <n v="0"/>
    <n v="0"/>
    <n v="0"/>
    <n v="0"/>
  </r>
  <r>
    <n v="1113"/>
    <s v="แขวงทางหลวงลพบุรีที่ 1"/>
    <n v="431"/>
    <n v="3017"/>
    <n v="102"/>
    <s v="แยกพัฒนานิคม - วังม่วง"/>
    <s v="53+139"/>
    <s v="13+500"/>
    <n v="39.64"/>
    <n v="4"/>
    <s v="R1"/>
    <d v="2015-10-05T00:00:00"/>
    <s v="A.C."/>
    <n v="18.125"/>
    <n v="8.375"/>
    <n v="4.875"/>
    <n v="2.4750000000000001"/>
    <n v="2.7622399999999998"/>
    <n v="3"/>
    <n v="29.7"/>
    <n v="3.125"/>
    <n v="0.6"/>
    <n v="0.42499999999999999"/>
    <n v="5.5321999999999996"/>
    <n v="5.5"/>
    <n v="0"/>
    <n v="0"/>
    <n v="33.85"/>
    <n v="1.2257199999999999"/>
    <n v="248.9"/>
    <n v="6.47"/>
    <n v="0.1817320167219259"/>
    <x v="118"/>
    <n v="32.365000000000002"/>
    <n v="2.3327807409543034E-2"/>
    <n v="0"/>
    <n v="0"/>
    <n v="0"/>
    <n v="0"/>
  </r>
  <r>
    <n v="1173"/>
    <s v="แขวงทางหลวงสิงห์บุรี"/>
    <n v="433"/>
    <n v="311"/>
    <n v="201"/>
    <s v="แยกวัดสนามไชย - วัดกระดังงา"/>
    <s v="26+009"/>
    <s v="11+968"/>
    <n v="14.041"/>
    <n v="4"/>
    <s v="R2"/>
    <d v="2015-10-05T00:00:00"/>
    <s v="A.C."/>
    <n v="9.3249999999999993"/>
    <n v="3.8250000000000002"/>
    <n v="1.0249999999999999"/>
    <n v="0.32500000000000001"/>
    <n v="2.5016400000000001"/>
    <n v="2.5"/>
    <n v="10.15"/>
    <n v="2.5499999999999998"/>
    <n v="0.65"/>
    <n v="0.67500000000000004"/>
    <n v="8.5190300000000008"/>
    <n v="8.5"/>
    <n v="0"/>
    <n v="0"/>
    <n v="14.041"/>
    <n v="1.0954699999999999"/>
    <n v="86.13"/>
    <n v="6.31"/>
    <n v="0.18168221636635568"/>
    <x v="118"/>
    <n v="75.653999999999996"/>
    <n v="0.15394507920681269"/>
    <n v="0"/>
    <n v="0"/>
    <n v="1.2250000000000001"/>
    <n v="0"/>
  </r>
  <r>
    <n v="1170"/>
    <s v="แขวงทางหลวงสิงห์บุรี"/>
    <n v="433"/>
    <n v="309"/>
    <n v="302"/>
    <s v="ทางแยกวัดสว่างอารมณ์ - ทางแยกศาลหลักเมือง"/>
    <s v="93+300"/>
    <s v="96+968"/>
    <n v="3.6680000000000001"/>
    <n v="4"/>
    <s v="L2"/>
    <d v="2015-10-05T00:00:00"/>
    <s v="A.C."/>
    <n v="1.4750000000000001"/>
    <n v="1.075"/>
    <n v="0.75"/>
    <n v="0.4"/>
    <n v="3.7970899999999999"/>
    <n v="4"/>
    <n v="3.7"/>
    <n v="0"/>
    <n v="0"/>
    <n v="0"/>
    <n v="1.59039"/>
    <n v="1.5"/>
    <n v="0"/>
    <n v="0"/>
    <n v="3.6680000000000001"/>
    <n v="1.20123"/>
    <n v="14"/>
    <n v="18.63"/>
    <n v="0.18160928493534814"/>
    <x v="118"/>
    <n v="4.32"/>
    <n v="3.3650101261878798E-2"/>
    <n v="0"/>
    <n v="0"/>
    <n v="0"/>
    <n v="0"/>
  </r>
  <r>
    <n v="1119"/>
    <s v="แขวงทางหลวงลพบุรีที่ 1"/>
    <n v="431"/>
    <n v="3326"/>
    <n v="101"/>
    <s v="วังเพลิง - สระโบสถ์"/>
    <s v="0+000"/>
    <s v="15+685"/>
    <n v="15.685"/>
    <n v="2"/>
    <s v="L1"/>
    <d v="2015-10-05T00:00:00"/>
    <s v="A.C."/>
    <n v="10.875"/>
    <n v="3.4"/>
    <n v="1.125"/>
    <n v="0.55000000000000004"/>
    <n v="2.35914"/>
    <n v="2.5"/>
    <n v="15.5"/>
    <n v="0.22500000000000001"/>
    <n v="0.15"/>
    <n v="7.4999999999999997E-2"/>
    <n v="3.0585300000000002"/>
    <n v="3"/>
    <n v="0"/>
    <n v="0"/>
    <n v="15.950000000000001"/>
    <n v="1.2490000000000001"/>
    <n v="96.37"/>
    <n v="6.58"/>
    <n v="0.18153832141718659"/>
    <x v="118"/>
    <n v="88.625"/>
    <n v="0.16143722391730042"/>
    <n v="0"/>
    <n v="0"/>
    <n v="4.8"/>
    <n v="8.7435675577212067E-3"/>
  </r>
  <r>
    <n v="2019"/>
    <s v="แขวงทางหลวงสุราษฎร์ธานี ที่ 1 (พุนพิน)"/>
    <n v="325"/>
    <n v="4251"/>
    <n v="100"/>
    <s v="ห้วยไผ่ - น้ำดำ"/>
    <n v="10160"/>
    <n v="0"/>
    <n v="10.16"/>
    <n v="2"/>
    <s v="R1"/>
    <d v="2015-04-22T00:00:00"/>
    <s v="A.C."/>
    <n v="5.56"/>
    <n v="3.05"/>
    <n v="1.19"/>
    <n v="0.35"/>
    <n v="2.64988"/>
    <n v="2.5"/>
    <n v="10.130000000000001"/>
    <n v="0.03"/>
    <n v="0"/>
    <n v="0"/>
    <n v="2.48447"/>
    <n v="2.5"/>
    <n v="0"/>
    <n v="0"/>
    <n v="10.16"/>
    <n v="1.3048999999999999"/>
    <n v="57.38"/>
    <n v="13.93"/>
    <n v="0.18094769403824523"/>
    <x v="118"/>
    <n v="0"/>
    <n v="0"/>
    <n v="49.5"/>
    <n v="0.13920134983127108"/>
    <n v="0"/>
    <n v="0"/>
  </r>
  <r>
    <n v="901"/>
    <s v="แขวงทางหลวงอำนาจเจริญ"/>
    <n v="634"/>
    <n v="2197"/>
    <n v="100"/>
    <s v="กุดข้าวปุ้น - โคกเลาะ"/>
    <n v="0"/>
    <n v="1082"/>
    <n v="1.0820000000000001"/>
    <n v="2"/>
    <s v="L1"/>
    <d v="2015-05-22T00:00:00"/>
    <s v="A.C."/>
    <n v="0.2"/>
    <n v="0.27500000000000002"/>
    <n v="0.27500000000000002"/>
    <n v="0.3"/>
    <n v="4.4107099999999999"/>
    <n v="4.5"/>
    <n v="1"/>
    <n v="0.05"/>
    <n v="0"/>
    <n v="0"/>
    <n v="4.8068799999999996"/>
    <n v="5"/>
    <n v="0"/>
    <n v="0"/>
    <n v="1.05"/>
    <n v="3.0118999999999998"/>
    <n v="0"/>
    <n v="13.7"/>
    <n v="0.18088000000000001"/>
    <x v="118"/>
    <n v="0"/>
    <n v="0"/>
    <n v="95.25"/>
    <n v="2.5151840000000001"/>
    <n v="0"/>
    <n v="0"/>
  </r>
  <r>
    <n v="487"/>
    <s v="แขวงทางหลวงพิจิตร"/>
    <n v="519"/>
    <n v="115"/>
    <n v="302"/>
    <s v="คลองโนน - เนินสมอ"/>
    <s v="80+000"/>
    <s v="95+950"/>
    <n v="15.95"/>
    <s v="L2"/>
    <n v="4"/>
    <d v="2015-09-29T00:00:00"/>
    <s v="A.C."/>
    <n v="10.96"/>
    <n v="2.73"/>
    <n v="1.59"/>
    <n v="0.67"/>
    <n v="2.42618"/>
    <n v="2.5"/>
    <n v="15.25"/>
    <n v="0.65"/>
    <n v="0.05"/>
    <n v="0"/>
    <n v="4.0694999999999997"/>
    <n v="4"/>
    <n v="0"/>
    <n v="0"/>
    <n v="15.95"/>
    <n v="1.22892"/>
    <n v="0"/>
    <n v="0"/>
    <n v="0.180452"/>
    <x v="118"/>
    <n v="0"/>
    <n v="0.14144599999999999"/>
    <n v="0"/>
    <n v="0"/>
    <n v="0"/>
    <n v="0"/>
  </r>
  <r>
    <n v="1262"/>
    <s v="แขวงทางหลวงนครสวรรค์ที่ 2 (ตากฟ้า)"/>
    <n v="438"/>
    <n v="3004"/>
    <n v="202"/>
    <s v="ท่าตะโก - ไดตาล"/>
    <s v="54+700"/>
    <s v="44+648"/>
    <n v="10.052"/>
    <n v="2"/>
    <s v="R1"/>
    <d v="2015-10-05T00:00:00"/>
    <s v="A.C."/>
    <n v="3.5"/>
    <n v="3.4249999999999998"/>
    <n v="1.85"/>
    <n v="1.4750000000000001"/>
    <n v="3.3868999999999998"/>
    <n v="3.5"/>
    <n v="8.0749999999999993"/>
    <n v="1.425"/>
    <n v="0.57499999999999996"/>
    <n v="0.17499999999999999"/>
    <n v="6.8861600000000003"/>
    <n v="7"/>
    <n v="0"/>
    <n v="0"/>
    <n v="10.052"/>
    <n v="1.2330300000000001"/>
    <n v="63.4"/>
    <n v="0"/>
    <n v="0.18020578705019613"/>
    <x v="118"/>
    <n v="2.3199999999999998"/>
    <n v="6.5942811665055997E-3"/>
    <n v="0"/>
    <n v="0"/>
    <n v="0"/>
    <n v="0"/>
  </r>
  <r>
    <n v="2024"/>
    <s v="แขวงทางหลวงสุราษฎร์ธานี ที่ 1 (พุนพิน)"/>
    <n v="325"/>
    <n v="4262"/>
    <n v="100"/>
    <s v="บางน้ำจืด - ตะกุกเหนือ"/>
    <n v="36354"/>
    <n v="0"/>
    <n v="36.353999999999999"/>
    <n v="2"/>
    <s v="R1"/>
    <d v="2015-04-23T00:00:00"/>
    <s v="A.C."/>
    <n v="23.21"/>
    <n v="5.72"/>
    <n v="3.42"/>
    <n v="4.01"/>
    <n v="2.8451399999999998"/>
    <n v="3"/>
    <n v="34.71"/>
    <n v="1.05"/>
    <n v="0.39"/>
    <n v="0.2"/>
    <n v="4.4875800000000003"/>
    <n v="4.5"/>
    <n v="0"/>
    <n v="0"/>
    <n v="36.35"/>
    <n v="1.2319"/>
    <n v="219.84"/>
    <n v="18.12"/>
    <n v="0.1798976728833141"/>
    <x v="118"/>
    <n v="7"/>
    <n v="5.5014578863398804E-3"/>
    <n v="14.71"/>
    <n v="1.1560920786865662E-2"/>
    <n v="0"/>
    <n v="0"/>
  </r>
  <r>
    <n v="1120"/>
    <s v="แขวงทางหลวงลพบุรีที่ 1"/>
    <n v="431"/>
    <n v="3326"/>
    <n v="101"/>
    <s v="วังเพลิง - สระโบสถ์"/>
    <s v="15+685"/>
    <s v="0+000"/>
    <n v="15.685"/>
    <n v="2"/>
    <s v="R1"/>
    <d v="2015-10-05T00:00:00"/>
    <s v="A.C."/>
    <n v="8.5500000000000007"/>
    <n v="3.7"/>
    <n v="2.625"/>
    <n v="0.77500000000000002"/>
    <n v="2.7508900000000001"/>
    <n v="3"/>
    <n v="14.375"/>
    <n v="0.92500000000000004"/>
    <n v="0.35"/>
    <n v="0"/>
    <n v="4.8878000000000004"/>
    <n v="5"/>
    <n v="0"/>
    <n v="0"/>
    <n v="15.65"/>
    <n v="1.26206"/>
    <n v="95.96"/>
    <n v="4.3"/>
    <n v="0.17871487772667244"/>
    <x v="118"/>
    <n v="64.38"/>
    <n v="0.1172730998679357"/>
    <n v="0"/>
    <n v="0"/>
    <n v="0"/>
    <n v="0"/>
  </r>
  <r>
    <n v="1918"/>
    <s v="แขวงทางหลวงเพชรบุรี"/>
    <n v="338"/>
    <n v="3171"/>
    <n v="100"/>
    <s v="เทศบาลเมืองเพชรบุรี - บันไดอิฐ"/>
    <n v="875"/>
    <n v="5950"/>
    <n v="5.0750000000000002"/>
    <n v="2"/>
    <s v="L1"/>
    <d v="2015-04-02T00:00:00"/>
    <s v="A.C."/>
    <n v="3.65"/>
    <n v="0.74"/>
    <n v="0.16"/>
    <n v="0.53"/>
    <n v="2.6080199999999998"/>
    <n v="2.5"/>
    <n v="5.0199999999999996"/>
    <n v="0.03"/>
    <n v="0.03"/>
    <n v="0"/>
    <n v="2.6431800000000001"/>
    <n v="2.5"/>
    <n v="0"/>
    <n v="0"/>
    <n v="5.08"/>
    <n v="1.19722"/>
    <n v="0"/>
    <n v="63.06"/>
    <n v="0.17750879662209712"/>
    <x v="118"/>
    <n v="94.7"/>
    <n v="0.5331456720619282"/>
    <n v="0"/>
    <n v="0"/>
    <n v="0"/>
    <n v="0"/>
  </r>
  <r>
    <n v="895"/>
    <s v="แขวงทางหลวงอำนาจเจริญ"/>
    <n v="634"/>
    <n v="2112"/>
    <n v="101"/>
    <s v="เขมราฐ - ปากแซง"/>
    <n v="0"/>
    <n v="16000"/>
    <n v="16"/>
    <n v="2"/>
    <s v="L1"/>
    <d v="2015-05-21T00:00:00"/>
    <s v="A.C."/>
    <n v="9.125"/>
    <n v="4.3250000000000002"/>
    <n v="2.0499999999999998"/>
    <n v="0.45"/>
    <n v="2.6013299999999999"/>
    <n v="2.5"/>
    <n v="15.65"/>
    <n v="0.15"/>
    <n v="7.4999999999999997E-2"/>
    <n v="7.4999999999999997E-2"/>
    <n v="4.6623599999999996"/>
    <n v="4.5"/>
    <n v="0"/>
    <n v="0"/>
    <n v="15.95"/>
    <n v="1.91334"/>
    <n v="95.77"/>
    <n v="6.9"/>
    <n v="0.17718"/>
    <x v="118"/>
    <n v="0"/>
    <n v="0"/>
    <n v="1914.34"/>
    <n v="3.4184640000000002"/>
    <n v="0.63"/>
    <n v="1.1299999999999999E-3"/>
  </r>
  <r>
    <n v="677"/>
    <s v="แขวงทางหลวงอุดรธานีที่ 2"/>
    <n v="624"/>
    <n v="2023"/>
    <n v="101"/>
    <s v="น้ำฆ้อง - ศรีธาตุ"/>
    <n v="0"/>
    <n v="36614"/>
    <n v="36.613999999999997"/>
    <n v="2"/>
    <s v="L1"/>
    <d v="2015-06-15T00:00:00"/>
    <s v="A.C."/>
    <n v="15.6"/>
    <n v="12.425000000000001"/>
    <n v="6"/>
    <n v="2.35"/>
    <n v="3.22566"/>
    <n v="3"/>
    <n v="35.5"/>
    <n v="0.7"/>
    <n v="0.15"/>
    <n v="2.5000000000000001E-2"/>
    <n v="3.7740499999999999"/>
    <n v="4"/>
    <n v="0"/>
    <n v="0"/>
    <n v="36.375"/>
    <n v="1.1125799999999999"/>
    <n v="107.83"/>
    <n v="238.31"/>
    <n v="0.17713000000000001"/>
    <x v="118"/>
    <n v="2366.64"/>
    <n v="1.8467899999999999"/>
    <n v="65.27"/>
    <n v="5.0932999999999999E-2"/>
    <n v="0"/>
    <n v="0"/>
  </r>
  <r>
    <n v="2035"/>
    <s v="แขวงทางหลวงนครศรีธรรมราชที่ 2 (ทุ่งสง)"/>
    <n v="326"/>
    <n v="4038"/>
    <n v="200"/>
    <s v="ทุ่งใหญ่ - วัดขนาน"/>
    <n v="54173"/>
    <n v="64241"/>
    <n v="10.068"/>
    <n v="2"/>
    <s v="L1"/>
    <d v="2015-05-01T00:00:00"/>
    <s v="A.C."/>
    <n v="6.7249999999999996"/>
    <n v="2.125"/>
    <n v="0.75"/>
    <n v="0.3"/>
    <n v="2.3420000000000001"/>
    <n v="2.5"/>
    <n v="9.2750000000000004"/>
    <n v="0.5"/>
    <n v="0.125"/>
    <n v="0"/>
    <n v="4.7709000000000001"/>
    <n v="5"/>
    <n v="0"/>
    <n v="0"/>
    <n v="9.9"/>
    <n v="1.0831599999999999"/>
    <n v="62.32"/>
    <n v="0"/>
    <n v="0.17685453203927579"/>
    <x v="118"/>
    <n v="0"/>
    <n v="0"/>
    <n v="0"/>
    <n v="0"/>
    <n v="0"/>
    <n v="0"/>
  </r>
  <r>
    <n v="141"/>
    <s v="แขวงทางหลวงแพร่"/>
    <n v="531"/>
    <n v="101"/>
    <n v="404"/>
    <s v="ร้องกวาง - ห้วยแก๊ต"/>
    <s v="300+299"/>
    <s v="274+429"/>
    <n v="25.87"/>
    <n v="2"/>
    <s v="R1"/>
    <d v="2015-08-05T00:00:00"/>
    <s v="A.C."/>
    <n v="20.94"/>
    <n v="3.28"/>
    <n v="1.1399999999999999"/>
    <n v="0.51"/>
    <n v="1.76206"/>
    <n v="2"/>
    <n v="13.02"/>
    <n v="5.76"/>
    <n v="3.44"/>
    <n v="3.67"/>
    <n v="10.3276"/>
    <n v="10.5"/>
    <n v="0"/>
    <n v="0"/>
    <n v="25.87"/>
    <n v="1.0832599999999999"/>
    <n v="71"/>
    <n v="177.91"/>
    <n v="0.17665801535148268"/>
    <x v="118"/>
    <n v="955"/>
    <n v="1.0547241703020598"/>
    <n v="1801"/>
    <n v="1.9890662101717378"/>
    <n v="103"/>
    <n v="0.11375559114252581"/>
  </r>
  <r>
    <n v="1801"/>
    <s v="แขวงทางหลวงชลบุรีที่ 2"/>
    <n v="428"/>
    <n v="3576"/>
    <n v="100"/>
    <s v="หนองข่า - น้ำตกซันตาเถร"/>
    <n v="0"/>
    <n v="1250"/>
    <n v="1.25"/>
    <n v="2"/>
    <s v="L1"/>
    <d v="2015-08-16T00:00:00"/>
    <s v="A.C."/>
    <n v="0.17499999999999999"/>
    <n v="0.42499999999999999"/>
    <n v="0.3"/>
    <n v="0.35"/>
    <n v="4.5340199999999999"/>
    <n v="4.5"/>
    <n v="1.2"/>
    <n v="0.05"/>
    <n v="0"/>
    <n v="0"/>
    <n v="4.6742600000000003"/>
    <n v="4.5"/>
    <n v="0"/>
    <n v="0"/>
    <n v="1.25"/>
    <n v="1.2972900000000001"/>
    <n v="7.71"/>
    <n v="0"/>
    <n v="0.17622857142857143"/>
    <x v="118"/>
    <n v="0"/>
    <n v="0"/>
    <n v="0"/>
    <n v="0"/>
    <n v="1.1499999999999999"/>
    <n v="2.6285714285714287E-2"/>
  </r>
  <r>
    <n v="1097"/>
    <s v="แขวงทางหลวงลพบุรีที่ 1"/>
    <n v="431"/>
    <n v="205"/>
    <n v="102"/>
    <s v="ดงพลับ -  ม่วงค่อม"/>
    <s v="19+209"/>
    <s v="9+800"/>
    <n v="9.4090000000000007"/>
    <n v="4"/>
    <s v="R2"/>
    <d v="2015-10-05T00:00:00"/>
    <s v="A.C."/>
    <n v="4.45"/>
    <n v="2.2749999999999999"/>
    <n v="1.3"/>
    <n v="0.4"/>
    <n v="2.72288"/>
    <n v="2.5"/>
    <n v="7.7249999999999996"/>
    <n v="0.42499999999999999"/>
    <n v="0.17499999999999999"/>
    <n v="0.1"/>
    <n v="5.0497199999999998"/>
    <n v="5"/>
    <n v="0"/>
    <n v="0"/>
    <n v="8.4250000000000007"/>
    <n v="1.43641"/>
    <n v="57.93"/>
    <n v="0"/>
    <n v="0.17591060231085739"/>
    <x v="118"/>
    <n v="35.326000000000001"/>
    <n v="0.10727115375855943"/>
    <n v="0"/>
    <n v="0"/>
    <n v="0"/>
    <n v="0"/>
  </r>
  <r>
    <n v="825"/>
    <s v="แขวงทางหลวงกาฬสินธุ์"/>
    <n v="647"/>
    <n v="2231"/>
    <n v="200"/>
    <s v="ท่าไฮ - กุงเก่า"/>
    <n v="9603"/>
    <n v="4425"/>
    <n v="5.1779999999999999"/>
    <n v="2"/>
    <s v="R1"/>
    <d v="2015-05-30T00:00:00"/>
    <s v="A.C."/>
    <n v="4.0750000000000002"/>
    <n v="0.9"/>
    <n v="7.4999999999999997E-2"/>
    <n v="0.05"/>
    <n v="2.1648499999999999"/>
    <n v="2"/>
    <n v="5.0999999999999996"/>
    <n v="0"/>
    <n v="0"/>
    <n v="0"/>
    <n v="3.82178"/>
    <n v="4"/>
    <n v="0"/>
    <n v="0"/>
    <n v="5.1000000000000005"/>
    <n v="1.2462599999999999"/>
    <n v="3.87"/>
    <n v="56"/>
    <n v="0.17585388732549798"/>
    <x v="118"/>
    <n v="0"/>
    <n v="0"/>
    <n v="0"/>
    <n v="0"/>
    <n v="0"/>
    <n v="0"/>
  </r>
  <r>
    <n v="447"/>
    <s v="แขวงทางหลวงสุโขทัย"/>
    <n v="513"/>
    <n v="1318"/>
    <n v="101"/>
    <s v="ศรีสำโรง - ปากน้ำ"/>
    <s v="13+790"/>
    <s v="0+000"/>
    <n v="13.79"/>
    <s v="R1"/>
    <n v="2"/>
    <d v="2015-09-17T00:00:00"/>
    <s v="A.C."/>
    <n v="11.72"/>
    <n v="1.1399999999999999"/>
    <n v="0.63"/>
    <n v="0.3"/>
    <n v="1.92198"/>
    <n v="2"/>
    <n v="13.26"/>
    <n v="0.3"/>
    <n v="0.15"/>
    <n v="0.08"/>
    <n v="3.1438199999999998"/>
    <n v="3"/>
    <n v="0"/>
    <n v="0"/>
    <n v="13.79"/>
    <n v="1.1392500000000001"/>
    <n v="77.98"/>
    <n v="13.645"/>
    <n v="0.17570185434579924"/>
    <x v="118"/>
    <n v="94.57"/>
    <n v="0.19593908629441625"/>
    <n v="0"/>
    <n v="0"/>
    <n v="0"/>
    <n v="0"/>
  </r>
  <r>
    <n v="897"/>
    <s v="แขวงทางหลวงอำนาจเจริญ"/>
    <n v="634"/>
    <n v="2134"/>
    <n v="103"/>
    <s v="ตระการพืชผล - ดอนใหญ่"/>
    <n v="79725"/>
    <n v="43925"/>
    <n v="35.799999999999997"/>
    <n v="2"/>
    <s v="R1"/>
    <d v="2015-05-21T00:00:00"/>
    <s v="A.C."/>
    <n v="23.324999999999999"/>
    <n v="8.5"/>
    <n v="2.8"/>
    <n v="1.2749999999999999"/>
    <n v="2.92"/>
    <n v="3"/>
    <n v="33.424999999999997"/>
    <n v="1.7749999999999999"/>
    <n v="0.375"/>
    <n v="0.32500000000000001"/>
    <n v="5.8"/>
    <n v="6"/>
    <n v="0"/>
    <n v="0"/>
    <n v="35.9"/>
    <n v="1.2749999999999999"/>
    <n v="141.24"/>
    <n v="22.8"/>
    <n v="0.1757"/>
    <x v="118"/>
    <n v="0"/>
    <n v="0"/>
    <n v="803.87"/>
    <n v="0.92533399999999999"/>
    <n v="0"/>
    <n v="0"/>
  </r>
  <r>
    <n v="854"/>
    <s v="แขวงทางหลวงสุรินทร์"/>
    <n v="615"/>
    <n v="2167"/>
    <n v="200"/>
    <s v="ท่าด่าน - สำโรงทาบ"/>
    <n v="37826"/>
    <n v="49038"/>
    <n v="11.212"/>
    <n v="2"/>
    <s v="L1"/>
    <d v="2015-05-11T00:00:00"/>
    <s v="A.C."/>
    <n v="8.15"/>
    <n v="2.2749999999999999"/>
    <n v="0.67500000000000004"/>
    <n v="0.15"/>
    <n v="2.7631399999999999"/>
    <n v="3"/>
    <n v="10.875"/>
    <n v="0.3"/>
    <n v="0.05"/>
    <n v="2.5000000000000001E-2"/>
    <n v="4.4691599999999996"/>
    <n v="4.5"/>
    <n v="0"/>
    <n v="0"/>
    <n v="11.250000000000002"/>
    <n v="1.4709000000000001"/>
    <n v="54.38"/>
    <n v="28.97"/>
    <n v="0.17548800000000001"/>
    <x v="118"/>
    <n v="23.3"/>
    <n v="5.9374999999999997E-2"/>
    <n v="4.68"/>
    <n v="1.1926000000000001E-2"/>
    <n v="40.729999999999997"/>
    <n v="0.103792"/>
  </r>
  <r>
    <n v="96"/>
    <s v="แขวงทางหลวงแม่ฮ่องสอน"/>
    <n v="526"/>
    <n v="1263"/>
    <n v="100"/>
    <s v="ขุนยวม - ปางอุ๋ง"/>
    <s v="0+000"/>
    <s v="20+525"/>
    <n v="20.524999999999999"/>
    <n v="2"/>
    <s v="L1"/>
    <d v="2015-08-28T00:00:00"/>
    <s v="A.C."/>
    <n v="6.32"/>
    <n v="6.42"/>
    <n v="4.3499999999999996"/>
    <n v="3.43"/>
    <n v="3.5508000000000002"/>
    <n v="3.5"/>
    <n v="19.73"/>
    <n v="0.6"/>
    <n v="0.12"/>
    <n v="7.0000000000000007E-2"/>
    <n v="3.5802100000000001"/>
    <n v="3.5"/>
    <n v="0"/>
    <n v="0"/>
    <n v="20.53"/>
    <n v="1.38663"/>
    <n v="98.12"/>
    <n v="54.12"/>
    <n v="0.17425439359665917"/>
    <x v="118"/>
    <n v="184.1"/>
    <n v="0.25627283800243611"/>
    <n v="5.5"/>
    <n v="7.6561684357055876E-3"/>
    <n v="1.21"/>
    <n v="1.6843570558552293E-3"/>
  </r>
  <r>
    <n v="1478"/>
    <s v="แขวงทางหลวงกรุงเทพ"/>
    <n v="411"/>
    <n v="3119"/>
    <n v="102"/>
    <s v="แยกเคหะร่มเกล้า - ลาดกระบัง"/>
    <s v="11+003"/>
    <s v="5+309"/>
    <n v="5.694"/>
    <n v="2"/>
    <s v="R2"/>
    <d v="2015-08-30T00:00:00"/>
    <s v="A.C."/>
    <n v="1.2250000000000001"/>
    <n v="2.125"/>
    <n v="1.35"/>
    <n v="1"/>
    <n v="3.7170000000000001"/>
    <n v="3.5"/>
    <n v="5.4"/>
    <n v="0.17499999999999999"/>
    <n v="7.4999999999999997E-2"/>
    <n v="0.05"/>
    <n v="4.5250000000000004"/>
    <n v="4.5"/>
    <n v="0"/>
    <n v="0"/>
    <n v="5.7"/>
    <n v="0.98199999999999998"/>
    <n v="13"/>
    <n v="43.4"/>
    <n v="0.17411811932359877"/>
    <x v="118"/>
    <n v="0"/>
    <n v="0"/>
    <n v="6.1"/>
    <n v="3.0608660745647043E-2"/>
    <n v="0"/>
    <n v="0"/>
  </r>
  <r>
    <n v="522"/>
    <s v="แขวงทางหลวงอุตรดิตถ์ที่ 1"/>
    <n v="557"/>
    <n v="1204"/>
    <n v="102"/>
    <s v="ฟากคลองตรอน - พิชัย"/>
    <s v="21+741"/>
    <s v="41+250"/>
    <n v="19.509"/>
    <s v="L1"/>
    <n v="4"/>
    <d v="2015-09-23T00:00:00"/>
    <s v="A.C."/>
    <n v="17.399999999999999"/>
    <n v="1.75"/>
    <n v="0.27500000000000002"/>
    <n v="0.05"/>
    <n v="1.7824500000000001"/>
    <n v="2"/>
    <n v="19.29"/>
    <n v="0.15"/>
    <n v="2.5000000000000001E-2"/>
    <n v="0"/>
    <n v="2.3574700000000002"/>
    <n v="2.5"/>
    <n v="0"/>
    <n v="0"/>
    <n v="19.474999999999998"/>
    <n v="1.1245000000000001"/>
    <n v="110.3"/>
    <n v="16.34"/>
    <n v="0.17350199999999999"/>
    <x v="118"/>
    <n v="94.57"/>
    <n v="0.13850000000000001"/>
    <n v="0"/>
    <n v="0"/>
    <n v="0"/>
    <n v="0"/>
  </r>
  <r>
    <n v="903"/>
    <s v="แขวงทางหลวงอำนาจเจริญ"/>
    <n v="634"/>
    <n v="2337"/>
    <n v="100"/>
    <s v="ห้วยยาง - สองคอน"/>
    <n v="0"/>
    <n v="26796"/>
    <n v="26.795999999999999"/>
    <n v="2"/>
    <s v="L1"/>
    <d v="2015-05-21T00:00:00"/>
    <s v="A.C."/>
    <n v="6.8"/>
    <n v="7.85"/>
    <n v="6.5"/>
    <n v="5.45"/>
    <n v="3.8278799999999999"/>
    <n v="4"/>
    <n v="25.425000000000001"/>
    <n v="0.97499999999999998"/>
    <n v="0.15"/>
    <n v="0.05"/>
    <n v="3.6830599999999998"/>
    <n v="3.5"/>
    <n v="0"/>
    <n v="0"/>
    <n v="26.599999999999998"/>
    <n v="1.73668"/>
    <n v="145.58000000000001"/>
    <n v="32.49"/>
    <n v="0.17255000000000001"/>
    <x v="118"/>
    <n v="0"/>
    <n v="0"/>
    <n v="4509.76"/>
    <n v="4.8085639999999996"/>
    <n v="1.49"/>
    <n v="1.5900000000000001E-3"/>
  </r>
  <r>
    <n v="1921"/>
    <s v="แขวงทางหลวงเพชรบุรี"/>
    <n v="338"/>
    <n v="3176"/>
    <n v="100"/>
    <s v="เพชรบุรี - บ้านแหลมฝั่งตะวันตก"/>
    <n v="0"/>
    <n v="12600"/>
    <n v="12.6"/>
    <n v="2"/>
    <s v="L1"/>
    <d v="2015-04-03T00:00:00"/>
    <s v="A.C."/>
    <n v="9.3000000000000007"/>
    <n v="2.17"/>
    <n v="0.72"/>
    <n v="0.42"/>
    <n v="2.23102"/>
    <n v="2"/>
    <n v="12.38"/>
    <n v="0.2"/>
    <n v="0.02"/>
    <n v="0"/>
    <n v="2.99031"/>
    <n v="3"/>
    <n v="0"/>
    <n v="0"/>
    <n v="12.6"/>
    <n v="1.2611399999999999"/>
    <n v="73.97"/>
    <n v="3.81"/>
    <n v="0.17205215419501133"/>
    <x v="118"/>
    <n v="104"/>
    <n v="0.235827664399093"/>
    <n v="15"/>
    <n v="3.4013605442176867E-2"/>
    <n v="0"/>
    <n v="0"/>
  </r>
  <r>
    <n v="646"/>
    <s v="แขวงทางหลวงขอนแก่นที่ 1"/>
    <n v="621"/>
    <n v="2183"/>
    <n v="101"/>
    <s v="น้ำพอง - โคกท่า"/>
    <n v="0"/>
    <n v="23800"/>
    <n v="23.8"/>
    <n v="2"/>
    <s v="L1"/>
    <d v="2015-06-17T00:00:00"/>
    <s v="A.C."/>
    <n v="17.625"/>
    <n v="2.9"/>
    <n v="2.0249999999999999"/>
    <n v="1.2749999999999999"/>
    <n v="4.2119499999999999"/>
    <n v="4"/>
    <n v="23.475000000000001"/>
    <n v="0.22500000000000001"/>
    <n v="0.125"/>
    <n v="0"/>
    <n v="4.35731"/>
    <n v="4.5"/>
    <n v="0"/>
    <n v="2.5000000000000001E-2"/>
    <n v="23.8"/>
    <n v="1.20106"/>
    <n v="55.39"/>
    <n v="174.53"/>
    <n v="0.1712545018007203"/>
    <x v="118"/>
    <n v="0"/>
    <n v="0"/>
    <n v="0"/>
    <n v="0"/>
    <n v="3.77"/>
    <n v="4.5258103241296518E-3"/>
  </r>
  <r>
    <n v="2187"/>
    <s v="แขวงทางหลวงพัทลุง"/>
    <n v="314"/>
    <n v="4018"/>
    <n v="200"/>
    <s v="ไม้เสียบ - หัวถนน"/>
    <s v="25+977"/>
    <s v="32+401"/>
    <n v="6.4240000000000004"/>
    <n v="2"/>
    <s v="L1"/>
    <d v="2015-05-20T00:00:00"/>
    <s v="A.C."/>
    <n v="1.65"/>
    <n v="2.7749999999999999"/>
    <n v="1.325"/>
    <n v="0.65"/>
    <n v="3.3619500000000002"/>
    <n v="3.5"/>
    <n v="6.05"/>
    <n v="0.32500000000000001"/>
    <n v="0"/>
    <n v="2.5000000000000001E-2"/>
    <n v="4.4892599999999998"/>
    <n v="4.5"/>
    <n v="0"/>
    <n v="0"/>
    <n v="6.4"/>
    <n v="1.0724499999999999"/>
    <n v="34.06"/>
    <n v="8.59"/>
    <n v="0.17058797367016548"/>
    <x v="118"/>
    <n v="5.07"/>
    <n v="2.2549368439779401E-2"/>
    <n v="78.08"/>
    <n v="5.2934157717756808E-5"/>
    <n v="0"/>
    <n v="0"/>
  </r>
  <r>
    <n v="768"/>
    <s v="แขวงทางหลวงมหาสารคาม"/>
    <n v="622"/>
    <n v="2045"/>
    <n v="200"/>
    <s v="หนองคูโคก - วาปีปทุม"/>
    <s v="20+200"/>
    <s v="36+473"/>
    <n v="16.273"/>
    <n v="2"/>
    <s v="L1"/>
    <d v="2015-05-27T00:00:00"/>
    <s v="A.C."/>
    <n v="6.625"/>
    <n v="5.5750000000000002"/>
    <n v="3.3"/>
    <n v="0.65"/>
    <n v="2.8540399999999999"/>
    <n v="3"/>
    <n v="15.7"/>
    <n v="0.43"/>
    <n v="0.15"/>
    <n v="0"/>
    <n v="4.32423"/>
    <n v="4.5"/>
    <n v="0"/>
    <n v="0"/>
    <n v="16.27"/>
    <n v="1.2653000000000001"/>
    <n v="91.67"/>
    <n v="10.79"/>
    <n v="0.17042252284678389"/>
    <x v="118"/>
    <n v="0"/>
    <n v="0"/>
    <n v="58.34"/>
    <n v="0.10243084513348141"/>
    <n v="0"/>
    <n v="0"/>
  </r>
  <r>
    <n v="106"/>
    <s v="แขวงทางหลวงเชียงใหม่ที่ 3"/>
    <n v="527"/>
    <n v="107"/>
    <n v="202"/>
    <s v="สวนสน - ปิงโค้ง"/>
    <s v="43+300"/>
    <s v="84+738"/>
    <n v="41.438000000000002"/>
    <n v="2"/>
    <s v="L1"/>
    <d v="2015-08-23T00:00:00"/>
    <s v="A.C."/>
    <n v="19.18"/>
    <n v="13.65"/>
    <n v="6.31"/>
    <n v="2.2999999999999998"/>
    <n v="2.8327399999999998"/>
    <n v="3"/>
    <n v="40.159999999999997"/>
    <n v="1.1000000000000001"/>
    <n v="0.13"/>
    <n v="0.05"/>
    <n v="3.8577400000000002"/>
    <n v="4"/>
    <n v="0"/>
    <n v="0"/>
    <n v="41.44"/>
    <n v="1.18502"/>
    <n v="189.3"/>
    <n v="112.6"/>
    <n v="0.1693407707211462"/>
    <x v="118"/>
    <n v="218.6"/>
    <n v="0.15072431791385404"/>
    <n v="16.600000000000001"/>
    <n v="1.1445670985224051E-2"/>
    <n v="0"/>
    <n v="0"/>
  </r>
  <r>
    <n v="26"/>
    <s v="แขวงทางหลวงเชียงใหม่ที่ 2"/>
    <n v="522"/>
    <n v="121"/>
    <n v="102"/>
    <s v="ต้นเปา - ดอนแก้ว"/>
    <n v="15315"/>
    <n v="32664"/>
    <n v="17.349"/>
    <n v="2"/>
    <s v="L1"/>
    <d v="2015-08-19T00:00:00"/>
    <s v="A.C."/>
    <n v="11.75"/>
    <n v="2.9249999999999998"/>
    <n v="3.2"/>
    <n v="1.375"/>
    <n v="2.72655"/>
    <n v="2.5"/>
    <n v="19.149999999999999"/>
    <n v="0.1"/>
    <n v="0"/>
    <n v="0"/>
    <n v="2.2193700000000001"/>
    <n v="2"/>
    <n v="0"/>
    <n v="0"/>
    <n v="19.25"/>
    <n v="1.0260199999999999"/>
    <n v="96.325000000000003"/>
    <n v="12.52"/>
    <n v="0.16894345495417604"/>
    <x v="118"/>
    <n v="0"/>
    <n v="0"/>
    <n v="0"/>
    <n v="0"/>
    <n v="0"/>
    <n v="0"/>
  </r>
  <r>
    <n v="14"/>
    <s v="แขวงทางหลวงเชียงใหม่ที่ 1"/>
    <n v="521"/>
    <n v="1015"/>
    <n v="200"/>
    <s v="สะพานศรีวิชัย  -  สันป่าตอง"/>
    <n v="4490"/>
    <n v="13763"/>
    <n v="9.2729999999999997"/>
    <n v="2"/>
    <s v="R1"/>
    <d v="2015-08-15T00:00:00"/>
    <s v="A.C."/>
    <n v="7.5"/>
    <n v="1.25"/>
    <n v="0.25"/>
    <n v="0.25"/>
    <n v="2.1665999999999999"/>
    <n v="2"/>
    <n v="8.9"/>
    <n v="0.15"/>
    <n v="0"/>
    <n v="0"/>
    <n v="2.7313100000000001"/>
    <n v="2.5"/>
    <n v="0"/>
    <n v="0"/>
    <n v="9.25"/>
    <n v="1.00824"/>
    <n v="42.68"/>
    <n v="24.2"/>
    <n v="0.16878495170310118"/>
    <x v="118"/>
    <n v="2.36"/>
    <n v="7.2714948159788009E-3"/>
    <n v="2.21"/>
    <n v="6.8093235353021836E-3"/>
    <n v="0"/>
    <n v="0"/>
  </r>
  <r>
    <n v="1122"/>
    <s v="แขวงทางหลวงลพบุรีที่ 1"/>
    <n v="431"/>
    <n v="3333"/>
    <n v="101"/>
    <s v="โคกตูม - แยกมะนาวหวาน"/>
    <s v="0+000"/>
    <s v="18+462"/>
    <n v="18.462"/>
    <n v="2"/>
    <s v="L2"/>
    <d v="2015-10-05T00:00:00"/>
    <s v="A.C."/>
    <n v="14.675000000000001"/>
    <n v="2.5750000000000002"/>
    <n v="0.8"/>
    <n v="0.4"/>
    <n v="2.14588"/>
    <n v="2"/>
    <n v="17.975000000000001"/>
    <n v="0.42499999999999999"/>
    <n v="0.05"/>
    <n v="0"/>
    <n v="4.1213499999999996"/>
    <n v="4"/>
    <n v="0"/>
    <n v="0"/>
    <n v="18.45"/>
    <n v="1.26657"/>
    <n v="107.99"/>
    <n v="1.8"/>
    <n v="0.1685160251946082"/>
    <x v="118"/>
    <n v="102.66"/>
    <n v="0.15887459956358232"/>
    <n v="0"/>
    <n v="0"/>
    <n v="0"/>
    <n v="0"/>
  </r>
  <r>
    <n v="1308"/>
    <s v="แขวงทางหลวงกาญจนบุรี"/>
    <n v="444"/>
    <n v="323"/>
    <n v="202"/>
    <s v="ท่าเรือ - กาญจนบุรี"/>
    <n v="32360"/>
    <n v="54240"/>
    <n v="21.88"/>
    <n v="4"/>
    <s v="L2"/>
    <d v="2015-07-24T00:00:00"/>
    <s v="A.C."/>
    <n v="11.180099999999999"/>
    <n v="6.7976999999999999"/>
    <n v="2.988"/>
    <n v="0.87149999999999994"/>
    <n v="2.9827300000000001"/>
    <n v="3"/>
    <n v="21.3642"/>
    <n v="0.3735"/>
    <n v="7.4700000000000003E-2"/>
    <n v="2.4900000000000002E-2"/>
    <n v="3.77616"/>
    <n v="4"/>
    <n v="0"/>
    <n v="0"/>
    <n v="21.837299999999999"/>
    <n v="1.26416"/>
    <n v="85.74"/>
    <n v="86.4"/>
    <n v="0.16837294332723948"/>
    <x v="118"/>
    <n v="258.3"/>
    <n v="0.33729433272394882"/>
    <n v="0"/>
    <n v="0"/>
    <n v="0"/>
    <n v="0"/>
  </r>
  <r>
    <n v="1926"/>
    <s v="แขวงทางหลวงเพชรบุรี"/>
    <n v="338"/>
    <n v="3203"/>
    <n v="100"/>
    <s v="ทางเข้าโครงการพระราชประสงค์หุบกระพง"/>
    <n v="0"/>
    <n v="8000"/>
    <n v="8"/>
    <n v="2"/>
    <s v="L1"/>
    <d v="2015-04-03T00:00:00"/>
    <s v="A.C."/>
    <n v="3.58"/>
    <n v="2.0299999999999998"/>
    <n v="1.7"/>
    <n v="0.7"/>
    <n v="2.9791300000000001"/>
    <n v="3"/>
    <n v="7.98"/>
    <n v="0.03"/>
    <n v="0"/>
    <n v="0"/>
    <n v="2.15449"/>
    <n v="2"/>
    <n v="0"/>
    <n v="0"/>
    <n v="8"/>
    <n v="1.39513"/>
    <n v="39"/>
    <n v="16.16"/>
    <n v="0.16814285714285712"/>
    <x v="118"/>
    <n v="16.649999999999999"/>
    <n v="5.9464285714285706E-2"/>
    <n v="0"/>
    <n v="0"/>
    <n v="1"/>
    <n v="3.5714285714285718E-3"/>
  </r>
  <r>
    <n v="226"/>
    <s v="แขวงทางหลวงน่านที่ 1"/>
    <n v="536"/>
    <n v="1257"/>
    <n v="100"/>
    <s v="ศรีบุญเรือง - หลักลาย"/>
    <s v="32+388"/>
    <s v="0+000"/>
    <n v="32.387999999999998"/>
    <n v="2"/>
    <s v="R1"/>
    <d v="2015-07-20T00:00:00"/>
    <s v="A.C."/>
    <n v="1.1399999999999999"/>
    <n v="5.7"/>
    <n v="13.34"/>
    <n v="12.23"/>
    <n v="4.9400000000000004"/>
    <n v="5"/>
    <n v="12.2"/>
    <n v="5.39"/>
    <n v="3.09"/>
    <n v="11.72"/>
    <n v="19.718"/>
    <n v="19.5"/>
    <n v="0.1"/>
    <n v="0.18"/>
    <n v="32.11"/>
    <n v="1.825"/>
    <n v="85.57"/>
    <n v="209.59"/>
    <n v="0.16793256761763617"/>
    <x v="118"/>
    <n v="7653.58"/>
    <n v="6.7516893382028629"/>
    <n v="22.84"/>
    <n v="2.0148555902538862E-2"/>
    <n v="237.49"/>
    <n v="0.20950440198309783"/>
  </r>
  <r>
    <n v="2055"/>
    <s v="แขวงทางหลวงสุราษฎร์ธานีที่ 2 (กาญจนดิษฐ์)"/>
    <n v="328"/>
    <n v="4142"/>
    <n v="100"/>
    <s v="บ้านใน - บ้านโฉ"/>
    <n v="34825"/>
    <n v="0"/>
    <n v="34.825000000000003"/>
    <n v="4"/>
    <s v="R1"/>
    <d v="2015-04-25T00:00:00"/>
    <s v="A.C."/>
    <n v="32.35"/>
    <n v="1.9"/>
    <n v="0.4"/>
    <n v="0.27500000000000002"/>
    <n v="1.53532"/>
    <n v="1.5"/>
    <n v="34.85"/>
    <n v="7.4999999999999997E-2"/>
    <n v="0"/>
    <n v="0"/>
    <n v="2.8553799999999998"/>
    <n v="3"/>
    <n v="0"/>
    <n v="0"/>
    <n v="34.924999999999997"/>
    <n v="1.1725300000000001"/>
    <n v="0"/>
    <n v="408.06"/>
    <n v="0.1673920623525792"/>
    <x v="118"/>
    <n v="0"/>
    <n v="0"/>
    <n v="78.47"/>
    <n v="6.4379038047379739E-2"/>
    <n v="0"/>
    <n v="0"/>
  </r>
  <r>
    <n v="918"/>
    <s v="แขวงทางหลวงศรีสะเกษที่ 1"/>
    <n v="638"/>
    <n v="226"/>
    <n v="401"/>
    <s v="ห้วยทับทัน - ศรีสะเกษ"/>
    <n v="233891"/>
    <n v="271989"/>
    <n v="38.097999999999999"/>
    <n v="2"/>
    <s v="L1"/>
    <d v="2015-05-12T00:00:00"/>
    <s v="A.C."/>
    <n v="20.55"/>
    <n v="10.3765"/>
    <n v="5.3250000000000002"/>
    <n v="1.7"/>
    <n v="3.17"/>
    <n v="3"/>
    <n v="31.55"/>
    <n v="4.0750000000000002"/>
    <n v="1.75"/>
    <n v="0.57499999999999996"/>
    <n v="8.89"/>
    <n v="9"/>
    <n v="0"/>
    <n v="0"/>
    <n v="37.951500000000003"/>
    <n v="1.17"/>
    <n v="208.81"/>
    <n v="0"/>
    <n v="0.16708999999999999"/>
    <x v="118"/>
    <n v="0"/>
    <n v="0"/>
    <n v="17.37"/>
    <n v="1.3899999999999999E-2"/>
    <n v="0"/>
    <n v="0"/>
  </r>
  <r>
    <n v="714"/>
    <s v="แขวงทางหลวงขอนแก่นที่ 2 (ชุมแพ)"/>
    <n v="627"/>
    <n v="201"/>
    <n v="301"/>
    <s v="ช่องสามหมอ - ภูเขียว"/>
    <n v="162051"/>
    <n v="200955"/>
    <n v="38.904000000000003"/>
    <n v="4"/>
    <s v="R1"/>
    <d v="2015-06-23T00:00:00"/>
    <s v="A.C."/>
    <n v="18.671999999999997"/>
    <n v="10.536"/>
    <n v="5.9759999999999991"/>
    <n v="3.7079999999999997"/>
    <n v="3.23441"/>
    <n v="3"/>
    <n v="30.311999999999998"/>
    <n v="4.2119999999999997"/>
    <n v="1.6439999999999999"/>
    <n v="2.7239999999999998"/>
    <n v="6.5317999999999996"/>
    <n v="6.5"/>
    <n v="0"/>
    <n v="0"/>
    <n v="38.904000000000003"/>
    <n v="0.99662799999999996"/>
    <n v="213.11"/>
    <n v="27.46"/>
    <n v="0.16659322581592781"/>
    <x v="118"/>
    <n v="2.31"/>
    <n v="1.6964836520666252E-3"/>
    <n v="0"/>
    <n v="0"/>
    <n v="17.190000000000001"/>
    <n v="1.2624482242002289E-2"/>
  </r>
  <r>
    <n v="780"/>
    <s v="แขวงทางหลวงยโสธร"/>
    <n v="633"/>
    <n v="23"/>
    <n v="402"/>
    <s v="ยโสธร - บ้านย่อ"/>
    <n v="190562"/>
    <n v="179845"/>
    <n v="10.717000000000001"/>
    <n v="4"/>
    <s v="R1"/>
    <d v="2015-05-23T00:00:00"/>
    <s v="A.C."/>
    <n v="8.5250000000000004"/>
    <n v="1.375"/>
    <n v="0.45"/>
    <n v="0.25"/>
    <n v="2.173"/>
    <n v="2"/>
    <n v="9.4250000000000007"/>
    <n v="1.05"/>
    <n v="0.1"/>
    <n v="2.5000000000000001E-2"/>
    <n v="5.7320000000000002"/>
    <n v="5.5"/>
    <n v="0"/>
    <n v="0"/>
    <n v="10.6"/>
    <n v="1.1950000000000001"/>
    <n v="58.8"/>
    <n v="7.35"/>
    <n v="0.16655780535597647"/>
    <x v="118"/>
    <n v="0"/>
    <n v="0"/>
    <n v="0"/>
    <n v="0"/>
    <n v="0"/>
    <n v="0"/>
  </r>
  <r>
    <n v="1679"/>
    <s v="แขวงทางหลวงฉะเชิงเทรา"/>
    <n v="421"/>
    <n v="314"/>
    <n v="101"/>
    <s v="บางปะกง - แสนภูดาษ"/>
    <n v="0"/>
    <n v="7475"/>
    <n v="7.4749999999999996"/>
    <n v="4"/>
    <s v="L2"/>
    <d v="2015-08-11T00:00:00"/>
    <s v="A.C."/>
    <n v="2.0249999999999999"/>
    <n v="2.2999999999999998"/>
    <n v="2.375"/>
    <n v="0.75"/>
    <n v="3.4941200000000001"/>
    <n v="3.5"/>
    <n v="6.95"/>
    <n v="0.47499999999999998"/>
    <n v="2.5000000000000001E-2"/>
    <n v="0"/>
    <n v="6.2161400000000002"/>
    <n v="6"/>
    <n v="0"/>
    <n v="0"/>
    <n v="7.4749999999999996"/>
    <n v="1.18516"/>
    <n v="24.31"/>
    <n v="38.53"/>
    <n v="0.16655518394648833"/>
    <x v="118"/>
    <n v="29.35"/>
    <n v="0.11218346870520786"/>
    <n v="34"/>
    <n v="0.12995699952221695"/>
    <n v="0"/>
    <n v="0"/>
  </r>
  <r>
    <n v="44"/>
    <s v="แขวงทางหลวงเชียงใหม่ที่ 2"/>
    <n v="522"/>
    <n v="1366"/>
    <n v="100"/>
    <s v="หนองฮ่อ -ศูนย์พัฒนาปิโตรเลียมภาคเหนือ"/>
    <n v="0"/>
    <n v="1896"/>
    <n v="1.8959999999999999"/>
    <n v="2"/>
    <s v="L1"/>
    <d v="2015-08-20T00:00:00"/>
    <s v="A.C."/>
    <n v="1.9"/>
    <n v="0"/>
    <n v="0"/>
    <n v="0"/>
    <n v="2.2629999999999999"/>
    <n v="2.5"/>
    <n v="1.9"/>
    <n v="0"/>
    <n v="0"/>
    <n v="0"/>
    <n v="2.5129999999999999"/>
    <n v="2.5"/>
    <n v="0"/>
    <n v="0"/>
    <n v="1.9"/>
    <n v="1.1459999999999999"/>
    <n v="2.63"/>
    <n v="16.8"/>
    <n v="0.16621458710066309"/>
    <x v="118"/>
    <n v="12"/>
    <n v="0.18083182640144668"/>
    <n v="0"/>
    <n v="0"/>
    <n v="0"/>
    <n v="0"/>
  </r>
  <r>
    <n v="191"/>
    <s v="แขวงทางหลวงเชียงรายที่ 1"/>
    <n v="533"/>
    <n v="1388"/>
    <n v="100"/>
    <s v="ห้วยน้ำขุ่น - พระตำหนักดอยตุง"/>
    <s v="2+114"/>
    <s v="8+444"/>
    <n v="6.33"/>
    <n v="2"/>
    <s v="L1"/>
    <d v="2015-07-17T00:00:00"/>
    <s v="A.C."/>
    <n v="1.18"/>
    <n v="2.02"/>
    <n v="1.97"/>
    <n v="1.1499999999999999"/>
    <n v="3.9809999999999999"/>
    <n v="4"/>
    <n v="5.95"/>
    <n v="0.19"/>
    <n v="0.11"/>
    <n v="0.08"/>
    <n v="4.0869999999999997"/>
    <n v="4"/>
    <n v="0.3"/>
    <n v="0"/>
    <n v="6.03"/>
    <n v="1.4259999999999999"/>
    <n v="16.77"/>
    <n v="40"/>
    <n v="0.16596705032723988"/>
    <x v="118"/>
    <n v="0"/>
    <n v="0"/>
    <n v="0"/>
    <n v="0"/>
    <n v="0"/>
    <n v="0"/>
  </r>
  <r>
    <n v="405"/>
    <s v="แขวงทางหลวงพิษณุโลกที่ 1"/>
    <n v="511"/>
    <n v="1064"/>
    <n v="100"/>
    <s v="พิษณุโลก - บึงพระ"/>
    <s v="5+650"/>
    <s v="0+000"/>
    <n v="5.65"/>
    <s v="R2"/>
    <n v="4"/>
    <d v="2015-09-19T00:00:00"/>
    <s v="A.C."/>
    <n v="4.4800000000000004"/>
    <n v="0.85"/>
    <n v="0.17"/>
    <n v="0.15"/>
    <n v="2.2659500000000001"/>
    <n v="2.5"/>
    <n v="5.6"/>
    <n v="0.02"/>
    <n v="0"/>
    <n v="0.02"/>
    <n v="4.4805099999999998"/>
    <n v="4.5"/>
    <n v="0"/>
    <n v="0"/>
    <n v="5.65"/>
    <n v="1.0515600000000001"/>
    <n v="26.635000000000002"/>
    <n v="12.35"/>
    <n v="0.16591700000000001"/>
    <x v="118"/>
    <n v="67.28"/>
    <n v="0.34022799999999997"/>
    <n v="0"/>
    <n v="0"/>
    <n v="0"/>
    <n v="0"/>
  </r>
  <r>
    <n v="252"/>
    <s v="แขวงทางหลวงเชียงรายที่ 2"/>
    <n v="537"/>
    <n v="1409"/>
    <n v="100"/>
    <s v="ทางเข้าสะพานมิตรภาพแม่สายแห่งที่2(ไทย/พม่า)"/>
    <n v="0"/>
    <n v="5000"/>
    <n v="5"/>
    <n v="2"/>
    <s v="L1"/>
    <d v="2015-07-15T00:00:00"/>
    <s v="A.C."/>
    <n v="3.43"/>
    <n v="0.56999999999999995"/>
    <n v="0.42"/>
    <n v="0.6"/>
    <n v="2.8554200000000001"/>
    <n v="3"/>
    <n v="4.88"/>
    <n v="0.06"/>
    <n v="0.06"/>
    <n v="0"/>
    <n v="4.1860900000000001"/>
    <n v="4"/>
    <n v="0"/>
    <n v="0"/>
    <n v="5"/>
    <n v="1.4786999999999999"/>
    <n v="29"/>
    <n v="0"/>
    <n v="0.16571428571428573"/>
    <x v="118"/>
    <n v="0"/>
    <n v="0"/>
    <n v="0"/>
    <n v="0"/>
    <n v="3"/>
    <n v="1.7142857142857144E-2"/>
  </r>
  <r>
    <n v="1695"/>
    <s v="แขวงทางหลวงฉะเชิงเทรา"/>
    <n v="421"/>
    <n v="3378"/>
    <n v="100"/>
    <s v="บางคล้า  - พนมสารคาม"/>
    <n v="0"/>
    <n v="14424"/>
    <n v="14.423999999999999"/>
    <n v="2"/>
    <s v="L1"/>
    <d v="2015-08-10T00:00:00"/>
    <s v="A.C."/>
    <n v="8.5749999999999993"/>
    <n v="3.7250000000000001"/>
    <n v="1.65"/>
    <n v="0.65"/>
    <n v="2.6676199999999999"/>
    <n v="2.5"/>
    <n v="7.4999999999999997E-2"/>
    <n v="0.375"/>
    <n v="1.075"/>
    <n v="13.074999999999999"/>
    <n v="69.641199999999998"/>
    <n v="69.5"/>
    <n v="0"/>
    <n v="0"/>
    <n v="14.423999999999999"/>
    <n v="1.18388"/>
    <n v="70.69"/>
    <n v="24.02"/>
    <n v="0.16381427779098331"/>
    <x v="118"/>
    <n v="1.59"/>
    <n v="3.1495127169004051E-3"/>
    <n v="855"/>
    <n v="1.6936058949370101"/>
    <n v="0"/>
    <n v="0"/>
  </r>
  <r>
    <n v="1655"/>
    <s v="แขวงทางหลวงนนทบุรี"/>
    <n v="418"/>
    <n v="9"/>
    <n v="201"/>
    <s v="คลองมหาสวัสดิ์ - บางบัวทอง"/>
    <s v="31+872"/>
    <s v="40+472"/>
    <n v="8.6"/>
    <n v="6"/>
    <s v="L2"/>
    <d v="2015-08-28T00:00:00"/>
    <s v="A.C."/>
    <n v="3.2"/>
    <n v="1.9750000000000001"/>
    <n v="2.0249999999999999"/>
    <n v="1.4"/>
    <n v="3.4733100000000001"/>
    <n v="3.5"/>
    <n v="8.4749999999999996"/>
    <n v="0.1"/>
    <n v="2.5000000000000001E-2"/>
    <n v="0"/>
    <n v="3.7006700000000001"/>
    <n v="3.5"/>
    <n v="0"/>
    <n v="0"/>
    <n v="8.6000000000000014"/>
    <n v="1.1124799999999999"/>
    <n v="0"/>
    <n v="98.54"/>
    <n v="0.16368770764119606"/>
    <x v="118"/>
    <n v="0"/>
    <n v="0"/>
    <n v="78.849999999999994"/>
    <n v="0.26196013289036546"/>
    <n v="0"/>
    <n v="0"/>
  </r>
  <r>
    <n v="2002"/>
    <s v="แขวงทางหลวงตรัง"/>
    <n v="322"/>
    <n v="4347"/>
    <n v="100"/>
    <s v="ตลาดฉุ้น - บ้านซา"/>
    <n v="0"/>
    <n v="3500"/>
    <n v="3.5"/>
    <n v="2"/>
    <s v="L2"/>
    <d v="2015-05-05T00:00:00"/>
    <s v="A.C."/>
    <n v="2.875"/>
    <n v="0.4"/>
    <n v="0.15"/>
    <n v="0.1"/>
    <n v="2.2420599999999999"/>
    <n v="2"/>
    <n v="3.5249999999999999"/>
    <n v="0"/>
    <n v="0"/>
    <n v="0"/>
    <n v="3.1196799999999998"/>
    <n v="3"/>
    <n v="0"/>
    <n v="0"/>
    <n v="3.5249999999999999"/>
    <n v="1.2585200000000001"/>
    <n v="0"/>
    <n v="40"/>
    <n v="0.16326530612244899"/>
    <x v="118"/>
    <n v="0"/>
    <n v="0"/>
    <n v="0"/>
    <n v="0"/>
    <n v="0"/>
    <n v="0"/>
  </r>
  <r>
    <n v="2119"/>
    <s v="แขวงทางหลวงภูเก็ต"/>
    <n v="324"/>
    <n v="4025"/>
    <n v="100"/>
    <s v="ท่าเรือ -  เชิงทะเล"/>
    <n v="6950"/>
    <n v="0"/>
    <n v="6.95"/>
    <n v="4"/>
    <s v="R2"/>
    <d v="2015-05-14T00:00:00"/>
    <s v="A.C."/>
    <n v="3.0750000000000002"/>
    <n v="2.6"/>
    <n v="0.82499999999999996"/>
    <n v="0.52500000000000002"/>
    <n v="2.9840200000000001"/>
    <n v="3"/>
    <n v="6.6749999999999998"/>
    <n v="0.2"/>
    <n v="7.4999999999999997E-2"/>
    <n v="7.4999999999999997E-2"/>
    <n v="3.98949"/>
    <n v="4"/>
    <n v="0"/>
    <n v="0"/>
    <n v="7.0250000000000012"/>
    <n v="1.2324600000000001"/>
    <n v="26.93"/>
    <n v="25.4"/>
    <n v="0.1629188078108941"/>
    <x v="118"/>
    <n v="3.5"/>
    <n v="1.4388489208633093E-2"/>
    <n v="0"/>
    <n v="0"/>
    <n v="1.9359999999999999"/>
    <n v="7.9588900308324769E-3"/>
  </r>
  <r>
    <n v="2184"/>
    <s v="แขวงทางหลวงสงขลาที่ 1"/>
    <n v="311"/>
    <n v="4309"/>
    <n v="100"/>
    <s v="สามแยกทุ่งหวัง - สงขลา"/>
    <n v="0"/>
    <n v="10679"/>
    <n v="10.679"/>
    <n v="2"/>
    <s v="L2"/>
    <d v="2015-05-22T00:00:00"/>
    <s v="A.C."/>
    <n v="6.2"/>
    <n v="3.05"/>
    <n v="0.97499999999999998"/>
    <n v="0.52500000000000002"/>
    <n v="2.6061899999999998"/>
    <n v="2.5"/>
    <n v="10.225"/>
    <n v="0.47499999999999998"/>
    <n v="0.05"/>
    <n v="0"/>
    <n v="4.4621000000000004"/>
    <n v="4.5"/>
    <n v="0"/>
    <n v="0"/>
    <n v="10.75"/>
    <n v="1.34415"/>
    <n v="50.78"/>
    <n v="20.11"/>
    <n v="0.16276269848701724"/>
    <x v="118"/>
    <n v="17.010000000000002"/>
    <n v="4.550987920217249E-2"/>
    <n v="0.4"/>
    <n v="1.0701911628964724E-3"/>
    <n v="0"/>
    <n v="0"/>
  </r>
  <r>
    <n v="2122"/>
    <s v="แขวงทางหลวงภูเก็ต"/>
    <n v="324"/>
    <n v="4027"/>
    <n v="100"/>
    <s v="ท่าเรือ - เมืองใหม่"/>
    <n v="19538"/>
    <n v="0"/>
    <n v="19.538"/>
    <n v="2"/>
    <s v="R2"/>
    <d v="2015-05-15T00:00:00"/>
    <s v="A.C."/>
    <n v="14"/>
    <n v="3.625"/>
    <n v="1.2"/>
    <n v="0.625"/>
    <n v="2.3563999999999998"/>
    <n v="2.5"/>
    <n v="18.975000000000001"/>
    <n v="0.45"/>
    <n v="2.5000000000000001E-2"/>
    <n v="0"/>
    <n v="3.1398999999999999"/>
    <n v="3"/>
    <n v="0"/>
    <n v="0"/>
    <n v="19.45"/>
    <n v="1.21746"/>
    <n v="108.49"/>
    <n v="5.44"/>
    <n v="0.1626281385724522"/>
    <x v="118"/>
    <n v="20.96"/>
    <n v="3.0650892765745875E-2"/>
    <n v="2.88"/>
    <n v="4.2115730517818754E-3"/>
    <n v="0"/>
    <n v="0"/>
  </r>
  <r>
    <n v="1871"/>
    <s v="แขวงทางหลวงราชบุรี"/>
    <n v="335"/>
    <n v="3207"/>
    <n v="100"/>
    <s v="เขากรวด - หนองแช่เสา"/>
    <n v="0"/>
    <n v="11300"/>
    <n v="11.3"/>
    <n v="2"/>
    <s v="L1"/>
    <d v="2015-04-01T00:00:00"/>
    <s v="A.C."/>
    <n v="5.93"/>
    <n v="4.13"/>
    <n v="1.1399999999999999"/>
    <n v="0.1"/>
    <n v="2.5539200000000002"/>
    <n v="2.5"/>
    <n v="11.02"/>
    <n v="0.28000000000000003"/>
    <n v="0"/>
    <n v="0"/>
    <n v="4.2191000000000001"/>
    <n v="4"/>
    <n v="0"/>
    <n v="0"/>
    <n v="11.3"/>
    <n v="1.3597900000000001"/>
    <n v="63.35"/>
    <n v="1.25"/>
    <n v="0.16175726927939316"/>
    <x v="118"/>
    <n v="7.69"/>
    <n v="1.9443742098609353E-2"/>
    <n v="0"/>
    <n v="0"/>
    <n v="1.68"/>
    <n v="4.2477876106194676E-3"/>
  </r>
  <r>
    <n v="98"/>
    <s v="แขวงทางหลวงแม่ฮ่องสอน"/>
    <n v="526"/>
    <n v="1266"/>
    <n v="100"/>
    <s v="แม่ลาน้อย - ละอุบ"/>
    <s v="0+000"/>
    <s v="28+113"/>
    <n v="28.113"/>
    <n v="2"/>
    <s v="L1"/>
    <d v="2015-08-29T00:00:00"/>
    <s v="A.C."/>
    <n v="1.78"/>
    <n v="8.51"/>
    <n v="10.88"/>
    <n v="6.95"/>
    <n v="4.4085200000000002"/>
    <n v="4.5"/>
    <n v="23.88"/>
    <n v="2.97"/>
    <n v="0.67"/>
    <n v="0.59"/>
    <n v="6.5496299999999996"/>
    <n v="6.5"/>
    <n v="0"/>
    <n v="0"/>
    <n v="28.11"/>
    <n v="1.7831399999999999"/>
    <n v="158.62"/>
    <n v="1.02"/>
    <n v="0.16172487562947493"/>
    <x v="118"/>
    <n v="2.3199999999999998"/>
    <n v="2.3578314048914835E-3"/>
    <n v="0"/>
    <n v="0"/>
    <n v="0"/>
    <n v="0"/>
  </r>
  <r>
    <n v="1866"/>
    <s v="แขวงทางหลวงราชบุรี"/>
    <n v="335"/>
    <n v="323"/>
    <n v="100"/>
    <s v="หนองตะแครง - ลูกแก"/>
    <n v="18592"/>
    <n v="0"/>
    <n v="18.591999999999999"/>
    <n v="4"/>
    <s v="R2"/>
    <d v="2015-03-30T00:00:00"/>
    <s v="A.C."/>
    <n v="11.02"/>
    <n v="4.4400000000000004"/>
    <n v="2.06"/>
    <n v="1.07"/>
    <n v="2.6211199999999999"/>
    <n v="2.5"/>
    <n v="17.82"/>
    <n v="0.67"/>
    <n v="0.11"/>
    <n v="0"/>
    <n v="3.7881499999999999"/>
    <n v="4"/>
    <n v="0"/>
    <n v="0"/>
    <n v="18.59"/>
    <n v="1.13202"/>
    <n v="87.31"/>
    <n v="35.31"/>
    <n v="0.16130593803786578"/>
    <x v="118"/>
    <n v="0"/>
    <n v="0"/>
    <n v="0"/>
    <n v="0"/>
    <n v="0"/>
    <n v="0"/>
  </r>
  <r>
    <n v="264"/>
    <s v="แขวงทางหลวงน่านที่ 2"/>
    <n v="539"/>
    <n v="1256"/>
    <n v="102"/>
    <s v="อุทยานแห่งชาติดอยภูคา - บ่อเกลือ"/>
    <s v="25+000"/>
    <s v="46+596"/>
    <n v="21.596"/>
    <n v="2"/>
    <s v="F1"/>
    <d v="2015-07-28T00:00:00"/>
    <s v="A.C."/>
    <n v="4.1399999999999997"/>
    <n v="6.81"/>
    <n v="5.53"/>
    <n v="5.14"/>
    <n v="4.0350000000000001"/>
    <n v="4"/>
    <n v="16.260000000000002"/>
    <n v="3.63"/>
    <n v="1.1100000000000001"/>
    <n v="0.62"/>
    <n v="8.09"/>
    <n v="8"/>
    <n v="0.08"/>
    <n v="0.2"/>
    <n v="21.31"/>
    <n v="1.6479999999999999"/>
    <n v="111.06"/>
    <n v="21.613"/>
    <n v="0.16122893128357102"/>
    <x v="118"/>
    <n v="0"/>
    <n v="0"/>
    <n v="0"/>
    <n v="0"/>
    <n v="0"/>
    <n v="0"/>
  </r>
  <r>
    <n v="616"/>
    <s v="แขวงทางหลวงเลยที่ 2 (ด่านซ้าย)"/>
    <n v="555"/>
    <n v="1328"/>
    <n v="100"/>
    <s v="แสงภา - นาปอ"/>
    <n v="29750"/>
    <n v="0"/>
    <n v="29.75"/>
    <n v="2"/>
    <s v="R1"/>
    <d v="2015-07-02T00:00:00"/>
    <s v="A.C."/>
    <n v="4.2249999999999996"/>
    <n v="8.1999999999999993"/>
    <n v="9.2249999999999996"/>
    <n v="7.85"/>
    <n v="4.2296199999999997"/>
    <n v="4"/>
    <n v="26.225000000000001"/>
    <n v="2"/>
    <n v="0.6"/>
    <n v="0.67500000000000004"/>
    <n v="5.3079499999999999"/>
    <n v="5.5"/>
    <n v="2.5000000000000001E-2"/>
    <n v="0.05"/>
    <n v="29.5"/>
    <n v="1.58158"/>
    <n v="166"/>
    <n v="3.73"/>
    <n v="0.16121488595438174"/>
    <x v="118"/>
    <n v="10"/>
    <n v="9.6038415366146452E-3"/>
    <n v="0"/>
    <n v="0"/>
    <n v="0"/>
    <n v="0"/>
  </r>
  <r>
    <n v="827"/>
    <s v="แขวงทางหลวงกาฬสินธุ์"/>
    <n v="647"/>
    <n v="2289"/>
    <n v="100"/>
    <s v="บ้านโพน - ลำพันชาด"/>
    <n v="0"/>
    <n v="16700"/>
    <n v="16.7"/>
    <n v="2"/>
    <s v="L1"/>
    <d v="2015-05-30T00:00:00"/>
    <s v="A.C."/>
    <n v="11.125"/>
    <n v="3.9249999999999998"/>
    <n v="1.125"/>
    <n v="0.52500000000000002"/>
    <n v="2.4076900000000001"/>
    <n v="2.5"/>
    <n v="16.425000000000001"/>
    <n v="0.25"/>
    <n v="0"/>
    <n v="2.5000000000000001E-2"/>
    <n v="3.4146999999999998"/>
    <n v="3.5"/>
    <n v="0"/>
    <n v="0"/>
    <n v="16.7"/>
    <n v="1.2367600000000001"/>
    <n v="6"/>
    <n v="176"/>
    <n v="0.1608212147134303"/>
    <x v="118"/>
    <n v="0"/>
    <n v="0"/>
    <n v="117"/>
    <n v="0.20017099999999999"/>
    <n v="0"/>
    <n v="0"/>
  </r>
  <r>
    <n v="2100"/>
    <s v="แขวงทางหลวงกระบี่"/>
    <n v="323"/>
    <n v="4225"/>
    <n v="100"/>
    <s v="สวนปาล์ม -คลองชี"/>
    <n v="47040"/>
    <n v="17472"/>
    <n v="29.568000000000001"/>
    <n v="2"/>
    <s v="R1"/>
    <d v="2015-04-07T00:00:00"/>
    <s v="A.C."/>
    <n v="18.59"/>
    <n v="8.93"/>
    <n v="2.0499999999999998"/>
    <n v="0"/>
    <n v="2.9620000000000002"/>
    <n v="3"/>
    <n v="20.260000000000002"/>
    <n v="9.31"/>
    <n v="0"/>
    <n v="0"/>
    <n v="4.1120000000000001"/>
    <n v="4"/>
    <n v="0"/>
    <n v="0"/>
    <n v="29.57"/>
    <n v="1.923"/>
    <n v="156.26"/>
    <n v="18.04"/>
    <n v="0.15970933828076686"/>
    <x v="118"/>
    <n v="15.68"/>
    <n v="1.5151515151515152E-2"/>
    <n v="20.5"/>
    <m/>
    <n v="0"/>
    <n v="0"/>
  </r>
  <r>
    <n v="449"/>
    <s v="แขวงทางหลวงสุโขทัย"/>
    <n v="513"/>
    <n v="1330"/>
    <n v="101"/>
    <s v="หัวฝาย - แม่ทุเลา"/>
    <s v="10+000"/>
    <s v="0+000"/>
    <n v="10"/>
    <s v="R1"/>
    <n v="2"/>
    <d v="2015-09-16T00:00:00"/>
    <s v="A.C."/>
    <n v="6"/>
    <n v="2.77"/>
    <n v="1"/>
    <n v="0.23"/>
    <n v="2.3908999999999998"/>
    <n v="2.5"/>
    <n v="9.65"/>
    <n v="0.35"/>
    <n v="0"/>
    <n v="0"/>
    <n v="4.0314100000000002"/>
    <n v="4"/>
    <n v="0"/>
    <n v="0"/>
    <n v="10"/>
    <n v="1.3500799999999999"/>
    <n v="48.347999999999999"/>
    <n v="14.98"/>
    <n v="0.15953714285714285"/>
    <x v="118"/>
    <n v="77.548000000000002"/>
    <n v="0.22156571428571431"/>
    <n v="0.98"/>
    <n v="2.8E-3"/>
    <n v="0"/>
    <n v="0"/>
  </r>
  <r>
    <n v="1311"/>
    <s v="แขวงทางหลวงกาญจนบุรี"/>
    <n v="444"/>
    <n v="323"/>
    <n v="204"/>
    <s v="แก่งเสี้ยน - แยกปากกิเลน"/>
    <n v="64850"/>
    <n v="90012"/>
    <n v="25.161999999999999"/>
    <n v="4"/>
    <s v="L1"/>
    <d v="2015-07-24T00:00:00"/>
    <s v="A.C."/>
    <n v="25.125"/>
    <n v="0.17499999999999999"/>
    <n v="2.5000000000000001E-2"/>
    <n v="0"/>
    <n v="1.55802"/>
    <n v="1.5"/>
    <n v="0.625"/>
    <n v="0"/>
    <n v="0"/>
    <n v="0"/>
    <n v="1.33752"/>
    <n v="1.5"/>
    <n v="0"/>
    <n v="0"/>
    <n v="25.324999999999999"/>
    <n v="1.04711"/>
    <n v="63.65"/>
    <n v="153.54"/>
    <n v="0.15944678483427391"/>
    <x v="118"/>
    <n v="253.45"/>
    <n v="0.28779224908308443"/>
    <n v="0"/>
    <n v="0"/>
    <n v="0"/>
    <n v="0"/>
  </r>
  <r>
    <n v="1974"/>
    <s v="แขวงทางหลวงตรัง"/>
    <n v="322"/>
    <n v="403"/>
    <n v="303"/>
    <s v="ต้นม่วง - ตรัง"/>
    <n v="93211"/>
    <n v="118075"/>
    <n v="24.864000000000001"/>
    <n v="4"/>
    <s v="L4"/>
    <d v="2015-05-05T00:00:00"/>
    <s v="A.C."/>
    <n v="17.225000000000001"/>
    <n v="4.5999999999999996"/>
    <n v="1.875"/>
    <n v="1.05"/>
    <n v="2.33331"/>
    <n v="2.5"/>
    <n v="21.7"/>
    <n v="2.2749999999999999"/>
    <n v="0.375"/>
    <n v="0.25"/>
    <n v="5.8595300000000003"/>
    <n v="6"/>
    <n v="0"/>
    <n v="0"/>
    <n v="24.750000000000004"/>
    <n v="1.2034100000000001"/>
    <n v="138.53"/>
    <n v="0"/>
    <n v="0.15918597168597171"/>
    <x v="118"/>
    <n v="0"/>
    <n v="0"/>
    <n v="0"/>
    <n v="0"/>
    <n v="0"/>
    <n v="0"/>
  </r>
  <r>
    <n v="2076"/>
    <s v="แขวงทางหลวงสุราษฎร์ธานีที่ 3 (เวียงสระ)"/>
    <n v="329"/>
    <n v="4110"/>
    <n v="200"/>
    <s v="บางรูป - พระแสง"/>
    <n v="91039"/>
    <n v="71254"/>
    <n v="19.785"/>
    <n v="2"/>
    <s v="R1"/>
    <d v="2015-04-27T00:00:00"/>
    <s v="A.C."/>
    <n v="13.8"/>
    <n v="4.5999999999999996"/>
    <n v="1.1000000000000001"/>
    <n v="0.2"/>
    <n v="2.2284299999999999"/>
    <n v="2"/>
    <n v="19.074999999999999"/>
    <n v="0.3"/>
    <n v="0.15"/>
    <n v="0.17499999999999999"/>
    <n v="3.2172299999999998"/>
    <n v="3"/>
    <n v="0"/>
    <n v="0"/>
    <n v="19.7"/>
    <n v="1.2720499999999999"/>
    <n v="14.16"/>
    <n v="191.67"/>
    <n v="0.15884327954077765"/>
    <x v="118"/>
    <n v="0"/>
    <n v="0"/>
    <n v="0"/>
    <n v="0"/>
    <n v="0"/>
    <n v="0"/>
  </r>
  <r>
    <n v="1973"/>
    <s v="แขวงทางหลวงตรัง"/>
    <n v="322"/>
    <n v="403"/>
    <n v="302"/>
    <s v="ห้วยนาง - ต้นม่วง"/>
    <n v="93211"/>
    <n v="82997"/>
    <n v="10.214"/>
    <n v="4"/>
    <s v="R4"/>
    <d v="2015-05-05T00:00:00"/>
    <s v="A.C."/>
    <n v="6.0250000000000004"/>
    <n v="2.6749999999999998"/>
    <n v="1.075"/>
    <n v="0.27500000000000002"/>
    <n v="2.4687299999999999"/>
    <n v="2.5"/>
    <n v="7.5750000000000002"/>
    <n v="1.4750000000000001"/>
    <n v="0.77500000000000002"/>
    <n v="0.22500000000000001"/>
    <n v="7.59084"/>
    <n v="7.5"/>
    <n v="0"/>
    <n v="0"/>
    <n v="10.049999999999999"/>
    <n v="1.27867"/>
    <n v="56.65"/>
    <n v="0"/>
    <n v="0.15846597107611402"/>
    <x v="118"/>
    <n v="0"/>
    <n v="0"/>
    <n v="0"/>
    <n v="0"/>
    <n v="0"/>
    <n v="0"/>
  </r>
  <r>
    <n v="1147"/>
    <s v="แขวงทางหลวงสระบุรี"/>
    <n v="432"/>
    <n v="3041"/>
    <n v="102"/>
    <s v="หนองแซง - สระบุรี"/>
    <s v="29+239"/>
    <s v="14+200"/>
    <n v="15.039"/>
    <n v="4"/>
    <s v="R1"/>
    <d v="2015-10-05T00:00:00"/>
    <s v="A.C."/>
    <n v="7.95"/>
    <n v="4.625"/>
    <n v="1.85"/>
    <n v="0.625"/>
    <n v="2.8372899999999999"/>
    <n v="3"/>
    <n v="14.25"/>
    <n v="0.625"/>
    <n v="7.4999999999999997E-2"/>
    <n v="0.1"/>
    <n v="3.8099699999999999"/>
    <n v="4"/>
    <n v="0"/>
    <n v="0"/>
    <n v="15.049999999999999"/>
    <n v="1.4265000000000001"/>
    <n v="79.48"/>
    <n v="7.2350000000000003"/>
    <n v="0.15787000000000001"/>
    <x v="118"/>
    <n v="14.25"/>
    <n v="2.7071999999999999E-2"/>
    <n v="0"/>
    <n v="0"/>
    <n v="0"/>
    <n v="0"/>
  </r>
  <r>
    <n v="536"/>
    <s v="แขวงทางหลวงอุตรดิตถ์ที่ 2"/>
    <n v="558"/>
    <n v="1105"/>
    <n v="100"/>
    <s v="ไฮ้ฮ้า - งิ้วงาม"/>
    <s v="0+000"/>
    <s v="12+065"/>
    <n v="12.065"/>
    <s v="L1"/>
    <n v="2"/>
    <d v="2015-09-24T00:00:00"/>
    <s v="A.C."/>
    <n v="8.75"/>
    <n v="2.4249999999999998"/>
    <n v="0.77500000000000002"/>
    <n v="0.1"/>
    <n v="2.1874500000000001"/>
    <n v="2"/>
    <n v="11.525"/>
    <n v="0.17499999999999999"/>
    <n v="7.4999999999999997E-2"/>
    <n v="0.27500000000000002"/>
    <n v="3.8940199999999998"/>
    <n v="4"/>
    <n v="0"/>
    <n v="0"/>
    <n v="12.05"/>
    <n v="1.27115"/>
    <n v="55.640999999999998"/>
    <n v="21.95"/>
    <n v="0.15775500000000001"/>
    <x v="118"/>
    <n v="73.98"/>
    <n v="0.17519399999999999"/>
    <n v="0"/>
    <n v="0"/>
    <n v="0"/>
    <n v="0"/>
  </r>
  <r>
    <n v="795"/>
    <s v="แขวงทางหลวงร้อยเอ็ด"/>
    <n v="635"/>
    <n v="202"/>
    <n v="501"/>
    <s v="ห้วยลำเตา - เกษตรวิสัย"/>
    <n v="184580"/>
    <s v="162+395"/>
    <n v="22.18"/>
    <n v="4"/>
    <s v="R1"/>
    <d v="2015-05-26T00:00:00"/>
    <s v="A.C."/>
    <n v="11.305999999999999"/>
    <n v="6.47"/>
    <n v="3.343"/>
    <n v="1.0620000000000001"/>
    <n v="2.64107"/>
    <n v="2.5"/>
    <n v="19.457999999999998"/>
    <n v="2.282"/>
    <n v="0.41499999999999998"/>
    <n v="2.5000000000000001E-2"/>
    <n v="6.5679999999999996"/>
    <n v="6.5"/>
    <n v="0"/>
    <n v="0"/>
    <n v="22.18"/>
    <n v="1.0249999999999999"/>
    <n v="148"/>
    <n v="0"/>
    <n v="0.15761"/>
    <x v="118"/>
    <n v="17"/>
    <n v="1.8100000000000002E-2"/>
    <n v="100"/>
    <n v="0.106491"/>
    <n v="0"/>
    <n v="0"/>
  </r>
  <r>
    <n v="462"/>
    <s v="แขวงทางหลวงพิษณุโลกที่ 2 (วังทอง)"/>
    <n v="515"/>
    <n v="1086"/>
    <n v="200"/>
    <s v="มะขามสูง - วัดโบสถ์"/>
    <s v="27+300"/>
    <s v="13+764"/>
    <n v="13.536"/>
    <s v="R1"/>
    <n v="4"/>
    <d v="2015-09-22T00:00:00"/>
    <s v="A.C."/>
    <n v="7.6749999999999998"/>
    <n v="3.75"/>
    <n v="1.3"/>
    <n v="0.92500000000000004"/>
    <n v="2.722"/>
    <n v="2.5"/>
    <n v="13.425000000000001"/>
    <n v="0.2"/>
    <n v="2.5000000000000001E-2"/>
    <n v="0"/>
    <n v="2.9430000000000001"/>
    <n v="3"/>
    <n v="0"/>
    <n v="0"/>
    <n v="13.650000000000002"/>
    <n v="1.1100000000000001"/>
    <n v="56.692999999999998"/>
    <n v="35.74"/>
    <n v="0.1573855960824046"/>
    <x v="118"/>
    <n v="13.8"/>
    <n v="2.9128672745694025E-2"/>
    <n v="12.5"/>
    <n v="2.6384667342114154E-2"/>
    <n v="2"/>
    <n v="4.2215467747382645E-3"/>
  </r>
  <r>
    <n v="374"/>
    <s v="แขวงทางหลวงตากที่ 2 (แม่สอด)"/>
    <n v="514"/>
    <n v="1267"/>
    <n v="100"/>
    <s v="แม่สลิดหลวง - แม่ระเมิง"/>
    <s v="0+000"/>
    <s v="35+000"/>
    <n v="35"/>
    <n v="2"/>
    <s v="L1"/>
    <d v="2015-08-30T00:00:00"/>
    <s v="C.C."/>
    <n v="1.4750000000000001"/>
    <n v="3.8"/>
    <n v="6.7"/>
    <n v="22.75"/>
    <n v="6.7934099999999997"/>
    <n v="7"/>
    <n v="32.25"/>
    <n v="2.5499999999999998"/>
    <n v="0.2"/>
    <n v="0"/>
    <n v="4.218"/>
    <n v="4"/>
    <n v="0"/>
    <n v="0"/>
    <n v="34.725000000000001"/>
    <n v="2.1278700000000002"/>
    <n v="87.23"/>
    <n v="211.1"/>
    <n v="0.15737142857142858"/>
    <x v="118"/>
    <n v="21.5"/>
    <n v="1.7551020408163264E-2"/>
    <n v="12"/>
    <n v="9.79591836734694E-3"/>
    <n v="1.5"/>
    <n v="1.2244897959183675E-3"/>
  </r>
  <r>
    <n v="1338"/>
    <s v="แขวงทางหลวงกาญจนบุรี"/>
    <n v="444"/>
    <n v="3455"/>
    <n v="100"/>
    <s v="แยกปากกิเลน - บ้านเก่า"/>
    <n v="0"/>
    <n v="17000"/>
    <n v="17"/>
    <n v="2"/>
    <s v="L1"/>
    <d v="2015-07-27T00:00:00"/>
    <s v="A.C."/>
    <n v="12.1"/>
    <n v="3.6749999999999998"/>
    <n v="1"/>
    <n v="0.25"/>
    <n v="2.3525999999999998"/>
    <n v="2.5"/>
    <n v="16.975000000000001"/>
    <n v="0.05"/>
    <n v="0"/>
    <n v="0"/>
    <n v="1.8099400000000001"/>
    <n v="2"/>
    <n v="0"/>
    <n v="0"/>
    <n v="17.024999999999999"/>
    <n v="1.1449"/>
    <n v="75"/>
    <n v="37"/>
    <n v="0.15714285714285714"/>
    <x v="118"/>
    <n v="0"/>
    <n v="0"/>
    <n v="0"/>
    <n v="0"/>
    <n v="0"/>
    <n v="0"/>
  </r>
  <r>
    <n v="1878"/>
    <s v="แขวงทางหลวงราชบุรี"/>
    <n v="335"/>
    <n v="3291"/>
    <n v="101"/>
    <s v="เจดีย์หัก - แก้วฟ้า"/>
    <s v="3+920"/>
    <s v="0+000"/>
    <n v="3.92"/>
    <n v="2"/>
    <s v="R2"/>
    <d v="2015-04-01T00:00:00"/>
    <s v="A.C."/>
    <n v="2.95"/>
    <n v="0.97"/>
    <n v="0"/>
    <n v="0"/>
    <n v="2.2929200000000001"/>
    <n v="2.5"/>
    <n v="3.84"/>
    <n v="0.05"/>
    <n v="0.03"/>
    <n v="0"/>
    <n v="4.3385600000000002"/>
    <n v="4.5"/>
    <n v="0"/>
    <n v="0"/>
    <n v="3.92"/>
    <n v="1.2503599999999999"/>
    <n v="20.36"/>
    <n v="2.33"/>
    <n v="0.15688775510204084"/>
    <x v="118"/>
    <n v="109.76"/>
    <n v="0.80000000000000016"/>
    <n v="0"/>
    <n v="0"/>
    <n v="0"/>
    <n v="0"/>
  </r>
  <r>
    <n v="333"/>
    <s v="แขวงทางหลวงหนองคาย"/>
    <n v="646"/>
    <n v="2095"/>
    <n v="200"/>
    <s v="โซ่พิสัย - ปากคาด"/>
    <n v="33500"/>
    <n v="67577"/>
    <n v="34.076999999999998"/>
    <n v="2"/>
    <s v="R2"/>
    <d v="2015-06-09T00:00:00"/>
    <s v="A.C."/>
    <n v="22.074999999999999"/>
    <n v="7.8"/>
    <n v="3"/>
    <n v="0.95"/>
    <n v="2.7755999999999998"/>
    <n v="3"/>
    <n v="32.6"/>
    <n v="1.125"/>
    <n v="0.1"/>
    <n v="0"/>
    <n v="3.72485"/>
    <n v="3.5"/>
    <n v="0"/>
    <n v="0"/>
    <n v="33.825000000000003"/>
    <n v="1.1648099999999999"/>
    <n v="169"/>
    <n v="35"/>
    <n v="0.15637000000000001"/>
    <x v="118"/>
    <n v="13"/>
    <n v="1.09E-2"/>
    <n v="0"/>
    <n v="0"/>
    <n v="0"/>
    <n v="0"/>
  </r>
  <r>
    <n v="116"/>
    <s v="แขวงทางหลวงเชียงใหม่ที่ 3"/>
    <n v="527"/>
    <n v="1178"/>
    <n v="102"/>
    <s v="นาหวาย - สินไชย"/>
    <n v="25000"/>
    <n v="47515"/>
    <n v="22.515000000000001"/>
    <n v="2"/>
    <s v="L1"/>
    <d v="2015-08-24T00:00:00"/>
    <s v="A.C."/>
    <n v="10.25"/>
    <n v="12.24"/>
    <n v="0.02"/>
    <n v="0"/>
    <n v="3.3679999999999999"/>
    <n v="3.5"/>
    <n v="10.210000000000001"/>
    <n v="1.94"/>
    <n v="8.83"/>
    <n v="1.53"/>
    <n v="8.1859999999999999"/>
    <n v="8"/>
    <n v="0"/>
    <n v="0"/>
    <n v="22.52"/>
    <n v="1.3149999999999999"/>
    <n v="94.15"/>
    <n v="56.31"/>
    <n v="0.15520446686336092"/>
    <x v="118"/>
    <n v="25.32"/>
    <n v="3.2130960312172829E-2"/>
    <n v="4.12"/>
    <n v="5.2282605247295447E-3"/>
    <n v="0"/>
    <n v="0"/>
  </r>
  <r>
    <n v="316"/>
    <s v="แขวงทางหลวงนครพนม"/>
    <n v="644"/>
    <n v="2104"/>
    <n v="101"/>
    <s v="จอมมณี - ดอนพัฒนา"/>
    <n v="0"/>
    <n v="8950"/>
    <n v="8.9499999999999993"/>
    <n v="2"/>
    <s v="L1"/>
    <d v="2015-06-03T00:00:00"/>
    <s v="A.C."/>
    <n v="4.46"/>
    <n v="1.55"/>
    <n v="1.4"/>
    <n v="1.53"/>
    <n v="3.2500300000000002"/>
    <n v="3.5"/>
    <n v="8.75"/>
    <n v="0.2"/>
    <n v="0"/>
    <n v="0"/>
    <n v="3.2018499999999999"/>
    <n v="3"/>
    <n v="0"/>
    <n v="0.03"/>
    <n v="8.92"/>
    <n v="1.2026600000000001"/>
    <n v="46"/>
    <n v="5"/>
    <n v="0.15483"/>
    <x v="118"/>
    <n v="225.53"/>
    <n v="0.71997"/>
    <n v="0"/>
    <n v="0"/>
    <n v="0"/>
    <n v="0"/>
  </r>
  <r>
    <n v="416"/>
    <s v="แขวงทางหลวงสุโขทัย"/>
    <n v="513"/>
    <n v="101"/>
    <n v="302"/>
    <s v="คลองโพธิ์ - ท่าช้าง"/>
    <s v="79+969"/>
    <s v="89+348"/>
    <n v="9.3789999999999996"/>
    <s v="L1"/>
    <n v="2"/>
    <d v="2015-09-17T00:00:00"/>
    <s v="A.C."/>
    <n v="6.77"/>
    <n v="1.69"/>
    <n v="0.56999999999999995"/>
    <n v="0.35"/>
    <n v="2.2810000000000001"/>
    <n v="2.5"/>
    <n v="9.2799999999999994"/>
    <n v="0.1"/>
    <n v="0"/>
    <n v="0"/>
    <n v="2.65"/>
    <n v="2.5"/>
    <n v="0"/>
    <n v="0"/>
    <n v="9.3800000000000008"/>
    <n v="1.014"/>
    <n v="36.619999999999997"/>
    <n v="28"/>
    <n v="0.15420468219274064"/>
    <x v="118"/>
    <n v="12.36"/>
    <n v="3.7652506359191519E-2"/>
    <n v="0"/>
    <n v="0"/>
    <n v="0"/>
    <n v="0"/>
  </r>
  <r>
    <n v="503"/>
    <s v="แขวงทางหลวงพิจิตร"/>
    <n v="519"/>
    <n v="1289"/>
    <n v="101"/>
    <s v="วังสำโรง - บางลาย"/>
    <s v="9+400"/>
    <s v="0+000"/>
    <n v="9.4"/>
    <s v="R1"/>
    <n v="2"/>
    <d v="2015-09-29T00:00:00"/>
    <s v="A.C."/>
    <n v="4.58"/>
    <n v="2.73"/>
    <n v="1.39"/>
    <n v="0.75"/>
    <n v="2.3908499999999999"/>
    <n v="2.5"/>
    <n v="9.44"/>
    <n v="0.02"/>
    <n v="0"/>
    <n v="0"/>
    <n v="3.6587900000000002"/>
    <n v="3.5"/>
    <n v="0"/>
    <n v="0"/>
    <n v="14.33"/>
    <n v="1.16103"/>
    <n v="46.62"/>
    <n v="8.2149999999999999"/>
    <n v="0.15418699999999999"/>
    <x v="118"/>
    <n v="87.463999999999999"/>
    <n v="0.26584799999999997"/>
    <n v="0"/>
    <n v="0"/>
    <n v="0"/>
    <n v="0"/>
  </r>
  <r>
    <n v="1668"/>
    <s v="แขวงทางหลวงธนบุรี"/>
    <n v="419"/>
    <n v="9"/>
    <n v="102"/>
    <s v="บางแค - คลองมหาสวัสดิ์"/>
    <s v="19+972"/>
    <s v="31+872"/>
    <n v="11.9"/>
    <n v="8"/>
    <s v="L2"/>
    <d v="2015-08-27T00:00:00"/>
    <s v="A.C."/>
    <n v="7.05"/>
    <n v="3.1749999999999998"/>
    <n v="1.65"/>
    <n v="0.9"/>
    <n v="2.8390200000000001"/>
    <n v="3"/>
    <n v="12.525"/>
    <n v="0.25"/>
    <n v="0"/>
    <n v="0"/>
    <n v="4.56677"/>
    <n v="4.5"/>
    <n v="0"/>
    <n v="0"/>
    <n v="12.775"/>
    <n v="1.3842699999999999"/>
    <n v="5"/>
    <n v="118.34"/>
    <n v="0.15406962785114045"/>
    <x v="118"/>
    <n v="0"/>
    <n v="0"/>
    <n v="315.82"/>
    <n v="0.7582713085234094"/>
    <n v="0"/>
    <n v="0"/>
  </r>
  <r>
    <n v="1665"/>
    <s v="แขวงทางหลวงนนทบุรี"/>
    <n v="418"/>
    <n v="3900"/>
    <n v="201"/>
    <s v="คลองมหาสวัสดิ์ - คลองบางหลวง"/>
    <s v="58+802"/>
    <s v="52+172"/>
    <n v="0.59"/>
    <n v="2"/>
    <s v="R1"/>
    <d v="2015-08-29T00:00:00"/>
    <s v="A.C."/>
    <n v="0.25"/>
    <n v="0.15"/>
    <n v="0.125"/>
    <n v="0.2"/>
    <n v="3.8184399999999998"/>
    <n v="4"/>
    <n v="0.57499999999999996"/>
    <n v="0.1"/>
    <n v="2.5000000000000001E-2"/>
    <n v="2.5000000000000001E-2"/>
    <n v="6.0600199999999997"/>
    <n v="6"/>
    <n v="0"/>
    <n v="0"/>
    <n v="0.72500000000000009"/>
    <n v="1.1759200000000001"/>
    <n v="3.18"/>
    <n v="0"/>
    <n v="0.1539951573849879"/>
    <x v="118"/>
    <n v="0"/>
    <n v="0"/>
    <n v="0"/>
    <n v="0"/>
    <n v="0"/>
    <n v="0"/>
  </r>
  <r>
    <n v="1110"/>
    <s v="แขวงทางหลวงลพบุรีที่ 1"/>
    <n v="431"/>
    <n v="3017"/>
    <n v="101"/>
    <s v="แยกนิคมสร้างตนเอง - แยกพัฒนานิคม"/>
    <s v="0+000"/>
    <s v="12+990"/>
    <n v="12.99"/>
    <n v="4"/>
    <s v="L1"/>
    <d v="2015-10-05T00:00:00"/>
    <s v="A.C."/>
    <n v="7.1"/>
    <n v="3.625"/>
    <n v="2.125"/>
    <n v="0.72499999999999998"/>
    <n v="2.7985799999999998"/>
    <n v="3"/>
    <n v="11.1"/>
    <n v="2.0249999999999999"/>
    <n v="0.4"/>
    <n v="0.05"/>
    <n v="5.4993299999999996"/>
    <n v="5.5"/>
    <n v="0"/>
    <n v="0"/>
    <n v="13.574999999999999"/>
    <n v="1.20692"/>
    <n v="69.67"/>
    <n v="0.57999999999999996"/>
    <n v="0.15387660838007258"/>
    <x v="118"/>
    <n v="26.352"/>
    <n v="5.7961068954140549E-2"/>
    <n v="0"/>
    <n v="0"/>
    <n v="0"/>
    <n v="0"/>
  </r>
  <r>
    <n v="115"/>
    <s v="แขวงทางหลวงเชียงใหม่ที่ 3"/>
    <n v="527"/>
    <n v="1178"/>
    <n v="101"/>
    <s v="แม่ข้อน - นาหวาย"/>
    <n v="0"/>
    <n v="25000"/>
    <n v="25"/>
    <n v="2"/>
    <s v="L1"/>
    <d v="2015-08-24T00:00:00"/>
    <s v="A.C."/>
    <n v="12.58"/>
    <n v="8.75"/>
    <n v="3.68"/>
    <n v="0"/>
    <n v="3.4630000000000001"/>
    <n v="3.5"/>
    <n v="22.5"/>
    <n v="2.5"/>
    <n v="0"/>
    <n v="0"/>
    <n v="6.8520000000000003"/>
    <n v="7"/>
    <n v="0"/>
    <n v="0"/>
    <n v="25"/>
    <n v="1.236"/>
    <n v="128.32"/>
    <n v="12.56"/>
    <n v="0.15382857142857143"/>
    <x v="118"/>
    <n v="40.200000000000003"/>
    <n v="4.5942857142857146E-2"/>
    <n v="5"/>
    <n v="5.7142857142857143E-3"/>
    <n v="0"/>
    <n v="0"/>
  </r>
  <r>
    <n v="2209"/>
    <s v="แขวงทางหลวงสตูล"/>
    <n v="318"/>
    <n v="404"/>
    <n v="200"/>
    <s v="บ้านนา - หยงสตาร์"/>
    <n v="49640"/>
    <n v="30000"/>
    <n v="19.64"/>
    <n v="4"/>
    <s v="R1"/>
    <d v="2015-05-26T00:00:00"/>
    <s v="A.C."/>
    <n v="13.125"/>
    <n v="4.9749999999999996"/>
    <n v="1.075"/>
    <n v="0.27500000000000002"/>
    <n v="2.34314"/>
    <n v="2.5"/>
    <n v="19.45"/>
    <n v="0"/>
    <n v="0"/>
    <n v="0"/>
    <n v="1.47112"/>
    <n v="1.5"/>
    <n v="0"/>
    <n v="0"/>
    <n v="19.45"/>
    <n v="1.29471"/>
    <n v="103.13"/>
    <n v="5"/>
    <n v="0.1536659877800407"/>
    <x v="118"/>
    <n v="0"/>
    <n v="0"/>
    <n v="0"/>
    <n v="0"/>
    <n v="0"/>
    <n v="0"/>
  </r>
  <r>
    <n v="1874"/>
    <s v="แขวงทางหลวงราชบุรี"/>
    <n v="335"/>
    <n v="3238"/>
    <n v="100"/>
    <s v="เจ็ดเสมียน - โคกหม้อ"/>
    <n v="0"/>
    <n v="12259"/>
    <n v="12.259"/>
    <n v="2"/>
    <s v="L1"/>
    <d v="2015-03-30T00:00:00"/>
    <s v="A.C."/>
    <n v="7.2"/>
    <n v="3"/>
    <n v="1.32"/>
    <n v="0.74"/>
    <n v="2.7571099999999999"/>
    <n v="3"/>
    <n v="12.12"/>
    <n v="0.14000000000000001"/>
    <n v="0"/>
    <n v="0"/>
    <n v="2.6459600000000001"/>
    <n v="2.5"/>
    <n v="0"/>
    <n v="0"/>
    <n v="12.26"/>
    <n v="1.30288"/>
    <n v="58.203000000000003"/>
    <n v="14.997999999999999"/>
    <n v="0.15312831389183457"/>
    <x v="118"/>
    <n v="2.68"/>
    <n v="6.2461398622586329E-3"/>
    <n v="0"/>
    <n v="0"/>
    <n v="0"/>
    <n v="0"/>
  </r>
  <r>
    <n v="263"/>
    <s v="แขวงทางหลวงน่านที่ 2"/>
    <n v="539"/>
    <n v="1256"/>
    <n v="101"/>
    <s v="ปัว - อุทยานแห่งชาติดอยภูคา"/>
    <s v="0+000"/>
    <s v="25+000"/>
    <n v="25"/>
    <n v="2"/>
    <s v="F1"/>
    <d v="2015-07-28T00:00:00"/>
    <s v="A.C."/>
    <n v="13.23"/>
    <n v="5.91"/>
    <n v="4.0599999999999996"/>
    <n v="1.81"/>
    <n v="2.5739999999999998"/>
    <n v="2.5"/>
    <n v="21.15"/>
    <n v="2.91"/>
    <n v="0.76"/>
    <n v="0.18"/>
    <n v="6.0819999999999999"/>
    <n v="6"/>
    <n v="0"/>
    <n v="0"/>
    <n v="25.01"/>
    <n v="1.2729999999999999"/>
    <n v="122.04"/>
    <n v="23.75"/>
    <n v="0.15304571428571431"/>
    <x v="118"/>
    <n v="0"/>
    <n v="0"/>
    <n v="0"/>
    <n v="0"/>
    <n v="0"/>
    <n v="0"/>
  </r>
  <r>
    <n v="1027"/>
    <s v="แขวงทางหลวงบุรีรัมย์"/>
    <n v="617"/>
    <n v="2081"/>
    <n v="200"/>
    <s v="ลำพังชู - พุทไธสง"/>
    <n v="66231"/>
    <n v="78924"/>
    <n v="12.693"/>
    <n v="2"/>
    <s v="L1"/>
    <d v="2015-05-05T00:00:00"/>
    <s v="A.C."/>
    <n v="6.0250000000000004"/>
    <n v="3.5750000000000002"/>
    <n v="2.5499999999999998"/>
    <n v="0.47499999999999998"/>
    <n v="2.6150799999999998"/>
    <n v="2.5"/>
    <n v="11.824999999999999"/>
    <n v="0.67500000000000004"/>
    <n v="0.125"/>
    <n v="0"/>
    <n v="4.10975"/>
    <n v="4"/>
    <n v="0"/>
    <n v="0"/>
    <n v="12.625000000000002"/>
    <n v="1.28647"/>
    <n v="62.97"/>
    <n v="9.98"/>
    <n v="0.15297520568142167"/>
    <x v="118"/>
    <n v="110.3"/>
    <n v="0.24828082970366119"/>
    <n v="20.82"/>
    <n v="4.6864976196103587E-2"/>
    <n v="0"/>
    <n v="0"/>
  </r>
  <r>
    <n v="371"/>
    <s v="แขวงทางหลวงตากที่ 2 (แม่สอด)"/>
    <n v="514"/>
    <n v="1206"/>
    <n v="100"/>
    <s v="ซอโอ - วะเล่ย์"/>
    <s v="0+000"/>
    <s v="12+779"/>
    <n v="12.779"/>
    <n v="2"/>
    <s v="L1"/>
    <d v="2015-09-08T00:00:00"/>
    <s v="A.C."/>
    <n v="9.75"/>
    <n v="2.125"/>
    <n v="0.9"/>
    <n v="0"/>
    <n v="3.1579999999999999"/>
    <n v="3"/>
    <n v="12.775"/>
    <n v="0"/>
    <n v="0"/>
    <n v="0"/>
    <n v="2.698"/>
    <n v="2.5"/>
    <n v="0"/>
    <n v="0"/>
    <n v="12.775"/>
    <n v="1.325"/>
    <n v="38.215000000000003"/>
    <n v="59.2"/>
    <n v="0.15162152191653716"/>
    <x v="118"/>
    <n v="120.5"/>
    <n v="0.26941522363699372"/>
    <n v="0"/>
    <n v="0"/>
    <n v="0"/>
    <n v="0"/>
  </r>
  <r>
    <n v="659"/>
    <s v="แขวงทางหลวงอุดรธานีที่ 1"/>
    <n v="623"/>
    <n v="216"/>
    <n v="101"/>
    <s v="ถนนวงแหวนรอบเมืองอุดรธานีด้านทิศใต้"/>
    <n v="8355"/>
    <n v="0"/>
    <n v="8.3550000000000004"/>
    <n v="4"/>
    <s v="R2"/>
    <d v="2015-06-11T00:00:00"/>
    <s v="A.C."/>
    <n v="3.33"/>
    <n v="3.33"/>
    <n v="1.33"/>
    <n v="0.38"/>
    <n v="2.89886"/>
    <n v="3"/>
    <n v="7.8"/>
    <n v="0.43"/>
    <n v="0.1"/>
    <n v="0.03"/>
    <n v="4.9361600000000001"/>
    <n v="5"/>
    <n v="0"/>
    <n v="0"/>
    <n v="8.36"/>
    <n v="1.2557799999999999"/>
    <n v="42.77"/>
    <n v="2.68"/>
    <n v="0.15084"/>
    <x v="118"/>
    <n v="0"/>
    <n v="0"/>
    <n v="0"/>
    <n v="0"/>
    <n v="0"/>
    <n v="0"/>
  </r>
  <r>
    <n v="1217"/>
    <s v="แขวงทางหลวงลพบุรีที่ 2 (ลำนารายณ์)"/>
    <n v="435"/>
    <n v="2338"/>
    <n v="100"/>
    <s v="สวนมะเดื่อ - แยกท่ามะนาว"/>
    <s v="33+619"/>
    <s v="0+000"/>
    <n v="33.619"/>
    <n v="2"/>
    <s v="R1"/>
    <d v="2015-10-05T00:00:00"/>
    <s v="A.C."/>
    <n v="19.725000000000001"/>
    <n v="7.7249999999999996"/>
    <n v="3.9"/>
    <n v="2.25"/>
    <n v="2.7199599999999999"/>
    <n v="2.5"/>
    <n v="30.35"/>
    <n v="1.75"/>
    <n v="0.8"/>
    <n v="0.7"/>
    <n v="4.69421"/>
    <n v="4.5"/>
    <n v="0"/>
    <n v="0"/>
    <n v="33.619"/>
    <n v="1.3589100000000001"/>
    <n v="145.6"/>
    <n v="62.1"/>
    <n v="0.15012769139899634"/>
    <x v="118"/>
    <n v="169.32"/>
    <n v="0.143898"/>
    <n v="0"/>
    <n v="0"/>
    <n v="0"/>
    <n v="0"/>
  </r>
  <r>
    <n v="69"/>
    <s v="แขวงทางหลวงลำพูน"/>
    <n v="524"/>
    <n v="116"/>
    <n v="101"/>
    <s v="ป่าสัก - สะปุ๋ง"/>
    <s v="16+348"/>
    <s v="0+000"/>
    <n v="16.347999999999999"/>
    <n v="2"/>
    <s v="R1"/>
    <d v="2015-08-11T00:00:00"/>
    <s v="A.C."/>
    <n v="7.4749999999999996"/>
    <n v="6.1"/>
    <n v="2.0499999999999998"/>
    <n v="0.77500000000000002"/>
    <n v="2.8670300000000002"/>
    <n v="3"/>
    <n v="15.75"/>
    <n v="0.4"/>
    <n v="0.125"/>
    <n v="0.125"/>
    <n v="3.3982899999999998"/>
    <n v="3.5"/>
    <n v="0"/>
    <n v="0"/>
    <n v="16.399999999999999"/>
    <n v="1.0147699999999999"/>
    <n v="85.62"/>
    <n v="0"/>
    <n v="0.14963822573316091"/>
    <x v="119"/>
    <n v="221.35"/>
    <n v="0.38685378726974029"/>
    <n v="2.38"/>
    <n v="4.1595302177636403E-3"/>
    <n v="0"/>
    <n v="0"/>
  </r>
  <r>
    <n v="779"/>
    <s v="แขวงทางหลวงยโสธร"/>
    <n v="633"/>
    <n v="23"/>
    <n v="402"/>
    <s v="ยโสธร - บ้านย่อ"/>
    <n v="179845"/>
    <n v="190562"/>
    <n v="10.717000000000001"/>
    <n v="4"/>
    <s v="L1"/>
    <d v="2015-05-23T00:00:00"/>
    <s v="A.C."/>
    <n v="8.8000000000000007"/>
    <n v="1.2"/>
    <n v="0.55000000000000004"/>
    <n v="0.125"/>
    <n v="2.1349999999999998"/>
    <n v="2"/>
    <n v="10.175000000000001"/>
    <n v="0.47499999999999998"/>
    <n v="2.5000000000000001E-2"/>
    <n v="0"/>
    <n v="4.9820000000000002"/>
    <n v="5"/>
    <n v="0"/>
    <n v="0"/>
    <n v="10.675000000000001"/>
    <n v="1.2370000000000001"/>
    <n v="56"/>
    <n v="0"/>
    <n v="0.1492955118036764"/>
    <x v="119"/>
    <n v="7"/>
    <n v="1.8661938975459549E-2"/>
    <n v="0"/>
    <n v="0"/>
    <n v="0"/>
    <n v="0"/>
  </r>
  <r>
    <n v="1208"/>
    <s v="แขวงทางหลวงลพบุรีที่ 2 (ลำนารายณ์)"/>
    <n v="435"/>
    <n v="2256"/>
    <n v="102"/>
    <s v="หนองน้ำใส - ปางโก"/>
    <s v="16+905"/>
    <s v="39+088"/>
    <n v="22.183"/>
    <n v="2"/>
    <s v="L1"/>
    <d v="2015-10-05T00:00:00"/>
    <s v="A.C."/>
    <n v="18.2"/>
    <n v="2.4750000000000001"/>
    <n v="1.075"/>
    <n v="0.45"/>
    <n v="2.0760000000000001"/>
    <n v="2"/>
    <n v="21.45"/>
    <n v="0.65"/>
    <n v="7.4999999999999997E-2"/>
    <n v="2.5000000000000001E-2"/>
    <n v="3.5533299999999999"/>
    <n v="3.5"/>
    <n v="0"/>
    <n v="0"/>
    <n v="22.183"/>
    <n v="1.9919100000000001"/>
    <n v="111.102"/>
    <n v="9.3249999999999993"/>
    <n v="0.14910323864477945"/>
    <x v="119"/>
    <n v="169.32"/>
    <n v="0.218082"/>
    <n v="3.7"/>
    <n v="4.7660000000000003E-3"/>
    <n v="0"/>
    <n v="0"/>
  </r>
  <r>
    <n v="1230"/>
    <s v="แขวงทางหลวงนครสวรรค์ที่ 1"/>
    <n v="437"/>
    <n v="1182"/>
    <n v="102"/>
    <s v="เขาดินเหนือ -  บรรพตพิสัย"/>
    <s v="20+000"/>
    <s v="34+119"/>
    <n v="14.119"/>
    <n v="2"/>
    <s v="L1"/>
    <d v="2015-10-05T00:00:00"/>
    <s v="A.C."/>
    <n v="6.85"/>
    <n v="4.2"/>
    <n v="1.425"/>
    <n v="0.42499999999999999"/>
    <n v="2.6403300000000001"/>
    <n v="2.5"/>
    <n v="12.7"/>
    <n v="0.15"/>
    <n v="0.05"/>
    <n v="0"/>
    <n v="3.46665"/>
    <n v="3.5"/>
    <n v="0"/>
    <n v="0"/>
    <n v="14.119"/>
    <n v="1.2525599999999999"/>
    <n v="64.319999999999993"/>
    <n v="17.68"/>
    <n v="0.14804771685570609"/>
    <x v="119"/>
    <n v="69.2"/>
    <n v="0.14003419910353829"/>
    <n v="0"/>
    <n v="0"/>
    <n v="0"/>
    <n v="0"/>
  </r>
  <r>
    <n v="599"/>
    <s v="แขวงทางหลวงเลยที่ 1"/>
    <n v="554"/>
    <n v="201"/>
    <n v="405"/>
    <s v="ปากภู - เชียงคาน"/>
    <n v="341241"/>
    <n v="382228"/>
    <n v="40.987000000000002"/>
    <n v="4"/>
    <s v="R2"/>
    <d v="2015-07-01T00:00:00"/>
    <s v="A.C."/>
    <n v="24.83"/>
    <n v="8.83"/>
    <n v="3.96"/>
    <n v="3.38"/>
    <n v="2.9660000000000002"/>
    <n v="3"/>
    <n v="35.68"/>
    <n v="3.6"/>
    <n v="1.03"/>
    <n v="0.68"/>
    <n v="6.47"/>
    <n v="6.5"/>
    <n v="0"/>
    <n v="0"/>
    <n v="40.99"/>
    <n v="1.1399999999999999"/>
    <n v="212"/>
    <n v="0"/>
    <n v="0.14778204936059866"/>
    <x v="119"/>
    <n v="68"/>
    <n v="4.7401789417550515E-2"/>
    <n v="0"/>
    <n v="0"/>
    <n v="0"/>
    <n v="0"/>
  </r>
  <r>
    <n v="836"/>
    <s v="แขวงทางหลวงสุรินทร์"/>
    <n v="615"/>
    <n v="24"/>
    <n v="401"/>
    <s v="จรอกใหญ่ - ปราสาท"/>
    <n v="191746"/>
    <n v="171872"/>
    <n v="19.873999999999999"/>
    <n v="4"/>
    <s v="R1"/>
    <d v="2015-05-10T00:00:00"/>
    <s v="A.C."/>
    <n v="12.2"/>
    <n v="5.1749999999999998"/>
    <n v="1.7749999999999999"/>
    <n v="0.7"/>
    <n v="2.48237"/>
    <n v="2.5"/>
    <n v="17.274999999999999"/>
    <n v="2.15"/>
    <n v="0.375"/>
    <n v="0.05"/>
    <n v="6.1207799999999999"/>
    <n v="6"/>
    <n v="0"/>
    <n v="0"/>
    <n v="19.849999999999998"/>
    <n v="1.0166200000000001"/>
    <n v="102.63"/>
    <n v="0"/>
    <n v="0.14754"/>
    <x v="119"/>
    <n v="622.87"/>
    <n v="0.89546000000000003"/>
    <n v="0"/>
    <n v="0"/>
    <n v="0.4"/>
    <n v="5.8E-4"/>
  </r>
  <r>
    <n v="909"/>
    <s v="แขวงทางหลวงศรีสะเกษที่ 2"/>
    <n v="636"/>
    <n v="2085"/>
    <n v="100"/>
    <s v="กันทรลักษ์ - กันทรารมย์"/>
    <n v="1000"/>
    <n v="56910"/>
    <n v="55.91"/>
    <n v="2"/>
    <s v="L1"/>
    <d v="2015-05-13T00:00:00"/>
    <s v="A.C."/>
    <n v="40.348610226634193"/>
    <n v="10.608134482112755"/>
    <n v="3.3300955235062744"/>
    <n v="1.6231597677467688"/>
    <n v="2.7829999999999999"/>
    <n v="3"/>
    <n v="53.3436393442623"/>
    <n v="1.8854894613583142"/>
    <n v="0.31424824355971898"/>
    <n v="0.36662295081967217"/>
    <n v="5.8680000000000003"/>
    <n v="6"/>
    <n v="0"/>
    <n v="0"/>
    <n v="55.91"/>
    <n v="1.462"/>
    <n v="205.86"/>
    <n v="140.46"/>
    <n v="0.14721999999999999"/>
    <x v="119"/>
    <n v="2.2599999999999998"/>
    <n v="1.2099999999999999E-3"/>
    <n v="660.03"/>
    <n v="0.35195300000000002"/>
    <n v="0"/>
    <n v="0"/>
  </r>
  <r>
    <n v="2154"/>
    <s v="แขวงทางหลวงระนอง"/>
    <n v="331"/>
    <n v="4091"/>
    <n v="101"/>
    <s v="บางสีกิ้ม - เขาค่าย"/>
    <s v="56+173"/>
    <n v="0"/>
    <n v="56.173000000000002"/>
    <n v="2"/>
    <s v="R1"/>
    <d v="2015-10-26T00:00:00"/>
    <s v="A.C."/>
    <n v="40.274999999999999"/>
    <n v="12.525"/>
    <n v="3.375"/>
    <n v="0"/>
    <n v="3.153"/>
    <n v="3"/>
    <n v="39.274999999999999"/>
    <n v="15.9"/>
    <n v="1"/>
    <n v="0"/>
    <n v="2.3140000000000001"/>
    <n v="2.5"/>
    <n v="0"/>
    <n v="0"/>
    <n v="56.174999999999997"/>
    <n v="1.218"/>
    <n v="254.12"/>
    <n v="69.81"/>
    <n v="0.14700758625775984"/>
    <x v="119"/>
    <n v="168.23"/>
    <n v="8.5567290843847191E-2"/>
    <n v="0"/>
    <n v="0"/>
    <n v="5"/>
    <n v="2.543163848417262E-3"/>
  </r>
  <r>
    <n v="1158"/>
    <s v="แขวงทางหลวงสระบุรี"/>
    <n v="432"/>
    <n v="3224"/>
    <n v="101"/>
    <s v="บ้านป่า - ท่าคล้อ"/>
    <s v="0+000"/>
    <s v="10+000"/>
    <n v="10"/>
    <n v="2"/>
    <s v="L1"/>
    <d v="2015-10-05T00:00:00"/>
    <s v="A.C."/>
    <n v="4.8"/>
    <n v="3.0249999999999999"/>
    <n v="1.4750000000000001"/>
    <n v="0.72499999999999998"/>
    <n v="2.9321700000000002"/>
    <n v="3"/>
    <n v="9.15"/>
    <n v="0.55000000000000004"/>
    <n v="0.125"/>
    <n v="0.2"/>
    <n v="4.69733"/>
    <n v="4.5"/>
    <n v="0"/>
    <n v="0"/>
    <n v="10.024999999999999"/>
    <n v="1.19868"/>
    <n v="48.63"/>
    <n v="5.625"/>
    <n v="0.146979"/>
    <x v="119"/>
    <n v="37.979999999999997"/>
    <n v="0.108514"/>
    <n v="0"/>
    <n v="0"/>
    <n v="0"/>
    <n v="0"/>
  </r>
  <r>
    <n v="1206"/>
    <s v="แขวงทางหลวงลพบุรีที่ 2 (ลำนารายณ์)"/>
    <n v="435"/>
    <n v="2256"/>
    <n v="101"/>
    <s v="ถนนโค้ง - หนองน้ำใส"/>
    <s v="0+000"/>
    <s v="16+905"/>
    <n v="16.905000000000001"/>
    <n v="2"/>
    <s v="L1"/>
    <d v="2015-10-05T00:00:00"/>
    <s v="A.C."/>
    <n v="8.65"/>
    <n v="5.8"/>
    <n v="2.1749999999999998"/>
    <n v="0.55000000000000004"/>
    <n v="2.6834600000000002"/>
    <n v="2.5"/>
    <n v="16.024999999999999"/>
    <n v="0.9"/>
    <n v="0.15"/>
    <n v="0.1"/>
    <n v="5.0122299999999997"/>
    <n v="5"/>
    <n v="0"/>
    <n v="0"/>
    <n v="16.905000000000001"/>
    <n v="1.3496900000000001"/>
    <n v="84.68"/>
    <n v="4.1500000000000004"/>
    <n v="0.14662610385769215"/>
    <x v="119"/>
    <n v="96.314999999999998"/>
    <n v="0.16278400000000001"/>
    <n v="0"/>
    <n v="0"/>
    <n v="0"/>
    <n v="0"/>
  </r>
  <r>
    <n v="463"/>
    <s v="แขวงทางหลวงพิษณุโลกที่ 2 (วังทอง)"/>
    <n v="515"/>
    <n v="1115"/>
    <n v="200"/>
    <s v="น้อยซุ้มขี้เหล็ก - บ้านมุง"/>
    <s v="27+000"/>
    <s v="11+761"/>
    <n v="15.239000000000001"/>
    <s v="R1"/>
    <n v="2"/>
    <d v="2015-09-22T00:00:00"/>
    <s v="A.C."/>
    <n v="9.625"/>
    <n v="3.1749999999999998"/>
    <n v="1.5"/>
    <n v="1"/>
    <n v="2.6190000000000002"/>
    <n v="2.5"/>
    <n v="14.775"/>
    <n v="0.42499999999999999"/>
    <n v="7.4999999999999997E-2"/>
    <n v="2.5000000000000001E-2"/>
    <n v="4.423"/>
    <n v="4.5"/>
    <n v="0"/>
    <n v="0"/>
    <n v="15.3"/>
    <n v="1.1299999999999999"/>
    <n v="63.21"/>
    <n v="29.87"/>
    <n v="0.14651317578018805"/>
    <x v="119"/>
    <n v="62.21"/>
    <n v="0.11663682468853412"/>
    <n v="5.8"/>
    <n v="1.0874354335211346E-2"/>
    <n v="1"/>
    <n v="1.8748886784847149E-3"/>
  </r>
  <r>
    <n v="246"/>
    <s v="แขวงทางหลวงเชียงรายที่ 2"/>
    <n v="537"/>
    <n v="1290"/>
    <n v="102"/>
    <s v="กิ่วกาญจน์- เชียงของ"/>
    <n v="74167"/>
    <n v="93027"/>
    <n v="18.86"/>
    <n v="2"/>
    <s v="R1"/>
    <d v="2015-07-14T00:00:00"/>
    <s v="A.C."/>
    <n v="6.22"/>
    <n v="5.26"/>
    <n v="3.1"/>
    <n v="4.29"/>
    <n v="3.8673899999999999"/>
    <n v="4"/>
    <n v="16.850000000000001"/>
    <n v="1.47"/>
    <n v="0.34"/>
    <n v="0.2"/>
    <n v="5.1821700000000002"/>
    <n v="5"/>
    <n v="0"/>
    <n v="0.08"/>
    <n v="18.78"/>
    <n v="1.4314100000000001"/>
    <n v="87"/>
    <n v="19.32"/>
    <n v="0.14643235873352525"/>
    <x v="119"/>
    <n v="1245"/>
    <n v="1.8860778669898504"/>
    <n v="100"/>
    <n v="0.15149219815179521"/>
    <n v="1137"/>
    <n v="1.7224662929859116"/>
  </r>
  <r>
    <n v="178"/>
    <s v="แขวงทางหลวงเชียงรายที่ 1"/>
    <n v="533"/>
    <n v="1208"/>
    <n v="100"/>
    <s v="ร่องขุ่น - สวนดอก"/>
    <s v="0+078"/>
    <s v="4+767"/>
    <n v="4.6890000000000001"/>
    <n v="2"/>
    <s v="L1"/>
    <d v="2015-07-18T00:00:00"/>
    <s v="A.C."/>
    <n v="4.21"/>
    <n v="0.23"/>
    <n v="0.15"/>
    <n v="0.1"/>
    <n v="1.83978"/>
    <n v="2"/>
    <n v="4.54"/>
    <n v="0.1"/>
    <n v="0.05"/>
    <n v="0"/>
    <n v="4.5885199999999999"/>
    <n v="4.5"/>
    <n v="0"/>
    <n v="0"/>
    <n v="4.6900000000000004"/>
    <n v="1.12937"/>
    <n v="24"/>
    <n v="0"/>
    <n v="0.14623891783200804"/>
    <x v="119"/>
    <n v="0"/>
    <n v="0"/>
    <n v="0"/>
    <n v="0"/>
    <n v="0"/>
    <n v="0"/>
  </r>
  <r>
    <n v="1246"/>
    <s v="แขวงทางหลวงนครสวรรค์ที่ 1"/>
    <n v="437"/>
    <n v="3522"/>
    <n v="100"/>
    <s v="เนินฝอยทอง - ทุ่งผักเบี้ย"/>
    <s v="4+300"/>
    <s v="0+000"/>
    <n v="4.3"/>
    <n v="2"/>
    <s v="R1"/>
    <d v="2015-10-05T00:00:00"/>
    <s v="A.C."/>
    <n v="1.75"/>
    <n v="1.2"/>
    <n v="0.625"/>
    <n v="0.67500000000000004"/>
    <n v="3.5246499999999998"/>
    <n v="3.5"/>
    <n v="4.0750000000000002"/>
    <n v="0.125"/>
    <n v="0.05"/>
    <n v="0"/>
    <n v="3.12731"/>
    <n v="3"/>
    <n v="0"/>
    <n v="0"/>
    <n v="4.3"/>
    <n v="1.17384"/>
    <n v="18.690000000000001"/>
    <n v="6.55"/>
    <n v="0.14594684385382062"/>
    <x v="119"/>
    <n v="5.21"/>
    <n v="3.4617940199335555E-2"/>
    <n v="0"/>
    <n v="0"/>
    <n v="0"/>
    <n v="0"/>
  </r>
  <r>
    <n v="507"/>
    <s v="แขวงทางหลวงพิจิตร"/>
    <n v="519"/>
    <n v="1374"/>
    <n v="102"/>
    <s v="คลองคูณ - สี่แยกบางมูลนาก"/>
    <s v="7+200"/>
    <s v="22+655"/>
    <n v="15.455"/>
    <s v="L1"/>
    <n v="2"/>
    <d v="2015-09-30T00:00:00"/>
    <s v="A.C."/>
    <n v="12.37"/>
    <n v="1.55"/>
    <n v="0"/>
    <n v="1.55"/>
    <n v="2.6132599999999999"/>
    <n v="2.5"/>
    <n v="14.88"/>
    <n v="0.56999999999999995"/>
    <n v="0"/>
    <n v="0"/>
    <n v="2.21421"/>
    <n v="2"/>
    <n v="0"/>
    <n v="0"/>
    <n v="0.8"/>
    <n v="1.2168399999999999"/>
    <n v="76.126000000000005"/>
    <n v="4.95"/>
    <n v="0.14530799999999999"/>
    <x v="119"/>
    <n v="85.67"/>
    <n v="0.15837699999999999"/>
    <n v="0"/>
    <n v="0"/>
    <n v="0"/>
    <n v="0"/>
  </r>
  <r>
    <n v="559"/>
    <s v="แขวงทางหลวงเพชรบูรณ์ที่ 1"/>
    <n v="551"/>
    <n v="2271"/>
    <n v="100"/>
    <s v="ปากน้ำ - เฉลียงลับ"/>
    <n v="0"/>
    <n v="10915"/>
    <n v="10.914999999999999"/>
    <n v="2"/>
    <s v="L1"/>
    <d v="2015-07-08T00:00:00"/>
    <s v="A.C."/>
    <n v="9.74"/>
    <n v="0.9"/>
    <n v="0.18"/>
    <n v="0.1"/>
    <n v="2.43207"/>
    <n v="2.5"/>
    <n v="10.89"/>
    <n v="0.03"/>
    <n v="0"/>
    <n v="0"/>
    <n v="4.3859000000000004"/>
    <n v="4.5"/>
    <n v="0"/>
    <n v="0"/>
    <n v="10.92"/>
    <n v="1.15404"/>
    <n v="55"/>
    <n v="0.9"/>
    <n v="0.14514756887638244"/>
    <x v="119"/>
    <n v="0"/>
    <n v="0"/>
    <n v="0"/>
    <n v="0"/>
    <n v="0"/>
    <n v="0"/>
  </r>
  <r>
    <n v="2007"/>
    <s v="แขวงทางหลวงสุราษฎร์ธานี ที่ 1 (พุนพิน)"/>
    <n v="325"/>
    <n v="4011"/>
    <n v="100"/>
    <s v="เชิงสมอ - พุมเรียง"/>
    <s v="4+200"/>
    <s v="11+054"/>
    <n v="6.8540000000000001"/>
    <n v="2"/>
    <s v="L1"/>
    <d v="2015-04-22T00:00:00"/>
    <s v="A.C."/>
    <n v="5.49"/>
    <n v="0.57999999999999996"/>
    <n v="0.4"/>
    <n v="0.38"/>
    <n v="2.1593399999999998"/>
    <n v="2"/>
    <n v="6.83"/>
    <n v="0.03"/>
    <n v="0"/>
    <n v="0"/>
    <n v="2.6618200000000001"/>
    <n v="2.5"/>
    <n v="0"/>
    <n v="0"/>
    <n v="6.85"/>
    <n v="1.1976199999999999"/>
    <n v="33.090000000000003"/>
    <n v="3.17"/>
    <n v="0.14454541664929763"/>
    <x v="119"/>
    <n v="0"/>
    <n v="0"/>
    <n v="1.98"/>
    <n v="8.2537829838676066E-3"/>
    <n v="0"/>
    <n v="0"/>
  </r>
  <r>
    <n v="833"/>
    <s v="แขวงทางหลวงกาฬสินธุ์"/>
    <n v="647"/>
    <n v="2419"/>
    <n v="100"/>
    <s v="ขวัญเมือง - คำลือชา"/>
    <s v="5+150"/>
    <s v="7+127"/>
    <n v="1.9770000000000001"/>
    <n v="2"/>
    <s v="L1"/>
    <d v="2015-05-29T00:00:00"/>
    <s v="A.C."/>
    <n v="0.15"/>
    <n v="0.35"/>
    <n v="0.72499999999999998"/>
    <n v="0.77500000000000002"/>
    <n v="4.8843800000000002"/>
    <n v="5"/>
    <n v="1.85"/>
    <n v="0.125"/>
    <n v="0"/>
    <n v="2.5000000000000001E-2"/>
    <n v="5.3512700000000004"/>
    <n v="5.5"/>
    <n v="0"/>
    <n v="0"/>
    <n v="2"/>
    <n v="2.19869"/>
    <n v="5"/>
    <n v="10"/>
    <n v="0.1445191126526483"/>
    <x v="119"/>
    <n v="623"/>
    <n v="9.0035407182599911"/>
    <n v="1"/>
    <n v="1.4452E-2"/>
    <n v="2"/>
    <n v="2.8899999999999999E-2"/>
  </r>
  <r>
    <n v="557"/>
    <s v="แขวงทางหลวงเพชรบูรณ์ที่ 1"/>
    <n v="551"/>
    <n v="2216"/>
    <n v="203"/>
    <s v="อีเลิศ - กกกะทอน"/>
    <n v="95000"/>
    <n v="102015"/>
    <n v="7.0149999999999997"/>
    <n v="2"/>
    <s v="L1"/>
    <d v="2015-07-03T00:00:00"/>
    <s v="A.C."/>
    <n v="4.79"/>
    <n v="1.6"/>
    <n v="0.6"/>
    <n v="0.03"/>
    <n v="2.1901799999999998"/>
    <n v="2"/>
    <n v="6.59"/>
    <n v="0.4"/>
    <n v="0.03"/>
    <n v="0"/>
    <n v="5.4565099999999997"/>
    <n v="5.5"/>
    <n v="0"/>
    <n v="0"/>
    <n v="7.0200000000000005"/>
    <n v="1.0245"/>
    <n v="25"/>
    <n v="20.88"/>
    <n v="0.14434375318195702"/>
    <x v="119"/>
    <n v="0"/>
    <n v="0"/>
    <n v="0"/>
    <n v="0"/>
    <n v="0"/>
    <n v="0"/>
  </r>
  <r>
    <n v="1438"/>
    <s v="แขวงทางหลวงอ่างทอง"/>
    <n v="448"/>
    <n v="33"/>
    <n v="201"/>
    <s v="นาคู - ป่าโมก"/>
    <n v="12346"/>
    <n v="40318"/>
    <n v="27.972000000000001"/>
    <n v="4"/>
    <s v="L2"/>
    <d v="2015-06-27T00:00:00"/>
    <s v="A.C."/>
    <n v="21.65"/>
    <n v="3.95"/>
    <n v="1.55"/>
    <n v="0.82499999999999996"/>
    <n v="2.2679999999999998"/>
    <n v="2.5"/>
    <n v="25.6"/>
    <n v="2.375"/>
    <n v="0"/>
    <n v="0"/>
    <n v="3.1280000000000001"/>
    <n v="3"/>
    <n v="0"/>
    <n v="0"/>
    <n v="27.974999999999998"/>
    <n v="1.125"/>
    <n v="128.51"/>
    <n v="25.21"/>
    <n v="0.14413903699617983"/>
    <x v="119"/>
    <n v="36.92"/>
    <n v="3.7711180568323427E-2"/>
    <n v="0"/>
    <n v="0"/>
    <n v="0"/>
    <n v="0"/>
  </r>
  <r>
    <n v="2045"/>
    <s v="แขวงทางหลวงนครศรีธรรมราชที่ 2 (ทุ่งสง)"/>
    <n v="326"/>
    <n v="4319"/>
    <n v="100"/>
    <s v="ร่อนพิบูลย์ - ควนเกย"/>
    <n v="10859"/>
    <n v="0"/>
    <n v="10.859"/>
    <n v="2"/>
    <s v="R1"/>
    <d v="2015-04-30T00:00:00"/>
    <s v="A.C."/>
    <n v="6.75"/>
    <n v="2.25"/>
    <n v="1.175"/>
    <n v="0.67500000000000004"/>
    <n v="2.59903"/>
    <n v="2.5"/>
    <n v="9.6"/>
    <n v="0.95"/>
    <n v="0.25"/>
    <n v="0.05"/>
    <n v="5.5255000000000001"/>
    <n v="5.5"/>
    <n v="0"/>
    <n v="0"/>
    <n v="10.850000000000001"/>
    <n v="1.1230599999999999"/>
    <n v="48.9"/>
    <n v="11.67"/>
    <n v="0.14401483956691619"/>
    <x v="119"/>
    <n v="22.64"/>
    <n v="5.956875797560944E-2"/>
    <n v="0"/>
    <n v="0"/>
    <n v="5.0999999999999996"/>
    <n v="1.3418757317827212E-2"/>
  </r>
  <r>
    <n v="417"/>
    <s v="แขวงทางหลวงสุโขทัย"/>
    <n v="513"/>
    <n v="101"/>
    <n v="303"/>
    <s v="ท่าช้าง - สวรรคโลก"/>
    <s v="89+348"/>
    <s v="114+044"/>
    <n v="24.696000000000002"/>
    <s v="L1"/>
    <n v="2"/>
    <d v="2015-09-17T00:00:00"/>
    <s v="A.C."/>
    <n v="17.600000000000001"/>
    <n v="4.16"/>
    <n v="2.17"/>
    <n v="0.77"/>
    <n v="2.2909999999999999"/>
    <n v="2.5"/>
    <n v="24.4"/>
    <n v="0.3"/>
    <n v="0"/>
    <n v="0"/>
    <n v="3.2469999999999999"/>
    <n v="3"/>
    <n v="0"/>
    <n v="0"/>
    <n v="24.7"/>
    <n v="1.0720000000000001"/>
    <n v="124.12"/>
    <n v="0"/>
    <n v="0.14359757508445556"/>
    <x v="119"/>
    <n v="32.5"/>
    <n v="3.7600074043222735E-2"/>
    <n v="30.5"/>
    <n v="3.5286223332870563E-2"/>
    <n v="3.61"/>
    <n v="4.1765005321856633E-3"/>
  </r>
  <r>
    <n v="589"/>
    <s v="แขวงทางหลวงเพชรบูรณ์ที่ 2 (บึงสามพัน)"/>
    <n v="552"/>
    <n v="2398"/>
    <n v="101"/>
    <s v="นาเฉลียง - ซับพุทรา"/>
    <n v="581"/>
    <n v="18000"/>
    <n v="17.419"/>
    <n v="2"/>
    <s v="L1"/>
    <d v="2015-07-10T00:00:00"/>
    <s v="A.C."/>
    <n v="8.0749999999999993"/>
    <n v="6.35"/>
    <n v="2.35"/>
    <n v="0.57499999999999996"/>
    <n v="2.77922"/>
    <n v="3"/>
    <n v="16.55"/>
    <n v="0.8"/>
    <n v="0"/>
    <n v="0"/>
    <n v="4.9441300000000004"/>
    <n v="5"/>
    <n v="0"/>
    <n v="0"/>
    <n v="17.349999999999998"/>
    <n v="1.3748499999999999"/>
    <n v="87"/>
    <n v="0.52"/>
    <n v="0.14312778329082365"/>
    <x v="119"/>
    <n v="0"/>
    <n v="0"/>
    <n v="10"/>
    <n v="1.64024505261086E-2"/>
    <n v="1"/>
    <n v="1.6402450526108599E-3"/>
  </r>
  <r>
    <n v="1518"/>
    <s v="แขวงทางหลวงอยุธยา"/>
    <n v="413"/>
    <n v="3309"/>
    <n v="100"/>
    <s v="บางปะอิน - บางกระสั้น"/>
    <n v="0"/>
    <n v="6000"/>
    <n v="6"/>
    <n v="2"/>
    <s v="L1"/>
    <d v="2015-09-16T00:00:00"/>
    <s v="A.C."/>
    <n v="4.6749999999999998"/>
    <n v="0.875"/>
    <n v="0.45"/>
    <n v="0.1"/>
    <n v="2.3262100000000001"/>
    <n v="2.5"/>
    <n v="6.1"/>
    <n v="0"/>
    <n v="0"/>
    <n v="0"/>
    <n v="4.4469500000000002"/>
    <n v="4.5"/>
    <n v="0"/>
    <n v="0"/>
    <n v="6"/>
    <n v="1.09537"/>
    <n v="30"/>
    <n v="0"/>
    <n v="0.14285714285714285"/>
    <x v="119"/>
    <n v="0"/>
    <n v="0"/>
    <n v="0"/>
    <n v="0"/>
    <n v="0"/>
    <n v="0"/>
  </r>
  <r>
    <n v="1109"/>
    <s v="แขวงทางหลวงลพบุรีที่ 1"/>
    <n v="431"/>
    <n v="3016"/>
    <n v="100"/>
    <s v="ลพบุรี -  ค่ายเอราวัณ"/>
    <s v="6+000"/>
    <s v="0+000"/>
    <n v="6"/>
    <n v="2"/>
    <s v="R1"/>
    <d v="2015-10-05T00:00:00"/>
    <s v="A.C."/>
    <n v="3"/>
    <n v="1.7749999999999999"/>
    <n v="0.9"/>
    <n v="0.35"/>
    <n v="3.1301700000000001"/>
    <n v="3"/>
    <n v="6.0250000000000004"/>
    <n v="0"/>
    <n v="0"/>
    <n v="0"/>
    <n v="2.8440400000000001"/>
    <n v="3"/>
    <n v="0"/>
    <n v="0"/>
    <n v="6.0250000000000004"/>
    <n v="1.0376700000000001"/>
    <n v="29.8"/>
    <n v="0.35"/>
    <n v="0.14273809523809525"/>
    <x v="119"/>
    <n v="2.65"/>
    <n v="1.261904761904762E-2"/>
    <n v="0"/>
    <n v="0"/>
    <n v="1.1499999999999999"/>
    <n v="5.4761904761904756E-3"/>
  </r>
  <r>
    <n v="1184"/>
    <s v="แขวงทางหลวงสิงห์บุรี"/>
    <n v="433"/>
    <n v="3032"/>
    <n v="100"/>
    <s v="บุ้งกี๋ - ท่าศาล"/>
    <s v="0+000"/>
    <s v="32+362"/>
    <n v="32.362000000000002"/>
    <n v="2"/>
    <s v="L1"/>
    <d v="2015-10-05T00:00:00"/>
    <s v="A.C."/>
    <n v="18.45"/>
    <n v="9.7249999999999996"/>
    <n v="3.5"/>
    <n v="0.85"/>
    <n v="2.6452100000000001"/>
    <n v="2.5"/>
    <n v="29.6"/>
    <n v="2.25"/>
    <n v="0.52500000000000002"/>
    <n v="0.15"/>
    <n v="5.1763500000000002"/>
    <n v="5"/>
    <n v="0"/>
    <n v="0"/>
    <n v="32.362000000000002"/>
    <n v="1.17123"/>
    <n v="158.30000000000001"/>
    <n v="6.2"/>
    <n v="0.14249516628850414"/>
    <x v="119"/>
    <n v="49.65"/>
    <n v="4.3834479592467349E-2"/>
    <n v="0"/>
    <n v="0"/>
    <n v="0"/>
    <n v="0"/>
  </r>
  <r>
    <n v="439"/>
    <s v="แขวงทางหลวงสุโขทัย"/>
    <n v="513"/>
    <n v="1195"/>
    <n v="102"/>
    <s v="เตว็ดใน - วังไม้ขอน"/>
    <s v="6+086"/>
    <s v="35+386"/>
    <n v="29.3"/>
    <s v="L1"/>
    <n v="2"/>
    <d v="2015-09-16T00:00:00"/>
    <s v="A.C."/>
    <n v="22.33"/>
    <n v="4.3"/>
    <n v="1.97"/>
    <n v="0.7"/>
    <n v="2.1562399999999999"/>
    <n v="2"/>
    <n v="28.93"/>
    <n v="0.28000000000000003"/>
    <n v="0.1"/>
    <n v="0"/>
    <n v="2.2921499999999999"/>
    <n v="2.5"/>
    <n v="0"/>
    <n v="0"/>
    <n v="29.3"/>
    <n v="1.0597700000000001"/>
    <n v="130.25"/>
    <n v="30.55"/>
    <n v="0.14190638712823014"/>
    <x v="119"/>
    <n v="77.25"/>
    <n v="7.5329107752315938E-2"/>
    <n v="0.25"/>
    <n v="2.437835202340322E-4"/>
    <n v="0"/>
    <n v="0"/>
  </r>
  <r>
    <n v="368"/>
    <s v="แขวงทางหลวงตากที่ 2 (แม่สอด)"/>
    <n v="514"/>
    <n v="1090"/>
    <n v="103"/>
    <s v="อุ้มผาง - กะแง่คี"/>
    <s v="154+839"/>
    <s v="167+299"/>
    <n v="12.46"/>
    <n v="2"/>
    <s v="L1"/>
    <d v="2015-09-08T00:00:00"/>
    <s v="C.C."/>
    <n v="3.13"/>
    <n v="3.43"/>
    <n v="2.81"/>
    <n v="3.06"/>
    <n v="3.9969600000000001"/>
    <n v="4"/>
    <n v="11.05"/>
    <n v="1"/>
    <n v="0.33200000000000002"/>
    <n v="0.05"/>
    <n v="4.992"/>
    <n v="5"/>
    <n v="0"/>
    <n v="0"/>
    <n v="12.46"/>
    <n v="1.2282599999999999"/>
    <n v="31.58"/>
    <n v="59.32"/>
    <n v="0.14042650768172435"/>
    <x v="119"/>
    <n v="122.32"/>
    <n v="0.28048612703508369"/>
    <n v="0"/>
    <n v="0"/>
    <m/>
    <n v="0"/>
  </r>
  <r>
    <n v="397"/>
    <s v="แขวงทางหลวงพิษณุโลกที่ 1"/>
    <n v="511"/>
    <n v="126"/>
    <n v="100"/>
    <s v="ถนนวงแหวนรอบเมืองพิษณุโลกด้านทิศเหนือ"/>
    <s v="21+297"/>
    <s v="0+000"/>
    <n v="21.297000000000001"/>
    <s v="R2"/>
    <n v="4"/>
    <d v="2015-09-18T00:00:00"/>
    <s v="A.C."/>
    <n v="15.76"/>
    <n v="2.88"/>
    <n v="1.83"/>
    <n v="0.83"/>
    <n v="2.3439299999999998"/>
    <n v="2.5"/>
    <n v="18.170000000000002"/>
    <n v="2.5099999999999998"/>
    <n v="0.5"/>
    <n v="0.13"/>
    <n v="6.3496600000000001"/>
    <n v="6.5"/>
    <n v="0"/>
    <n v="0"/>
    <n v="21.3"/>
    <n v="1.1373200000000001"/>
    <n v="96.35"/>
    <n v="15.93"/>
    <n v="0.13994599999999999"/>
    <x v="119"/>
    <n v="62.3"/>
    <n v="8.3580000000000002E-2"/>
    <n v="0"/>
    <n v="0"/>
    <n v="0.69799999999999995"/>
    <n v="9.3599999999999998E-4"/>
  </r>
  <r>
    <n v="1904"/>
    <s v="แขวงทางหลวงสมุทรสงคราม"/>
    <n v="337"/>
    <n v="325"/>
    <n v="102"/>
    <s v="จอมปลวก - สมุทรสงคราม"/>
    <n v="28775"/>
    <n v="42406"/>
    <n v="13.631"/>
    <n v="4"/>
    <s v="L1"/>
    <d v="2015-03-28T00:00:00"/>
    <s v="A.C."/>
    <n v="5.43"/>
    <n v="3.5"/>
    <n v="2.62"/>
    <n v="2.08"/>
    <n v="3.26816"/>
    <n v="3.5"/>
    <n v="11.84"/>
    <n v="1.42"/>
    <n v="0.28999999999999998"/>
    <n v="0.08"/>
    <n v="5.5424699999999998"/>
    <n v="5.5"/>
    <n v="0"/>
    <n v="0"/>
    <n v="13.63"/>
    <n v="1.4383300000000001"/>
    <n v="24.92"/>
    <n v="83.39"/>
    <n v="0.13962920653552305"/>
    <x v="119"/>
    <n v="17.98"/>
    <n v="3.7687204586184853E-2"/>
    <n v="147.71"/>
    <n v="0.30960939874445859"/>
    <n v="0"/>
    <n v="0"/>
  </r>
  <r>
    <n v="1271"/>
    <s v="แขวงทางหลวงนครสวรรค์ที่ 2 (ตากฟ้า)"/>
    <n v="438"/>
    <n v="3332"/>
    <n v="100"/>
    <s v="ทางเข้าสุขสมบูรณ์"/>
    <s v="0+000"/>
    <s v="2+128"/>
    <n v="2.1280000000000001"/>
    <n v="2"/>
    <s v="L1"/>
    <d v="2015-10-05T00:00:00"/>
    <s v="A.C."/>
    <n v="0.82499999999999996"/>
    <n v="1.0249999999999999"/>
    <n v="0.2"/>
    <n v="0.1"/>
    <n v="3.2770899999999998"/>
    <n v="3.5"/>
    <n v="2.125"/>
    <n v="0"/>
    <n v="2.5000000000000001E-2"/>
    <n v="0"/>
    <n v="3.5234999999999999"/>
    <n v="3.5"/>
    <n v="0"/>
    <n v="0"/>
    <n v="2.1280000000000001"/>
    <n v="1.33853"/>
    <n v="2.41"/>
    <n v="15.97"/>
    <n v="0.13956766917293234"/>
    <x v="119"/>
    <n v="0.25"/>
    <n v="3.3566058002148227E-3"/>
    <n v="0"/>
    <n v="0"/>
    <n v="0"/>
    <n v="0"/>
  </r>
  <r>
    <n v="440"/>
    <s v="แขวงทางหลวงสุโขทัย"/>
    <n v="513"/>
    <n v="1201"/>
    <n v="100"/>
    <s v="สวรรคโลก - ป่ากล้วย"/>
    <s v="16+059"/>
    <s v="0+000"/>
    <n v="16.059000000000001"/>
    <s v="R1"/>
    <n v="2"/>
    <d v="2015-09-17T00:00:00"/>
    <s v="A.C."/>
    <n v="12.87"/>
    <n v="2.2799999999999998"/>
    <n v="0.68"/>
    <n v="0.23"/>
    <n v="1.98722"/>
    <n v="2"/>
    <n v="16.059999999999999"/>
    <n v="0"/>
    <n v="0"/>
    <n v="0"/>
    <n v="1.8891"/>
    <n v="2"/>
    <n v="0"/>
    <n v="0"/>
    <n v="16.059999999999999"/>
    <n v="1.0044900000000001"/>
    <n v="75.239999999999995"/>
    <n v="6.1639999999999997"/>
    <n v="0.13934687269266005"/>
    <x v="119"/>
    <n v="59.546999999999997"/>
    <n v="0.10594326278989083"/>
    <n v="0"/>
    <n v="0"/>
    <n v="0"/>
    <n v="0"/>
  </r>
  <r>
    <n v="1669"/>
    <s v="แขวงทางหลวงธนบุรี"/>
    <n v="419"/>
    <n v="9"/>
    <n v="102"/>
    <s v="บางแค - คลองมหาสวัสดิ์"/>
    <s v="31+872"/>
    <s v="19+972"/>
    <n v="11.9"/>
    <n v="8"/>
    <s v="R2"/>
    <d v="2015-08-27T00:00:00"/>
    <s v="A.C."/>
    <n v="2.5499999999999998"/>
    <n v="6.9249999999999998"/>
    <n v="1.575"/>
    <n v="0.875"/>
    <n v="2.73346"/>
    <n v="2.5"/>
    <n v="11.475"/>
    <n v="0.4"/>
    <n v="2.5000000000000001E-2"/>
    <n v="2.5000000000000001E-2"/>
    <n v="4.2353100000000001"/>
    <n v="4"/>
    <n v="0"/>
    <n v="0"/>
    <n v="11.924999999999999"/>
    <n v="1.40448"/>
    <n v="0"/>
    <n v="116.02"/>
    <n v="0.13927971188475388"/>
    <x v="119"/>
    <n v="0"/>
    <n v="0"/>
    <n v="358.76"/>
    <n v="0.86136854741896762"/>
    <n v="0"/>
    <n v="0"/>
  </r>
  <r>
    <n v="434"/>
    <s v="แขวงทางหลวงสุโขทัย"/>
    <n v="513"/>
    <n v="1113"/>
    <n v="103"/>
    <s v="ดอนโก - ชะเลียง"/>
    <s v="34+000"/>
    <s v="47+150"/>
    <n v="13.15"/>
    <s v="L1"/>
    <n v="2"/>
    <d v="2015-09-16T00:00:00"/>
    <s v="A.C."/>
    <n v="7.55"/>
    <n v="3.37"/>
    <n v="1.69"/>
    <n v="0.53"/>
    <n v="2.6400999999999999"/>
    <n v="2.5"/>
    <n v="12.52"/>
    <n v="0.48"/>
    <n v="0.13"/>
    <n v="0.03"/>
    <n v="4.09978"/>
    <n v="4"/>
    <n v="0"/>
    <n v="0"/>
    <n v="13.15"/>
    <n v="1.12094"/>
    <n v="61.325000000000003"/>
    <n v="4.6319999999999997"/>
    <n v="0.13827485062466052"/>
    <x v="119"/>
    <n v="94.385000000000005"/>
    <n v="0.20507332971211301"/>
    <n v="0"/>
    <n v="0"/>
    <n v="0"/>
    <n v="0"/>
  </r>
  <r>
    <n v="853"/>
    <s v="แขวงทางหลวงสุรินทร์"/>
    <n v="615"/>
    <n v="2122"/>
    <n v="100"/>
    <s v="บักจรัง - มะโน"/>
    <n v="0"/>
    <n v="18135"/>
    <n v="18.135000000000002"/>
    <n v="2"/>
    <s v="L1"/>
    <d v="2015-05-10T00:00:00"/>
    <s v="A.C."/>
    <n v="9.0749999999999993"/>
    <n v="5.3250000000000002"/>
    <n v="2.95"/>
    <n v="0.72499999999999998"/>
    <n v="2.4032499999999999"/>
    <n v="2.5"/>
    <n v="17"/>
    <n v="0.8"/>
    <n v="0.15"/>
    <n v="0.125"/>
    <n v="3.9270200000000002"/>
    <n v="4"/>
    <n v="0"/>
    <n v="0"/>
    <n v="18.074999999999999"/>
    <n v="1.3998999999999999"/>
    <n v="75.959999999999994"/>
    <n v="23.39"/>
    <n v="0.1381"/>
    <x v="119"/>
    <n v="510.02"/>
    <n v="0.80352999999999997"/>
    <n v="0"/>
    <n v="0"/>
    <n v="0"/>
    <n v="0"/>
  </r>
  <r>
    <n v="78"/>
    <s v="แขวงทางหลวงลำพูน"/>
    <n v="524"/>
    <n v="1147"/>
    <n v="100"/>
    <s v="สันป่าฝ้าย - ห้วยไซ"/>
    <s v="22+300"/>
    <s v="0+000"/>
    <n v="22.3"/>
    <n v="2"/>
    <s v="R1"/>
    <d v="2015-08-11T00:00:00"/>
    <s v="A.C."/>
    <n v="9.7249999999999996"/>
    <n v="7.5750000000000002"/>
    <n v="3.7"/>
    <n v="1.35"/>
    <n v="2.9299400000000002"/>
    <n v="3"/>
    <n v="22.175000000000001"/>
    <n v="0.17499999999999999"/>
    <n v="0"/>
    <n v="0"/>
    <n v="2.4670399999999999"/>
    <n v="2.5"/>
    <n v="0"/>
    <n v="0"/>
    <n v="22.35"/>
    <n v="1.0898300000000001"/>
    <n v="107.69"/>
    <n v="0"/>
    <n v="0.13797565663036515"/>
    <x v="119"/>
    <n v="0.83"/>
    <n v="1.0634208840486867E-3"/>
    <n v="1.68"/>
    <n v="2.1524663677130042E-3"/>
    <n v="0"/>
    <n v="0"/>
  </r>
  <r>
    <n v="496"/>
    <s v="แขวงทางหลวงพิจิตร"/>
    <n v="519"/>
    <n v="1068"/>
    <n v="101"/>
    <s v="คลองคะเชนทร์ - โพธิ์ประทับช้าง"/>
    <s v="19+800"/>
    <s v="0+000"/>
    <n v="19.8"/>
    <s v="R1"/>
    <n v="2"/>
    <d v="2015-09-29T00:00:00"/>
    <s v="A.C."/>
    <n v="12.78"/>
    <n v="3.54"/>
    <n v="2.4500000000000002"/>
    <n v="1.03"/>
    <n v="2.55023"/>
    <n v="2.5"/>
    <n v="18.579999999999998"/>
    <n v="1.02"/>
    <n v="0.17"/>
    <n v="0.02"/>
    <n v="3.99255"/>
    <n v="4"/>
    <n v="0"/>
    <n v="0"/>
    <n v="19.8"/>
    <n v="1.12931"/>
    <n v="91.64"/>
    <n v="7.5149999999999997"/>
    <n v="0.137659"/>
    <x v="119"/>
    <n v="135.68"/>
    <n v="0.19578599999999999"/>
    <n v="0"/>
    <n v="0"/>
    <n v="0"/>
    <n v="0"/>
  </r>
  <r>
    <n v="93"/>
    <s v="แขวงทางหลวงแม่ฮ่องสอน"/>
    <n v="526"/>
    <n v="1095"/>
    <n v="202"/>
    <s v="แม่นะ - ท่าไคร้"/>
    <n v="107384"/>
    <n v="148873"/>
    <n v="41.488999999999997"/>
    <n v="2"/>
    <s v="L1"/>
    <d v="2015-08-27T00:00:00"/>
    <s v="A.C."/>
    <n v="18.57"/>
    <n v="12.25"/>
    <n v="8.57"/>
    <n v="2.1"/>
    <n v="4.6120000000000001"/>
    <n v="4.5"/>
    <n v="27.43"/>
    <n v="14.06"/>
    <n v="0"/>
    <n v="0"/>
    <n v="3.9809999999999999"/>
    <n v="4"/>
    <n v="0"/>
    <n v="0"/>
    <n v="41.49"/>
    <n v="1.248"/>
    <n v="118"/>
    <n v="162"/>
    <n v="0.13704148776095557"/>
    <x v="119"/>
    <n v="169"/>
    <n v="0.11638196699297232"/>
    <n v="12.2"/>
    <n v="8.4015384456465215E-3"/>
    <n v="0"/>
    <n v="0"/>
  </r>
  <r>
    <n v="1241"/>
    <s v="แขวงทางหลวงนครสวรรค์ที่ 1"/>
    <n v="437"/>
    <n v="3319"/>
    <n v="100"/>
    <s v="โกรกพระ - บันไดสามขั้น"/>
    <s v="14+390"/>
    <s v="0+000"/>
    <n v="14.39"/>
    <n v="2"/>
    <s v="R1"/>
    <d v="2015-10-05T00:00:00"/>
    <s v="A.C."/>
    <n v="11.05"/>
    <n v="2.35"/>
    <n v="0.7"/>
    <n v="0.32500000000000001"/>
    <n v="2.1729500000000002"/>
    <n v="2"/>
    <n v="14.175000000000001"/>
    <n v="0.2"/>
    <n v="2.5000000000000001E-2"/>
    <n v="2.5000000000000001E-2"/>
    <n v="3.2014300000000002"/>
    <n v="3"/>
    <n v="0"/>
    <n v="0"/>
    <n v="14.39"/>
    <n v="1.3292200000000001"/>
    <n v="56.2"/>
    <n v="25.6"/>
    <n v="0.13699990072470961"/>
    <x v="119"/>
    <n v="32.630000000000003"/>
    <n v="6.4787054502134428E-2"/>
    <n v="0"/>
    <n v="0"/>
    <n v="0"/>
    <n v="0"/>
  </r>
  <r>
    <n v="1989"/>
    <s v="แขวงทางหลวงตรัง"/>
    <n v="322"/>
    <n v="4162"/>
    <n v="100"/>
    <s v="ต้นมะม่วง - ปากเมง"/>
    <n v="0"/>
    <n v="9157"/>
    <n v="9.157"/>
    <n v="2"/>
    <s v="L2"/>
    <d v="2015-05-06T00:00:00"/>
    <s v="A.C."/>
    <n v="6.5"/>
    <n v="1.85"/>
    <n v="0.67500000000000004"/>
    <n v="0.1"/>
    <n v="2.2349600000000001"/>
    <n v="2"/>
    <n v="9.0749999999999993"/>
    <n v="0.05"/>
    <n v="0"/>
    <n v="0"/>
    <n v="2.8747500000000001"/>
    <n v="3"/>
    <n v="0"/>
    <n v="0"/>
    <n v="9.125"/>
    <n v="1.17225"/>
    <n v="43.84"/>
    <n v="0"/>
    <n v="0.13678840543534218"/>
    <x v="119"/>
    <n v="0"/>
    <n v="0"/>
    <n v="0"/>
    <n v="0"/>
    <n v="0"/>
    <n v="0"/>
  </r>
  <r>
    <n v="1186"/>
    <s v="แขวงทางหลวงสิงห์บุรี"/>
    <n v="433"/>
    <n v="3033"/>
    <n v="100"/>
    <s v="บางงา - โภคาวิวัฒน์"/>
    <n v="0"/>
    <n v="13000"/>
    <n v="13"/>
    <n v="2"/>
    <s v="R1"/>
    <d v="2015-10-05T00:00:00"/>
    <s v="A.C."/>
    <n v="11.5"/>
    <n v="1.5"/>
    <n v="0"/>
    <n v="0"/>
    <n v="2.5960000000000001"/>
    <n v="2.5"/>
    <n v="13"/>
    <n v="0"/>
    <n v="0"/>
    <n v="0"/>
    <n v="3.681"/>
    <n v="3.5"/>
    <n v="0"/>
    <n v="0"/>
    <n v="13"/>
    <n v="1.129"/>
    <n v="56.62"/>
    <n v="11.23"/>
    <n v="0.13678021978021979"/>
    <x v="119"/>
    <n v="89.32"/>
    <n v="0.19630769230769229"/>
    <n v="0"/>
    <n v="0"/>
    <n v="0"/>
    <n v="0"/>
  </r>
  <r>
    <n v="848"/>
    <s v="แขวงทางหลวงสุรินทร์"/>
    <n v="615"/>
    <n v="226"/>
    <n v="302"/>
    <s v="สุรินทร์ - ศีขรภูมิ"/>
    <s v="203+646"/>
    <n v="171182"/>
    <n v="32.463999999999999"/>
    <n v="4"/>
    <s v="R2"/>
    <d v="2015-05-11T00:00:00"/>
    <s v="A.C."/>
    <n v="18.975000000000001"/>
    <n v="7.4249999999999998"/>
    <n v="4.0999999999999996"/>
    <n v="2.125"/>
    <n v="3.2069999999999999"/>
    <n v="3"/>
    <n v="25.85"/>
    <n v="4.5250000000000004"/>
    <n v="1.4750000000000001"/>
    <n v="0.77500000000000002"/>
    <n v="9.8840000000000003"/>
    <n v="10"/>
    <n v="0"/>
    <n v="0"/>
    <n v="32.625"/>
    <n v="1.2430000000000001"/>
    <n v="124.24"/>
    <n v="62.35"/>
    <n v="0.13678000000000001"/>
    <x v="119"/>
    <n v="216"/>
    <n v="0.19009999999999999"/>
    <n v="314.58999999999997"/>
    <n v="0.27686899999999998"/>
    <n v="270.44"/>
    <n v="0.23801"/>
  </r>
  <r>
    <n v="1072"/>
    <s v="แขวงทางหลวงสระแก้ว (วัฒนานคร)"/>
    <n v="619"/>
    <n v="3076"/>
    <n v="401"/>
    <s v="อ่างฤาไน - ทุ่งกบินทร์"/>
    <s v="168+203"/>
    <s v="154+143"/>
    <n v="14.06"/>
    <n v="2"/>
    <s v="R1"/>
    <d v="2015-04-01T00:00:00"/>
    <s v="A.C."/>
    <n v="8.09"/>
    <n v="3.6"/>
    <n v="1.0900000000000001"/>
    <n v="1.28"/>
    <n v="2.8728400000000001"/>
    <n v="3"/>
    <n v="10.34"/>
    <n v="2.64"/>
    <n v="0.69"/>
    <n v="0.39"/>
    <n v="8.2471200000000007"/>
    <n v="8"/>
    <n v="0"/>
    <n v="0"/>
    <n v="14.06"/>
    <n v="1.3928700000000001"/>
    <n v="67.290000000000006"/>
    <n v="0"/>
    <n v="0.13674049989839465"/>
    <x v="119"/>
    <n v="0"/>
    <n v="0"/>
    <n v="0"/>
    <n v="0"/>
    <n v="0"/>
    <n v="0"/>
  </r>
  <r>
    <n v="1458"/>
    <s v="แขวงทางหลวงอ่างทอง"/>
    <n v="448"/>
    <n v="3196"/>
    <n v="400"/>
    <s v="โก่งธนู - เจ้าปลุก"/>
    <n v="105736"/>
    <n v="93500"/>
    <n v="12.236000000000001"/>
    <n v="2"/>
    <s v="R1"/>
    <d v="2015-06-26T00:00:00"/>
    <s v="A.C."/>
    <n v="10.875"/>
    <n v="0.9"/>
    <n v="0.35"/>
    <n v="0.22500000000000001"/>
    <n v="1.8741099999999999"/>
    <n v="2"/>
    <n v="11.9"/>
    <n v="0.4"/>
    <n v="0.05"/>
    <n v="0"/>
    <n v="3.7667700000000002"/>
    <n v="4"/>
    <n v="0"/>
    <n v="0"/>
    <n v="12.35"/>
    <n v="1.07609"/>
    <n v="13.42"/>
    <n v="90.242999999999995"/>
    <n v="0.13669616588053984"/>
    <x v="119"/>
    <n v="44.57"/>
    <n v="0.10407229253257366"/>
    <n v="0"/>
    <n v="0"/>
    <n v="0"/>
    <n v="0"/>
  </r>
  <r>
    <n v="309"/>
    <s v="แขวงทางหลวงนครพนม"/>
    <n v="644"/>
    <n v="2027"/>
    <n v="100"/>
    <s v="ทางเข้าท่าอุเทน"/>
    <n v="0"/>
    <n v="2542"/>
    <n v="2.5419999999999998"/>
    <n v="4"/>
    <s v="L2"/>
    <d v="2015-06-03T00:00:00"/>
    <s v="A.C."/>
    <n v="0.69"/>
    <n v="0.25"/>
    <n v="0.55000000000000004"/>
    <n v="1.07"/>
    <n v="3.8930199999999999"/>
    <n v="4"/>
    <n v="2.5499999999999998"/>
    <n v="0"/>
    <n v="0"/>
    <n v="0"/>
    <n v="4.2636799999999999"/>
    <n v="4.5"/>
    <n v="0"/>
    <n v="0"/>
    <n v="2.5499999999999998"/>
    <n v="1.12663"/>
    <n v="12.13"/>
    <n v="0"/>
    <n v="0.13633999999999999"/>
    <x v="119"/>
    <n v="0"/>
    <n v="0"/>
    <n v="0"/>
    <n v="0"/>
    <n v="0"/>
    <n v="0"/>
  </r>
  <r>
    <n v="925"/>
    <s v="แขวงทางหลวงศรีสะเกษที่ 1"/>
    <n v="638"/>
    <n v="2157"/>
    <n v="102"/>
    <s v="แยกโคกตาล - โคกตาล"/>
    <n v="6495"/>
    <n v="16079"/>
    <n v="9.5839999999999996"/>
    <n v="2"/>
    <s v="L1"/>
    <d v="2015-05-13T00:00:00"/>
    <s v="A.C."/>
    <n v="3.375"/>
    <n v="3.5"/>
    <n v="1.85"/>
    <n v="0.85"/>
    <n v="3.1293700000000002"/>
    <n v="3"/>
    <n v="8.6999999999999993"/>
    <n v="0.67500000000000004"/>
    <n v="0.2"/>
    <n v="0"/>
    <n v="5.0586700000000002"/>
    <n v="5"/>
    <n v="0"/>
    <n v="0"/>
    <n v="9.5749999999999993"/>
    <n v="1.6154599999999999"/>
    <n v="32.770000000000003"/>
    <n v="25.8"/>
    <n v="0.13614999999999999"/>
    <x v="119"/>
    <n v="1.92"/>
    <n v="5.7200000000000003E-3"/>
    <n v="1226.8699999999999"/>
    <n v="3.6574949999999999"/>
    <n v="0.76"/>
    <n v="2.2699999999999999E-3"/>
  </r>
  <r>
    <n v="336"/>
    <s v="แขวงทางหลวงหนองคาย"/>
    <n v="646"/>
    <n v="2267"/>
    <n v="101"/>
    <s v="โพนพิสัย - โนนต้อง"/>
    <n v="0"/>
    <n v="37763"/>
    <n v="37.762999999999998"/>
    <n v="2"/>
    <s v="R1"/>
    <d v="2015-06-09T00:00:00"/>
    <s v="A.C."/>
    <n v="25.8"/>
    <n v="9.1"/>
    <n v="2.2250000000000001"/>
    <n v="0.55000000000000004"/>
    <n v="2.9664600000000001"/>
    <n v="3"/>
    <n v="37.4"/>
    <n v="0.27500000000000002"/>
    <n v="0"/>
    <n v="0"/>
    <n v="2.9815900000000002"/>
    <n v="3"/>
    <n v="0"/>
    <n v="0"/>
    <n v="37.674999999999997"/>
    <n v="1.1601999999999999"/>
    <n v="51"/>
    <n v="257"/>
    <n v="0.13580999999999999"/>
    <x v="119"/>
    <n v="0"/>
    <n v="0"/>
    <n v="0"/>
    <n v="0"/>
    <n v="0"/>
    <n v="0"/>
  </r>
  <r>
    <n v="1276"/>
    <s v="แขวงทางหลวงสุพรรณบุรีที่ 1"/>
    <n v="441"/>
    <n v="333"/>
    <n v="200"/>
    <s v="สระกระโจม - บ้านไร่"/>
    <n v="33800"/>
    <n v="83075"/>
    <n v="49.274999999999999"/>
    <n v="2"/>
    <s v="L1"/>
    <d v="2015-06-29T00:00:00"/>
    <s v="A.C."/>
    <n v="41.05"/>
    <n v="6.0750000000000002"/>
    <n v="1.425"/>
    <n v="0.55000000000000004"/>
    <n v="1.97786"/>
    <n v="2"/>
    <n v="45.6"/>
    <n v="3.0249999999999999"/>
    <n v="0.42499999999999999"/>
    <n v="0.05"/>
    <n v="4.4263599999999999"/>
    <n v="4.5"/>
    <n v="0"/>
    <n v="0"/>
    <n v="49.099999999999994"/>
    <n v="1.04142"/>
    <n v="223"/>
    <n v="20"/>
    <n v="0.13510183373197099"/>
    <x v="119"/>
    <n v="0"/>
    <n v="1.8202999854376001E-2"/>
    <n v="0"/>
    <n v="4.1260133003252271E-2"/>
    <n v="1"/>
    <n v="0"/>
  </r>
  <r>
    <n v="798"/>
    <s v="แขวงทางหลวงร้อยเอ็ด"/>
    <n v="635"/>
    <n v="2043"/>
    <n v="100"/>
    <s v="ร้อยเอ็ด - ยางเฌอ"/>
    <n v="2430"/>
    <n v="24500"/>
    <n v="22.07"/>
    <n v="2"/>
    <s v="L1"/>
    <d v="2015-05-26T00:00:00"/>
    <s v="A.C."/>
    <n v="17.049999999999997"/>
    <n v="3.2250000000000001"/>
    <n v="1.375"/>
    <n v="0.375"/>
    <n v="2.613"/>
    <n v="2.5"/>
    <n v="21.75"/>
    <n v="0.27500000000000002"/>
    <n v="0"/>
    <n v="0"/>
    <n v="3.5769000000000002"/>
    <n v="3.5"/>
    <n v="0"/>
    <n v="0"/>
    <n v="22.07"/>
    <n v="1.2553000000000001"/>
    <n v="102"/>
    <n v="4"/>
    <n v="0.13464000000000001"/>
    <x v="119"/>
    <n v="8"/>
    <n v="1.0359999999999999E-2"/>
    <n v="247"/>
    <n v="0.31976199999999999"/>
    <n v="0"/>
    <n v="0"/>
  </r>
  <r>
    <n v="1033"/>
    <s v="แขวงทางหลวงบุรีรัมย์"/>
    <n v="617"/>
    <n v="2166"/>
    <n v="203"/>
    <s v="โนนศรีคูณ - หนองผะองค์"/>
    <n v="59289"/>
    <n v="84624"/>
    <n v="25.335000000000001"/>
    <n v="2"/>
    <s v="L1"/>
    <d v="2015-05-08T00:00:00"/>
    <s v="A.C."/>
    <n v="21.128"/>
    <n v="3.1579999999999999"/>
    <n v="0.88"/>
    <n v="0.16900000000000001"/>
    <n v="2.0716399999999999"/>
    <n v="2"/>
    <n v="22.05"/>
    <n v="0.4"/>
    <n v="0"/>
    <n v="0"/>
    <n v="3.2906200000000001"/>
    <n v="3.5"/>
    <n v="0"/>
    <n v="0"/>
    <n v="25.335000000000001"/>
    <n v="1.24946"/>
    <n v="25.67"/>
    <n v="186.9"/>
    <n v="0.13433702669937128"/>
    <x v="119"/>
    <n v="0"/>
    <n v="0"/>
    <n v="0"/>
    <n v="0"/>
    <n v="0"/>
    <n v="0"/>
  </r>
  <r>
    <n v="1150"/>
    <s v="แขวงทางหลวงสระบุรี"/>
    <n v="432"/>
    <n v="3045"/>
    <n v="100"/>
    <s v="วิหารแดง - หนองหมู"/>
    <s v="0+000"/>
    <s v="6+600"/>
    <n v="6.6"/>
    <n v="2"/>
    <s v="R1"/>
    <d v="2015-10-05T00:00:00"/>
    <s v="A.C."/>
    <n v="4.0250000000000004"/>
    <n v="1.7749999999999999"/>
    <n v="0.65"/>
    <n v="0.15"/>
    <n v="2.55375"/>
    <n v="2.5"/>
    <n v="6.5750000000000002"/>
    <n v="0"/>
    <n v="2.5000000000000001E-2"/>
    <n v="0"/>
    <n v="2.6804700000000001"/>
    <n v="2.5"/>
    <n v="0"/>
    <n v="0"/>
    <n v="6.6000000000000014"/>
    <n v="1.49342"/>
    <n v="28.99"/>
    <n v="3.75"/>
    <n v="0.13361500000000001"/>
    <x v="119"/>
    <n v="15.201000000000001"/>
    <n v="6.5805000000000002E-2"/>
    <n v="0"/>
    <n v="0"/>
    <n v="0"/>
    <n v="0"/>
  </r>
  <r>
    <n v="403"/>
    <s v="แขวงทางหลวงพิษณุโลกที่ 1"/>
    <n v="511"/>
    <n v="1063"/>
    <n v="100"/>
    <s v="พิษณุโลก - บางกระทุ่ม"/>
    <s v="3+250"/>
    <s v="38+522"/>
    <n v="35.271999999999998"/>
    <s v="L1"/>
    <n v="2"/>
    <d v="2015-09-19T00:00:00"/>
    <s v="A.C."/>
    <n v="25.92"/>
    <n v="5.74"/>
    <n v="2.91"/>
    <n v="0.71"/>
    <n v="2.2584300000000002"/>
    <n v="2.5"/>
    <n v="33.07"/>
    <n v="1.67"/>
    <n v="0.48"/>
    <n v="0.05"/>
    <n v="4.1027100000000001"/>
    <n v="4"/>
    <n v="0"/>
    <n v="0"/>
    <n v="35.270000000000003"/>
    <n v="1.1142099999999999"/>
    <n v="163.33199999999999"/>
    <n v="2.68"/>
    <n v="0.13338900000000001"/>
    <x v="119"/>
    <n v="9.32"/>
    <n v="7.5490000000000002E-3"/>
    <n v="0"/>
    <n v="0"/>
    <n v="0"/>
    <n v="0"/>
  </r>
  <r>
    <n v="445"/>
    <s v="แขวงทางหลวงสุโขทัย"/>
    <n v="513"/>
    <n v="1308"/>
    <n v="100"/>
    <s v="เตว็ดใน - วังทองแดง"/>
    <s v="12+569"/>
    <s v="0+000"/>
    <n v="12.569000000000001"/>
    <s v="R1"/>
    <n v="2"/>
    <d v="2015-09-17T00:00:00"/>
    <s v="A.C."/>
    <n v="6.45"/>
    <n v="3.71"/>
    <n v="1.81"/>
    <n v="0.6"/>
    <n v="2.774"/>
    <n v="3"/>
    <n v="11.84"/>
    <n v="0.53"/>
    <n v="0.15"/>
    <n v="0.05"/>
    <n v="3.6890000000000001"/>
    <n v="3.5"/>
    <n v="0"/>
    <n v="0"/>
    <n v="12.57"/>
    <n v="1.149"/>
    <n v="56.9"/>
    <n v="3.5"/>
    <n v="0.1333212097791619"/>
    <x v="119"/>
    <n v="13.5"/>
    <n v="3.0687746496482277E-2"/>
    <n v="0"/>
    <n v="0"/>
    <n v="0"/>
    <n v="0"/>
  </r>
  <r>
    <n v="1260"/>
    <s v="แขวงทางหลวงนครสวรรค์ที่ 2 (ตากฟ้า)"/>
    <n v="438"/>
    <n v="1412"/>
    <n v="100"/>
    <s v="คอกควายใหญ่ - พนมรอก"/>
    <s v="15+768"/>
    <s v="0+000"/>
    <n v="15.768000000000001"/>
    <n v="2"/>
    <s v="R1"/>
    <d v="2015-10-05T00:00:00"/>
    <s v="A.C."/>
    <n v="2.125"/>
    <n v="4.4749999999999996"/>
    <n v="5.25"/>
    <n v="3.9"/>
    <n v="4.2450299999999999"/>
    <n v="4"/>
    <n v="13.675000000000001"/>
    <n v="1.2749999999999999"/>
    <n v="0.57499999999999996"/>
    <n v="0.22500000000000001"/>
    <n v="5.3484299999999996"/>
    <n v="5.5"/>
    <n v="0"/>
    <n v="0"/>
    <n v="15.768000000000001"/>
    <n v="1.47949"/>
    <n v="63.18"/>
    <n v="20.3"/>
    <n v="0.13287308835254041"/>
    <x v="119"/>
    <n v="115.5"/>
    <n v="0.20928462709284626"/>
    <n v="0"/>
    <n v="0"/>
    <n v="0"/>
    <n v="0"/>
  </r>
  <r>
    <n v="1351"/>
    <s v="แขวงทางหลวงกาญจนบุรี"/>
    <n v="444"/>
    <n v="3582"/>
    <n v="100"/>
    <s v="วังปลาหมู - วังลาน"/>
    <n v="4645"/>
    <n v="0"/>
    <n v="4.6449999999999996"/>
    <n v="2"/>
    <s v="R1"/>
    <d v="2015-07-27T00:00:00"/>
    <s v="A.C."/>
    <n v="3.3"/>
    <n v="0.92500000000000004"/>
    <n v="0.27500000000000002"/>
    <n v="0.15"/>
    <n v="2.2631700000000001"/>
    <n v="2.5"/>
    <n v="4.5999999999999996"/>
    <n v="0.05"/>
    <n v="0"/>
    <n v="0"/>
    <n v="1.8403"/>
    <n v="2"/>
    <n v="0"/>
    <n v="0"/>
    <n v="4.6500000000000004"/>
    <n v="1.2884899999999999"/>
    <n v="8"/>
    <n v="27"/>
    <n v="0.13224665538982008"/>
    <x v="119"/>
    <n v="0"/>
    <n v="0"/>
    <n v="0"/>
    <n v="0"/>
    <n v="0"/>
    <n v="0"/>
  </r>
  <r>
    <n v="934"/>
    <s v="แขวงทางหลวงศรีสะเกษที่ 1"/>
    <n v="638"/>
    <n v="2412"/>
    <n v="200"/>
    <s v="ท่าศาลา - ละทาย"/>
    <n v="10325"/>
    <n v="24065"/>
    <n v="13.74"/>
    <n v="2"/>
    <s v="L1"/>
    <d v="2015-05-13T00:00:00"/>
    <s v="A.C."/>
    <n v="6.7"/>
    <n v="3.6749999999999998"/>
    <n v="1.825"/>
    <n v="1.3"/>
    <n v="2.8808600000000002"/>
    <n v="3"/>
    <n v="12.95"/>
    <n v="0.52500000000000002"/>
    <n v="2.5000000000000001E-2"/>
    <n v="0"/>
    <n v="3.8431199999999999"/>
    <n v="4"/>
    <n v="0"/>
    <n v="0"/>
    <n v="13.5"/>
    <n v="1.51298"/>
    <n v="11.61"/>
    <n v="103.89"/>
    <n v="0.13216"/>
    <x v="119"/>
    <n v="277.83999999999997"/>
    <n v="0.57774999999999999"/>
    <n v="175.93"/>
    <n v="0.36583500000000002"/>
    <n v="64.94"/>
    <n v="0.13503999999999999"/>
  </r>
  <r>
    <n v="198"/>
    <s v="แขวงทางหลวงพะเยา"/>
    <n v="535"/>
    <n v="1091"/>
    <n v="102"/>
    <s v="ห้วยคอกหมู - ป่าแดง"/>
    <s v="22+000"/>
    <s v="37+000"/>
    <n v="15"/>
    <n v="2"/>
    <s v="R1"/>
    <d v="2015-07-24T00:00:00"/>
    <s v="A.C."/>
    <n v="12.55"/>
    <n v="1.75"/>
    <n v="0.48"/>
    <n v="0.23"/>
    <n v="1.9179999999999999"/>
    <n v="2"/>
    <n v="15"/>
    <n v="0"/>
    <n v="0"/>
    <n v="0"/>
    <n v="2.34"/>
    <n v="2.5"/>
    <n v="0"/>
    <n v="0"/>
    <n v="15"/>
    <n v="1.19"/>
    <n v="0"/>
    <n v="138.36000000000001"/>
    <n v="0.13177142857142857"/>
    <x v="119"/>
    <n v="0.88"/>
    <n v="1.6761904761904761E-3"/>
    <n v="27.71"/>
    <n v="5.278095238095238E-2"/>
    <n v="0"/>
    <n v="0"/>
  </r>
  <r>
    <n v="1884"/>
    <s v="แขวงทางหลวงราชบุรี"/>
    <n v="335"/>
    <n v="3357"/>
    <n v="100"/>
    <s v="ประตูน้ำ - ท่าผา"/>
    <s v="0+315"/>
    <s v="0+000"/>
    <n v="0.315"/>
    <n v="2"/>
    <s v="R1"/>
    <d v="2015-03-30T00:00:00"/>
    <s v="A.C."/>
    <n v="0"/>
    <n v="0"/>
    <n v="0"/>
    <n v="0.32"/>
    <n v="11.0425"/>
    <n v="11"/>
    <n v="0.32"/>
    <n v="0"/>
    <n v="0"/>
    <n v="0"/>
    <n v="5.6269999999999998"/>
    <n v="5.5"/>
    <n v="0"/>
    <n v="0"/>
    <n v="0.32"/>
    <n v="1.7909999999999999"/>
    <n v="0.3"/>
    <n v="2.2999999999999998"/>
    <n v="0.13151927437641725"/>
    <x v="119"/>
    <n v="1.36"/>
    <n v="0.12335600907029479"/>
    <n v="0"/>
    <n v="0"/>
    <n v="0"/>
    <n v="0"/>
  </r>
  <r>
    <n v="518"/>
    <s v="แขวงทางหลวงอุตรดิตถ์ที่ 1"/>
    <n v="557"/>
    <n v="1166"/>
    <n v="100"/>
    <s v="วังโป่ง - ดารา"/>
    <s v="0+000"/>
    <s v="18+463"/>
    <n v="18.463000000000001"/>
    <s v="L1"/>
    <n v="2"/>
    <d v="2015-09-23T00:00:00"/>
    <s v="A.C."/>
    <n v="15.63"/>
    <n v="1.9"/>
    <n v="0.52500000000000002"/>
    <n v="0.38"/>
    <n v="2.17665"/>
    <n v="2"/>
    <n v="17.899999999999999"/>
    <n v="0.32500000000000001"/>
    <n v="0.2"/>
    <n v="0"/>
    <n v="2.8822000000000001"/>
    <n v="3"/>
    <n v="0"/>
    <n v="0"/>
    <n v="18.434999999999999"/>
    <n v="1.3156699999999999"/>
    <n v="82.353999999999999"/>
    <n v="4.95"/>
    <n v="0.131273"/>
    <x v="119"/>
    <n v="86.45"/>
    <n v="0.13378100000000001"/>
    <n v="0"/>
    <n v="0"/>
    <n v="0.89"/>
    <n v="1.377E-3"/>
  </r>
  <r>
    <n v="1099"/>
    <s v="แขวงทางหลวงลพบุรีที่ 1"/>
    <n v="431"/>
    <n v="205"/>
    <n v="102"/>
    <s v="ดงพลับ -  ม่วงค่อม"/>
    <s v="48+754"/>
    <s v="20+209"/>
    <n v="28.545000000000002"/>
    <n v="4"/>
    <s v="R3"/>
    <d v="2015-10-05T00:00:00"/>
    <s v="A.C."/>
    <n v="13.65"/>
    <n v="10.3"/>
    <n v="3.5750000000000002"/>
    <n v="1.075"/>
    <n v="2.7458300000000002"/>
    <n v="2.5"/>
    <n v="22.375"/>
    <n v="3.7250000000000001"/>
    <n v="1.625"/>
    <n v="0.875"/>
    <n v="6.9780300000000004"/>
    <n v="7"/>
    <n v="0"/>
    <n v="0"/>
    <n v="28.6"/>
    <n v="1.3107599999999999"/>
    <n v="125.66"/>
    <n v="10.69"/>
    <n v="0.13112629181993343"/>
    <x v="119"/>
    <n v="106.32"/>
    <n v="0.1064184370542752"/>
    <n v="0"/>
    <n v="0"/>
    <n v="1.95"/>
    <n v="1.9518054200135125E-3"/>
  </r>
  <r>
    <n v="511"/>
    <s v="แขวงทางหลวงอุตรดิตถ์ที่ 1"/>
    <n v="557"/>
    <n v="102"/>
    <n v="102"/>
    <s v="ห้วยไผ่ - ห้วยช้าง"/>
    <s v="4+414"/>
    <s v="22+214"/>
    <n v="17.8"/>
    <s v="L1"/>
    <n v="2"/>
    <d v="2015-09-24T00:00:00"/>
    <s v="A.C."/>
    <n v="13.55"/>
    <n v="2.95"/>
    <n v="0.85"/>
    <n v="0.5"/>
    <n v="2.33961"/>
    <n v="2.5"/>
    <n v="17.625"/>
    <n v="0.22500000000000001"/>
    <n v="0"/>
    <n v="0"/>
    <n v="3.6559300000000001"/>
    <n v="3.5"/>
    <n v="0"/>
    <n v="0"/>
    <n v="17.850000000000001"/>
    <n v="1.3221499999999999"/>
    <n v="77.150000000000006"/>
    <n v="8.468"/>
    <n v="0.130632"/>
    <x v="119"/>
    <n v="75.489999999999995"/>
    <n v="0.121172"/>
    <n v="0"/>
    <n v="0"/>
    <n v="0"/>
    <n v="0"/>
  </r>
  <r>
    <n v="1939"/>
    <s v="แขวงทางหลวงนครศรีธรรมราชที่ 1"/>
    <n v="321"/>
    <n v="401"/>
    <n v="502"/>
    <s v="สิชล - ท่าแพ"/>
    <n v="236579"/>
    <n v="286310"/>
    <n v="49.731000000000002"/>
    <n v="4"/>
    <s v="L2"/>
    <d v="2015-04-28T00:00:00"/>
    <s v="A.C."/>
    <n v="37.5"/>
    <n v="7.5250000000000004"/>
    <n v="3.2250000000000001"/>
    <n v="1.4"/>
    <n v="2.2053799999999999"/>
    <n v="2"/>
    <n v="47.55"/>
    <n v="1.55"/>
    <n v="0.42499999999999999"/>
    <n v="0.125"/>
    <n v="4.2008099999999997"/>
    <n v="4"/>
    <n v="0"/>
    <n v="0"/>
    <n v="49.649999999999991"/>
    <n v="1.20583"/>
    <n v="162.81"/>
    <n v="128.74"/>
    <n v="0.13051933688960896"/>
    <x v="119"/>
    <n v="26.86"/>
    <n v="1.5431593401069182E-2"/>
    <n v="0"/>
    <n v="0"/>
    <n v="0"/>
    <n v="0"/>
  </r>
  <r>
    <n v="1"/>
    <s v="แขวงทางหลวงเชียงใหม่ที่ 1"/>
    <n v="521"/>
    <n v="108"/>
    <n v="101"/>
    <s v="เชียงใหม่ - ปากทางท่าลี่"/>
    <n v="14714"/>
    <n v="49615"/>
    <n v="34.901000000000003"/>
    <n v="4"/>
    <s v="L2"/>
    <d v="2015-08-07T00:00:00"/>
    <s v="A.C."/>
    <n v="21.75"/>
    <n v="8.5749999999999993"/>
    <n v="3.125"/>
    <n v="0.47499999999999998"/>
    <n v="3.2469999999999999"/>
    <n v="3"/>
    <n v="30.324999999999999"/>
    <n v="3.6"/>
    <n v="0"/>
    <n v="0"/>
    <n v="3.71"/>
    <n v="3.5"/>
    <n v="0"/>
    <n v="0"/>
    <n v="33.925000000000004"/>
    <n v="1.1120000000000001"/>
    <n v="151.32"/>
    <n v="15.1"/>
    <n v="0.1300576733372355"/>
    <x v="119"/>
    <n v="59.62"/>
    <n v="4.8807443094139744E-2"/>
    <n v="10.199999999999999"/>
    <n v="8.3501496068471206E-3"/>
    <n v="0"/>
    <n v="0"/>
  </r>
  <r>
    <n v="1146"/>
    <s v="แขวงทางหลวงสระบุรี"/>
    <n v="432"/>
    <n v="3041"/>
    <n v="102"/>
    <s v="หนองแซง - สระบุรี"/>
    <s v="14+200"/>
    <s v="29+239"/>
    <n v="15.039"/>
    <n v="4"/>
    <s v="L1"/>
    <d v="2015-10-05T00:00:00"/>
    <s v="A.C."/>
    <n v="6.875"/>
    <n v="5.375"/>
    <n v="1.7749999999999999"/>
    <n v="1.0249999999999999"/>
    <n v="2.8828200000000002"/>
    <n v="3"/>
    <n v="14.5"/>
    <n v="0.42499999999999999"/>
    <n v="0.125"/>
    <n v="0"/>
    <n v="3.36673"/>
    <n v="3.5"/>
    <n v="0"/>
    <n v="0"/>
    <n v="15.05"/>
    <n v="1.23478"/>
    <n v="64.3"/>
    <n v="8.2100000000000009"/>
    <n v="0.12995699999999999"/>
    <x v="119"/>
    <n v="63.29"/>
    <n v="0.12024"/>
    <n v="0"/>
    <n v="0"/>
    <n v="0"/>
    <n v="0"/>
  </r>
  <r>
    <n v="1441"/>
    <s v="แขวงทางหลวงอ่างทอง"/>
    <n v="448"/>
    <n v="33"/>
    <n v="202"/>
    <s v="ป่าโมก - บางปะหัน"/>
    <n v="48242"/>
    <n v="40318"/>
    <n v="7.9240000000000004"/>
    <n v="4"/>
    <s v="R2"/>
    <d v="2015-06-27T00:00:00"/>
    <s v="A.C."/>
    <n v="4.8"/>
    <n v="1.9750000000000001"/>
    <n v="0.95"/>
    <n v="0.25"/>
    <n v="2.923"/>
    <n v="3"/>
    <n v="6.9749999999999996"/>
    <n v="1"/>
    <n v="0"/>
    <n v="0"/>
    <n v="3.964"/>
    <n v="4"/>
    <n v="0"/>
    <n v="0"/>
    <n v="7.9750000000000005"/>
    <n v="1.282"/>
    <n v="16.68"/>
    <n v="38.69"/>
    <n v="0.12989471406937333"/>
    <x v="119"/>
    <n v="0"/>
    <n v="0"/>
    <n v="0"/>
    <n v="0"/>
    <n v="0"/>
    <n v="0"/>
  </r>
  <r>
    <n v="2112"/>
    <s v="แขวงทางหลวงภูเก็ต"/>
    <n v="324"/>
    <n v="4021"/>
    <n v="100"/>
    <s v="เมืองภูเก็ต - ห้าแยกฉลอง"/>
    <n v="6473"/>
    <n v="0"/>
    <n v="6.4729999999999999"/>
    <n v="4"/>
    <s v="R1"/>
    <d v="2015-05-14T00:00:00"/>
    <s v="A.C."/>
    <n v="2.0249999999999999"/>
    <n v="2.5"/>
    <n v="1.4"/>
    <n v="0.85"/>
    <n v="3.5390799999999998"/>
    <n v="3.5"/>
    <n v="6.6"/>
    <n v="0.05"/>
    <n v="7.4999999999999997E-2"/>
    <n v="0.05"/>
    <n v="3.0375800000000002"/>
    <n v="3"/>
    <n v="0"/>
    <n v="0"/>
    <n v="6.7750000000000004"/>
    <n v="1.0660700000000001"/>
    <n v="3.66"/>
    <n v="51.23"/>
    <n v="0.1292180706671669"/>
    <x v="119"/>
    <n v="55.96"/>
    <n v="0.24700403875438634"/>
    <n v="0"/>
    <n v="0"/>
    <n v="0"/>
    <n v="0"/>
  </r>
  <r>
    <n v="254"/>
    <s v="แขวงทางหลวงน่านที่ 2"/>
    <n v="539"/>
    <n v="101"/>
    <n v="601"/>
    <s v="สี่แยกช้างเผือก - ท่าวังผา"/>
    <s v="368+730"/>
    <s v="411+134"/>
    <n v="42.404000000000003"/>
    <n v="2"/>
    <s v="F1"/>
    <d v="2015-07-27T00:00:00"/>
    <s v="A.C."/>
    <n v="27.63"/>
    <n v="7.89"/>
    <n v="3.17"/>
    <n v="3.72"/>
    <n v="2.5660500000000002"/>
    <n v="2.5"/>
    <n v="38.74"/>
    <n v="2.74"/>
    <n v="0.53"/>
    <n v="0.4"/>
    <n v="5.4446500000000002"/>
    <n v="5.5"/>
    <n v="0"/>
    <n v="0"/>
    <n v="42.4"/>
    <n v="1.1668099999999999"/>
    <n v="180"/>
    <n v="22.73"/>
    <n v="0.12893999218402574"/>
    <x v="119"/>
    <n v="1"/>
    <n v="6.7379088226178106E-4"/>
    <n v="1472"/>
    <n v="0.9918201786893418"/>
    <n v="0"/>
    <n v="0"/>
  </r>
  <r>
    <n v="1743"/>
    <s v="แขวงทางหลวงจันทบุรี"/>
    <n v="423"/>
    <n v="3348"/>
    <n v="100"/>
    <s v="หนองขอน - จันทนิมิต"/>
    <n v="12346"/>
    <n v="0"/>
    <n v="12.346"/>
    <n v="2"/>
    <s v="R1"/>
    <d v="2015-08-18T00:00:00"/>
    <s v="A.C."/>
    <n v="7.75"/>
    <n v="3.375"/>
    <n v="0.92500000000000004"/>
    <n v="0.3"/>
    <n v="2.75041"/>
    <n v="3"/>
    <n v="11.775"/>
    <n v="0.47499999999999998"/>
    <n v="0.1"/>
    <n v="0"/>
    <n v="6.0674099999999997"/>
    <n v="6"/>
    <n v="0"/>
    <n v="0"/>
    <n v="12.346"/>
    <n v="0.96083300000000005"/>
    <n v="0"/>
    <n v="111.42"/>
    <n v="0.12892550507972508"/>
    <x v="119"/>
    <n v="96.6"/>
    <n v="0.22355418759112261"/>
    <n v="1908"/>
    <n v="4.4155423387563353"/>
    <n v="141.61000000000001"/>
    <n v="0.32771747934553702"/>
  </r>
  <r>
    <n v="1327"/>
    <s v="แขวงทางหลวงกาญจนบุรี"/>
    <n v="444"/>
    <n v="3209"/>
    <n v="103"/>
    <s v="ด่านมะขามเตี้ย - กาญจนบุรี"/>
    <s v="52+800"/>
    <s v="80+611"/>
    <n v="27.811"/>
    <n v="2"/>
    <s v="L1"/>
    <d v="2015-07-29T00:00:00"/>
    <s v="A.C."/>
    <n v="25.25"/>
    <n v="2.125"/>
    <n v="0.5"/>
    <n v="0"/>
    <n v="2.9809999999999999"/>
    <n v="3"/>
    <n v="27.875"/>
    <n v="0"/>
    <n v="0"/>
    <n v="0"/>
    <n v="2.1280000000000001"/>
    <n v="2"/>
    <n v="0"/>
    <n v="0"/>
    <n v="27.875"/>
    <n v="1.2310000000000001"/>
    <n v="52.12"/>
    <n v="13.689"/>
    <n v="0.128"/>
    <x v="119"/>
    <n v="0"/>
    <n v="0"/>
    <n v="0"/>
    <n v="0"/>
    <n v="0"/>
    <n v="0"/>
  </r>
  <r>
    <n v="409"/>
    <s v="แขวงทางหลวงพิษณุโลกที่ 1"/>
    <n v="511"/>
    <n v="1278"/>
    <n v="100"/>
    <s v="วังพิกุล - ลานกระบือ"/>
    <s v="0+000"/>
    <s v="13+161"/>
    <n v="13.161"/>
    <s v="L1"/>
    <n v="2"/>
    <d v="2015-09-18T00:00:00"/>
    <s v="A.C."/>
    <n v="11.31"/>
    <n v="1.5"/>
    <n v="0.25"/>
    <n v="0.1"/>
    <n v="2.0005500000000001"/>
    <n v="2"/>
    <n v="13.11"/>
    <n v="0.05"/>
    <n v="0"/>
    <n v="0"/>
    <n v="2.0473599999999998"/>
    <n v="2"/>
    <n v="0"/>
    <n v="0"/>
    <n v="13.16"/>
    <n v="1.1114999999999999"/>
    <n v="52.63"/>
    <n v="12.36"/>
    <n v="0.12767200000000001"/>
    <x v="119"/>
    <n v="111.48"/>
    <n v="0.24201400000000001"/>
    <n v="0"/>
    <n v="0"/>
    <n v="0"/>
    <n v="0"/>
  </r>
  <r>
    <n v="473"/>
    <s v="แขวงทางหลวงพิษณุโลกที่ 2 (วังทอง)"/>
    <n v="515"/>
    <n v="2013"/>
    <n v="101"/>
    <s v="บ้านแยง - น้ำเทิน"/>
    <s v="0+000"/>
    <s v="20+236"/>
    <n v="20.236000000000001"/>
    <s v="L1"/>
    <n v="2"/>
    <d v="2015-09-21T00:00:00"/>
    <s v="A.C."/>
    <n v="13.23"/>
    <n v="4.9000000000000004"/>
    <n v="1.6"/>
    <n v="0.48"/>
    <n v="2.4801000000000002"/>
    <n v="2.5"/>
    <n v="20.100000000000001"/>
    <n v="0.1"/>
    <n v="0"/>
    <n v="0"/>
    <n v="2.9946899999999999"/>
    <n v="3"/>
    <n v="0"/>
    <n v="0"/>
    <n v="20.210000000000004"/>
    <n v="1.1428199999999999"/>
    <n v="75.14"/>
    <n v="30.46"/>
    <n v="0.12759438624234037"/>
    <x v="119"/>
    <n v="49.685000000000002"/>
    <n v="7.0150792082003768E-2"/>
    <n v="0"/>
    <n v="0"/>
    <n v="0"/>
    <n v="0"/>
  </r>
  <r>
    <n v="1259"/>
    <s v="แขวงทางหลวงนครสวรรค์ที่ 2 (ตากฟ้า)"/>
    <n v="438"/>
    <n v="1411"/>
    <n v="100"/>
    <s v="หนองคอก - ธารทหาร"/>
    <s v="0+000"/>
    <s v="8+000"/>
    <n v="8"/>
    <n v="2"/>
    <s v="L1"/>
    <d v="2015-10-05T00:00:00"/>
    <s v="A.C."/>
    <n v="2.8"/>
    <n v="1.875"/>
    <n v="1.2749999999999999"/>
    <n v="2.1"/>
    <n v="4.0904999999999996"/>
    <n v="4"/>
    <n v="7.875"/>
    <n v="0.125"/>
    <n v="0.05"/>
    <n v="0"/>
    <n v="2.99411"/>
    <n v="3"/>
    <n v="0"/>
    <n v="0"/>
    <n v="8"/>
    <n v="1.6194999999999999"/>
    <n v="27.95"/>
    <n v="15.36"/>
    <n v="0.12724999999999997"/>
    <x v="119"/>
    <n v="69.58"/>
    <n v="0.24849999999999997"/>
    <n v="0"/>
    <n v="0"/>
    <n v="0"/>
    <n v="0"/>
  </r>
  <r>
    <n v="1343"/>
    <s v="แขวงทางหลวงกาญจนบุรี"/>
    <n v="444"/>
    <n v="3548"/>
    <n v="100"/>
    <s v="ท่ามะกา - ท่าม่วง"/>
    <s v="4+654"/>
    <s v="17+235"/>
    <n v="12.581"/>
    <n v="2"/>
    <s v="L1"/>
    <d v="2015-07-29T00:00:00"/>
    <s v="A.C."/>
    <n v="10.3"/>
    <n v="2.0499999999999998"/>
    <n v="0.27500000000000002"/>
    <n v="0"/>
    <n v="1.9890099999999999"/>
    <n v="2"/>
    <n v="11.55"/>
    <n v="1"/>
    <n v="0.05"/>
    <n v="2.5000000000000001E-2"/>
    <n v="5.3786800000000001"/>
    <n v="5.5"/>
    <n v="0"/>
    <n v="0"/>
    <n v="12.625000000000002"/>
    <n v="1.0191699999999999"/>
    <n v="34.5"/>
    <n v="42.542999999999999"/>
    <n v="0.12665697707427301"/>
    <x v="119"/>
    <n v="11.5"/>
    <n v="2.6116479498563595E-2"/>
    <n v="1.5334000000000001"/>
    <n v="3.4823486663562971E-3"/>
    <n v="1.5"/>
    <n v="3.4064973258995991E-3"/>
  </r>
  <r>
    <n v="427"/>
    <s v="แขวงทางหลวงสุโขทัย"/>
    <n v="513"/>
    <n v="1048"/>
    <n v="200"/>
    <s v="หอรบ - สวรรคโลก"/>
    <s v="53+217"/>
    <s v="92+319"/>
    <n v="39.101999999999997"/>
    <s v="L1"/>
    <n v="2"/>
    <d v="2015-09-16T00:00:00"/>
    <s v="A.C."/>
    <n v="28.12"/>
    <n v="8.68"/>
    <n v="1.85"/>
    <n v="0.45"/>
    <n v="2.2200000000000002"/>
    <n v="2"/>
    <n v="37.35"/>
    <n v="1.43"/>
    <n v="0.33"/>
    <n v="0"/>
    <n v="3.556"/>
    <n v="3.5"/>
    <n v="0"/>
    <n v="0"/>
    <n v="39.1"/>
    <n v="1.042"/>
    <n v="54.12"/>
    <n v="236.6"/>
    <n v="0.12598551773018551"/>
    <x v="119"/>
    <n v="0"/>
    <n v="0"/>
    <n v="0"/>
    <n v="0"/>
    <n v="0"/>
    <n v="0"/>
  </r>
  <r>
    <n v="2033"/>
    <s v="แขวงทางหลวงนครศรีธรรมราชที่ 2 (ทุ่งสง)"/>
    <n v="326"/>
    <n v="4015"/>
    <n v="202"/>
    <s v="ฉวาง - ห้วยปริก"/>
    <n v="60745"/>
    <n v="80896"/>
    <n v="20.151"/>
    <n v="2"/>
    <s v="R1"/>
    <d v="2015-05-01T00:00:00"/>
    <s v="A.C."/>
    <n v="13.425000000000001"/>
    <n v="4.3250000000000002"/>
    <n v="1.85"/>
    <n v="0.57499999999999996"/>
    <n v="2.3836900000000001"/>
    <n v="2.5"/>
    <n v="18.55"/>
    <n v="1.4"/>
    <n v="0.17499999999999999"/>
    <n v="0.05"/>
    <n v="4.5724600000000004"/>
    <n v="4.5"/>
    <n v="0"/>
    <n v="0"/>
    <n v="20.175000000000001"/>
    <n v="1.2010000000000001"/>
    <n v="18.07"/>
    <n v="141.27000000000001"/>
    <n v="0.12577185109565639"/>
    <x v="119"/>
    <n v="0"/>
    <n v="0"/>
    <n v="0"/>
    <n v="0"/>
    <n v="0"/>
    <n v="0"/>
  </r>
  <r>
    <n v="1295"/>
    <s v="แขวงทางหลวงสุพรรณบุรีที่ 1"/>
    <n v="441"/>
    <n v="3502"/>
    <n v="100"/>
    <s v="ดอนไร่ -  อ่างเก็บน้ำกระเสียว"/>
    <n v="0"/>
    <n v="38694"/>
    <n v="38.694000000000003"/>
    <n v="2"/>
    <s v="L1"/>
    <d v="2015-06-29T00:00:00"/>
    <s v="A.C."/>
    <n v="26.85"/>
    <n v="5.875"/>
    <n v="3.8"/>
    <n v="2.0249999999999999"/>
    <n v="2.3665400000000001"/>
    <n v="2.5"/>
    <n v="38"/>
    <n v="0.55000000000000004"/>
    <n v="0"/>
    <n v="0"/>
    <n v="2.9809999999999999"/>
    <n v="3"/>
    <n v="0"/>
    <n v="0"/>
    <n v="38.549999999999997"/>
    <n v="1.1535"/>
    <n v="159"/>
    <n v="22"/>
    <n v="0.12552702892290427"/>
    <x v="119"/>
    <n v="51"/>
    <n v="3.765810867687127E-2"/>
    <n v="1"/>
    <n v="7.3839428778178968E-4"/>
    <n v="0"/>
    <n v="0"/>
  </r>
  <r>
    <n v="866"/>
    <s v="แขวงทางหลวงอุบลราชธานีที่ 1"/>
    <n v="631"/>
    <n v="212"/>
    <n v="601"/>
    <s v="ลืออำนาจ - หนองยอ"/>
    <n v="563148"/>
    <n v="532733"/>
    <n v="30.414999999999999"/>
    <n v="4"/>
    <s v="R2"/>
    <d v="2015-05-15T00:00:00"/>
    <s v="A.C."/>
    <n v="18.8"/>
    <n v="6.9"/>
    <n v="3.35"/>
    <n v="1.3"/>
    <n v="2.5270700000000001"/>
    <n v="2.5"/>
    <n v="26.074999999999999"/>
    <n v="3.15"/>
    <n v="0.9"/>
    <n v="0.22500000000000001"/>
    <n v="6.7534200000000002"/>
    <n v="7"/>
    <n v="0"/>
    <n v="0"/>
    <n v="30.350000000000005"/>
    <n v="1.3654599999999999"/>
    <n v="129.72"/>
    <n v="7.57"/>
    <n v="0.12540999999999999"/>
    <x v="119"/>
    <n v="196.67"/>
    <n v="0.18475"/>
    <n v="72.14"/>
    <n v="6.7766999999999994E-2"/>
    <n v="0"/>
    <n v="0"/>
  </r>
  <r>
    <n v="584"/>
    <s v="แขวงทางหลวงเพชรบูรณ์ที่ 2 (บึงสามพัน)"/>
    <n v="552"/>
    <n v="2245"/>
    <n v="100"/>
    <s v="นาตะกรุด - หนองบัวเริง"/>
    <n v="0"/>
    <n v="7915"/>
    <n v="7.915"/>
    <n v="2"/>
    <s v="L1"/>
    <d v="2015-07-09T00:00:00"/>
    <s v="A.C."/>
    <n v="6.05"/>
    <n v="1.45"/>
    <n v="0.3"/>
    <n v="0.05"/>
    <n v="2.1211899999999999"/>
    <n v="2"/>
    <n v="7.7750000000000004"/>
    <n v="7.4999999999999997E-2"/>
    <n v="0"/>
    <n v="0"/>
    <n v="2.50339"/>
    <n v="2.5"/>
    <n v="0"/>
    <n v="0"/>
    <n v="7.85"/>
    <n v="1.1673100000000001"/>
    <n v="33"/>
    <n v="3.46"/>
    <n v="0.12536774659326774"/>
    <x v="119"/>
    <n v="0"/>
    <n v="0"/>
    <n v="0"/>
    <n v="0"/>
    <n v="0"/>
    <n v="0"/>
  </r>
  <r>
    <n v="521"/>
    <s v="แขวงทางหลวงอุตรดิตถ์ที่ 1"/>
    <n v="557"/>
    <n v="1204"/>
    <n v="101"/>
    <s v="บึงหลัก - ฟากคลองตรอน"/>
    <s v="0+000"/>
    <s v="21+741"/>
    <n v="21.741"/>
    <s v="L1"/>
    <n v="2"/>
    <d v="2015-09-23T00:00:00"/>
    <s v="A.C."/>
    <n v="16.399999999999999"/>
    <n v="3.95"/>
    <n v="0.95"/>
    <n v="0.35"/>
    <n v="2.1497299999999999"/>
    <n v="2"/>
    <n v="21.23"/>
    <n v="0.41"/>
    <n v="0.03"/>
    <n v="2.5000000000000001E-2"/>
    <n v="3.1663000000000001"/>
    <n v="3"/>
    <n v="0"/>
    <n v="0"/>
    <n v="21.65"/>
    <n v="1.0564199999999999"/>
    <n v="95.24"/>
    <n v="0"/>
    <n v="0.125162"/>
    <x v="119"/>
    <n v="130.44999999999999"/>
    <n v="0.171434"/>
    <n v="0"/>
    <n v="0"/>
    <n v="0"/>
    <n v="0"/>
  </r>
  <r>
    <n v="1489"/>
    <s v="แขวงทางหลวงกรุงเทพ"/>
    <n v="411"/>
    <n v="3702"/>
    <n v="100"/>
    <s v="ถนนศรีนครินทร์ - ลาดกระบัง"/>
    <s v="20+371"/>
    <s v="13+138"/>
    <n v="7.2329999999999997"/>
    <n v="2"/>
    <s v="R1"/>
    <d v="2015-09-01T00:00:00"/>
    <s v="A.C."/>
    <n v="3.9750000000000001"/>
    <n v="1.55"/>
    <n v="0.9"/>
    <n v="0.72499999999999998"/>
    <n v="2.92"/>
    <n v="3"/>
    <n v="7.05"/>
    <n v="0.1"/>
    <n v="0"/>
    <n v="0"/>
    <n v="4.375"/>
    <n v="4.5"/>
    <n v="0"/>
    <n v="0"/>
    <n v="7.1499999999999995"/>
    <n v="1.234"/>
    <n v="0"/>
    <n v="63.07"/>
    <n v="0.12456795244020463"/>
    <x v="119"/>
    <n v="6980"/>
    <n v="27.572040844541885"/>
    <n v="113.68"/>
    <n v="0.44905295174892856"/>
    <n v="4"/>
    <n v="1.5800596472516838E-2"/>
  </r>
  <r>
    <n v="450"/>
    <s v="แขวงทางหลวงสุโขทัย"/>
    <n v="513"/>
    <n v="1330"/>
    <n v="102"/>
    <s v="แม่ทุเลา - ท่าแพ"/>
    <s v="27+807"/>
    <s v="10+000"/>
    <n v="17.806999999999999"/>
    <s v="R1"/>
    <n v="2"/>
    <d v="2015-09-16T00:00:00"/>
    <s v="A.C."/>
    <n v="12.05"/>
    <n v="4.53"/>
    <n v="0.75"/>
    <n v="0.48"/>
    <n v="2.3028900000000001"/>
    <n v="2.5"/>
    <n v="17.61"/>
    <n v="0.15"/>
    <n v="0.05"/>
    <n v="0"/>
    <n v="3.3904899999999998"/>
    <n v="3.5"/>
    <n v="0"/>
    <n v="0"/>
    <n v="17.809999999999999"/>
    <n v="1.4255899999999999"/>
    <n v="65.209999999999994"/>
    <n v="24.65"/>
    <n v="0.12440533016710925"/>
    <x v="119"/>
    <n v="93.484999999999999"/>
    <n v="0.14999719211546023"/>
    <n v="0"/>
    <n v="0"/>
    <n v="0"/>
    <n v="0"/>
  </r>
  <r>
    <n v="1514"/>
    <s v="แขวงทางหลวงอยุธยา"/>
    <n v="413"/>
    <n v="3056"/>
    <n v="100"/>
    <s v="บ้านหว้า - ภาชี"/>
    <n v="23727"/>
    <n v="0"/>
    <n v="23.727"/>
    <n v="4"/>
    <s v="R1"/>
    <d v="2015-09-18T00:00:00"/>
    <s v="A.C."/>
    <n v="11.175000000000001"/>
    <n v="5.5250000000000004"/>
    <n v="3.125"/>
    <n v="3.7749999999999999"/>
    <n v="3.1549999999999998"/>
    <n v="3"/>
    <n v="15.3"/>
    <n v="4.1749999999999998"/>
    <n v="2.0499999999999998"/>
    <n v="2.0750000000000002"/>
    <n v="10.051"/>
    <n v="10"/>
    <n v="0"/>
    <n v="0"/>
    <n v="23.727"/>
    <n v="1.006"/>
    <n v="42"/>
    <n v="122.03"/>
    <n v="0.12404795019537718"/>
    <x v="119"/>
    <n v="1"/>
    <n v="1.2041736659260999E-3"/>
    <n v="0"/>
    <n v="0"/>
    <n v="74"/>
    <n v="8.9108851278531395E-2"/>
  </r>
  <r>
    <n v="1905"/>
    <s v="แขวงทางหลวงสมุทรสงคราม"/>
    <n v="337"/>
    <n v="325"/>
    <n v="102"/>
    <s v="จอมปลวก - สมุทรสงคราม"/>
    <n v="42406"/>
    <n v="28775"/>
    <n v="13.631"/>
    <n v="4"/>
    <s v="R2"/>
    <d v="2015-03-28T00:00:00"/>
    <s v="A.C."/>
    <n v="6.43"/>
    <n v="2.87"/>
    <n v="2.31"/>
    <n v="2.02"/>
    <n v="3.1805699999999999"/>
    <n v="3"/>
    <n v="12.14"/>
    <n v="1.33"/>
    <n v="0.13"/>
    <n v="0.03"/>
    <n v="5.6394099999999998"/>
    <n v="5.5"/>
    <n v="0"/>
    <n v="0"/>
    <n v="13.63"/>
    <n v="1.39676"/>
    <n v="49.69"/>
    <n v="18.670000000000002"/>
    <n v="0.12372009180753954"/>
    <x v="119"/>
    <n v="10.09"/>
    <n v="2.1149271094249453E-2"/>
    <n v="99.35"/>
    <n v="0.20824381399540964"/>
    <n v="0"/>
    <n v="0"/>
  </r>
  <r>
    <n v="672"/>
    <s v="แขวงทางหลวงอุดรธานีที่ 1"/>
    <n v="623"/>
    <n v="2376"/>
    <n v="101"/>
    <s v="น้ำซึม  -  โสกกล้า"/>
    <n v="26825"/>
    <n v="0"/>
    <n v="26.824999999999999"/>
    <n v="2"/>
    <s v="R1"/>
    <d v="2015-05-12T00:00:00"/>
    <s v="A.C."/>
    <n v="11.45"/>
    <n v="7.92"/>
    <n v="4.95"/>
    <n v="2.5099999999999998"/>
    <n v="3.0954700000000002"/>
    <n v="3"/>
    <n v="23.54"/>
    <n v="2.21"/>
    <n v="0.75"/>
    <n v="0.33"/>
    <n v="5.1641899999999996"/>
    <n v="5"/>
    <n v="0"/>
    <n v="0.03"/>
    <n v="26.8"/>
    <n v="1.11561"/>
    <n v="116.16"/>
    <n v="0"/>
    <n v="0.12372"/>
    <x v="119"/>
    <n v="0"/>
    <n v="0"/>
    <n v="66.7"/>
    <n v="7.1041999999999994E-2"/>
    <n v="0"/>
    <n v="0"/>
  </r>
  <r>
    <n v="594"/>
    <s v="แขวงทางหลวงเลยที่ 1"/>
    <n v="554"/>
    <n v="201"/>
    <n v="402"/>
    <s v="หลักร้อยหกสิบ - โนนสว่าง"/>
    <n v="285186"/>
    <n v="308986"/>
    <n v="22.8"/>
    <n v="2"/>
    <s v="L1"/>
    <d v="2015-06-27T00:00:00"/>
    <s v="A.C."/>
    <n v="16.920000000000002"/>
    <n v="4.3099999999999996"/>
    <n v="1.1000000000000001"/>
    <n v="0.48"/>
    <n v="2.4350000000000001"/>
    <n v="2.5"/>
    <n v="21.67"/>
    <n v="0.7"/>
    <n v="0.24"/>
    <n v="0.19"/>
    <n v="4.3369999999999997"/>
    <n v="4.5"/>
    <n v="0"/>
    <n v="0"/>
    <n v="22.8"/>
    <n v="1.1619999999999999"/>
    <n v="103"/>
    <n v="0"/>
    <n v="0.12364945978391358"/>
    <x v="119"/>
    <n v="0"/>
    <n v="0"/>
    <n v="0"/>
    <n v="0"/>
    <n v="0"/>
    <n v="0"/>
  </r>
  <r>
    <n v="948"/>
    <s v="แขวงทางหลวงนครราชสีมาที่ 1"/>
    <n v="611"/>
    <n v="2150"/>
    <n v="102"/>
    <s v="คง - โนนไทย"/>
    <n v="18804"/>
    <n v="65374"/>
    <n v="46.57"/>
    <n v="2"/>
    <s v="R1"/>
    <d v="2015-04-23T00:00:00"/>
    <s v="A.C."/>
    <n v="33.725000000000001"/>
    <n v="7.7249999999999996"/>
    <n v="3.65"/>
    <n v="1.2"/>
    <n v="3.9244500000000002"/>
    <n v="4"/>
    <n v="43.325000000000003"/>
    <n v="2.1749999999999998"/>
    <n v="0.42499999999999999"/>
    <n v="0.35"/>
    <n v="3.7800799999999999"/>
    <n v="4"/>
    <n v="0"/>
    <n v="0"/>
    <n v="46.57"/>
    <n v="1.1799500000000001"/>
    <n v="200.82"/>
    <n v="0"/>
    <n v="0.12320623332004049"/>
    <x v="119"/>
    <n v="62.63"/>
    <n v="3.8424491548820515E-2"/>
    <n v="0"/>
    <n v="0"/>
    <n v="7"/>
    <n v="4.2946102641185308E-3"/>
  </r>
  <r>
    <n v="239"/>
    <s v="แขวงทางหลวงเชียงรายที่ 2"/>
    <n v="537"/>
    <n v="1155"/>
    <n v="101"/>
    <s v="บ้านปี้ - ทรายกาด"/>
    <n v="0"/>
    <n v="13000"/>
    <n v="13"/>
    <n v="2"/>
    <s v="L1"/>
    <d v="2015-07-13T00:00:00"/>
    <s v="A.C."/>
    <n v="8.5500000000000007"/>
    <n v="3.03"/>
    <n v="0.93"/>
    <n v="0.5"/>
    <n v="2.3375499999999998"/>
    <n v="2.5"/>
    <n v="12.85"/>
    <n v="0.15"/>
    <n v="0"/>
    <n v="0"/>
    <n v="2.9473600000000002"/>
    <n v="3"/>
    <n v="0"/>
    <n v="0"/>
    <n v="13"/>
    <n v="1.34216"/>
    <n v="56"/>
    <n v="0"/>
    <n v="0.12307692307692308"/>
    <x v="119"/>
    <n v="2"/>
    <n v="4.3956043956043956E-3"/>
    <n v="0"/>
    <n v="0"/>
    <n v="7"/>
    <n v="1.5384615384615385E-2"/>
  </r>
  <r>
    <n v="151"/>
    <s v="แขวงทางหลวงแพร่"/>
    <n v="531"/>
    <n v="1134"/>
    <n v="100"/>
    <s v="โจโก้ - ร้องเข็ม"/>
    <s v="9+735"/>
    <s v="0+000"/>
    <n v="9.7349999999999994"/>
    <n v="2"/>
    <s v="R1"/>
    <d v="2015-08-05T00:00:00"/>
    <s v="A.C."/>
    <n v="7.67"/>
    <n v="1.56"/>
    <n v="0.43"/>
    <n v="0.08"/>
    <n v="2"/>
    <n v="2"/>
    <n v="6.59"/>
    <n v="1.92"/>
    <n v="0.71"/>
    <n v="0.53"/>
    <n v="8.77"/>
    <n v="9"/>
    <n v="0"/>
    <n v="0"/>
    <n v="9.73"/>
    <n v="1.1080000000000001"/>
    <n v="19"/>
    <n v="45.86"/>
    <n v="0.12306111967128916"/>
    <x v="119"/>
    <n v="87"/>
    <n v="0.25533788245652655"/>
    <n v="130"/>
    <n v="0.38153936459021209"/>
    <n v="6"/>
    <n v="1.7609509134932862E-2"/>
  </r>
  <r>
    <n v="2134"/>
    <s v="แขวงทางหลวงภูเก็ต"/>
    <n v="324"/>
    <n v="4240"/>
    <n v="100"/>
    <s v="ทุ่งมะพร้าว - สามแยกนิคม"/>
    <n v="0"/>
    <n v="14800"/>
    <n v="14.8"/>
    <n v="2"/>
    <s v="L1"/>
    <d v="2015-05-16T00:00:00"/>
    <s v="A.C."/>
    <n v="10.9"/>
    <n v="2.2749999999999999"/>
    <n v="0.9"/>
    <n v="0.375"/>
    <n v="2.0830099999999998"/>
    <n v="2"/>
    <n v="13.65"/>
    <n v="0.77500000000000002"/>
    <n v="2.5000000000000001E-2"/>
    <n v="0"/>
    <n v="5.3822400000000004"/>
    <n v="5.5"/>
    <n v="0"/>
    <n v="0"/>
    <n v="14.450000000000001"/>
    <n v="1.4713499999999999"/>
    <n v="51.914999999999999"/>
    <n v="23.36"/>
    <n v="0.12277027027027025"/>
    <x v="119"/>
    <n v="5.97"/>
    <n v="1.1525096525096522E-2"/>
    <n v="0"/>
    <n v="0"/>
    <n v="0"/>
    <n v="0"/>
  </r>
  <r>
    <n v="394"/>
    <s v="แขวงทางหลวงพิษณุโลกที่ 1"/>
    <n v="511"/>
    <n v="115"/>
    <n v="200"/>
    <s v="แก้วสุวรรณ - บึงบัว"/>
    <s v="56+215"/>
    <s v="35+680"/>
    <n v="20.535"/>
    <s v="R1"/>
    <n v="2"/>
    <d v="2015-09-18T00:00:00"/>
    <s v="A.C."/>
    <n v="7.69"/>
    <n v="8.34"/>
    <n v="3.7"/>
    <n v="0.8"/>
    <n v="2.9357899999999999"/>
    <n v="3"/>
    <n v="20.49"/>
    <n v="0.05"/>
    <n v="0"/>
    <n v="0"/>
    <n v="3.0838899999999998"/>
    <n v="3"/>
    <n v="0"/>
    <n v="0"/>
    <n v="20.53"/>
    <n v="1.1746099999999999"/>
    <n v="84.63"/>
    <n v="6.3449999999999998"/>
    <n v="0.12216399999999999"/>
    <x v="119"/>
    <n v="122.95"/>
    <n v="0.171067"/>
    <n v="0"/>
    <n v="0"/>
    <n v="0"/>
    <n v="0"/>
  </r>
  <r>
    <n v="468"/>
    <s v="แขวงทางหลวงพิษณุโลกที่ 2 (วังทอง)"/>
    <n v="515"/>
    <n v="1295"/>
    <n v="100"/>
    <s v="กกไม้แดง - เนินมะปราง"/>
    <s v="0+000"/>
    <s v="36+033"/>
    <n v="36.033000000000001"/>
    <s v="L1"/>
    <n v="2"/>
    <d v="2015-09-22T00:00:00"/>
    <s v="A.C."/>
    <n v="26.63"/>
    <n v="6.95"/>
    <n v="1.9"/>
    <n v="0.55000000000000004"/>
    <n v="2.30199"/>
    <n v="2.5"/>
    <n v="35.875"/>
    <n v="0.15"/>
    <n v="0"/>
    <n v="0"/>
    <n v="2.79216"/>
    <n v="3"/>
    <n v="0"/>
    <n v="0"/>
    <n v="36.029999999999994"/>
    <n v="1.1826099999999999"/>
    <n v="153.25"/>
    <n v="0"/>
    <n v="0.12151559483172172"/>
    <x v="119"/>
    <n v="123.65"/>
    <n v="9.804504600941201E-2"/>
    <n v="0"/>
    <n v="0"/>
    <n v="0"/>
    <n v="0"/>
  </r>
  <r>
    <n v="406"/>
    <s v="แขวงทางหลวงพิษณุโลกที่ 1"/>
    <n v="511"/>
    <n v="1086"/>
    <n v="100"/>
    <s v="พิษณุโลก - มะขามสูง"/>
    <s v="0+000"/>
    <s v="13+320"/>
    <n v="13.32"/>
    <s v="L2"/>
    <n v="4"/>
    <d v="2015-09-19T00:00:00"/>
    <s v="A.C."/>
    <n v="7.76"/>
    <n v="3.49"/>
    <n v="1.49"/>
    <n v="0.56999999999999995"/>
    <n v="2.6996699999999998"/>
    <n v="2.5"/>
    <n v="13.28"/>
    <n v="0.04"/>
    <n v="0"/>
    <n v="0"/>
    <n v="2.9964400000000002"/>
    <n v="3"/>
    <n v="0"/>
    <n v="0"/>
    <n v="13.32"/>
    <n v="1.10165"/>
    <n v="49.6"/>
    <n v="17.259"/>
    <n v="0.12087299999999999"/>
    <x v="119"/>
    <n v="112.45"/>
    <n v="0.23342499999999999"/>
    <n v="1.47"/>
    <n v="3.0509999999999999E-3"/>
    <n v="0"/>
    <n v="0"/>
  </r>
  <r>
    <n v="1949"/>
    <s v="แขวงทางหลวงนครศรีธรรมราชที่ 1"/>
    <n v="321"/>
    <n v="4013"/>
    <n v="102"/>
    <s v="ปากพนัง - หัวไทร"/>
    <n v="35636"/>
    <n v="69763"/>
    <n v="34.127000000000002"/>
    <n v="2"/>
    <s v="L1"/>
    <d v="2015-04-29T00:00:00"/>
    <s v="A.C."/>
    <n v="26.1"/>
    <n v="5.45"/>
    <n v="2.0249999999999999"/>
    <n v="0.5"/>
    <n v="2.1836799999999998"/>
    <n v="2"/>
    <n v="32.875"/>
    <n v="1.0249999999999999"/>
    <n v="0.17499999999999999"/>
    <n v="0"/>
    <n v="3.4846599999999999"/>
    <n v="3.5"/>
    <n v="0"/>
    <n v="0"/>
    <n v="34.074999999999996"/>
    <n v="1.0944"/>
    <n v="9.68"/>
    <n v="268"/>
    <n v="0.1202901766092202"/>
    <x v="119"/>
    <n v="0"/>
    <n v="0"/>
    <n v="0"/>
    <n v="0"/>
    <n v="0"/>
    <n v="0"/>
  </r>
  <r>
    <n v="413"/>
    <s v="แขวงทางหลวงพิษณุโลกที่ 1"/>
    <n v="511"/>
    <n v="1312"/>
    <n v="200"/>
    <s v="กำแพงดิน - สามแยกกำแพงดิน"/>
    <s v="13+332"/>
    <s v="10+827"/>
    <n v="2.5049999999999999"/>
    <s v="R1"/>
    <n v="2"/>
    <d v="2015-08-07T00:00:00"/>
    <s v="A.C."/>
    <n v="1.87"/>
    <n v="0.53"/>
    <n v="0.03"/>
    <n v="0.08"/>
    <n v="2.3332299999999999"/>
    <n v="2.5"/>
    <n v="2.5"/>
    <n v="0"/>
    <n v="0"/>
    <n v="0"/>
    <n v="1.91269"/>
    <n v="2"/>
    <n v="0"/>
    <n v="0"/>
    <n v="2.5"/>
    <n v="1.0706599999999999"/>
    <n v="12.893000000000001"/>
    <n v="5.1529999999999996"/>
    <n v="0.12"/>
    <x v="119"/>
    <n v="36.69"/>
    <n v="0.112"/>
    <n v="0"/>
    <n v="0"/>
    <n v="0"/>
    <n v="0"/>
  </r>
  <r>
    <n v="1838"/>
    <s v="แขวงทางหลวงชุมพร"/>
    <n v="332"/>
    <n v="327"/>
    <n v="100"/>
    <s v="สี่แยกปฐมพร - แยกหมอเล็ก"/>
    <n v="7833"/>
    <n v="0"/>
    <n v="7.8330000000000002"/>
    <n v="6"/>
    <s v="R3"/>
    <d v="2015-04-07T00:00:00"/>
    <s v="A.C."/>
    <n v="5.4749999999999996"/>
    <n v="1.05"/>
    <n v="0.67500000000000004"/>
    <n v="0.65"/>
    <n v="2.49621"/>
    <n v="2.5"/>
    <n v="7.6749999999999998"/>
    <n v="0.125"/>
    <n v="2.5000000000000001E-2"/>
    <n v="2.5000000000000001E-2"/>
    <n v="3.3066399999999998"/>
    <n v="3.5"/>
    <n v="0"/>
    <n v="0"/>
    <n v="7.85"/>
    <n v="1.26193"/>
    <n v="31.57"/>
    <n v="2.36"/>
    <n v="0.11945797085590268"/>
    <x v="119"/>
    <n v="18.96"/>
    <n v="6.9157958089401977E-2"/>
    <n v="14.58"/>
    <n v="5.3181594353559118E-2"/>
    <n v="0"/>
    <n v="0"/>
  </r>
  <r>
    <n v="1839"/>
    <s v="แขวงทางหลวงชุมพร"/>
    <n v="332"/>
    <n v="3180"/>
    <n v="101"/>
    <s v="ท่าแซะ - ท่าเสม็ด"/>
    <n v="0"/>
    <n v="14864"/>
    <n v="14.864000000000001"/>
    <n v="2"/>
    <s v="L1"/>
    <d v="2015-04-07T00:00:00"/>
    <s v="A.C."/>
    <n v="9.6999999999999993"/>
    <n v="2.3250000000000002"/>
    <n v="1.95"/>
    <n v="0.82499999999999996"/>
    <n v="2.4910999999999999"/>
    <n v="2.5"/>
    <n v="14.475"/>
    <n v="0.3"/>
    <n v="2.5000000000000001E-2"/>
    <n v="0"/>
    <n v="3.2252100000000001"/>
    <n v="3"/>
    <n v="0"/>
    <n v="0"/>
    <n v="14.799999999999997"/>
    <n v="1.1898599999999999"/>
    <n v="37.96"/>
    <n v="48.258000000000003"/>
    <n v="0.1193468399200369"/>
    <x v="119"/>
    <n v="10.68"/>
    <n v="2.0528986621559279E-2"/>
    <n v="0"/>
    <n v="0"/>
    <n v="1.08"/>
    <n v="2.075964939258804E-3"/>
  </r>
  <r>
    <n v="1142"/>
    <s v="แขวงทางหลวงสระบุรี"/>
    <n v="432"/>
    <n v="3022"/>
    <n v="100"/>
    <s v="พระพุทธบาท - ท่าเรือ"/>
    <s v="0+000"/>
    <s v="17+500"/>
    <n v="17.5"/>
    <n v="4"/>
    <s v="L1"/>
    <d v="2015-10-05T00:00:00"/>
    <s v="A.C."/>
    <n v="10.175000000000001"/>
    <n v="4.4000000000000004"/>
    <n v="1.8"/>
    <n v="1.2749999999999999"/>
    <n v="2.9007800000000001"/>
    <n v="3"/>
    <n v="14.1"/>
    <n v="2.3250000000000002"/>
    <n v="0.9"/>
    <n v="0.32500000000000001"/>
    <n v="6.7075899999999997"/>
    <n v="6.5"/>
    <n v="0"/>
    <n v="0"/>
    <n v="17.649999999999999"/>
    <n v="1.4602900000000001"/>
    <n v="68.260000000000005"/>
    <n v="9.2260000000000009"/>
    <n v="0.118976"/>
    <x v="119"/>
    <n v="49.32"/>
    <n v="8.0521999999999996E-2"/>
    <n v="0"/>
    <n v="0"/>
    <n v="0"/>
    <n v="0"/>
  </r>
  <r>
    <n v="2049"/>
    <s v="แขวงทางหลวงสุราษฎร์ธานีที่ 2 (กาญจนดิษฐ์)"/>
    <n v="328"/>
    <n v="401"/>
    <n v="402"/>
    <s v="บางกุ้ง - เขาหัวช้าง"/>
    <n v="162379"/>
    <n v="209704"/>
    <n v="47.325000000000003"/>
    <n v="4"/>
    <s v="L4"/>
    <d v="2015-04-26T00:00:00"/>
    <s v="A.C."/>
    <n v="37.325000000000003"/>
    <n v="5.875"/>
    <n v="2.3250000000000002"/>
    <n v="1.425"/>
    <n v="2.0738500000000002"/>
    <n v="2"/>
    <n v="45.15"/>
    <n v="1.4"/>
    <n v="0.3"/>
    <n v="0.1"/>
    <n v="4.2446999999999999"/>
    <n v="4"/>
    <n v="0"/>
    <n v="0"/>
    <n v="46.95"/>
    <n v="1.29914"/>
    <n v="195.74"/>
    <n v="2.57"/>
    <n v="0.11894951324428343"/>
    <x v="119"/>
    <n v="0"/>
    <n v="0"/>
    <n v="0"/>
    <n v="0"/>
    <n v="0"/>
    <n v="0"/>
  </r>
  <r>
    <n v="490"/>
    <s v="แขวงทางหลวงพิจิตร"/>
    <n v="519"/>
    <n v="117"/>
    <n v="201"/>
    <s v="คลองพลังด้านใต้ - เนินสว่าง"/>
    <s v="38+628"/>
    <s v="70+000"/>
    <n v="31.372"/>
    <s v="L2"/>
    <n v="4"/>
    <d v="2015-09-28T00:00:00"/>
    <s v="A.C."/>
    <n v="24.6"/>
    <n v="4.12"/>
    <n v="1.52"/>
    <n v="1.1299999999999999"/>
    <n v="2.1215700000000002"/>
    <n v="2"/>
    <n v="31.22"/>
    <n v="0.15"/>
    <n v="0"/>
    <n v="0"/>
    <n v="2.8649900000000001"/>
    <n v="3"/>
    <n v="0"/>
    <n v="0"/>
    <n v="31.37"/>
    <n v="1.3755599999999999"/>
    <n v="130.32"/>
    <n v="0"/>
    <n v="0.118686"/>
    <x v="119"/>
    <n v="94.18"/>
    <n v="8.5773000000000002E-2"/>
    <n v="0.77"/>
    <n v="7.0100000000000002E-4"/>
    <n v="0"/>
    <n v="0"/>
  </r>
  <r>
    <n v="877"/>
    <s v="แขวงทางหลวงอุบลราชธานีที่ 1"/>
    <n v="631"/>
    <n v="2415"/>
    <n v="101"/>
    <s v="หนองบ่อ - หนองยอ"/>
    <n v="0"/>
    <n v="14070"/>
    <n v="14.07"/>
    <n v="2"/>
    <s v="L1"/>
    <d v="2015-05-15T00:00:00"/>
    <s v="A.C."/>
    <n v="11.5"/>
    <n v="1.85"/>
    <n v="0.42499999999999999"/>
    <n v="0.25"/>
    <n v="2.1920799999999998"/>
    <n v="2"/>
    <n v="14"/>
    <n v="2.5000000000000001E-2"/>
    <n v="0"/>
    <n v="0"/>
    <n v="4.0064599999999997"/>
    <n v="4"/>
    <n v="0"/>
    <n v="0"/>
    <n v="14.025"/>
    <n v="1.41221"/>
    <n v="28.15"/>
    <n v="60.55"/>
    <n v="0.11864"/>
    <x v="119"/>
    <n v="0"/>
    <n v="0"/>
    <n v="31.99"/>
    <n v="6.4960000000000004E-2"/>
    <n v="0"/>
    <n v="0"/>
  </r>
  <r>
    <n v="334"/>
    <s v="แขวงทางหลวงหนองคาย"/>
    <n v="646"/>
    <n v="2230"/>
    <n v="200"/>
    <s v="บ้านปัก - เฝ้าไร่"/>
    <n v="3144"/>
    <n v="24949"/>
    <n v="21.805"/>
    <n v="2"/>
    <s v="L1"/>
    <d v="2015-06-09T00:00:00"/>
    <s v="A.C."/>
    <n v="15.875"/>
    <n v="4.2"/>
    <n v="1.2"/>
    <n v="0.4"/>
    <n v="2.4108800000000001"/>
    <n v="2.5"/>
    <n v="21.35"/>
    <n v="0.3"/>
    <n v="2.5000000000000001E-2"/>
    <n v="0"/>
    <n v="3.9069099999999999"/>
    <n v="4"/>
    <n v="0"/>
    <n v="0"/>
    <n v="21.675000000000001"/>
    <n v="1.17154"/>
    <n v="78"/>
    <n v="24"/>
    <n v="0.11847000000000001"/>
    <x v="119"/>
    <n v="2"/>
    <n v="2.6329999999999999E-3"/>
    <n v="0"/>
    <n v="0"/>
    <n v="0"/>
    <n v="0"/>
  </r>
  <r>
    <n v="880"/>
    <s v="แขวงทางหลวงอุบลราชธานีที่ 2 (หนองหาน)"/>
    <n v="632"/>
    <n v="2134"/>
    <n v="200"/>
    <s v="ดอนใหญ่ - โขงเจียม"/>
    <n v="79725"/>
    <n v="105325"/>
    <n v="25.6"/>
    <n v="2"/>
    <s v="L1"/>
    <d v="2015-05-19T00:00:00"/>
    <s v="A.C."/>
    <n v="14.475"/>
    <n v="7.6"/>
    <n v="2.375"/>
    <n v="1.125"/>
    <n v="3.4771899999999998"/>
    <n v="3.5"/>
    <n v="25.05"/>
    <n v="0.45"/>
    <n v="7.4999999999999997E-2"/>
    <n v="0"/>
    <n v="4.6959900000000001"/>
    <n v="4.5"/>
    <n v="0"/>
    <n v="0"/>
    <n v="25.574999999999999"/>
    <n v="1.67018"/>
    <n v="51.75"/>
    <n v="108.13"/>
    <n v="0.11809699999999999"/>
    <x v="119"/>
    <n v="208.37"/>
    <n v="0.23255600000000001"/>
    <n v="1.87"/>
    <n v="2.0869999999999999E-3"/>
    <n v="554.28"/>
    <n v="0.61861600000000005"/>
  </r>
  <r>
    <n v="89"/>
    <s v="แขวงทางหลวงแม่ฮ่องสอน"/>
    <n v="526"/>
    <n v="108"/>
    <n v="203"/>
    <s v="หนองแห้ง - แม่สุริน"/>
    <s v="307+900"/>
    <s v="271+100"/>
    <n v="36.799999999999997"/>
    <n v="2"/>
    <s v="R1"/>
    <d v="2015-08-28T00:00:00"/>
    <s v="A.C."/>
    <n v="15.16"/>
    <n v="14.07"/>
    <n v="6.12"/>
    <n v="1.45"/>
    <n v="2.8629600000000002"/>
    <n v="3"/>
    <n v="36.15"/>
    <n v="0.65"/>
    <n v="0"/>
    <n v="0"/>
    <n v="2.9479899999999999"/>
    <n v="3"/>
    <n v="0"/>
    <n v="0"/>
    <n v="36.799999999999997"/>
    <n v="1.3665099999999999"/>
    <n v="148.35"/>
    <n v="6.3"/>
    <n v="0.11762422360248449"/>
    <x v="119"/>
    <n v="0"/>
    <n v="0"/>
    <n v="0"/>
    <n v="0"/>
    <n v="1.3"/>
    <n v="1.0093167701863354E-3"/>
  </r>
  <r>
    <n v="48"/>
    <s v="แขวงทางหลวงลำปางที่ 1"/>
    <n v="523"/>
    <n v="1034"/>
    <n v="100"/>
    <s v="เกาะคา - ห้างฉัตร"/>
    <s v="16+579"/>
    <s v="0+400"/>
    <n v="16.178999999999998"/>
    <n v="2"/>
    <s v="R1"/>
    <d v="2015-08-06T00:00:00"/>
    <s v="A.C."/>
    <n v="11.275"/>
    <n v="2.6"/>
    <n v="1.575"/>
    <n v="0.45"/>
    <n v="2.3095300000000001"/>
    <n v="2.5"/>
    <n v="15.775"/>
    <n v="0.1"/>
    <n v="2.5000000000000001E-2"/>
    <n v="0"/>
    <n v="2.3852699999999998"/>
    <n v="2.5"/>
    <n v="0"/>
    <n v="0"/>
    <n v="15.899999999999999"/>
    <n v="1.0645"/>
    <n v="21.28"/>
    <n v="89.96"/>
    <n v="0.11701235287365455"/>
    <x v="119"/>
    <n v="231.57"/>
    <n v="0.40894280946200107"/>
    <n v="11"/>
    <n v="1.9425533981439785E-2"/>
    <n v="0"/>
    <n v="0"/>
  </r>
  <r>
    <n v="1015"/>
    <s v="แขวงทางหลวงบุรีรัมย์"/>
    <n v="617"/>
    <n v="228"/>
    <n v="100"/>
    <s v="ถนนวงแหวนรอบเมืองบุรีรัมย์"/>
    <n v="15559"/>
    <n v="0"/>
    <n v="15.558999999999999"/>
    <n v="4"/>
    <s v="R1"/>
    <d v="2015-05-04T00:00:00"/>
    <s v="A.C."/>
    <n v="5.4749999999999996"/>
    <n v="5.1749999999999998"/>
    <n v="2.9"/>
    <n v="2"/>
    <n v="3.1907700000000001"/>
    <n v="3"/>
    <n v="11.15"/>
    <n v="2.4"/>
    <n v="1.3"/>
    <n v="0.7"/>
    <n v="7.6440599999999996"/>
    <n v="7.5"/>
    <n v="0"/>
    <n v="0"/>
    <n v="15.549999999999999"/>
    <n v="1.2500199999999999"/>
    <n v="35.619999999999997"/>
    <n v="55.99"/>
    <n v="0.1168180107057927"/>
    <x v="119"/>
    <n v="179.31"/>
    <n v="0.32927198773332844"/>
    <n v="77.260000000000005"/>
    <n v="0.14187470733521251"/>
    <n v="0.76"/>
    <n v="1.3956093395646066E-3"/>
  </r>
  <r>
    <n v="1482"/>
    <s v="แขวงทางหลวงกรุงเทพ"/>
    <n v="411"/>
    <n v="3481"/>
    <n v="100"/>
    <s v="คลองหลวงแพ่ง - ศาลาแดง"/>
    <s v="0+000"/>
    <s v="1+570"/>
    <n v="1.57"/>
    <n v="2"/>
    <s v="L1"/>
    <d v="2015-08-30T00:00:00"/>
    <s v="A.C."/>
    <n v="0.875"/>
    <n v="0.25"/>
    <n v="0.15"/>
    <n v="0.3"/>
    <n v="3.18"/>
    <n v="3"/>
    <n v="1.5"/>
    <n v="7.4999999999999997E-2"/>
    <n v="0"/>
    <n v="0"/>
    <n v="5.2370000000000001"/>
    <n v="5"/>
    <n v="0"/>
    <n v="0"/>
    <n v="1.575"/>
    <n v="0.99"/>
    <n v="0"/>
    <n v="12.73"/>
    <n v="0.11583257506824388"/>
    <x v="119"/>
    <n v="0"/>
    <n v="0"/>
    <n v="0"/>
    <n v="0"/>
    <n v="0"/>
    <n v="0"/>
  </r>
  <r>
    <n v="1979"/>
    <s v="แขวงทางหลวงตรัง"/>
    <n v="322"/>
    <n v="419"/>
    <n v="100"/>
    <s v="ถนนวงแหวนรอบเมืองตรัง"/>
    <n v="31255"/>
    <n v="0"/>
    <n v="31.254999999999999"/>
    <n v="2"/>
    <s v="R2"/>
    <d v="2015-05-06T00:00:00"/>
    <s v="A.C."/>
    <n v="21.75"/>
    <n v="6.05"/>
    <n v="2.1749999999999998"/>
    <n v="1.2"/>
    <n v="2.39432"/>
    <n v="2.5"/>
    <n v="30.074999999999999"/>
    <n v="1.05"/>
    <n v="2.5000000000000001E-2"/>
    <n v="2.5000000000000001E-2"/>
    <n v="4.3002000000000002"/>
    <n v="4.5"/>
    <n v="0"/>
    <n v="0"/>
    <n v="31.175000000000001"/>
    <n v="1.3068900000000001"/>
    <n v="96.16"/>
    <n v="61"/>
    <n v="0.11578490298695064"/>
    <x v="119"/>
    <n v="5.87"/>
    <n v="5.3659985830838497E-3"/>
    <n v="14.96"/>
    <n v="1.3675526201522044E-2"/>
    <n v="0"/>
    <n v="0"/>
  </r>
  <r>
    <n v="793"/>
    <s v="แขวงทางหลวงยโสธร"/>
    <n v="633"/>
    <n v="2477"/>
    <n v="100"/>
    <s v="โรงพยาบาลยโสธร - ดอนมะยาง"/>
    <n v="1732"/>
    <n v="0"/>
    <n v="1.732"/>
    <n v="4"/>
    <s v="R2"/>
    <d v="2015-05-23T00:00:00"/>
    <s v="A.C."/>
    <n v="1.0249999999999999"/>
    <n v="0.35"/>
    <n v="0.2"/>
    <n v="0.17499999999999999"/>
    <n v="2.6678850000000001"/>
    <n v="2.5"/>
    <n v="1.675"/>
    <n v="0.05"/>
    <n v="2.5000000000000001E-2"/>
    <n v="0"/>
    <n v="5.0648150000000003"/>
    <n v="5"/>
    <n v="0"/>
    <n v="0"/>
    <n v="1.75"/>
    <n v="1.2527300000000001"/>
    <n v="7"/>
    <n v="0"/>
    <n v="0.11547"/>
    <x v="119"/>
    <n v="3"/>
    <n v="4.9489999999999999E-2"/>
    <n v="5"/>
    <n v="8.2480999999999999E-2"/>
    <n v="0"/>
    <n v="0"/>
  </r>
  <r>
    <n v="2192"/>
    <s v="แขวงทางหลวงพัทลุง"/>
    <n v="314"/>
    <n v="4048"/>
    <n v="100"/>
    <s v="สี่แยกช่องโก - ทุ่งข่า"/>
    <n v="7960"/>
    <n v="0"/>
    <n v="7.96"/>
    <n v="2"/>
    <s v="R1"/>
    <d v="2015-05-20T00:00:00"/>
    <s v="A.C."/>
    <n v="4.9749999999999996"/>
    <n v="1.625"/>
    <n v="0.77500000000000002"/>
    <n v="0.42499999999999999"/>
    <n v="2.56298"/>
    <n v="2.5"/>
    <n v="7.2750000000000004"/>
    <n v="0.5"/>
    <n v="2.5000000000000001E-2"/>
    <n v="0"/>
    <n v="4.7378299999999998"/>
    <n v="4.5"/>
    <n v="0"/>
    <n v="0"/>
    <n v="7.8"/>
    <n v="1.27399"/>
    <n v="32.14"/>
    <n v="0"/>
    <n v="0.11536252692031586"/>
    <x v="119"/>
    <n v="32.92"/>
    <n v="0.11816223977027998"/>
    <n v="73.41"/>
    <n v="0.26349605168700646"/>
    <n v="0"/>
    <n v="0"/>
  </r>
  <r>
    <n v="129"/>
    <s v="แขวงทางหลวงลำปางที่ 2"/>
    <n v="528"/>
    <n v="1035"/>
    <n v="102"/>
    <s v="สำเภาทอง -  สันติสุข"/>
    <s v="55+291"/>
    <s v="30+000"/>
    <n v="25.291"/>
    <n v="2"/>
    <s v="R1"/>
    <d v="2015-08-08T00:00:00"/>
    <s v="A.C."/>
    <n v="16.100000000000001"/>
    <n v="5.35"/>
    <n v="2.8"/>
    <n v="1.1000000000000001"/>
    <n v="2.4689199999999998"/>
    <n v="2.5"/>
    <n v="24.824999999999999"/>
    <n v="0.4"/>
    <n v="0.1"/>
    <n v="2.5000000000000001E-2"/>
    <n v="2.6708599999999998"/>
    <n v="2.5"/>
    <n v="0"/>
    <n v="0"/>
    <n v="25.350000000000005"/>
    <n v="1.1791499999999999"/>
    <n v="94.68"/>
    <n v="14.68"/>
    <n v="0.11525274377672465"/>
    <x v="119"/>
    <n v="0"/>
    <n v="0"/>
    <n v="0"/>
    <n v="0"/>
    <n v="0"/>
    <n v="0"/>
  </r>
  <r>
    <n v="1375"/>
    <s v="แขวงทางหลวงสุพรรณบุรีที่ 2 (อู่ทอง)"/>
    <n v="445"/>
    <n v="3422"/>
    <n v="100"/>
    <s v="ลาดบัวหลวง - สองพี่น้อง"/>
    <n v="0"/>
    <n v="32355"/>
    <n v="32.354999999999997"/>
    <n v="4"/>
    <s v="L2"/>
    <d v="2015-07-22T00:00:00"/>
    <s v="A.C."/>
    <n v="22.975000000000001"/>
    <n v="6.5250000000000004"/>
    <n v="2.2999999999999998"/>
    <n v="0.65"/>
    <n v="2.3046500000000001"/>
    <n v="2.5"/>
    <n v="29.7"/>
    <n v="2.15"/>
    <n v="0.52500000000000002"/>
    <n v="7.4999999999999997E-2"/>
    <n v="5.4486999999999997"/>
    <n v="5.5"/>
    <n v="0"/>
    <n v="0"/>
    <n v="32.450000000000003"/>
    <n v="1.17737"/>
    <n v="90"/>
    <n v="81"/>
    <n v="0.11523941982912776"/>
    <x v="119"/>
    <n v="0"/>
    <n v="0"/>
    <n v="221"/>
    <n v="0.19515641212442328"/>
    <n v="0"/>
    <n v="0"/>
  </r>
  <r>
    <n v="1326"/>
    <s v="แขวงทางหลวงกาญจนบุรี"/>
    <n v="444"/>
    <n v="3209"/>
    <n v="102"/>
    <s v="แสนตอ - ด่านมะขามเตี้ย"/>
    <n v="4000"/>
    <n v="52800"/>
    <n v="48.8"/>
    <n v="2"/>
    <s v="L1"/>
    <d v="2015-07-29T00:00:00"/>
    <s v="A.C."/>
    <n v="33.125"/>
    <n v="10.9"/>
    <n v="3.7749999999999999"/>
    <n v="1.125"/>
    <n v="2.33297"/>
    <n v="2.5"/>
    <n v="48.375"/>
    <n v="0.52500000000000002"/>
    <n v="2.5000000000000001E-2"/>
    <n v="0"/>
    <n v="2.8511299999999999"/>
    <n v="3"/>
    <n v="0"/>
    <n v="0"/>
    <n v="48.924999999999997"/>
    <n v="1.3124400000000001"/>
    <n v="174.22300000000001"/>
    <n v="44.2"/>
    <n v="0.11494320843091338"/>
    <x v="119"/>
    <n v="235.6"/>
    <n v="0.13793911007025764"/>
    <n v="0"/>
    <n v="0"/>
    <n v="0"/>
    <n v="0"/>
  </r>
  <r>
    <n v="472"/>
    <s v="แขวงทางหลวงพิษณุโลกที่ 2 (วังทอง)"/>
    <n v="515"/>
    <n v="1344"/>
    <n v="100"/>
    <s v="น้อยซุ้มขี้เหล็ก - คลองตาลัด"/>
    <s v="0+000"/>
    <s v="26+970"/>
    <n v="26.97"/>
    <s v="L1"/>
    <n v="2"/>
    <d v="2015-09-22T00:00:00"/>
    <s v="A.C."/>
    <n v="15.5"/>
    <n v="7.5250000000000004"/>
    <n v="3.1"/>
    <n v="0.93"/>
    <n v="2.6394500000000001"/>
    <n v="2.5"/>
    <n v="24.774999999999999"/>
    <n v="1.5249999999999999"/>
    <n v="0.47499999999999998"/>
    <n v="0.27500000000000002"/>
    <n v="4.4148300000000003"/>
    <n v="4.5"/>
    <n v="0"/>
    <n v="0"/>
    <n v="27.055"/>
    <n v="1.2598499999999999"/>
    <n v="95.15"/>
    <n v="26.54"/>
    <n v="0.11485777848402987"/>
    <x v="119"/>
    <n v="77.658000000000001"/>
    <n v="8.2269187986651837E-2"/>
    <n v="0"/>
    <n v="0"/>
    <n v="0"/>
    <n v="0"/>
  </r>
  <r>
    <n v="883"/>
    <s v="แขวงทางหลวงอุบลราชธานีที่ 2 (หนองหาน)"/>
    <n v="632"/>
    <n v="2173"/>
    <n v="100"/>
    <s v="นิคมลำโดมน้อย - โขงเจียม"/>
    <n v="900"/>
    <n v="13300"/>
    <n v="13.3"/>
    <n v="2"/>
    <s v="L2"/>
    <d v="2015-05-20T00:00:00"/>
    <s v="A.C."/>
    <n v="6.4749999999999996"/>
    <n v="3.875"/>
    <n v="1.7250000000000001"/>
    <n v="1.125"/>
    <n v="2.87853"/>
    <n v="3"/>
    <n v="12.775"/>
    <n v="0.3"/>
    <n v="2.5000000000000001E-2"/>
    <n v="0.1"/>
    <n v="5.3879299999999999"/>
    <n v="5.5"/>
    <n v="0"/>
    <n v="0"/>
    <n v="13.2"/>
    <n v="1.2745200000000001"/>
    <n v="23.66"/>
    <n v="59.58"/>
    <n v="0.11482299999999999"/>
    <x v="119"/>
    <n v="62.31"/>
    <n v="0.133856"/>
    <n v="2.02"/>
    <n v="4.339E-3"/>
    <n v="18.39"/>
    <n v="3.9505999999999999E-2"/>
  </r>
  <r>
    <n v="1203"/>
    <s v="แขวงทางหลวงลพบุรีที่ 2 (ลำนารายณ์)"/>
    <n v="435"/>
    <n v="2247"/>
    <n v="101"/>
    <s v="จงโก - ลำสมพุง"/>
    <s v="16+222"/>
    <s v="0+000"/>
    <n v="16.222000000000001"/>
    <n v="2"/>
    <s v="R1"/>
    <d v="2015-10-05T00:00:00"/>
    <s v="A.C."/>
    <n v="10.074999999999999"/>
    <n v="3.55"/>
    <n v="1.4750000000000001"/>
    <n v="1.1000000000000001"/>
    <n v="2.6575299999999999"/>
    <n v="2.5"/>
    <n v="12.5"/>
    <n v="3.1"/>
    <n v="0.57499999999999996"/>
    <n v="2.5000000000000001E-2"/>
    <n v="7.1051299999999999"/>
    <n v="7"/>
    <n v="0"/>
    <n v="0"/>
    <n v="16.222000000000001"/>
    <n v="1.19343"/>
    <n v="58"/>
    <n v="14.324999999999999"/>
    <n v="0.11476918470507422"/>
    <x v="119"/>
    <n v="40.25"/>
    <n v="7.0890999999999996E-2"/>
    <n v="0"/>
    <n v="0"/>
    <n v="0"/>
    <n v="0"/>
  </r>
  <r>
    <n v="121"/>
    <s v="แขวงทางหลวงเชียงใหม่ที่ 3"/>
    <n v="527"/>
    <n v="1346"/>
    <n v="101"/>
    <s v="พร้าว - แดนดิน"/>
    <n v="24801"/>
    <n v="0"/>
    <n v="24.800999999999998"/>
    <n v="2"/>
    <s v="R1"/>
    <d v="2015-08-24T00:00:00"/>
    <s v="A.C."/>
    <n v="2.66"/>
    <n v="8.61"/>
    <n v="7.64"/>
    <n v="5.9"/>
    <n v="4.1850300000000002"/>
    <n v="4"/>
    <n v="22.14"/>
    <n v="1.04"/>
    <n v="0.47"/>
    <n v="1.1399999999999999"/>
    <n v="4.9864499999999996"/>
    <n v="5"/>
    <n v="0"/>
    <n v="0"/>
    <n v="24.8"/>
    <n v="1.36229"/>
    <n v="98.63"/>
    <n v="1.25"/>
    <n v="0.11434446767699458"/>
    <x v="119"/>
    <n v="10.32"/>
    <n v="1.1888921529661823E-2"/>
    <n v="0"/>
    <n v="0"/>
    <n v="0"/>
    <n v="0"/>
  </r>
  <r>
    <n v="600"/>
    <s v="แขวงทางหลวงเลยที่ 1"/>
    <n v="554"/>
    <n v="201"/>
    <n v="405"/>
    <s v="ปากภู - เชียงคาน"/>
    <n v="341241"/>
    <n v="382228"/>
    <n v="40.987000000000002"/>
    <n v="4"/>
    <s v="L2"/>
    <d v="2015-07-01T00:00:00"/>
    <s v="A.C."/>
    <n v="25.55"/>
    <n v="8.9600000000000009"/>
    <n v="4"/>
    <n v="2.48"/>
    <n v="2.8580000000000001"/>
    <n v="3"/>
    <n v="36.64"/>
    <n v="3"/>
    <n v="0.85"/>
    <n v="0.5"/>
    <n v="5.6139999999999999"/>
    <n v="5.5"/>
    <n v="0"/>
    <n v="0"/>
    <n v="40.99"/>
    <n v="1.175"/>
    <n v="164"/>
    <n v="0"/>
    <n v="0.11432196271291593"/>
    <x v="119"/>
    <n v="6"/>
    <n v="4.1825108309603391E-3"/>
    <n v="0"/>
    <n v="0"/>
    <n v="0"/>
    <n v="0"/>
  </r>
  <r>
    <n v="556"/>
    <s v="แขวงทางหลวงเพชรบูรณ์ที่ 1"/>
    <n v="551"/>
    <n v="2216"/>
    <n v="201"/>
    <s v="ห้วยสนามทราย - โคกมน"/>
    <n v="513"/>
    <n v="10000"/>
    <n v="9.4870000000000001"/>
    <n v="2"/>
    <s v="L1"/>
    <d v="2015-06-23T00:00:00"/>
    <s v="A.C."/>
    <n v="3.66"/>
    <n v="3.36"/>
    <n v="2.09"/>
    <n v="0.38"/>
    <n v="2.9040499999999998"/>
    <n v="3"/>
    <n v="9.02"/>
    <n v="0.38"/>
    <n v="0.1"/>
    <n v="0"/>
    <n v="4.1616"/>
    <n v="4"/>
    <n v="0"/>
    <n v="0"/>
    <n v="9.5"/>
    <n v="1.2184600000000001"/>
    <n v="28.24"/>
    <n v="18.97"/>
    <n v="0.11361411856826632"/>
    <x v="119"/>
    <n v="0"/>
    <n v="0"/>
    <n v="0"/>
    <n v="0"/>
    <n v="0"/>
    <n v="0"/>
  </r>
  <r>
    <n v="1446"/>
    <s v="แขวงทางหลวงอ่างทอง"/>
    <n v="448"/>
    <n v="309"/>
    <n v="202"/>
    <s v="แยกที่ดิน - ไชโย"/>
    <s v="53+900"/>
    <s v="56+271"/>
    <n v="2.371"/>
    <n v="4"/>
    <s v="R2"/>
    <d v="2015-06-26T00:00:00"/>
    <s v="A.C."/>
    <n v="1.3"/>
    <n v="0.45"/>
    <n v="0.22500000000000001"/>
    <n v="0.22500000000000001"/>
    <n v="3.5139999999999998"/>
    <n v="3.5"/>
    <n v="1.75"/>
    <n v="0.45"/>
    <n v="0"/>
    <n v="0"/>
    <n v="2.9409999999999998"/>
    <n v="3"/>
    <n v="0"/>
    <n v="0"/>
    <n v="2.2000000000000002"/>
    <n v="1.1120000000000001"/>
    <n v="5.1100000000000003"/>
    <n v="8.51"/>
    <n v="0.11285172019039585"/>
    <x v="119"/>
    <n v="16.8"/>
    <n v="0.20244622522142558"/>
    <n v="0"/>
    <n v="0"/>
    <n v="0"/>
    <n v="0"/>
  </r>
  <r>
    <n v="111"/>
    <s v="แขวงทางหลวงเชียงใหม่ที่ 3"/>
    <n v="527"/>
    <n v="1001"/>
    <n v="200"/>
    <s v="บ้านโป่ง - พร้าว"/>
    <s v="93+657"/>
    <s v="34+140"/>
    <n v="59.517000000000003"/>
    <n v="2"/>
    <s v="R1"/>
    <d v="2015-08-26T00:00:00"/>
    <s v="A.C."/>
    <n v="42.16"/>
    <n v="12.05"/>
    <n v="3.98"/>
    <n v="1.32"/>
    <n v="2.31962"/>
    <n v="2.5"/>
    <n v="59.04"/>
    <n v="0.35"/>
    <n v="7.0000000000000007E-2"/>
    <n v="0.05"/>
    <n v="2.8850799999999999"/>
    <n v="3"/>
    <n v="0"/>
    <n v="0"/>
    <n v="59.52"/>
    <n v="1.12401"/>
    <n v="223.34"/>
    <n v="23.17"/>
    <n v="0.11277690167755192"/>
    <x v="119"/>
    <n v="0"/>
    <n v="0"/>
    <n v="28"/>
    <n v="1.3441537711914243E-2"/>
    <n v="0"/>
    <n v="0"/>
  </r>
  <r>
    <n v="145"/>
    <s v="แขวงทางหลวงแพร่"/>
    <n v="531"/>
    <n v="1022"/>
    <n v="100"/>
    <s v="แพร่ - น้ำกาย"/>
    <s v="0+772"/>
    <s v="23+753"/>
    <n v="22.981000000000002"/>
    <n v="2"/>
    <s v="L1"/>
    <d v="2015-08-07T00:00:00"/>
    <s v="A.C."/>
    <n v="15.56"/>
    <n v="3.95"/>
    <n v="2.19"/>
    <n v="1.3"/>
    <n v="2.4929999999999999"/>
    <n v="2.5"/>
    <n v="10.7"/>
    <n v="2.87"/>
    <n v="1.96"/>
    <n v="7.47"/>
    <n v="19.635000000000002"/>
    <n v="19.5"/>
    <n v="0"/>
    <n v="0"/>
    <n v="22.99"/>
    <n v="1.1870000000000001"/>
    <n v="18.09"/>
    <n v="144.94999999999999"/>
    <n v="0.11259611977596398"/>
    <x v="119"/>
    <n v="42.02"/>
    <n v="5.2241914127819866E-2"/>
    <n v="87.09"/>
    <n v="0.10827578061379896"/>
    <n v="0.36"/>
    <n v="4.4757470456961327E-4"/>
  </r>
  <r>
    <n v="534"/>
    <s v="แขวงทางหลวงอุตรดิตถ์ที่ 2"/>
    <n v="558"/>
    <n v="117"/>
    <n v="503"/>
    <s v="นาไพร - ม่วงเจ็ดต้น"/>
    <s v="373+915"/>
    <s v="396+784"/>
    <n v="22.869"/>
    <s v="L1"/>
    <n v="2"/>
    <d v="2015-09-25T00:00:00"/>
    <s v="A.C."/>
    <n v="11.18"/>
    <n v="6.65"/>
    <n v="3.6"/>
    <n v="1.33"/>
    <n v="2.8107099999999998"/>
    <n v="3"/>
    <n v="22.4"/>
    <n v="0.3"/>
    <n v="0.05"/>
    <n v="0"/>
    <n v="3.1872500000000001"/>
    <n v="3"/>
    <n v="0"/>
    <n v="0"/>
    <n v="22.759999999999998"/>
    <n v="1.3715200000000001"/>
    <n v="85.16"/>
    <n v="9.57"/>
    <n v="0.112373"/>
    <x v="119"/>
    <n v="86.74"/>
    <n v="0.10836899999999999"/>
    <n v="0"/>
    <n v="0"/>
    <n v="0"/>
    <n v="0"/>
  </r>
  <r>
    <n v="2201"/>
    <s v="แขวงทางหลวงพัทลุง"/>
    <n v="314"/>
    <n v="4164"/>
    <n v="100"/>
    <s v="สี่แยกโพธิ์ทอง - เขาปู่"/>
    <n v="0"/>
    <n v="17218"/>
    <n v="17.218"/>
    <n v="2"/>
    <s v="L1"/>
    <d v="2015-05-20T00:00:00"/>
    <s v="A.C."/>
    <n v="12.175000000000001"/>
    <n v="3.6"/>
    <n v="1.1000000000000001"/>
    <n v="0.25"/>
    <n v="2.1090800000000001"/>
    <n v="2"/>
    <n v="15.95"/>
    <n v="0.75"/>
    <n v="0.3"/>
    <n v="0.125"/>
    <n v="3.1525400000000001"/>
    <n v="3"/>
    <n v="0"/>
    <n v="0"/>
    <n v="17.125"/>
    <n v="1.2021900000000001"/>
    <n v="11.03"/>
    <n v="112.48"/>
    <n v="0.11162736670925774"/>
    <x v="119"/>
    <n v="222.19"/>
    <n v="0.3687005293463651"/>
    <n v="23.06"/>
    <n v="3.8265602442626487E-2"/>
    <n v="1"/>
    <n v="1.6593929940427793E-3"/>
  </r>
  <r>
    <n v="1226"/>
    <s v="แขวงทางหลวงนครสวรรค์ที่ 1"/>
    <n v="437"/>
    <n v="1072"/>
    <n v="101"/>
    <s v="หนองเบน - ลาดยาว"/>
    <n v="0"/>
    <s v="22+509"/>
    <n v="22.509"/>
    <n v="2"/>
    <s v="L1"/>
    <d v="2015-10-05T00:00:00"/>
    <s v="A.C."/>
    <n v="15.05"/>
    <n v="4.375"/>
    <n v="2.7"/>
    <n v="0.625"/>
    <n v="2.4820000000000002"/>
    <n v="2.5"/>
    <n v="19.425000000000001"/>
    <n v="3.3250000000000002"/>
    <n v="0"/>
    <n v="0"/>
    <n v="2.863"/>
    <n v="3"/>
    <n v="0"/>
    <n v="0"/>
    <n v="22.509"/>
    <n v="1.1559999999999999"/>
    <n v="28.69"/>
    <n v="118.32"/>
    <n v="0.11151095117508553"/>
    <x v="119"/>
    <n v="11.51"/>
    <n v="1.4610029004271307E-2"/>
    <n v="10.5"/>
    <n v="1.3328002132480341E-2"/>
    <n v="0"/>
    <n v="1.3328002132480341E-2"/>
  </r>
  <r>
    <n v="1273"/>
    <s v="แขวงทางหลวงนครสวรรค์ที่ 2 (ตากฟ้า)"/>
    <n v="438"/>
    <n v="3475"/>
    <n v="100"/>
    <s v="ทับกฤช - พนมรอก"/>
    <s v="25+007"/>
    <s v="0+000"/>
    <n v="25.007000000000001"/>
    <n v="2"/>
    <s v="R1"/>
    <d v="2015-10-05T00:00:00"/>
    <s v="A.C."/>
    <n v="16.149999999999999"/>
    <n v="4.7249999999999996"/>
    <n v="2.2000000000000002"/>
    <n v="1.625"/>
    <n v="2.5737199999999998"/>
    <n v="2.5"/>
    <n v="22.274999999999999"/>
    <n v="1.35"/>
    <n v="0.72499999999999998"/>
    <n v="0.35"/>
    <n v="4.2085299999999997"/>
    <n v="4"/>
    <n v="0"/>
    <n v="0"/>
    <n v="25.007000000000001"/>
    <n v="1.43208"/>
    <n v="94.28"/>
    <n v="6.32"/>
    <n v="0.11132882792818011"/>
    <x v="119"/>
    <n v="95.32"/>
    <n v="0.10890664899542413"/>
    <n v="0"/>
    <n v="0"/>
    <n v="0"/>
    <n v="0"/>
  </r>
  <r>
    <n v="420"/>
    <s v="แขวงทางหลวงสุโขทัย"/>
    <n v="513"/>
    <n v="102"/>
    <n v="200"/>
    <s v="ห้วยช้าง - ศรีสัชนาลัย"/>
    <s v="39+907"/>
    <s v="22+214"/>
    <n v="17.693000000000001"/>
    <s v="R1"/>
    <n v="2"/>
    <d v="2015-09-16T00:00:00"/>
    <s v="A.C."/>
    <n v="11.12"/>
    <n v="4.62"/>
    <n v="1.57"/>
    <n v="0.38"/>
    <n v="2.4300600000000001"/>
    <n v="2.5"/>
    <n v="17.47"/>
    <n v="0.22"/>
    <n v="0"/>
    <n v="0"/>
    <n v="3.1294599999999999"/>
    <n v="3"/>
    <n v="0"/>
    <n v="0"/>
    <n v="17.690000000000001"/>
    <n v="1.0926"/>
    <n v="65.25"/>
    <n v="7.25"/>
    <n v="0.11122235589539041"/>
    <x v="119"/>
    <n v="94.25"/>
    <n v="0.15219901333053423"/>
    <n v="0"/>
    <n v="0"/>
    <n v="0"/>
    <n v="0"/>
  </r>
  <r>
    <n v="660"/>
    <s v="แขวงทางหลวงอุดรธานีที่ 1"/>
    <n v="623"/>
    <n v="2020"/>
    <n v="200"/>
    <s v="บ้านว่าน - บ้านผือ"/>
    <n v="13175"/>
    <n v="22627"/>
    <n v="9.452"/>
    <n v="2"/>
    <s v="L1"/>
    <d v="2015-06-12T00:00:00"/>
    <s v="A.C."/>
    <n v="6.93"/>
    <n v="1.98"/>
    <n v="0.45"/>
    <n v="0.1"/>
    <n v="2.3405300000000002"/>
    <n v="2.5"/>
    <n v="8.65"/>
    <n v="0.63"/>
    <n v="0.15"/>
    <n v="0.03"/>
    <n v="5.3045499999999999"/>
    <n v="5.5"/>
    <n v="0"/>
    <n v="0"/>
    <n v="9.4499999999999993"/>
    <n v="1.2478800000000001"/>
    <n v="33.5"/>
    <n v="6.43"/>
    <n v="0.11098"/>
    <x v="119"/>
    <n v="0"/>
    <n v="0"/>
    <n v="0"/>
    <n v="0"/>
    <n v="0"/>
    <n v="0"/>
  </r>
  <r>
    <n v="872"/>
    <s v="แขวงทางหลวงอุบลราชธานีที่ 1"/>
    <n v="631"/>
    <n v="2382"/>
    <n v="100"/>
    <s v="เขื่องใน - ธาตุน้อย"/>
    <n v="21130"/>
    <n v="0"/>
    <n v="21.13"/>
    <n v="2"/>
    <s v="R1"/>
    <d v="2015-05-15T00:00:00"/>
    <s v="A.C."/>
    <n v="13.574999999999999"/>
    <n v="5"/>
    <n v="1.3"/>
    <n v="1.1000000000000001"/>
    <n v="2.7509000000000001"/>
    <n v="3"/>
    <n v="20.8"/>
    <n v="7.4999999999999997E-2"/>
    <n v="0.1"/>
    <n v="0"/>
    <n v="4.1017299999999999"/>
    <n v="4"/>
    <n v="0"/>
    <n v="0"/>
    <n v="20.975000000000001"/>
    <n v="1.3072600000000001"/>
    <n v="63.81"/>
    <n v="36.270000000000003"/>
    <n v="0.1108"/>
    <x v="119"/>
    <n v="0"/>
    <n v="0"/>
    <n v="343.2"/>
    <n v="0.46406599999999998"/>
    <n v="0"/>
    <n v="0"/>
  </r>
  <r>
    <n v="200"/>
    <s v="แขวงทางหลวงพะเยา"/>
    <n v="535"/>
    <n v="1092"/>
    <n v="100"/>
    <s v="ปง - ปัวดอย"/>
    <n v="10000"/>
    <n v="0"/>
    <n v="10"/>
    <n v="2"/>
    <s v="R1"/>
    <d v="2015-07-24T00:00:00"/>
    <s v="A.C."/>
    <n v="4.25"/>
    <n v="3.2"/>
    <n v="1.93"/>
    <n v="0.63"/>
    <n v="2.93987"/>
    <n v="3"/>
    <n v="9.43"/>
    <n v="0.55000000000000004"/>
    <n v="0.03"/>
    <n v="0"/>
    <n v="5.4520499999999998"/>
    <n v="5.5"/>
    <n v="0"/>
    <n v="0"/>
    <n v="10"/>
    <n v="1.1691100000000001"/>
    <n v="6"/>
    <n v="65.5"/>
    <n v="0.11071428571428571"/>
    <x v="119"/>
    <n v="50"/>
    <n v="0.14285714285714285"/>
    <n v="0"/>
    <n v="0"/>
    <n v="15"/>
    <n v="4.2857142857142858E-2"/>
  </r>
  <r>
    <n v="1734"/>
    <s v="แขวงทางหลวงจันทบุรี"/>
    <n v="423"/>
    <n v="3152"/>
    <n v="100"/>
    <s v="ท่าจุ๊ย - ท่าใหม่"/>
    <n v="0"/>
    <n v="3382"/>
    <n v="3.3820000000000001"/>
    <n v="2"/>
    <s v="R1"/>
    <d v="2015-08-18T00:00:00"/>
    <s v="A.C."/>
    <n v="2.6749999999999998"/>
    <n v="0.42499999999999999"/>
    <n v="0.25"/>
    <n v="0"/>
    <n v="2.5205899999999999"/>
    <n v="2.5"/>
    <n v="3.125"/>
    <n v="0.22500000000000001"/>
    <n v="0"/>
    <n v="0"/>
    <n v="4.7372100000000001"/>
    <n v="4.5"/>
    <n v="0"/>
    <n v="0"/>
    <n v="3.3820000000000001"/>
    <n v="1.01495"/>
    <n v="0"/>
    <n v="26.13"/>
    <n v="0.11037"/>
    <x v="119"/>
    <n v="1.96"/>
    <n v="1.6559999999999998E-2"/>
    <n v="55"/>
    <n v="0.46464475796232152"/>
    <n v="0"/>
    <n v="0"/>
  </r>
  <r>
    <n v="1950"/>
    <s v="แขวงทางหลวงนครศรีธรรมราชที่ 2"/>
    <n v="321"/>
    <n v="4015"/>
    <n v="200"/>
    <s v="บ้านตาล - เขาธง"/>
    <s v="24+070"/>
    <s v="0+000"/>
    <n v="24.07"/>
    <n v="2"/>
    <s v="R1"/>
    <d v="2015-04-28T00:00:00"/>
    <s v="A.C."/>
    <n v="16.95"/>
    <n v="5.35"/>
    <n v="1.625"/>
    <n v="0.25"/>
    <n v="2.2512099999999999"/>
    <n v="2.5"/>
    <n v="24"/>
    <n v="0.17499999999999999"/>
    <n v="0"/>
    <n v="0"/>
    <n v="3.70906"/>
    <n v="3.5"/>
    <n v="0"/>
    <n v="0"/>
    <n v="24.175000000000001"/>
    <n v="1.4743299999999999"/>
    <n v="15.52"/>
    <n v="154.86000000000001"/>
    <n v="0.11033295744554572"/>
    <x v="119"/>
    <n v="43.65"/>
    <n v="5.1813163985993234E-2"/>
    <n v="0"/>
    <n v="0"/>
    <n v="0"/>
    <n v="0"/>
  </r>
  <r>
    <n v="2009"/>
    <s v="แขวงทางหลวงสุราษฎร์ธานี ที่ 1 (พุนพิน)"/>
    <n v="325"/>
    <n v="4112"/>
    <n v="201"/>
    <s v="สวนแตง - ไชยา"/>
    <s v="55+872"/>
    <s v="33+472"/>
    <n v="22.4"/>
    <n v="2"/>
    <s v="R1"/>
    <d v="2015-04-22T00:00:00"/>
    <s v="A.C."/>
    <n v="10.97"/>
    <n v="7.69"/>
    <n v="2.65"/>
    <n v="1.0900000000000001"/>
    <n v="2.7317200000000001"/>
    <n v="2.5"/>
    <n v="22.4"/>
    <n v="0"/>
    <n v="0"/>
    <n v="0"/>
    <n v="1.9814400000000001"/>
    <n v="2"/>
    <n v="0"/>
    <n v="0"/>
    <n v="22.4"/>
    <n v="1.1919599999999999"/>
    <n v="81.56"/>
    <n v="9.36"/>
    <n v="0.11000000000000003"/>
    <x v="119"/>
    <n v="0"/>
    <n v="0"/>
    <n v="0"/>
    <n v="0"/>
    <n v="0"/>
    <n v="0"/>
  </r>
  <r>
    <n v="1303"/>
    <s v="แขวงทางหลวงสุพรรณบุรีที่ 1"/>
    <n v="441"/>
    <n v="3602"/>
    <n v="100"/>
    <s v="หนองกุฎี - ดงดำ"/>
    <n v="0"/>
    <n v="9630"/>
    <n v="9.6300000000000008"/>
    <n v="2"/>
    <s v="L1"/>
    <d v="2015-07-01T00:00:00"/>
    <s v="A.C."/>
    <n v="8.0749999999999993"/>
    <n v="1.175"/>
    <n v="0.2"/>
    <n v="0.17499999999999999"/>
    <n v="2.1314000000000002"/>
    <n v="2"/>
    <n v="9.5"/>
    <n v="0.125"/>
    <n v="0"/>
    <n v="0"/>
    <n v="3.6518799999999998"/>
    <n v="3.5"/>
    <n v="0"/>
    <n v="0"/>
    <n v="9.625"/>
    <n v="1.31186"/>
    <n v="37"/>
    <n v="0"/>
    <n v="0.10977599762646489"/>
    <x v="119"/>
    <n v="0"/>
    <n v="0"/>
    <n v="0"/>
    <n v="0"/>
    <n v="0"/>
    <n v="0"/>
  </r>
  <r>
    <n v="1309"/>
    <s v="แขวงทางหลวงกาญจนบุรี"/>
    <n v="444"/>
    <n v="323"/>
    <n v="202"/>
    <s v="ท่าเรือ - กาญจนบุรี"/>
    <n v="54240"/>
    <n v="32360"/>
    <n v="21.88"/>
    <n v="4"/>
    <s v="R2"/>
    <d v="2015-07-24T00:00:00"/>
    <s v="A.C."/>
    <n v="10.25"/>
    <n v="7.125"/>
    <n v="2.6749999999999998"/>
    <n v="1.875"/>
    <n v="3.2783699999999998"/>
    <n v="3.5"/>
    <n v="20.6"/>
    <n v="1.125"/>
    <n v="0.15"/>
    <n v="0.05"/>
    <n v="4.8975799999999996"/>
    <n v="5"/>
    <n v="0"/>
    <n v="0"/>
    <n v="21.925000000000001"/>
    <n v="0.98056200000000004"/>
    <n v="15.55"/>
    <n v="136.66999999999999"/>
    <n v="0.10953904413685035"/>
    <x v="119"/>
    <n v="235.8"/>
    <n v="0.30791329328806477"/>
    <n v="0"/>
    <n v="0"/>
    <n v="0"/>
    <n v="0"/>
  </r>
  <r>
    <n v="623"/>
    <s v="แขวงทางหลวงเลยที่ 2 (ด่านซ้าย)"/>
    <n v="555"/>
    <n v="2195"/>
    <n v="102"/>
    <s v="ปากคาน - อาฮี"/>
    <n v="48049"/>
    <n v="59257"/>
    <n v="11.208"/>
    <n v="2"/>
    <s v="L1"/>
    <d v="2015-07-01T00:00:00"/>
    <s v="A.C."/>
    <n v="0"/>
    <n v="2.11"/>
    <n v="8.6999999999999993"/>
    <n v="0.4"/>
    <n v="2.5379999999999998"/>
    <n v="2.5"/>
    <n v="11.06"/>
    <n v="0.06"/>
    <n v="2.5000000000000001E-2"/>
    <n v="2.5000000000000001E-2"/>
    <n v="2.7210000000000001"/>
    <n v="2.5"/>
    <n v="0"/>
    <n v="0"/>
    <n v="11.208"/>
    <n v="1.1200000000000001"/>
    <n v="42.92"/>
    <n v="0"/>
    <n v="0.10941164474355053"/>
    <x v="119"/>
    <n v="0"/>
    <n v="0"/>
    <n v="0"/>
    <n v="0"/>
    <n v="0"/>
    <n v="0"/>
  </r>
  <r>
    <n v="609"/>
    <s v="แขวงทางหลวงเลยที่ 1"/>
    <n v="554"/>
    <n v="2249"/>
    <n v="102"/>
    <s v="วังแคน - สงเปือย"/>
    <n v="15000"/>
    <n v="31376"/>
    <n v="16.376000000000001"/>
    <n v="2"/>
    <s v="L1"/>
    <d v="2015-06-26T00:00:00"/>
    <s v="A.C."/>
    <n v="9.17"/>
    <n v="4.32"/>
    <n v="1.99"/>
    <n v="0.9"/>
    <n v="2.6881400000000002"/>
    <n v="2.5"/>
    <n v="15.28"/>
    <n v="0.93"/>
    <n v="0.25"/>
    <n v="0.08"/>
    <n v="5.4340900000000003"/>
    <n v="5.5"/>
    <n v="0"/>
    <n v="0.03"/>
    <n v="16.350000000000001"/>
    <n v="1.18381"/>
    <n v="59"/>
    <n v="6.73"/>
    <n v="0.10880905855258566"/>
    <x v="119"/>
    <n v="0"/>
    <n v="0"/>
    <n v="272"/>
    <n v="0.47456207690697183"/>
    <n v="0"/>
    <n v="0"/>
  </r>
  <r>
    <n v="834"/>
    <s v="แขวงทางหลวงกาฬสินธุ์"/>
    <n v="647"/>
    <n v="2442"/>
    <n v="100"/>
    <s v="ห้วยสีทน - มอดินแดง"/>
    <n v="3"/>
    <n v="2913"/>
    <n v="2.91"/>
    <n v="2"/>
    <s v="L1"/>
    <d v="2015-05-30T00:00:00"/>
    <s v="A.C."/>
    <n v="2.1"/>
    <n v="0.57499999999999996"/>
    <n v="0.15"/>
    <n v="7.4999999999999997E-2"/>
    <n v="2.4401700000000002"/>
    <n v="2.5"/>
    <n v="2.6749999999999998"/>
    <n v="0.22500000000000001"/>
    <n v="0"/>
    <n v="0"/>
    <n v="5.0293599999999996"/>
    <n v="5"/>
    <n v="0"/>
    <n v="0"/>
    <n v="2.9"/>
    <n v="1.2521599999999999"/>
    <n v="0"/>
    <n v="22"/>
    <n v="0.10800196367206677"/>
    <x v="119"/>
    <n v="0"/>
    <n v="0"/>
    <n v="41"/>
    <n v="0.40255299999999999"/>
    <n v="0"/>
    <n v="0"/>
  </r>
  <r>
    <n v="491"/>
    <s v="แขวงทางหลวงพิจิตร"/>
    <n v="519"/>
    <n v="117"/>
    <n v="201"/>
    <s v="คลองพลังด้านใต้ - เนินสว่าง"/>
    <s v="70+000"/>
    <s v="38+628"/>
    <n v="31.372"/>
    <s v="R2"/>
    <n v="4"/>
    <d v="2015-09-28T00:00:00"/>
    <s v="A.C."/>
    <n v="18.96"/>
    <n v="6.21"/>
    <n v="4.22"/>
    <n v="1.98"/>
    <n v="2.6281300000000001"/>
    <n v="2.5"/>
    <n v="29.3"/>
    <n v="1.65"/>
    <n v="0.25"/>
    <n v="0.17"/>
    <n v="5.10459"/>
    <n v="5"/>
    <n v="0"/>
    <n v="0"/>
    <n v="31.37"/>
    <n v="1.20645"/>
    <n v="110.21"/>
    <n v="15.98"/>
    <n v="0.10764799999999999"/>
    <x v="119"/>
    <n v="96.78"/>
    <n v="8.8139999999999996E-2"/>
    <n v="0"/>
    <n v="0"/>
    <n v="0"/>
    <n v="0"/>
  </r>
  <r>
    <n v="1102"/>
    <s v="แขวงทางหลวงลพบุรีที่ 1"/>
    <n v="431"/>
    <n v="366"/>
    <n v="100"/>
    <s v="ทางเลี่ยงเมืองลพบุรี"/>
    <s v="19+310"/>
    <s v="0+000"/>
    <n v="19.309999999999999"/>
    <n v="2"/>
    <s v="R1"/>
    <d v="2015-10-05T00:00:00"/>
    <s v="A.C."/>
    <n v="14.55"/>
    <n v="3.05"/>
    <n v="1.35"/>
    <n v="0.77500000000000002"/>
    <n v="2.40151"/>
    <n v="2.5"/>
    <n v="18.625"/>
    <n v="0.95"/>
    <n v="0.125"/>
    <n v="2.5000000000000001E-2"/>
    <n v="4.9912900000000002"/>
    <n v="5"/>
    <n v="0"/>
    <n v="0"/>
    <n v="19.725000000000001"/>
    <n v="1.13598"/>
    <n v="68.668999999999997"/>
    <n v="6.99"/>
    <n v="0.10677517200562256"/>
    <x v="119"/>
    <n v="20.32"/>
    <n v="3.0065843012502775E-2"/>
    <n v="1.002"/>
    <n v="1.4825774950062885E-3"/>
    <n v="1.2"/>
    <n v="1.7755419101871716E-3"/>
  </r>
  <r>
    <n v="818"/>
    <s v="แขวงทางหลวงกาฬสินธุ์"/>
    <n v="647"/>
    <n v="214"/>
    <n v="100"/>
    <s v="กาฬสินธุ์ - ลำชี"/>
    <s v="14+500"/>
    <s v="28+000"/>
    <n v="13.5"/>
    <n v="4"/>
    <s v="L1"/>
    <d v="2015-05-30T00:00:00"/>
    <s v="A.C."/>
    <n v="10.525"/>
    <n v="2.2000000000000002"/>
    <n v="0.6"/>
    <n v="0.15"/>
    <n v="2.8359999999999999"/>
    <n v="3"/>
    <n v="13.025"/>
    <n v="0.35"/>
    <n v="0"/>
    <n v="0.1"/>
    <n v="5.7549999999999999"/>
    <n v="6"/>
    <n v="0"/>
    <n v="0"/>
    <n v="13.475000000000001"/>
    <n v="1.087"/>
    <n v="1"/>
    <n v="98"/>
    <n v="0.10582010582010583"/>
    <x v="119"/>
    <n v="1"/>
    <n v="2.1164021164021165E-3"/>
    <n v="112"/>
    <n v="0.23703703703703705"/>
    <n v="0"/>
    <n v="0"/>
  </r>
  <r>
    <n v="2195"/>
    <s v="แขวงทางหลวงพัทลุง"/>
    <n v="314"/>
    <n v="4121"/>
    <n v="100"/>
    <s v="แม่ขรี - โหล๊ะจังกระ"/>
    <n v="0"/>
    <n v="16360"/>
    <n v="16.36"/>
    <n v="2"/>
    <s v="L1"/>
    <d v="2015-05-21T00:00:00"/>
    <s v="A.C."/>
    <n v="9.375"/>
    <n v="4.7"/>
    <n v="1.675"/>
    <n v="0.55000000000000004"/>
    <n v="2.6156600000000001"/>
    <n v="2.5"/>
    <n v="16"/>
    <n v="0.3"/>
    <n v="0"/>
    <n v="0"/>
    <n v="3.1003500000000002"/>
    <n v="3"/>
    <n v="0"/>
    <n v="0"/>
    <n v="16.3"/>
    <n v="1.1320300000000001"/>
    <n v="36.909999999999997"/>
    <n v="46.88"/>
    <n v="0.10539643730352775"/>
    <x v="119"/>
    <n v="6.27"/>
    <n v="1.095005239259518E-2"/>
    <n v="0"/>
    <n v="0"/>
    <n v="0"/>
    <n v="0"/>
  </r>
  <r>
    <n v="2210"/>
    <s v="แขวงทางหลวงสตูล"/>
    <n v="318"/>
    <n v="406"/>
    <n v="102"/>
    <s v="ค่ายรวมมิตร - ย่านซื่อ"/>
    <n v="54775"/>
    <n v="75725"/>
    <n v="20.95"/>
    <n v="4"/>
    <s v="L2"/>
    <d v="2015-05-25T00:00:00"/>
    <s v="A.C."/>
    <n v="13.9"/>
    <n v="4.6749999999999998"/>
    <n v="1.625"/>
    <n v="0.7"/>
    <n v="2.4477799999999998"/>
    <n v="2.5"/>
    <n v="19.45"/>
    <n v="1.325"/>
    <n v="0.125"/>
    <n v="0"/>
    <n v="5.6785800000000002"/>
    <n v="5.5"/>
    <n v="0"/>
    <n v="0"/>
    <n v="20.9"/>
    <n v="1.18327"/>
    <n v="77.25"/>
    <n v="0"/>
    <n v="0.10535288100920559"/>
    <x v="119"/>
    <n v="0"/>
    <n v="0"/>
    <n v="19.04"/>
    <n v="2.5966587112171834E-2"/>
    <n v="0"/>
    <n v="0"/>
  </r>
  <r>
    <n v="429"/>
    <s v="แขวงทางหลวงสุโขทัย"/>
    <n v="513"/>
    <n v="1054"/>
    <n v="102"/>
    <s v="ตาลเตี้ย - ศรีสำโรง"/>
    <s v="4+887"/>
    <s v="17+408"/>
    <n v="12.521000000000001"/>
    <s v="L1"/>
    <n v="2"/>
    <d v="2015-09-18T00:00:00"/>
    <s v="A.C."/>
    <n v="7.72"/>
    <n v="3.01"/>
    <n v="1.59"/>
    <n v="0.2"/>
    <n v="2.5541700000000001"/>
    <n v="2.5"/>
    <n v="11.15"/>
    <n v="0.9"/>
    <n v="0.22"/>
    <n v="0.25"/>
    <n v="5.0537000000000001"/>
    <n v="5"/>
    <n v="0"/>
    <n v="0"/>
    <n v="12.52"/>
    <n v="1.0436399999999999"/>
    <n v="45.95"/>
    <n v="0"/>
    <n v="0.10485241936403986"/>
    <x v="119"/>
    <n v="67.25"/>
    <n v="0.15345647882985156"/>
    <n v="0"/>
    <n v="0"/>
    <n v="0"/>
    <n v="0"/>
  </r>
  <r>
    <n v="855"/>
    <s v="แขวงทางหลวงสุรินทร์"/>
    <n v="615"/>
    <n v="2262"/>
    <n v="100"/>
    <s v="สำโรงทาบ - ม่วงหมาก"/>
    <n v="0"/>
    <n v="34046"/>
    <n v="34.045999999999999"/>
    <n v="2"/>
    <s v="L1"/>
    <d v="2015-05-11T00:00:00"/>
    <s v="A.C."/>
    <n v="24.175000000000001"/>
    <n v="6.9249999999999998"/>
    <n v="1.925"/>
    <n v="0.67500000000000004"/>
    <n v="2.4231099999999999"/>
    <n v="2.5"/>
    <n v="33.475000000000001"/>
    <n v="0.2"/>
    <n v="2.5000000000000001E-2"/>
    <n v="0"/>
    <n v="3.7072099999999999"/>
    <n v="3.5"/>
    <n v="0"/>
    <n v="0"/>
    <n v="33.699999999999996"/>
    <n v="1.3716699999999999"/>
    <n v="100.7"/>
    <n v="48.16"/>
    <n v="0.10471999999999999"/>
    <x v="119"/>
    <n v="282.95"/>
    <n v="0.23744999999999999"/>
    <n v="128.57"/>
    <n v="0.10789600000000001"/>
    <n v="339.89"/>
    <n v="0.28523999999999999"/>
  </r>
  <r>
    <n v="663"/>
    <s v="แขวงทางหลวงอุดรธานีที่ 1"/>
    <n v="623"/>
    <n v="2097"/>
    <n v="200"/>
    <s v="หนองแวง - ข้าวสาร"/>
    <n v="31500"/>
    <n v="42397"/>
    <n v="10.897"/>
    <n v="2"/>
    <s v="L1"/>
    <d v="2015-06-12T00:00:00"/>
    <s v="A.C."/>
    <n v="8.0500000000000007"/>
    <n v="2.19"/>
    <n v="0.43"/>
    <n v="0.23"/>
    <n v="2.1492399999999998"/>
    <n v="2"/>
    <n v="10.62"/>
    <n v="0.25"/>
    <n v="0.03"/>
    <n v="0"/>
    <n v="3.66628"/>
    <n v="3.5"/>
    <n v="0"/>
    <n v="0"/>
    <n v="10.9"/>
    <n v="1.11578"/>
    <n v="39.89"/>
    <n v="0"/>
    <n v="0.10459"/>
    <x v="119"/>
    <n v="0"/>
    <n v="0"/>
    <n v="13.14"/>
    <n v="3.4452000000000003E-2"/>
    <n v="0"/>
    <n v="0"/>
  </r>
  <r>
    <n v="591"/>
    <s v="แขวงทางหลวงเพชรบูรณ์ที่ 2 (บึงสามพัน)"/>
    <n v="552"/>
    <n v="2401"/>
    <n v="100"/>
    <s v="หนองไผ่ - ซับพุทรา"/>
    <n v="557"/>
    <n v="16594"/>
    <n v="16.036999999999999"/>
    <n v="2"/>
    <s v="L1"/>
    <d v="2015-07-10T00:00:00"/>
    <s v="A.C."/>
    <n v="6.9"/>
    <n v="5.875"/>
    <n v="2.4"/>
    <n v="0.85"/>
    <n v="2.76078"/>
    <n v="3"/>
    <n v="15.475"/>
    <n v="0.4"/>
    <n v="7.4999999999999997E-2"/>
    <n v="7.4999999999999997E-2"/>
    <n v="4.2569699999999999"/>
    <n v="4.5"/>
    <n v="0"/>
    <n v="0"/>
    <n v="16.025000000000002"/>
    <n v="1.61504"/>
    <n v="10"/>
    <n v="96.89"/>
    <n v="0.10412528171460643"/>
    <x v="119"/>
    <n v="29"/>
    <n v="5.1666236114699053E-2"/>
    <n v="25"/>
    <n v="4.4539858719568143E-2"/>
    <n v="138"/>
    <n v="0.24586002013201616"/>
  </r>
  <r>
    <n v="547"/>
    <s v="แขวงทางหลวงเพชรบูรณ์ที่ 1"/>
    <n v="551"/>
    <n v="12"/>
    <n v="601"/>
    <s v="เข็กน้อย - แยกอนุสาวรีย์พ่อขุนผาเมือง"/>
    <n v="322612"/>
    <n v="355989"/>
    <n v="33.377000000000002"/>
    <n v="4"/>
    <s v="L2"/>
    <d v="2015-07-07T00:00:00"/>
    <s v="A.C."/>
    <n v="25.55"/>
    <n v="6.43"/>
    <n v="1.87"/>
    <n v="0.54"/>
    <n v="2.31"/>
    <n v="2.5"/>
    <n v="33.619999999999997"/>
    <n v="0.66"/>
    <n v="0.08"/>
    <n v="0.03"/>
    <n v="4.4740000000000002"/>
    <n v="4.5"/>
    <n v="0"/>
    <n v="0"/>
    <n v="34.389999999999993"/>
    <n v="1.2310000000000001"/>
    <n v="86"/>
    <n v="71.12"/>
    <n v="0.10405796977388192"/>
    <x v="119"/>
    <n v="0"/>
    <n v="0"/>
    <n v="20"/>
    <n v="1.7120429380368861E-2"/>
    <n v="0"/>
    <n v="0"/>
  </r>
  <r>
    <n v="648"/>
    <s v="แขวงทางหลวงขอนแก่นที่ 1"/>
    <n v="621"/>
    <n v="2268"/>
    <n v="100"/>
    <s v="เชียงยืน - คำใหญ่"/>
    <n v="33980"/>
    <n v="0"/>
    <n v="33.979999999999997"/>
    <n v="2"/>
    <s v="R1"/>
    <d v="2015-06-17T00:00:00"/>
    <s v="A.C."/>
    <n v="30.375"/>
    <n v="2.8"/>
    <n v="0.52500000000000002"/>
    <n v="0.125"/>
    <n v="1.81511"/>
    <n v="2"/>
    <n v="33.6"/>
    <n v="0.125"/>
    <n v="2.5000000000000001E-2"/>
    <n v="7.4999999999999997E-2"/>
    <n v="3.0217100000000001"/>
    <n v="3"/>
    <n v="0"/>
    <n v="0"/>
    <n v="33.825000000000003"/>
    <n v="1.17245"/>
    <n v="123.16"/>
    <n v="0"/>
    <n v="0.10355671403346506"/>
    <x v="119"/>
    <n v="0"/>
    <n v="0"/>
    <n v="0"/>
    <n v="0"/>
    <n v="9.7200000000000006"/>
    <n v="8.172874800302701E-3"/>
  </r>
  <r>
    <n v="100"/>
    <s v="แขวงทางหลวงแม่ฮ่องสอน"/>
    <n v="526"/>
    <n v="1337"/>
    <n v="100"/>
    <s v="หางปอน - ประตูเมือง"/>
    <s v="0+000"/>
    <s v="17+465"/>
    <n v="17.465"/>
    <n v="2"/>
    <s v="L1"/>
    <d v="2015-08-28T00:00:00"/>
    <s v="A.C."/>
    <n v="2.35"/>
    <n v="5.66"/>
    <n v="5.48"/>
    <n v="3.97"/>
    <n v="4.07796"/>
    <n v="4"/>
    <n v="16.350000000000001"/>
    <n v="0.66"/>
    <n v="0.15"/>
    <n v="0.3"/>
    <n v="5.1239600000000003"/>
    <n v="5"/>
    <n v="0"/>
    <n v="0"/>
    <n v="17.47"/>
    <n v="1.6175600000000001"/>
    <n v="63.28"/>
    <n v="0"/>
    <n v="0.10352132837102779"/>
    <x v="119"/>
    <n v="15.36"/>
    <n v="2.512780663367551E-2"/>
    <n v="0"/>
    <n v="0"/>
    <n v="0"/>
    <n v="0"/>
  </r>
  <r>
    <n v="1275"/>
    <s v="แขวงทางหลวงนครสวรรค์ที่ 2 (ตากฟ้า)"/>
    <n v="438"/>
    <n v="3600"/>
    <n v="100"/>
    <s v="เกยไชย - ชุมแสง"/>
    <s v="6+934"/>
    <s v="12+425"/>
    <n v="5.4909999999999997"/>
    <n v="2"/>
    <s v="L1"/>
    <d v="2015-10-05T00:00:00"/>
    <s v="A.C."/>
    <n v="1.45"/>
    <n v="0.97499999999999998"/>
    <n v="1.375"/>
    <n v="1.3"/>
    <n v="4.0315700000000003"/>
    <n v="4"/>
    <n v="4.7"/>
    <n v="0.27500000000000002"/>
    <n v="0.1"/>
    <n v="2.5000000000000001E-2"/>
    <n v="4.4352099999999997"/>
    <n v="4.5"/>
    <n v="0"/>
    <n v="0"/>
    <n v="5.4909999999999997"/>
    <n v="1.44855"/>
    <n v="19.22"/>
    <n v="1.32"/>
    <n v="0.10344199599344381"/>
    <x v="119"/>
    <n v="150.31399999999999"/>
    <n v="0.7821318000884564"/>
    <n v="26.321000000000002"/>
    <n v="0.136957"/>
    <n v="2"/>
    <n v="1.0407E-2"/>
  </r>
  <r>
    <n v="486"/>
    <s v="แขวงทางหลวงพิจิตร"/>
    <n v="519"/>
    <n v="115"/>
    <n v="301"/>
    <s v="บึงบัว - คลองโนน"/>
    <s v="56+215"/>
    <s v="80+000"/>
    <n v="23.785"/>
    <s v="L2"/>
    <n v="2"/>
    <d v="2015-09-28T00:00:00"/>
    <s v="A.C."/>
    <n v="13.95"/>
    <n v="5.01"/>
    <n v="2.71"/>
    <n v="2.12"/>
    <n v="2.8023799999999999"/>
    <n v="3"/>
    <n v="20.98"/>
    <n v="2.29"/>
    <n v="0.42"/>
    <n v="0.09"/>
    <n v="5.6421900000000003"/>
    <n v="5.5"/>
    <n v="0"/>
    <n v="0"/>
    <n v="23.79"/>
    <n v="1.2910200000000001"/>
    <n v="77.260000000000005"/>
    <n v="17.588999999999999"/>
    <n v="0.10337200000000001"/>
    <x v="119"/>
    <n v="93.466999999999999"/>
    <n v="0.112276"/>
    <n v="0"/>
    <n v="0"/>
    <n v="0"/>
    <n v="0"/>
  </r>
  <r>
    <n v="2172"/>
    <s v="แขวงทางหลวงสงขลาที่ 1"/>
    <n v="311"/>
    <n v="414"/>
    <n v="102"/>
    <s v="คลองวง - ท่าท้อน"/>
    <s v="19+751"/>
    <s v="24+105"/>
    <n v="4.3540000000000001"/>
    <n v="2"/>
    <s v="L1"/>
    <d v="2015-05-23T00:00:00"/>
    <s v="A.C."/>
    <n v="2.6749999999999998"/>
    <n v="1.1000000000000001"/>
    <n v="0.32500000000000001"/>
    <n v="0.27500000000000002"/>
    <n v="2.65937"/>
    <n v="2.5"/>
    <n v="4.2750000000000004"/>
    <n v="0.1"/>
    <n v="0"/>
    <n v="0"/>
    <n v="3.2266300000000001"/>
    <n v="3"/>
    <n v="0"/>
    <n v="0"/>
    <n v="4.375"/>
    <n v="0.98838899999999996"/>
    <n v="0"/>
    <n v="31.31"/>
    <n v="0.10272983791587374"/>
    <x v="119"/>
    <n v="1.91"/>
    <n v="1.2533630815670318E-2"/>
    <n v="0"/>
    <n v="0"/>
    <n v="0"/>
    <n v="0"/>
  </r>
  <r>
    <n v="2193"/>
    <s v="แขวงทางหลวงพัทลุง"/>
    <n v="314"/>
    <n v="4049"/>
    <n v="100"/>
    <s v="ห้วยทราย - ปากพะยูน"/>
    <n v="0"/>
    <n v="21942"/>
    <n v="21.942"/>
    <n v="2"/>
    <s v="L1"/>
    <d v="2015-05-21T00:00:00"/>
    <s v="A.C."/>
    <n v="14.4"/>
    <n v="4.4000000000000004"/>
    <n v="1.75"/>
    <n v="1.425"/>
    <n v="2.4730699999999999"/>
    <n v="2.5"/>
    <n v="21.5"/>
    <n v="0.3"/>
    <n v="7.4999999999999997E-2"/>
    <n v="0.1"/>
    <n v="2.7851599999999999"/>
    <n v="3"/>
    <n v="0"/>
    <n v="0"/>
    <n v="21.975000000000001"/>
    <n v="1.0998300000000001"/>
    <n v="1.62"/>
    <n v="154.54"/>
    <n v="0.10272536687631027"/>
    <x v="119"/>
    <n v="24.48"/>
    <n v="3.1876245165826794E-2"/>
    <n v="0"/>
    <n v="0"/>
    <n v="0"/>
    <n v="0"/>
  </r>
  <r>
    <n v="190"/>
    <s v="แขวงทางหลวงเชียงรายที่ 1"/>
    <n v="533"/>
    <n v="1388"/>
    <n v="100"/>
    <s v="ห้วยน้ำขุ่น - พระตำหนักดอยตุง"/>
    <s v="0+000"/>
    <s v="2+114"/>
    <n v="2.1139999999999999"/>
    <n v="2"/>
    <s v="L1"/>
    <d v="2015-07-17T00:00:00"/>
    <s v="A.C."/>
    <n v="0.67"/>
    <n v="0.67"/>
    <n v="0.49"/>
    <n v="0.28000000000000003"/>
    <n v="3.415"/>
    <n v="3.5"/>
    <n v="2"/>
    <n v="0.08"/>
    <n v="0.03"/>
    <n v="0"/>
    <n v="3.4180000000000001"/>
    <n v="3.5"/>
    <n v="0"/>
    <n v="0.74"/>
    <n v="1.37"/>
    <n v="1.331"/>
    <n v="0"/>
    <n v="15.18"/>
    <n v="0.10258142992296258"/>
    <x v="119"/>
    <n v="0"/>
    <n v="0"/>
    <n v="0"/>
    <n v="0"/>
    <n v="0"/>
    <n v="0"/>
  </r>
  <r>
    <n v="465"/>
    <s v="แขวงทางหลวงพิษณุโลกที่ 2 (วังทอง)"/>
    <n v="515"/>
    <n v="1143"/>
    <n v="101"/>
    <s v="นครไทย - น้ำคลาด"/>
    <s v="0+000"/>
    <s v="28+300"/>
    <n v="28.3"/>
    <s v="L1"/>
    <n v="2"/>
    <d v="2015-09-21T00:00:00"/>
    <s v="A.C."/>
    <n v="17.78"/>
    <n v="6.85"/>
    <n v="3.05"/>
    <n v="0.6"/>
    <n v="2.5345599999999999"/>
    <n v="2.5"/>
    <n v="28.25"/>
    <n v="2.5000000000000001E-2"/>
    <n v="0"/>
    <n v="0"/>
    <n v="1.9851000000000001"/>
    <n v="2"/>
    <n v="0"/>
    <n v="0"/>
    <n v="28.280000000000005"/>
    <n v="1.2168000000000001"/>
    <n v="95.25"/>
    <n v="8.64"/>
    <n v="0.10052498738011104"/>
    <x v="119"/>
    <n v="98.67"/>
    <n v="9.9616355376072691E-2"/>
    <n v="0"/>
    <n v="0"/>
    <n v="0"/>
    <n v="0"/>
  </r>
  <r>
    <n v="1460"/>
    <s v="แขวงทางหลวงอ่างทอง"/>
    <n v="448"/>
    <n v="3372"/>
    <n v="101"/>
    <s v="นาคู - สามโก้"/>
    <n v="0"/>
    <n v="17951"/>
    <n v="17.951000000000001"/>
    <n v="2"/>
    <s v="L1"/>
    <d v="2015-06-26T00:00:00"/>
    <s v="A.C."/>
    <n v="14.525"/>
    <n v="3.4249999999999998"/>
    <n v="0"/>
    <n v="0"/>
    <n v="2.952"/>
    <n v="3"/>
    <n v="17.95"/>
    <n v="0"/>
    <n v="0"/>
    <n v="0"/>
    <n v="3.125"/>
    <n v="3"/>
    <n v="0"/>
    <n v="0"/>
    <n v="17.95"/>
    <n v="1.125"/>
    <n v="56.89"/>
    <n v="12.2"/>
    <n v="0.10025704895071502"/>
    <x v="119"/>
    <n v="0"/>
    <n v="0"/>
    <n v="0"/>
    <n v="0"/>
    <n v="0"/>
    <n v="0"/>
  </r>
  <r>
    <n v="433"/>
    <s v="แขวงทางหลวงสุโขทัย"/>
    <n v="513"/>
    <n v="1113"/>
    <n v="102"/>
    <s v="แยกวังกระจาย - ดอนโก"/>
    <s v="4+500"/>
    <s v="34+000"/>
    <n v="29.5"/>
    <s v="L1"/>
    <n v="2"/>
    <d v="2015-09-16T00:00:00"/>
    <s v="A.C."/>
    <n v="21.76"/>
    <n v="5.87"/>
    <n v="1.62"/>
    <n v="0.25"/>
    <n v="2.2652000000000001"/>
    <n v="2.5"/>
    <n v="28.98"/>
    <n v="0.37"/>
    <n v="7.0000000000000007E-2"/>
    <n v="7.0000000000000007E-2"/>
    <n v="2.9096099999999998"/>
    <n v="3"/>
    <n v="0"/>
    <n v="0"/>
    <n v="29.5"/>
    <n v="1.0928800000000001"/>
    <n v="95.653999999999996"/>
    <n v="15.2"/>
    <n v="0.10000387409200967"/>
    <x v="119"/>
    <n v="94.45"/>
    <n v="9.1476997578692501E-2"/>
    <n v="0"/>
    <n v="0"/>
    <n v="0"/>
    <n v="0"/>
  </r>
  <r>
    <n v="5"/>
    <s v="แขวงทางหลวงเชียงใหม่ที่ 1"/>
    <n v="521"/>
    <n v="108"/>
    <n v="103"/>
    <s v="สะพานแม่กลาง  - บ่อหลวง"/>
    <s v="62+395"/>
    <s v="109+900"/>
    <n v="47.505000000000003"/>
    <n v="2"/>
    <s v="L1"/>
    <d v="2015-08-14T00:00:00"/>
    <s v="A.C."/>
    <n v="25.7"/>
    <n v="10.95"/>
    <n v="7.7750000000000004"/>
    <n v="3.2749999999999999"/>
    <n v="2.78661"/>
    <n v="3"/>
    <n v="46.524999999999999"/>
    <n v="0.9"/>
    <n v="0.125"/>
    <n v="0.15"/>
    <n v="2.8079200000000002"/>
    <n v="3"/>
    <n v="0"/>
    <n v="0"/>
    <n v="47.699999999999996"/>
    <n v="1.1259699999999999"/>
    <n v="166.14"/>
    <n v="0"/>
    <n v="9.9923316342640608E-2"/>
    <x v="119"/>
    <n v="0"/>
    <n v="0"/>
    <n v="0"/>
    <n v="0"/>
    <n v="0"/>
    <n v="0"/>
  </r>
  <r>
    <n v="1361"/>
    <s v="แขวงทางหลวงสุพรรณบุรีที่ 2 (อู่ทอง)"/>
    <n v="445"/>
    <n v="3086"/>
    <n v="201"/>
    <s v="ทุ่งมะสังข์ - ปลักประดู่"/>
    <n v="11850"/>
    <n v="81557"/>
    <n v="69.706999999999994"/>
    <n v="2"/>
    <s v="L1"/>
    <d v="2015-07-23T00:00:00"/>
    <s v="A.C."/>
    <n v="57.35"/>
    <n v="9.65"/>
    <n v="2.4500000000000002"/>
    <n v="0.47499999999999998"/>
    <n v="1.9999"/>
    <n v="2"/>
    <n v="69.575000000000003"/>
    <n v="0.32500000000000001"/>
    <n v="2.5000000000000001E-2"/>
    <n v="0"/>
    <n v="2.5684200000000001"/>
    <n v="2.5"/>
    <n v="0"/>
    <n v="0"/>
    <n v="69.924999999999997"/>
    <n v="1.2278800000000001"/>
    <n v="91"/>
    <n v="304"/>
    <n v="9.9600573010704005E-2"/>
    <x v="119"/>
    <n v="0"/>
    <n v="0"/>
    <n v="83"/>
    <n v="3.4019948806125237E-2"/>
    <n v="0"/>
    <n v="0"/>
  </r>
  <r>
    <n v="839"/>
    <s v="แขวงทางหลวงสุรินทร์"/>
    <n v="615"/>
    <n v="24"/>
    <n v="403"/>
    <s v="สังขะ - ห้วยสำราญ"/>
    <n v="240719"/>
    <n v="262609"/>
    <n v="21.89"/>
    <n v="4"/>
    <s v="L1"/>
    <d v="2015-05-10T00:00:00"/>
    <s v="A.C."/>
    <n v="15.125"/>
    <n v="2.7250000000000001"/>
    <n v="2.6749999999999998"/>
    <n v="1.3"/>
    <n v="2.2297099999999999"/>
    <n v="2"/>
    <n v="17.774999999999999"/>
    <n v="2.5750000000000002"/>
    <n v="1.35"/>
    <n v="0.125"/>
    <n v="6.0471300000000001"/>
    <n v="6"/>
    <n v="0"/>
    <n v="0"/>
    <n v="21.825000000000003"/>
    <n v="1.0489299999999999"/>
    <n v="60.95"/>
    <n v="30.68"/>
    <n v="9.9580000000000002E-2"/>
    <x v="119"/>
    <n v="141.47"/>
    <n v="0.18465000000000001"/>
    <n v="0"/>
    <n v="0"/>
    <n v="0.18"/>
    <n v="2.3000000000000001E-4"/>
  </r>
  <r>
    <n v="541"/>
    <s v="แขวงทางหลวงอุตรดิตถ์ที่ 2"/>
    <n v="558"/>
    <n v="1243"/>
    <n v="100"/>
    <s v="ปางไฮ - ห้วยไผ่"/>
    <s v="0+000"/>
    <s v="34+036"/>
    <n v="34.036000000000001"/>
    <s v="L1"/>
    <n v="2"/>
    <d v="2015-09-26T00:00:00"/>
    <s v="A.C."/>
    <n v="2.8"/>
    <n v="10.33"/>
    <n v="14.2"/>
    <n v="6.3"/>
    <n v="4.14757"/>
    <n v="4"/>
    <n v="30.95"/>
    <n v="1.875"/>
    <n v="0.52500000000000002"/>
    <n v="0.27500000000000002"/>
    <n v="5.22776"/>
    <n v="5"/>
    <n v="0"/>
    <n v="0"/>
    <n v="33.629999999999995"/>
    <n v="1.4984599999999999"/>
    <n v="113.8"/>
    <n v="8.4600000000000009"/>
    <n v="9.9080000000000001E-2"/>
    <x v="119"/>
    <n v="380.54"/>
    <n v="0.31944299999999998"/>
    <n v="0"/>
    <n v="0"/>
    <n v="0"/>
    <n v="0"/>
  </r>
  <r>
    <n v="408"/>
    <s v="แขวงทางหลวงพิษณุโลกที่ 1"/>
    <n v="511"/>
    <n v="1275"/>
    <n v="100"/>
    <s v="มะขามสูง - พญาแมน"/>
    <s v="0+000"/>
    <s v="38+981"/>
    <n v="38.981000000000002"/>
    <s v="L1"/>
    <n v="2"/>
    <d v="2015-09-19T00:00:00"/>
    <s v="A.C."/>
    <n v="31.86"/>
    <n v="4.41"/>
    <n v="2.0099999999999998"/>
    <n v="0.7"/>
    <n v="2.1051500000000001"/>
    <n v="2"/>
    <n v="38.68"/>
    <n v="0.28000000000000003"/>
    <n v="0"/>
    <n v="0.03"/>
    <n v="3.0575399999999999"/>
    <n v="3"/>
    <n v="0"/>
    <n v="0"/>
    <n v="38.979999999999997"/>
    <n v="1.1530800000000001"/>
    <n v="123.68"/>
    <n v="22.3"/>
    <n v="9.8824999999999996E-2"/>
    <x v="119"/>
    <n v="98.56"/>
    <n v="7.2239999999999999E-2"/>
    <n v="0"/>
    <n v="0"/>
    <n v="0"/>
    <n v="0"/>
  </r>
  <r>
    <n v="1955"/>
    <s v="แขวงทางหลวงนครศรีธรรมราชที่ 1"/>
    <n v="321"/>
    <n v="4094"/>
    <n v="102"/>
    <s v="เชียรใหญ่ - ปากพนัง"/>
    <n v="9426"/>
    <n v="30341"/>
    <n v="20.914999999999999"/>
    <n v="2"/>
    <s v="L1"/>
    <d v="2015-04-29T00:00:00"/>
    <s v="A.C."/>
    <n v="10.675000000000001"/>
    <n v="6.0750000000000002"/>
    <n v="2.95"/>
    <n v="1.1000000000000001"/>
    <n v="2.77712"/>
    <n v="3"/>
    <n v="19.350000000000001"/>
    <n v="1.1000000000000001"/>
    <n v="0.32500000000000001"/>
    <n v="2.5000000000000001E-2"/>
    <n v="4.7076700000000002"/>
    <n v="4.5"/>
    <n v="0"/>
    <n v="0"/>
    <n v="20.8"/>
    <n v="1.3424700000000001"/>
    <n v="34.78"/>
    <n v="75"/>
    <n v="9.8739797138075888E-2"/>
    <x v="119"/>
    <n v="5"/>
    <n v="6.8303678153068545E-3"/>
    <n v="207"/>
    <n v="0.28277722755370377"/>
    <n v="0"/>
    <n v="0"/>
  </r>
  <r>
    <n v="1467"/>
    <s v="แขวงทางหลวงอ่างทอง"/>
    <n v="448"/>
    <n v="3501"/>
    <n v="100"/>
    <s v="อ่างทอง - บางหลวงโดด"/>
    <n v="0"/>
    <n v="23519"/>
    <n v="23.518999999999998"/>
    <n v="2"/>
    <s v="L1"/>
    <d v="2015-06-26T00:00:00"/>
    <s v="A.C."/>
    <n v="20.25"/>
    <n v="3.05"/>
    <n v="0.2"/>
    <n v="0"/>
    <n v="2.698"/>
    <n v="2.5"/>
    <n v="23.4"/>
    <n v="0.1"/>
    <n v="0"/>
    <n v="0"/>
    <n v="2.5979999999999999"/>
    <n v="2.5"/>
    <n v="0"/>
    <n v="0"/>
    <n v="23.5"/>
    <n v="1.125"/>
    <n v="68"/>
    <n v="26"/>
    <n v="9.8400685160326309E-2"/>
    <x v="119"/>
    <n v="0"/>
    <n v="0"/>
    <n v="0"/>
    <n v="0"/>
    <n v="0"/>
    <n v="0"/>
  </r>
  <r>
    <n v="331"/>
    <s v="แขวงทางหลวงหนองคาย"/>
    <n v="646"/>
    <n v="212"/>
    <n v="103"/>
    <s v="น้ำเป - ห้วยก้านเหลือง"/>
    <n v="61485"/>
    <n v="97075"/>
    <n v="35.590000000000003"/>
    <n v="2"/>
    <s v="R2"/>
    <d v="2015-06-09T00:00:00"/>
    <s v="A.C."/>
    <n v="22.5"/>
    <n v="7.9"/>
    <n v="3.0249999999999999"/>
    <n v="2.1749999999999998"/>
    <n v="3.3580000000000001"/>
    <n v="3.5"/>
    <n v="33.625"/>
    <n v="1.85"/>
    <n v="7.4999999999999997E-2"/>
    <n v="0.05"/>
    <n v="5.1219999999999999"/>
    <n v="5"/>
    <n v="0"/>
    <n v="0"/>
    <n v="35.6"/>
    <n v="1.1160000000000001"/>
    <n v="103.74"/>
    <n v="36.479999999999997"/>
    <n v="9.7924778228234241E-2"/>
    <x v="119"/>
    <n v="0"/>
    <n v="0"/>
    <n v="97.15"/>
    <n v="7.7991410107172962E-2"/>
    <n v="0"/>
    <n v="0"/>
  </r>
  <r>
    <n v="715"/>
    <s v="แขวงทางหลวงขอนแก่นที่ 2 (ชุมแพ)"/>
    <n v="627"/>
    <n v="201"/>
    <n v="301"/>
    <s v="ช่องสามหมอ - ภูเขียว"/>
    <n v="162051"/>
    <n v="200955"/>
    <n v="38.904000000000003"/>
    <n v="4"/>
    <s v="L1"/>
    <d v="2015-06-23T00:00:00"/>
    <s v="A.C."/>
    <n v="21.186"/>
    <n v="10.840499999999999"/>
    <n v="4.9252499999999992"/>
    <n v="1.9304999999999999"/>
    <n v="2.56934"/>
    <n v="2.5"/>
    <n v="35.219250000000002"/>
    <n v="1.9552500000000002"/>
    <n v="0.91575000000000006"/>
    <n v="0.79200000000000004"/>
    <n v="5.2871300000000003"/>
    <n v="5.5"/>
    <n v="0"/>
    <n v="0"/>
    <n v="38.904000000000003"/>
    <n v="1.0748599999999999"/>
    <n v="121.46"/>
    <n v="23.56"/>
    <n v="9.7852589524397016E-2"/>
    <x v="119"/>
    <n v="12.09"/>
    <n v="8.8789988543227262E-3"/>
    <n v="51.87"/>
    <n v="3.8093769278223305E-2"/>
    <n v="0.8"/>
    <n v="5.8752680591051963E-4"/>
  </r>
  <r>
    <n v="498"/>
    <s v="แขวงทางหลวงพิจิตร"/>
    <n v="519"/>
    <n v="1070"/>
    <n v="101"/>
    <s v="ตะพานหิน -  ไผ่ท่าโพ"/>
    <s v="0+000"/>
    <s v="20+000"/>
    <n v="20"/>
    <s v="L1"/>
    <n v="2"/>
    <d v="2015-09-29T00:00:00"/>
    <s v="A.C."/>
    <n v="14.57"/>
    <n v="2.9"/>
    <n v="1.6"/>
    <n v="0.93"/>
    <n v="2.3808699999999998"/>
    <n v="2.5"/>
    <n v="19.28"/>
    <n v="0.47"/>
    <n v="0.17"/>
    <n v="7.0000000000000007E-2"/>
    <n v="3.1926999999999999"/>
    <n v="3"/>
    <n v="0"/>
    <n v="0"/>
    <n v="20"/>
    <n v="1.21235"/>
    <n v="65.400000000000006"/>
    <n v="6.12"/>
    <n v="9.7799999999999998E-2"/>
    <x v="119"/>
    <n v="97.45"/>
    <n v="0.139214"/>
    <n v="0"/>
    <n v="0"/>
    <n v="0"/>
    <n v="0"/>
  </r>
  <r>
    <n v="92"/>
    <s v="แขวงทางหลวงแม่ฮ่องสอน"/>
    <n v="526"/>
    <n v="1095"/>
    <n v="201"/>
    <s v="กิ่วคอหมา - แม่นะ"/>
    <n v="64684"/>
    <n v="107384"/>
    <n v="42.7"/>
    <n v="2"/>
    <s v="L1"/>
    <d v="2015-08-27T00:00:00"/>
    <s v="A.C."/>
    <n v="5.05"/>
    <n v="14.13"/>
    <n v="13.98"/>
    <n v="9.5500000000000007"/>
    <n v="4.09"/>
    <n v="4"/>
    <n v="36.979999999999997"/>
    <n v="3.95"/>
    <n v="0.93"/>
    <n v="0.85"/>
    <n v="5.7210000000000001"/>
    <n v="5.5"/>
    <n v="0"/>
    <n v="0"/>
    <n v="42.7"/>
    <n v="1.284"/>
    <n v="118"/>
    <n v="56"/>
    <n v="9.7691535630645684E-2"/>
    <x v="119"/>
    <n v="2.3199999999999998"/>
    <n v="1.5523586483773832E-3"/>
    <n v="1.36"/>
    <n v="9.1000334560053522E-4"/>
    <n v="0"/>
    <n v="0"/>
  </r>
  <r>
    <n v="419"/>
    <s v="แขวงทางหลวงสุโขทัย"/>
    <n v="513"/>
    <n v="101"/>
    <n v="305"/>
    <s v="ศรีสัชนาลัย - แม่สิน"/>
    <s v="149+519"/>
    <s v="190+947"/>
    <n v="41.427999999999997"/>
    <s v="L1"/>
    <n v="2"/>
    <d v="2015-09-17T00:00:00"/>
    <s v="A.C."/>
    <n v="27.2"/>
    <n v="9.92"/>
    <n v="3.4"/>
    <n v="0.91"/>
    <n v="2.3889999999999998"/>
    <n v="2.5"/>
    <n v="41.13"/>
    <n v="0.28000000000000003"/>
    <n v="0"/>
    <n v="0.03"/>
    <n v="3.3010000000000002"/>
    <n v="3.5"/>
    <n v="0"/>
    <n v="0"/>
    <n v="41.43"/>
    <n v="1.4770000000000001"/>
    <n v="127.3"/>
    <n v="27.922999999999998"/>
    <n v="9.7423067904384875E-2"/>
    <x v="119"/>
    <n v="36.33"/>
    <n v="2.5055518007144926E-2"/>
    <n v="0"/>
    <n v="0"/>
    <n v="0"/>
    <n v="0"/>
  </r>
  <r>
    <n v="703"/>
    <s v="แขวงทางหลวงชัยภูมิ"/>
    <n v="626"/>
    <n v="2051"/>
    <n v="100"/>
    <s v="ชัยภูมิ - ตาดโตน"/>
    <n v="3175"/>
    <n v="16000"/>
    <n v="12.824999999999999"/>
    <n v="2"/>
    <s v="L1"/>
    <d v="2015-06-22T00:00:00"/>
    <s v="A.C."/>
    <n v="6.3"/>
    <n v="4.55"/>
    <n v="1.175"/>
    <n v="0.77500000000000002"/>
    <n v="2.7525400000000002"/>
    <n v="3"/>
    <n v="12.725"/>
    <n v="0.05"/>
    <n v="2.5000000000000001E-2"/>
    <n v="0"/>
    <n v="3.6453000000000002"/>
    <n v="3.5"/>
    <n v="0"/>
    <n v="0"/>
    <n v="12.8"/>
    <n v="1.1285400000000001"/>
    <n v="34.72"/>
    <n v="17.43"/>
    <n v="9.6764132553606261E-2"/>
    <x v="119"/>
    <n v="0"/>
    <n v="0"/>
    <n v="0"/>
    <n v="0"/>
    <n v="0"/>
    <n v="0"/>
  </r>
  <r>
    <n v="751"/>
    <s v="แขวงทางหลวงชัยภูมิ"/>
    <n v="626"/>
    <n v="2051"/>
    <n v="100"/>
    <s v="ชัยภูมิ - ตาดโตน"/>
    <n v="3175"/>
    <n v="16000"/>
    <n v="12.824999999999999"/>
    <n v="2"/>
    <s v="L1"/>
    <d v="2015-06-22T00:00:00"/>
    <s v="A.C."/>
    <n v="6.3"/>
    <n v="4.55"/>
    <n v="1.175"/>
    <n v="0.77500000000000002"/>
    <n v="2.7525400000000002"/>
    <n v="3"/>
    <n v="12.725"/>
    <n v="0.05"/>
    <n v="2.5000000000000001E-2"/>
    <n v="0"/>
    <n v="3.6453000000000002"/>
    <n v="3.5"/>
    <n v="0"/>
    <n v="0"/>
    <n v="12.8"/>
    <n v="1.1285400000000001"/>
    <n v="34.72"/>
    <n v="17.43"/>
    <n v="9.6764132553606261E-2"/>
    <x v="119"/>
    <n v="0"/>
    <n v="0"/>
    <n v="0"/>
    <n v="0"/>
    <n v="0"/>
    <n v="0"/>
  </r>
  <r>
    <n v="2202"/>
    <s v="แขวงทางหลวงพัทลุง"/>
    <n v="314"/>
    <n v="4181"/>
    <n v="100"/>
    <s v="โคกทราย - ปากพะยูน"/>
    <n v="0"/>
    <n v="28037"/>
    <n v="28.036999999999999"/>
    <n v="2"/>
    <s v="R1"/>
    <d v="2015-05-21T00:00:00"/>
    <s v="A.C."/>
    <n v="13.324999999999999"/>
    <n v="9.0500000000000007"/>
    <n v="3.9249999999999998"/>
    <n v="1.7250000000000001"/>
    <n v="2.8348200000000001"/>
    <n v="3"/>
    <n v="25.4"/>
    <n v="1.7250000000000001"/>
    <n v="0.65"/>
    <n v="0.25"/>
    <n v="4.3867200000000004"/>
    <n v="4.5"/>
    <n v="0"/>
    <n v="0"/>
    <n v="28.025000000000002"/>
    <n v="1.2546299999999999"/>
    <n v="78.599999999999994"/>
    <n v="32.700000000000003"/>
    <n v="9.6759893813786871E-2"/>
    <x v="119"/>
    <n v="4706.8599999999997"/>
    <n v="4.7965800294508778"/>
    <n v="196.63"/>
    <n v="0.20037807183364836"/>
    <n v="0"/>
    <n v="0"/>
  </r>
  <r>
    <n v="388"/>
    <s v="แขวงทางหลวงกำแพงเพชร"/>
    <n v="517"/>
    <n v="1116"/>
    <n v="101"/>
    <s v="นครชุม - มอเจริญ"/>
    <s v="0+000"/>
    <s v="20+000"/>
    <n v="20"/>
    <n v="2"/>
    <s v="L1"/>
    <d v="2015-09-14T00:00:00"/>
    <s v="A.C."/>
    <n v="9.82"/>
    <n v="4.96"/>
    <n v="4.01"/>
    <n v="1.2"/>
    <n v="2.9726400000000002"/>
    <n v="3"/>
    <n v="18.87"/>
    <n v="0.98"/>
    <n v="0.1"/>
    <n v="0.05"/>
    <n v="4.1911100000000001"/>
    <n v="4"/>
    <n v="0"/>
    <n v="0"/>
    <n v="20"/>
    <n v="1.0211300000000001"/>
    <n v="51.57"/>
    <n v="32.200000000000003"/>
    <n v="9.6671428571428575E-2"/>
    <x v="119"/>
    <n v="135.29"/>
    <n v="0.19327142857142857"/>
    <n v="0"/>
    <n v="0"/>
    <n v="0"/>
    <n v="0"/>
  </r>
  <r>
    <n v="290"/>
    <s v="แขวงทางหลวงสกลนครที่ 2 (สว่างแดนดิน)"/>
    <n v="642"/>
    <n v="2094"/>
    <n v="102"/>
    <s v="ผาอินทร์ - ท่าก้อน"/>
    <n v="17000"/>
    <n v="57644"/>
    <n v="40.643999999999998"/>
    <n v="2"/>
    <s v="L1"/>
    <d v="2015-06-06T00:00:00"/>
    <s v="A.C."/>
    <n v="26.34"/>
    <n v="9.14"/>
    <n v="3.42"/>
    <n v="1.57"/>
    <n v="2.78146"/>
    <n v="3"/>
    <n v="38.72"/>
    <n v="1.26"/>
    <n v="0.46"/>
    <n v="0.03"/>
    <n v="4.5438299999999998"/>
    <n v="4.5"/>
    <n v="0"/>
    <n v="0"/>
    <n v="40.47"/>
    <n v="1.37418"/>
    <n v="152"/>
    <n v="11"/>
    <n v="9.6475430923591454E-2"/>
    <x v="119"/>
    <n v="21.44"/>
    <n v="1.3132909453979687E-2"/>
    <n v="0"/>
    <n v="0"/>
    <n v="0"/>
    <n v="0"/>
  </r>
  <r>
    <n v="1016"/>
    <s v="แขวงทางหลวงบุรีรัมย์"/>
    <n v="617"/>
    <n v="348"/>
    <n v="202"/>
    <s v="น้อยสะแกกวน - ปะคำ"/>
    <s v="106+110"/>
    <s v="117+025"/>
    <n v="10.914999999999999"/>
    <n v="2"/>
    <s v="L1"/>
    <d v="2015-05-06T00:00:00"/>
    <s v="A.C."/>
    <n v="6.85"/>
    <n v="2.65"/>
    <n v="1.1499999999999999"/>
    <n v="0.375"/>
    <n v="2.5099999999999998"/>
    <n v="2.5"/>
    <n v="10.8"/>
    <n v="0.15"/>
    <n v="7.4999999999999997E-2"/>
    <n v="0"/>
    <n v="4.8353200000000003"/>
    <n v="5"/>
    <n v="0"/>
    <n v="0"/>
    <n v="11.025"/>
    <n v="1.43222"/>
    <n v="36.81"/>
    <n v="0"/>
    <n v="9.6354950592238739E-2"/>
    <x v="119"/>
    <n v="74.89"/>
    <n v="0.19603429094954519"/>
    <n v="46.29"/>
    <n v="0.12117008049211439"/>
    <n v="0"/>
    <n v="0"/>
  </r>
  <r>
    <n v="2072"/>
    <s v="แขวงทางหลวงสุราษฎร์ธานีที่ 3 (เวียงสระ)"/>
    <n v="329"/>
    <n v="4015"/>
    <n v="300"/>
    <s v="ห้วยปริก - บ้านส้อง"/>
    <n v="94787"/>
    <n v="80896"/>
    <n v="13.891"/>
    <n v="2"/>
    <s v="R1"/>
    <d v="2015-04-28T00:00:00"/>
    <s v="A.C."/>
    <n v="9.8249999999999993"/>
    <n v="2.4"/>
    <n v="1"/>
    <n v="0.57499999999999996"/>
    <n v="2.3517399999999999"/>
    <n v="2.5"/>
    <n v="13.475"/>
    <n v="0.3"/>
    <n v="2.5000000000000001E-2"/>
    <n v="0"/>
    <n v="3.6095299999999999"/>
    <n v="3.5"/>
    <n v="0"/>
    <n v="0"/>
    <n v="13.799999999999999"/>
    <n v="1.31955"/>
    <n v="29.87"/>
    <n v="33.729999999999997"/>
    <n v="9.6125960282608475E-2"/>
    <x v="119"/>
    <n v="130.53"/>
    <n v="0.26847804847948825"/>
    <n v="4.57"/>
    <n v="9.3997141005995669E-3"/>
    <n v="0"/>
    <n v="0"/>
  </r>
  <r>
    <n v="172"/>
    <s v="แขวงทางหลวงเชียงรายที่ 1"/>
    <n v="533"/>
    <n v="1016"/>
    <n v="100"/>
    <s v="แม่จัน - กิ่วพร้าว"/>
    <s v="10+000"/>
    <n v="100"/>
    <n v="9.9"/>
    <n v="4"/>
    <s v="R2"/>
    <d v="2015-07-16T00:00:00"/>
    <s v="A.C."/>
    <n v="7.41"/>
    <n v="1.97"/>
    <n v="0.49"/>
    <n v="0.03"/>
    <n v="1.90008"/>
    <n v="2"/>
    <n v="7.26"/>
    <n v="1.9"/>
    <n v="0.6"/>
    <n v="0.14000000000000001"/>
    <n v="7.0019099999999996"/>
    <n v="7"/>
    <n v="0"/>
    <n v="0.03"/>
    <n v="9.8699999999999992"/>
    <n v="1.14245"/>
    <n v="33"/>
    <n v="0"/>
    <n v="9.5238095238095233E-2"/>
    <x v="119"/>
    <n v="0"/>
    <n v="0"/>
    <n v="24"/>
    <n v="6.9264069264069264E-2"/>
    <n v="24"/>
    <n v="6.9264069264069264E-2"/>
  </r>
  <r>
    <n v="1387"/>
    <s v="แขวงทางหลวงชัยนาท"/>
    <n v="446"/>
    <n v="3010"/>
    <n v="100"/>
    <s v="สรรพยา - สรรคบุรี"/>
    <n v="13489"/>
    <n v="0"/>
    <n v="13.489000000000001"/>
    <n v="2"/>
    <s v="R1"/>
    <d v="2015-08-03T00:00:00"/>
    <s v="A.C."/>
    <n v="9.23"/>
    <n v="2.83"/>
    <n v="1.04"/>
    <n v="0.39"/>
    <n v="2.3034500000000002"/>
    <n v="2.5"/>
    <n v="13.1"/>
    <n v="0.36"/>
    <n v="0"/>
    <n v="0.03"/>
    <n v="4.0111400000000001"/>
    <n v="4"/>
    <n v="0"/>
    <n v="0"/>
    <n v="13.49"/>
    <n v="1.0988800000000001"/>
    <n v="42.5"/>
    <n v="4.6609999999999996"/>
    <n v="9.4956737235631153E-2"/>
    <x v="119"/>
    <n v="12.5"/>
    <n v="2.6476599980936846E-2"/>
    <n v="0"/>
    <n v="0"/>
    <n v="0"/>
    <n v="0"/>
  </r>
  <r>
    <n v="2234"/>
    <s v="แขวงทางหลวงสงขลาที่ 2"/>
    <n v="319"/>
    <n v="408"/>
    <n v="301"/>
    <s v="ทุ่งหวัง - นาทวี"/>
    <n v="190317"/>
    <n v="182261"/>
    <n v="8.0559999999999992"/>
    <n v="2"/>
    <s v="R1"/>
    <d v="2015-05-25T00:00:00"/>
    <s v="A.C."/>
    <n v="4.5"/>
    <n v="2.5"/>
    <n v="0.72499999999999998"/>
    <n v="0.4"/>
    <n v="2.6167400000000001"/>
    <n v="2.5"/>
    <n v="7.7249999999999996"/>
    <n v="0.3"/>
    <n v="7.4999999999999997E-2"/>
    <n v="2.5000000000000001E-2"/>
    <n v="5.0251099999999997"/>
    <n v="5"/>
    <n v="0"/>
    <n v="0"/>
    <n v="8.125"/>
    <n v="1.3503099999999999"/>
    <n v="26.76"/>
    <n v="0"/>
    <n v="9.4907079018300491E-2"/>
    <x v="119"/>
    <n v="0"/>
    <n v="0"/>
    <n v="0"/>
    <n v="0"/>
    <n v="0"/>
    <n v="0"/>
  </r>
  <r>
    <n v="414"/>
    <s v="แขวงทางหลวงพิษณุโลกที่ 1"/>
    <n v="511"/>
    <n v="1372"/>
    <n v="100"/>
    <s v="หนองบัว - ไร่สีทอง"/>
    <s v="0+000"/>
    <s v="6+381"/>
    <n v="6.3810000000000002"/>
    <s v="L1"/>
    <n v="2"/>
    <d v="2015-09-18T00:00:00"/>
    <s v="A.C."/>
    <n v="5.1100000000000003"/>
    <n v="1.02"/>
    <n v="0.17"/>
    <n v="0.08"/>
    <n v="2.0074999999999998"/>
    <n v="2"/>
    <n v="6.38"/>
    <n v="0"/>
    <n v="0"/>
    <n v="0"/>
    <n v="1.42388"/>
    <n v="1.5"/>
    <n v="0"/>
    <n v="0"/>
    <n v="6.38"/>
    <n v="1.06403"/>
    <n v="20.350000000000001"/>
    <n v="1.62"/>
    <n v="9.4745999999999997E-2"/>
    <x v="119"/>
    <n v="135.25"/>
    <n v="0.60559200000000002"/>
    <n v="0"/>
    <n v="0"/>
    <n v="0.69"/>
    <n v="3.0899999999999999E-3"/>
  </r>
  <r>
    <n v="1405"/>
    <s v="แขวงทางหลวงอุทัยธานี"/>
    <n v="447"/>
    <n v="333"/>
    <n v="303"/>
    <s v="อุทัยธานี - สะพานข้ามแม่น้ำเจ้าพระยา"/>
    <n v="182227"/>
    <n v="166073"/>
    <n v="16.154"/>
    <n v="6"/>
    <s v="R2"/>
    <d v="2015-08-01T00:00:00"/>
    <s v="A.C."/>
    <n v="9.85"/>
    <n v="4.9000000000000004"/>
    <n v="1.375"/>
    <n v="0.375"/>
    <n v="2.55552"/>
    <n v="2.5"/>
    <n v="15.175000000000001"/>
    <n v="1.2"/>
    <n v="0.1"/>
    <n v="2.5000000000000001E-2"/>
    <n v="5.4604799999999996"/>
    <n v="5.5"/>
    <n v="0"/>
    <n v="0"/>
    <n v="16.5"/>
    <n v="1.5421"/>
    <n v="15"/>
    <n v="77"/>
    <n v="9.4624949150144147E-2"/>
    <x v="119"/>
    <n v="0"/>
    <n v="0"/>
    <n v="0"/>
    <n v="0"/>
    <n v="0"/>
    <n v="0"/>
  </r>
  <r>
    <n v="624"/>
    <s v="แขวงทางหลวงเลยที่ 2 (ด่านซ้าย)"/>
    <n v="555"/>
    <n v="2195"/>
    <n v="103"/>
    <s v="อาฮี - เหมืองแพร่"/>
    <n v="59257"/>
    <n v="114102"/>
    <n v="54.844999999999999"/>
    <n v="2"/>
    <s v="L1"/>
    <d v="2015-07-03T00:00:00"/>
    <s v="A.C."/>
    <n v="31.35"/>
    <n v="13.5"/>
    <n v="5.625"/>
    <n v="3.7250000000000001"/>
    <n v="2.8902299999999999"/>
    <n v="3"/>
    <n v="51.3"/>
    <n v="2.125"/>
    <n v="0.4"/>
    <n v="0.375"/>
    <n v="4.5974500000000003"/>
    <n v="4.5"/>
    <n v="2.5000000000000001E-2"/>
    <n v="0"/>
    <n v="54.2"/>
    <n v="1.2901400000000001"/>
    <n v="143"/>
    <n v="77.23"/>
    <n v="9.4612088613364953E-2"/>
    <x v="119"/>
    <n v="0"/>
    <n v="0"/>
    <n v="591"/>
    <n v="0.30788065066486076"/>
    <n v="0"/>
    <n v="0"/>
  </r>
  <r>
    <n v="66"/>
    <s v="แขวงทางหลวงลำพูน"/>
    <n v="524"/>
    <n v="106"/>
    <n v="203"/>
    <s v="ม่วงโตน - ท่าจักร"/>
    <s v="118+533"/>
    <s v="149+556"/>
    <n v="31.023"/>
    <n v="2"/>
    <s v="L1"/>
    <d v="2015-08-12T00:00:00"/>
    <s v="A.C."/>
    <n v="15.475"/>
    <n v="8.4499999999999993"/>
    <n v="4.3"/>
    <n v="3"/>
    <n v="2.9252699999999998"/>
    <n v="3"/>
    <n v="30.55"/>
    <n v="0.55000000000000004"/>
    <n v="0.1"/>
    <n v="2.5000000000000001E-2"/>
    <n v="2.8704999999999998"/>
    <n v="3"/>
    <n v="0"/>
    <n v="0"/>
    <n v="31.224999999999998"/>
    <n v="1.07942"/>
    <n v="102.33499999999999"/>
    <n v="0"/>
    <n v="9.4248046380335321E-2"/>
    <x v="119"/>
    <n v="142.36000000000001"/>
    <n v="0.13111009803786133"/>
    <n v="3.21"/>
    <n v="2.9563319380551756E-3"/>
    <n v="0"/>
    <n v="0"/>
  </r>
  <r>
    <n v="353"/>
    <s v="แขวงทางหลวงตากที่ 1"/>
    <n v="512"/>
    <n v="1111"/>
    <n v="100"/>
    <s v="ลานมะคร้อ - โป่งแดง"/>
    <s v="0+000"/>
    <s v="17+363"/>
    <n v="17.363"/>
    <n v="2"/>
    <s v="L1"/>
    <d v="2015-09-12T00:00:00"/>
    <s v="A.C."/>
    <n v="10.28"/>
    <n v="3.85"/>
    <n v="2.125"/>
    <n v="1.28"/>
    <n v="2.6447500000000002"/>
    <n v="2.5"/>
    <n v="15.025"/>
    <n v="2.25"/>
    <n v="0.22500000000000001"/>
    <n v="2.5000000000000001E-2"/>
    <n v="6.4912200000000002"/>
    <n v="6.5"/>
    <n v="0"/>
    <n v="0"/>
    <n v="17.535"/>
    <n v="2.3506100000000001"/>
    <n v="57.14"/>
    <n v="0"/>
    <n v="9.4025884269505769E-2"/>
    <x v="119"/>
    <n v="65.319999999999993"/>
    <n v="0.10748636262660335"/>
    <n v="0.68"/>
    <n v="1.118963971005669E-3"/>
    <n v="0"/>
    <n v="0"/>
  </r>
  <r>
    <n v="1450"/>
    <s v="แขวงทางหลวงอ่างทอง"/>
    <n v="448"/>
    <n v="368"/>
    <n v="100"/>
    <s v="ทางเลี่ยงเมืองอ่างทอง"/>
    <n v="0"/>
    <n v="4865"/>
    <n v="4.8650000000000002"/>
    <n v="4"/>
    <s v="L2"/>
    <d v="2015-06-26T00:00:00"/>
    <s v="A.C."/>
    <n v="3.2"/>
    <n v="0.82499999999999996"/>
    <n v="0.65"/>
    <n v="0.35"/>
    <n v="2.6911900000000002"/>
    <n v="2.5"/>
    <n v="4.8250000000000002"/>
    <n v="0.1"/>
    <n v="0.05"/>
    <n v="0.05"/>
    <n v="4.1965000000000003"/>
    <n v="4"/>
    <n v="0"/>
    <n v="0"/>
    <n v="5.0250000000000004"/>
    <n v="1.0022800000000001"/>
    <n v="0"/>
    <n v="32"/>
    <n v="9.3965643811481425E-2"/>
    <x v="119"/>
    <n v="3"/>
    <n v="1.7618558214652767E-2"/>
    <n v="10"/>
    <n v="5.8728527382175891E-2"/>
    <n v="0"/>
    <n v="0"/>
  </r>
  <r>
    <n v="526"/>
    <s v="แขวงทางหลวงอุตรดิตถ์ที่ 1"/>
    <n v="557"/>
    <n v="1246"/>
    <n v="100"/>
    <s v="หนองกวาง - แสนขัน"/>
    <s v="0+000"/>
    <s v="17+881"/>
    <n v="17.881"/>
    <s v="L1"/>
    <n v="2"/>
    <d v="2015-09-22T00:00:00"/>
    <s v="A.C."/>
    <n v="14.93"/>
    <n v="2"/>
    <n v="0.55000000000000004"/>
    <n v="0.35"/>
    <n v="1.9628300000000001"/>
    <n v="2"/>
    <n v="17.8"/>
    <n v="2.5000000000000001E-2"/>
    <n v="0"/>
    <n v="0"/>
    <n v="2.7952900000000001"/>
    <n v="3"/>
    <n v="0"/>
    <n v="0"/>
    <n v="17.830000000000002"/>
    <n v="1.1913100000000001"/>
    <n v="58.73"/>
    <n v="0"/>
    <n v="9.3842999999999996E-2"/>
    <x v="119"/>
    <n v="67.484999999999999"/>
    <n v="0.107832"/>
    <n v="0"/>
    <n v="0"/>
    <n v="0"/>
    <n v="0"/>
  </r>
  <r>
    <n v="395"/>
    <s v="แขวงทางหลวงพิษณุโลกที่ 1"/>
    <n v="511"/>
    <n v="117"/>
    <n v="302"/>
    <s v="คลองเมน - พญาแมน"/>
    <s v="185+232"/>
    <s v="149+053"/>
    <n v="36.179000000000002"/>
    <s v="R1"/>
    <n v="2"/>
    <d v="2015-09-19T00:00:00"/>
    <s v="A.C."/>
    <n v="28.72"/>
    <n v="5.58"/>
    <n v="1.33"/>
    <n v="0.55000000000000004"/>
    <n v="2.0634899999999998"/>
    <n v="2"/>
    <n v="35.68"/>
    <n v="0.43"/>
    <n v="0.08"/>
    <n v="0"/>
    <n v="3.45729"/>
    <n v="3.5"/>
    <n v="0"/>
    <n v="0"/>
    <n v="36.18"/>
    <n v="1.22001"/>
    <n v="112.36"/>
    <n v="11.85"/>
    <n v="9.3412999999999996E-2"/>
    <x v="119"/>
    <n v="1.2"/>
    <n v="9.4799999999999995E-4"/>
    <n v="1.95"/>
    <n v="1.5399999999999999E-3"/>
    <n v="0"/>
    <n v="0"/>
  </r>
  <r>
    <n v="1220"/>
    <s v="แขวงทางหลวงลพบุรีที่ 2 (ลำนารายณ์)"/>
    <n v="435"/>
    <n v="2357"/>
    <n v="100"/>
    <s v="หนองยายโต๊ะ -  ลำพญาไม้"/>
    <s v="0+000"/>
    <s v="16+679"/>
    <n v="16.678999999999998"/>
    <n v="2"/>
    <s v="L1"/>
    <d v="2015-10-05T00:00:00"/>
    <s v="A.C."/>
    <n v="7.8"/>
    <n v="4.8250000000000002"/>
    <n v="2.7250000000000001"/>
    <n v="1.375"/>
    <n v="2.9895999999999998"/>
    <n v="3"/>
    <n v="15.475"/>
    <n v="0.9"/>
    <n v="0.15"/>
    <n v="0.2"/>
    <n v="3.9025799999999999"/>
    <n v="4"/>
    <n v="0"/>
    <n v="0"/>
    <n v="16.678999999999998"/>
    <n v="1.5147299999999999"/>
    <n v="49.64"/>
    <n v="9.48"/>
    <n v="9.3153923239659805E-2"/>
    <x v="119"/>
    <n v="18.36"/>
    <n v="3.1451E-2"/>
    <n v="0"/>
    <n v="0"/>
    <n v="0"/>
    <n v="0"/>
  </r>
  <r>
    <n v="1329"/>
    <s v="แขวงทางหลวงกาญจนบุรี"/>
    <n v="444"/>
    <n v="3229"/>
    <n v="101"/>
    <s v="หนองบัว - ลำทราย"/>
    <n v="0"/>
    <n v="18572"/>
    <n v="18.571999999999999"/>
    <n v="2"/>
    <s v="R1"/>
    <d v="2015-07-28T00:00:00"/>
    <s v="A.C."/>
    <n v="12.9"/>
    <n v="3.7250000000000001"/>
    <n v="1.125"/>
    <n v="0.5"/>
    <n v="2.2872499999999998"/>
    <n v="2.5"/>
    <n v="18.125"/>
    <n v="0.05"/>
    <n v="2.5000000000000001E-2"/>
    <n v="0.05"/>
    <n v="1.8633500000000001"/>
    <n v="2"/>
    <n v="0"/>
    <n v="0"/>
    <n v="18.25"/>
    <n v="1.2467699999999999"/>
    <n v="57"/>
    <n v="7"/>
    <n v="9.3074059259715097E-2"/>
    <x v="119"/>
    <n v="0"/>
    <n v="0"/>
    <n v="14"/>
    <n v="2.1537798836958864E-2"/>
    <n v="0"/>
    <n v="0"/>
  </r>
  <r>
    <n v="697"/>
    <s v="แขวงทางหลวงชัยภูมิ"/>
    <n v="626"/>
    <n v="205"/>
    <n v="301"/>
    <s v="ช่องสำราญ - คำปิง"/>
    <n v="111572"/>
    <n v="151084"/>
    <n v="39.512"/>
    <n v="2"/>
    <s v="L1"/>
    <d v="2015-06-20T00:00:00"/>
    <s v="A.C."/>
    <n v="16.675000000000001"/>
    <n v="11.3"/>
    <n v="6.25"/>
    <n v="4.9000000000000004"/>
    <n v="3.0037600000000002"/>
    <n v="3"/>
    <n v="35.25"/>
    <n v="3"/>
    <n v="0.75"/>
    <n v="0.125"/>
    <n v="5.0343900000000001"/>
    <n v="5"/>
    <n v="0"/>
    <n v="0"/>
    <n v="39.125"/>
    <n v="1.43483"/>
    <n v="118.19"/>
    <n v="20.67"/>
    <n v="9.2937407803777516E-2"/>
    <x v="119"/>
    <n v="0"/>
    <n v="0"/>
    <n v="0"/>
    <n v="0"/>
    <n v="0"/>
    <n v="0"/>
  </r>
  <r>
    <n v="745"/>
    <s v="แขวงทางหลวงชัยภูมิ"/>
    <n v="626"/>
    <n v="205"/>
    <n v="301"/>
    <s v="ช่องสำราญ - คำปิง"/>
    <n v="111572"/>
    <n v="151084"/>
    <n v="39.512"/>
    <n v="2"/>
    <s v="L1"/>
    <d v="2015-06-20T00:00:00"/>
    <s v="A.C."/>
    <n v="16.675000000000001"/>
    <n v="11.3"/>
    <n v="6.25"/>
    <n v="4.9000000000000004"/>
    <n v="3.0037600000000002"/>
    <n v="3"/>
    <n v="35.25"/>
    <n v="3"/>
    <n v="0.75"/>
    <n v="0.125"/>
    <n v="5.0343900000000001"/>
    <n v="5"/>
    <n v="0"/>
    <n v="0"/>
    <n v="39.125"/>
    <n v="1.43483"/>
    <n v="118.19"/>
    <n v="20.67"/>
    <n v="9.2937407803777516E-2"/>
    <x v="119"/>
    <n v="0"/>
    <n v="0"/>
    <n v="0"/>
    <n v="0"/>
    <n v="0"/>
    <n v="0"/>
  </r>
  <r>
    <n v="109"/>
    <s v="แขวงทางหลวงเชียงใหม่ที่ 3"/>
    <n v="527"/>
    <n v="109"/>
    <n v="200"/>
    <s v="ห้วยป่าไร่ - ฝาง"/>
    <n v="61133"/>
    <n v="31425"/>
    <n v="29.707999999999998"/>
    <n v="2"/>
    <s v="R1"/>
    <d v="2015-08-24T00:00:00"/>
    <s v="A.C."/>
    <n v="5.73"/>
    <n v="11.56"/>
    <n v="8.9600000000000009"/>
    <n v="3.45"/>
    <n v="3.5786899999999999"/>
    <n v="3.5"/>
    <n v="26.75"/>
    <n v="2.63"/>
    <n v="0.3"/>
    <n v="0.03"/>
    <n v="5.7625299999999999"/>
    <n v="6"/>
    <n v="0"/>
    <n v="0"/>
    <n v="29.71"/>
    <n v="1.63147"/>
    <n v="96.32"/>
    <n v="0"/>
    <n v="9.2634980476639275E-2"/>
    <x v="119"/>
    <n v="85.63"/>
    <n v="8.2353959491430873E-2"/>
    <n v="0"/>
    <n v="0"/>
    <n v="0"/>
    <n v="0"/>
  </r>
  <r>
    <n v="1018"/>
    <s v="แขวงทางหลวงบุรีรัมย์"/>
    <n v="617"/>
    <n v="2061"/>
    <n v="200"/>
    <s v="ห้วยตะกั่ว - พุทไธสง"/>
    <n v="1400"/>
    <n v="18802"/>
    <n v="17.402000000000001"/>
    <n v="2"/>
    <s v="L1"/>
    <d v="2015-05-04T00:00:00"/>
    <s v="A.C."/>
    <n v="10.029999999999999"/>
    <n v="5.6749999999999998"/>
    <n v="1.5"/>
    <n v="0.32500000000000001"/>
    <n v="2.3013699999999999"/>
    <n v="2.5"/>
    <n v="13.95"/>
    <n v="2.6"/>
    <n v="0.85"/>
    <n v="0.125"/>
    <n v="3.05585"/>
    <n v="3"/>
    <n v="0"/>
    <n v="0"/>
    <n v="17.529999999999998"/>
    <n v="1.2087300000000001"/>
    <n v="8.8699999999999992"/>
    <n v="94.56"/>
    <n v="9.2189731886318488E-2"/>
    <x v="119"/>
    <n v="76.650000000000006"/>
    <n v="0.12584760372370993"/>
    <n v="35.65"/>
    <n v="5.8531860048927055E-2"/>
    <n v="0"/>
    <n v="0"/>
  </r>
  <r>
    <n v="1436"/>
    <s v="แขวงทางหลวงอ่างทอง"/>
    <n v="448"/>
    <n v="32"/>
    <n v="202"/>
    <s v="อ่างทอง - ไชโย"/>
    <n v="49087"/>
    <n v="66800"/>
    <n v="17.713000000000001"/>
    <n v="8"/>
    <s v="L4"/>
    <d v="2015-06-27T00:00:00"/>
    <s v="A.C."/>
    <n v="12.75"/>
    <n v="2.75"/>
    <n v="1.7"/>
    <n v="0.375"/>
    <n v="2.2240000000000002"/>
    <n v="2"/>
    <n v="16.600000000000001"/>
    <n v="0.77500000000000002"/>
    <n v="0.2"/>
    <n v="0"/>
    <n v="4.1529999999999996"/>
    <n v="4"/>
    <n v="0"/>
    <n v="0"/>
    <n v="17.574999999999999"/>
    <n v="1.268"/>
    <n v="32.82"/>
    <n v="48.15"/>
    <n v="9.1772789960561638E-2"/>
    <x v="119"/>
    <n v="124.12"/>
    <n v="0.20020807961868198"/>
    <n v="0"/>
    <n v="0"/>
    <n v="0"/>
    <n v="0"/>
  </r>
  <r>
    <n v="1523"/>
    <s v="แขวงทางหลวงอยุธยา"/>
    <n v="413"/>
    <n v="3470"/>
    <n v="100"/>
    <s v="ภาชี - ท่าเรือ"/>
    <s v="0+000"/>
    <n v="15380"/>
    <n v="15.369"/>
    <n v="2"/>
    <s v="L1"/>
    <d v="2015-09-18T00:00:00"/>
    <s v="A.C."/>
    <n v="11.03"/>
    <n v="2.7"/>
    <n v="1.2250000000000001"/>
    <n v="0.4"/>
    <n v="2.3980899999999998"/>
    <n v="2.5"/>
    <n v="13.625"/>
    <n v="1.45"/>
    <n v="0.2"/>
    <n v="7.4999999999999997E-2"/>
    <n v="6.1167100000000003"/>
    <n v="6"/>
    <n v="0"/>
    <n v="0"/>
    <n v="15.369"/>
    <n v="1.30298"/>
    <n v="32"/>
    <n v="34.630000000000003"/>
    <n v="9.1678053224022379E-2"/>
    <x v="119"/>
    <n v="0"/>
    <n v="0"/>
    <n v="0"/>
    <n v="0"/>
    <n v="2"/>
    <n v="3.7180595447236088E-3"/>
  </r>
  <r>
    <n v="182"/>
    <s v="แขวงทางหลวงเชียงรายที่ 1"/>
    <n v="533"/>
    <n v="1233"/>
    <n v="100"/>
    <s v="ศรีทรายมูล - บ้านด้าย"/>
    <n v="0"/>
    <n v="6300"/>
    <n v="6.3"/>
    <n v="2"/>
    <s v="R1"/>
    <d v="2015-07-18T00:00:00"/>
    <s v="A.C."/>
    <n v="3.88"/>
    <n v="1.29"/>
    <n v="0.59"/>
    <n v="0.54"/>
    <n v="2.69936"/>
    <n v="2.5"/>
    <n v="5.44"/>
    <n v="0.81"/>
    <n v="0.05"/>
    <n v="0"/>
    <n v="6.7106500000000002"/>
    <n v="6.5"/>
    <n v="0"/>
    <n v="0"/>
    <n v="6.3"/>
    <n v="1.1345700000000001"/>
    <n v="3"/>
    <n v="34.42"/>
    <n v="9.1655328798185942E-2"/>
    <x v="119"/>
    <n v="0"/>
    <n v="0"/>
    <n v="0"/>
    <n v="0"/>
    <n v="0"/>
    <n v="0"/>
  </r>
  <r>
    <n v="860"/>
    <s v="แขวงทางหลวงสุรินทร์"/>
    <n v="615"/>
    <n v="2333"/>
    <n v="102"/>
    <s v="สนม - ศรีสำโรง"/>
    <n v="19525"/>
    <n v="25848"/>
    <n v="6.3230000000000004"/>
    <n v="2"/>
    <s v="L1"/>
    <d v="2015-05-12T00:00:00"/>
    <s v="A.C."/>
    <n v="2.35"/>
    <n v="3.0249999999999999"/>
    <n v="0.7"/>
    <n v="0.22500000000000001"/>
    <n v="2.84179"/>
    <n v="3"/>
    <n v="5.35"/>
    <n v="0.8"/>
    <n v="0.125"/>
    <n v="2.5000000000000001E-2"/>
    <n v="5.8098799999999997"/>
    <n v="6"/>
    <n v="0"/>
    <n v="0"/>
    <n v="6.3"/>
    <n v="1.6046499999999999"/>
    <n v="20.25"/>
    <n v="0"/>
    <n v="9.1503000000000001E-2"/>
    <x v="119"/>
    <n v="0"/>
    <n v="0"/>
    <n v="0"/>
    <n v="0"/>
    <n v="0"/>
    <n v="0"/>
  </r>
  <r>
    <n v="2004"/>
    <s v="แขวงทางหลวงสุราษฎร์ธานี ที่ 1 (พุนพิน)"/>
    <n v="325"/>
    <n v="420"/>
    <n v="101"/>
    <s v="วงแหวนรอบเมืองสุราษฎร์ธานี"/>
    <s v="0+000"/>
    <s v="28+629"/>
    <n v="28.629000000000001"/>
    <n v="4"/>
    <s v="L1"/>
    <d v="2015-04-23T00:00:00"/>
    <s v="A.C."/>
    <n v="11.95"/>
    <n v="9.32"/>
    <n v="4.76"/>
    <n v="2.61"/>
    <n v="3.0722100000000001"/>
    <n v="3"/>
    <n v="26.76"/>
    <n v="1.72"/>
    <n v="0.13"/>
    <n v="0.03"/>
    <n v="4.9994500000000004"/>
    <n v="5"/>
    <n v="0"/>
    <n v="0"/>
    <n v="28.63"/>
    <n v="1.2413700000000001"/>
    <n v="57.53"/>
    <n v="68.25"/>
    <n v="9.1470686566568343E-2"/>
    <x v="119"/>
    <n v="8.6300000000000008"/>
    <n v="8.6126455192786534E-3"/>
    <n v="0"/>
    <n v="0"/>
    <n v="1"/>
    <n v="9.9798905206009876E-4"/>
  </r>
  <r>
    <n v="699"/>
    <s v="แขวงทางหลวงชัยภูมิ"/>
    <n v="626"/>
    <n v="205"/>
    <n v="302"/>
    <s v="คำปิง - หนองบัวโคก"/>
    <n v="151084"/>
    <n v="169172"/>
    <n v="18.088000000000001"/>
    <n v="4"/>
    <s v="L1"/>
    <d v="2015-06-20T00:00:00"/>
    <s v="A.C."/>
    <n v="5.625"/>
    <n v="5.65"/>
    <n v="4.125"/>
    <n v="2.9"/>
    <n v="3.4682200000000001"/>
    <n v="3.5"/>
    <n v="17.074999999999999"/>
    <n v="0.97499999999999998"/>
    <n v="0.2"/>
    <n v="0.05"/>
    <n v="4.92394"/>
    <n v="5"/>
    <n v="0"/>
    <n v="0"/>
    <n v="18.3"/>
    <n v="1.3412900000000001"/>
    <n v="53.24"/>
    <n v="9.31"/>
    <n v="9.1449737789852784E-2"/>
    <x v="119"/>
    <n v="5.7"/>
    <n v="9.00360144057623E-3"/>
    <n v="0"/>
    <n v="0"/>
    <n v="0"/>
    <n v="0"/>
  </r>
  <r>
    <n v="747"/>
    <s v="แขวงทางหลวงชัยภูมิ"/>
    <n v="626"/>
    <n v="205"/>
    <n v="302"/>
    <s v="คำปิง - หนองบัวโคก"/>
    <n v="151084"/>
    <n v="169172"/>
    <n v="18.088000000000001"/>
    <n v="4"/>
    <s v="L1"/>
    <d v="2015-06-20T00:00:00"/>
    <s v="A.C."/>
    <n v="5.625"/>
    <n v="5.65"/>
    <n v="4.125"/>
    <n v="2.9"/>
    <n v="3.4682200000000001"/>
    <n v="3.5"/>
    <n v="17.074999999999999"/>
    <n v="0.97499999999999998"/>
    <n v="0.2"/>
    <n v="0.05"/>
    <n v="4.92394"/>
    <n v="5"/>
    <n v="0"/>
    <n v="0"/>
    <n v="18.3"/>
    <n v="1.3412900000000001"/>
    <n v="53.24"/>
    <n v="9.31"/>
    <n v="9.1449737789852784E-2"/>
    <x v="119"/>
    <n v="5.7"/>
    <n v="9.00360144057623E-3"/>
    <n v="0"/>
    <n v="0"/>
    <n v="0"/>
    <n v="0"/>
  </r>
  <r>
    <n v="537"/>
    <s v="แขวงทางหลวงอุตรดิตถ์ที่ 2"/>
    <n v="558"/>
    <n v="1106"/>
    <n v="100"/>
    <s v="วังสีสูบ - ผาเลือด"/>
    <s v="0+000"/>
    <s v="27+037"/>
    <n v="27.036999999999999"/>
    <s v="L1"/>
    <n v="2"/>
    <d v="2015-09-24T00:00:00"/>
    <s v="A.C."/>
    <n v="18"/>
    <n v="6.4249999999999998"/>
    <n v="1.7749999999999999"/>
    <n v="0.85"/>
    <n v="2.4855700000000001"/>
    <n v="2.5"/>
    <n v="26.725000000000001"/>
    <n v="0.25"/>
    <n v="2.5000000000000001E-2"/>
    <n v="0.05"/>
    <n v="2.79542"/>
    <n v="3"/>
    <n v="0"/>
    <n v="0"/>
    <n v="27.05"/>
    <n v="1.169"/>
    <n v="85.69"/>
    <n v="0"/>
    <n v="9.0552999999999995E-2"/>
    <x v="119"/>
    <n v="57.48"/>
    <n v="6.0741999999999997E-2"/>
    <n v="0"/>
    <n v="0"/>
    <n v="0"/>
    <n v="0"/>
  </r>
  <r>
    <n v="1183"/>
    <s v="แขวงทางหลวงสิงห์บุรี"/>
    <n v="433"/>
    <n v="3030"/>
    <n v="100"/>
    <s v="ดงมะขามเทศ - บางระจัน"/>
    <n v="0"/>
    <s v="9+645"/>
    <n v="9.6449999999999996"/>
    <n v="2"/>
    <s v="L1"/>
    <d v="2015-10-05T00:00:00"/>
    <s v="A.C."/>
    <n v="8.25"/>
    <n v="1.125"/>
    <n v="0.27500000000000002"/>
    <n v="0"/>
    <n v="2.9830000000000001"/>
    <n v="3"/>
    <n v="9.6"/>
    <n v="0.05"/>
    <n v="0"/>
    <n v="0"/>
    <n v="3.2149999999999999"/>
    <n v="3"/>
    <n v="0"/>
    <n v="0"/>
    <n v="9.6449999999999996"/>
    <n v="1.298"/>
    <n v="12.62"/>
    <n v="35.68"/>
    <n v="9.0231800340665039E-2"/>
    <x v="119"/>
    <n v="0"/>
    <n v="0"/>
    <n v="0"/>
    <n v="0"/>
    <n v="0"/>
    <n v="0"/>
  </r>
  <r>
    <n v="1291"/>
    <s v="แขวงทางหลวงสุพรรณบุรีที่ 1"/>
    <n v="441"/>
    <n v="3451"/>
    <n v="100"/>
    <s v="โคกโคเฒ่า - ลาดตาล"/>
    <n v="10976"/>
    <n v="0"/>
    <n v="10.976000000000001"/>
    <n v="2"/>
    <s v="R1"/>
    <d v="2015-07-01T00:00:00"/>
    <s v="A.C."/>
    <n v="8.5"/>
    <n v="1.925"/>
    <n v="0.5"/>
    <n v="2.5000000000000001E-2"/>
    <n v="2.05436"/>
    <n v="2"/>
    <n v="10.775"/>
    <n v="0.17499999999999999"/>
    <n v="0"/>
    <n v="0"/>
    <n v="3.2213599999999998"/>
    <n v="3"/>
    <n v="0"/>
    <n v="0"/>
    <n v="10.950000000000001"/>
    <n v="1.3964300000000001"/>
    <n v="33"/>
    <n v="3"/>
    <n v="8.9806330695543501E-2"/>
    <x v="119"/>
    <n v="0"/>
    <n v="0"/>
    <n v="0"/>
    <n v="0"/>
    <n v="0"/>
    <n v="0"/>
  </r>
  <r>
    <n v="120"/>
    <s v="แขวงทางหลวงเชียงใหม่ที่ 3"/>
    <n v="527"/>
    <n v="1322"/>
    <n v="100"/>
    <s v="แม่จา - รินหลวง"/>
    <n v="0"/>
    <n v="68550"/>
    <n v="68.55"/>
    <n v="2"/>
    <s v="L1"/>
    <d v="2015-08-26T00:00:00"/>
    <s v="A.C."/>
    <n v="42.72"/>
    <n v="15.18"/>
    <n v="8.14"/>
    <n v="2.5099999999999998"/>
    <n v="3.5139999999999998"/>
    <n v="3.5"/>
    <n v="57.67"/>
    <n v="8.5399999999999991"/>
    <n v="2.34"/>
    <n v="0"/>
    <n v="4.6980000000000004"/>
    <n v="4.5"/>
    <n v="0"/>
    <n v="0"/>
    <n v="68.55"/>
    <n v="1.218"/>
    <n v="159.62"/>
    <n v="110.3"/>
    <n v="8.9515473585495484E-2"/>
    <x v="119"/>
    <n v="56.69"/>
    <n v="2.3628217151193082E-2"/>
    <n v="0"/>
    <n v="0"/>
    <n v="0"/>
    <n v="0"/>
  </r>
  <r>
    <n v="1244"/>
    <s v="แขวงทางหลวงนครสวรรค์ที่ 1"/>
    <n v="437"/>
    <n v="3473"/>
    <n v="100"/>
    <s v="หนองจิกรี - ถนนสุด"/>
    <s v="48+375"/>
    <s v="0+000"/>
    <n v="48.375"/>
    <n v="2"/>
    <s v="R1"/>
    <d v="2015-10-05T00:00:00"/>
    <s v="A.C."/>
    <n v="30.85"/>
    <n v="10"/>
    <n v="5.25"/>
    <n v="2.2749999999999999"/>
    <n v="2.45966"/>
    <n v="2.5"/>
    <n v="44.575000000000003"/>
    <n v="3.1"/>
    <n v="0.52500000000000002"/>
    <n v="0.17499999999999999"/>
    <n v="4.3729399999999998"/>
    <n v="4.5"/>
    <n v="0"/>
    <n v="0"/>
    <n v="48.375"/>
    <n v="1.2355799999999999"/>
    <n v="148.36000000000001"/>
    <n v="6.2160000000000002"/>
    <n v="8.9460612772240697E-2"/>
    <x v="119"/>
    <n v="87.65"/>
    <n v="5.1768180140273172E-2"/>
    <n v="0"/>
    <n v="0"/>
    <n v="0"/>
    <n v="0"/>
  </r>
  <r>
    <n v="492"/>
    <s v="แขวงทางหลวงพิจิตร"/>
    <n v="519"/>
    <n v="117"/>
    <n v="202"/>
    <s v="เนินสว่าง - หนองนา"/>
    <s v="70+000"/>
    <s v="88+900"/>
    <n v="18.899999999999999"/>
    <s v="L2"/>
    <n v="4"/>
    <d v="2015-09-28T00:00:00"/>
    <s v="A.C."/>
    <n v="15"/>
    <n v="3.3"/>
    <n v="0.6"/>
    <n v="0"/>
    <n v="2.7326299999999999"/>
    <n v="2.5"/>
    <n v="18.899999999999999"/>
    <n v="0"/>
    <n v="0"/>
    <n v="0"/>
    <n v="3.0701499999999999"/>
    <n v="3"/>
    <n v="0"/>
    <n v="0"/>
    <n v="18.899999999999999"/>
    <n v="1.2751999999999999"/>
    <n v="85.24"/>
    <n v="26.67"/>
    <n v="8.9269000000000001E-2"/>
    <x v="119"/>
    <n v="153.12"/>
    <n v="0.13866400000000001"/>
    <n v="0"/>
    <n v="0"/>
    <n v="0"/>
    <n v="0"/>
  </r>
  <r>
    <n v="716"/>
    <s v="แขวงทางหลวงขอนแก่นที่ 2 (ชุมแพ)"/>
    <n v="627"/>
    <n v="201"/>
    <n v="302"/>
    <s v="ภูเขียว - ชุมแพ"/>
    <n v="221081"/>
    <n v="200955"/>
    <n v="20.126000000000001"/>
    <n v="4"/>
    <s v="R1"/>
    <d v="2015-06-23T00:00:00"/>
    <s v="A.C."/>
    <n v="9.1546000000000003"/>
    <n v="6.5138499999999997"/>
    <n v="3.0934500000000003"/>
    <n v="1.3706750000000001"/>
    <n v="2.9012799999999999"/>
    <n v="3"/>
    <n v="14.67"/>
    <n v="2.62"/>
    <n v="1.45"/>
    <n v="1.42"/>
    <n v="8.3998500000000007"/>
    <n v="8.5"/>
    <n v="0"/>
    <n v="0"/>
    <n v="20.126000000000001"/>
    <n v="1.0155799999999999"/>
    <n v="59.52"/>
    <n v="6.62"/>
    <n v="8.9190000000000005E-2"/>
    <x v="119"/>
    <n v="5.92"/>
    <n v="8.4100000000000008E-3"/>
    <n v="25.42"/>
    <n v="3.6080000000000001E-2"/>
    <n v="0.39"/>
    <n v="5.5365483170312737E-4"/>
  </r>
  <r>
    <n v="430"/>
    <s v="แขวงทางหลวงสุโขทัย"/>
    <n v="513"/>
    <n v="1056"/>
    <n v="101"/>
    <s v="ศรีสำโรง - ดอนโก"/>
    <s v="0+403"/>
    <s v="20+000"/>
    <n v="19.597000000000001"/>
    <s v="L1"/>
    <n v="2"/>
    <d v="2015-09-17T00:00:00"/>
    <s v="A.C."/>
    <n v="13.5"/>
    <n v="3.24"/>
    <n v="1.88"/>
    <n v="0.98"/>
    <n v="2.4502899999999999"/>
    <n v="2.5"/>
    <n v="18.89"/>
    <n v="0.33"/>
    <n v="0.2"/>
    <n v="0.18"/>
    <n v="3.0412300000000001"/>
    <n v="3"/>
    <n v="0"/>
    <n v="0"/>
    <n v="19.600000000000001"/>
    <n v="1.1119300000000001"/>
    <n v="53.253999999999998"/>
    <n v="15.647"/>
    <n v="8.9047886338287932E-2"/>
    <x v="119"/>
    <n v="77.569999999999993"/>
    <n v="0.11309311191946288"/>
    <n v="0"/>
    <n v="0"/>
    <n v="0"/>
    <n v="0"/>
  </r>
  <r>
    <n v="155"/>
    <s v="แขวงทางหลวงแพร่"/>
    <n v="531"/>
    <n v="1217"/>
    <n v="100"/>
    <s v="ปากห้วยอ้อย - วังปึ้ง"/>
    <n v="0"/>
    <n v="17081"/>
    <n v="17.081"/>
    <n v="2"/>
    <s v="L1"/>
    <d v="2015-08-05T00:00:00"/>
    <s v="A.C."/>
    <n v="7.41"/>
    <n v="5.17"/>
    <n v="3.51"/>
    <n v="1.01"/>
    <n v="2.7488800000000002"/>
    <n v="2.5"/>
    <n v="8.8000000000000007"/>
    <n v="2.4700000000000002"/>
    <n v="1.79"/>
    <n v="4.03"/>
    <n v="18.678699999999999"/>
    <n v="18.5"/>
    <n v="0"/>
    <n v="0"/>
    <n v="17.079999999999998"/>
    <n v="1.2828599999999999"/>
    <n v="46"/>
    <n v="14.11"/>
    <n v="8.8745222343957778E-2"/>
    <x v="119"/>
    <n v="2"/>
    <n v="3.3454046685122145E-3"/>
    <n v="0"/>
    <n v="0"/>
    <n v="2"/>
    <n v="3.3454046685122145E-3"/>
  </r>
  <r>
    <n v="1479"/>
    <s v="แขวงทางหลวงกรุงเทพ"/>
    <n v="411"/>
    <n v="3119"/>
    <n v="102"/>
    <s v="แยกเคหะร่มเกล้า - ลาดกระบัง"/>
    <s v="5+309"/>
    <s v="11+003"/>
    <n v="5.694"/>
    <n v="2"/>
    <s v="L2"/>
    <d v="2015-08-30T00:00:00"/>
    <s v="A.C."/>
    <n v="1.2"/>
    <n v="1.875"/>
    <n v="1.85"/>
    <n v="0.67500000000000004"/>
    <n v="3.5939999999999999"/>
    <n v="3.5"/>
    <n v="5.4"/>
    <n v="0.05"/>
    <n v="0.1"/>
    <n v="0.05"/>
    <n v="3.6179999999999999"/>
    <n v="3.5"/>
    <n v="0"/>
    <n v="0"/>
    <n v="5.6"/>
    <n v="0.94499999999999995"/>
    <n v="0"/>
    <n v="35.28"/>
    <n v="8.8514225500526872E-2"/>
    <x v="119"/>
    <n v="1"/>
    <n v="5.0178132369913192E-3"/>
    <n v="12.72"/>
    <n v="6.382658437452958E-2"/>
    <n v="0"/>
    <n v="0"/>
  </r>
  <r>
    <n v="947"/>
    <s v="แขวงทางหลวงนครราชสีมาที่ 1"/>
    <n v="611"/>
    <n v="2150"/>
    <n v="101"/>
    <s v="บ้านวัด - คง"/>
    <n v="0"/>
    <n v="18804"/>
    <n v="18.803999999999998"/>
    <n v="2"/>
    <s v="R1"/>
    <d v="2015-04-23T00:00:00"/>
    <s v="A.C."/>
    <n v="13.2"/>
    <n v="4.0750000000000002"/>
    <n v="0.8"/>
    <n v="0.67500000000000004"/>
    <n v="3.1760199999999998"/>
    <n v="3"/>
    <n v="17.100000000000001"/>
    <n v="1.1000000000000001"/>
    <n v="0.4"/>
    <n v="0.15"/>
    <n v="5.1719799999999996"/>
    <n v="5"/>
    <n v="0"/>
    <n v="0"/>
    <n v="18.803999999999998"/>
    <n v="1.41848"/>
    <n v="58.23"/>
    <n v="0"/>
    <n v="8.8476615917585918E-2"/>
    <x v="119"/>
    <n v="0"/>
    <n v="0"/>
    <n v="0"/>
    <n v="0"/>
    <n v="0"/>
    <n v="0"/>
  </r>
  <r>
    <n v="803"/>
    <s v="แขวงทางหลวงร้อยเอ็ด"/>
    <n v="635"/>
    <n v="2046"/>
    <n v="101"/>
    <s v="เสลภูมิ - บ้านงิ้ว"/>
    <n v="0"/>
    <n v="16100"/>
    <n v="16.100000000000001"/>
    <n v="2"/>
    <s v="L1"/>
    <d v="2015-05-27T00:00:00"/>
    <s v="A.C."/>
    <n v="12.174999999999999"/>
    <n v="2.875"/>
    <n v="0.875"/>
    <n v="0.17499999999999999"/>
    <n v="2.70058"/>
    <n v="2.5"/>
    <n v="15.725"/>
    <n v="0.32500000000000001"/>
    <n v="2.5000000000000001E-2"/>
    <n v="2.5000000000000001E-2"/>
    <n v="4.13"/>
    <n v="4"/>
    <n v="0"/>
    <n v="0"/>
    <n v="16.100000000000001"/>
    <n v="1.226"/>
    <n v="39.74"/>
    <n v="20.23"/>
    <n v="8.8469999999999993E-2"/>
    <x v="119"/>
    <n v="0"/>
    <n v="0"/>
    <n v="0"/>
    <n v="0"/>
    <n v="0"/>
    <n v="0"/>
  </r>
  <r>
    <n v="1223"/>
    <s v="แขวงทางหลวงนครสวรรค์ที่ 1"/>
    <n v="437"/>
    <n v="117"/>
    <n v="100"/>
    <s v="นครสวรรค์ - คลองพลังด้านใต้"/>
    <s v="0+000"/>
    <s v="38+628"/>
    <n v="38.628"/>
    <n v="4"/>
    <s v="L2"/>
    <d v="2015-10-05T00:00:00"/>
    <s v="A.C."/>
    <n v="26.672000000000001"/>
    <n v="5.6970000000000001"/>
    <n v="3.6230000000000002"/>
    <n v="2.6360000000000001"/>
    <n v="2.43133"/>
    <n v="2.5"/>
    <n v="35.425238649592544"/>
    <n v="2.4732712456344581"/>
    <n v="0.51464027939464485"/>
    <n v="0.21484982537834685"/>
    <n v="4.3863399999999997"/>
    <n v="4.5"/>
    <n v="0"/>
    <n v="0"/>
    <n v="38.628"/>
    <n v="1.3644400000000001"/>
    <n v="116.2"/>
    <n v="6.4"/>
    <n v="8.8314915901122795E-2"/>
    <x v="119"/>
    <n v="89.63"/>
    <n v="6.6295359398807666E-2"/>
    <n v="0.3"/>
    <n v="2.2189677362091157E-4"/>
    <n v="0"/>
    <n v="2.2189677362091157E-4"/>
  </r>
  <r>
    <n v="791"/>
    <s v="แขวงทางหลวงยโสธร"/>
    <n v="633"/>
    <n v="2351"/>
    <n v="100"/>
    <s v="พลไว - แข้โพนเมือง"/>
    <n v="0"/>
    <n v="35200"/>
    <n v="35.200000000000003"/>
    <n v="2"/>
    <s v="L1"/>
    <d v="2015-05-25T00:00:00"/>
    <s v="A.C."/>
    <n v="22.95"/>
    <n v="8.8249999999999993"/>
    <n v="2.5500000000000003"/>
    <n v="0.75"/>
    <n v="2.459635"/>
    <n v="2.5"/>
    <n v="34.975000000000001"/>
    <n v="7.4999999999999997E-2"/>
    <n v="2.5000000000000001E-2"/>
    <n v="0"/>
    <n v="3.0446249999999999"/>
    <n v="3"/>
    <n v="0"/>
    <n v="0"/>
    <n v="35.074999999999996"/>
    <n v="1.4192049999999998"/>
    <n v="17"/>
    <n v="183"/>
    <n v="8.8069999999999996E-2"/>
    <x v="119"/>
    <n v="0"/>
    <n v="0"/>
    <n v="129"/>
    <n v="0.104708"/>
    <n v="0"/>
    <n v="0"/>
  </r>
  <r>
    <n v="9"/>
    <s v="แขวงทางหลวงเชียงใหม่ที่ 1"/>
    <n v="521"/>
    <n v="1009"/>
    <n v="100"/>
    <s v="จอมทอง - ดอยอินทนนท์"/>
    <s v="0+000"/>
    <s v="46+700"/>
    <n v="46.7"/>
    <n v="2"/>
    <s v="L1"/>
    <d v="2015-08-17T00:00:00"/>
    <s v="A.C."/>
    <n v="17.024999999999999"/>
    <n v="12.95"/>
    <n v="10.65"/>
    <n v="6.2750000000000004"/>
    <n v="3.2965399999999998"/>
    <n v="3.5"/>
    <n v="45.45"/>
    <n v="1.175"/>
    <n v="0.2"/>
    <n v="7.4999999999999997E-2"/>
    <n v="3.09287"/>
    <n v="3"/>
    <n v="0"/>
    <n v="0"/>
    <n v="46.9"/>
    <n v="1.51085"/>
    <n v="35.57"/>
    <n v="216.21"/>
    <n v="8.7901498929336172E-2"/>
    <x v="119"/>
    <n v="269.32100000000003"/>
    <n v="0.16477271336800245"/>
    <n v="0"/>
    <n v="0"/>
    <n v="0"/>
    <n v="0"/>
  </r>
  <r>
    <n v="1108"/>
    <s v="แขวงทางหลวงลพบุรีที่ 1"/>
    <n v="431"/>
    <n v="3016"/>
    <n v="100"/>
    <s v="ลพบุรี -  ค่ายเอราวัณ"/>
    <s v="0+000"/>
    <s v="6+000"/>
    <n v="6"/>
    <n v="2"/>
    <s v="L1"/>
    <d v="2015-10-05T00:00:00"/>
    <s v="A.C."/>
    <n v="2.9750000000000001"/>
    <n v="1.675"/>
    <n v="0.85"/>
    <n v="0.52500000000000002"/>
    <n v="3.0859299999999998"/>
    <n v="3"/>
    <n v="5.9"/>
    <n v="0.1"/>
    <n v="2.5000000000000001E-2"/>
    <n v="0"/>
    <n v="3.6763400000000002"/>
    <n v="3.5"/>
    <n v="0"/>
    <n v="0"/>
    <n v="6.0250000000000004"/>
    <n v="1.03864"/>
    <n v="16.3"/>
    <n v="4.0999999999999996"/>
    <n v="8.7380952380952392E-2"/>
    <x v="119"/>
    <n v="69.36"/>
    <n v="0.33028571428571429"/>
    <n v="0"/>
    <n v="0"/>
    <n v="0"/>
    <n v="0"/>
  </r>
  <r>
    <n v="1755"/>
    <s v="แขวงทางหลวงตราด"/>
    <n v="425"/>
    <n v="3157"/>
    <n v="102"/>
    <s v="บ่อไร่ - แหลมค้อ"/>
    <n v="34650"/>
    <n v="81134"/>
    <n v="46.484000000000002"/>
    <n v="2"/>
    <s v="R1"/>
    <d v="2015-08-20T00:00:00"/>
    <s v="A.C."/>
    <n v="25.73"/>
    <n v="12.23"/>
    <n v="5.75"/>
    <n v="2.9750000000000001"/>
    <n v="3.0781299999999998"/>
    <n v="3"/>
    <n v="42.95"/>
    <n v="2.8250000000000002"/>
    <n v="0.625"/>
    <n v="0.27500000000000002"/>
    <n v="4.95085"/>
    <n v="5"/>
    <n v="0"/>
    <n v="0"/>
    <n v="46.675000000000004"/>
    <n v="1.4313499999999999"/>
    <n v="120.43"/>
    <n v="43.25"/>
    <n v="8.7314221790600749E-2"/>
    <x v="119"/>
    <n v="131.53"/>
    <n v="8.084502194303414E-2"/>
    <n v="0"/>
    <n v="0"/>
    <n v="141.87"/>
    <n v="8.7200511389479624E-2"/>
  </r>
  <r>
    <n v="801"/>
    <s v="แขวงทางหลวงร้อยเอ็ด"/>
    <n v="635"/>
    <n v="2044"/>
    <n v="102"/>
    <s v="หนองดง - โพนทอง"/>
    <n v="31800"/>
    <n v="47861"/>
    <n v="16.061"/>
    <n v="2"/>
    <s v="L1"/>
    <d v="2015-05-26T00:00:00"/>
    <s v="A.C."/>
    <n v="9.6750000000000007"/>
    <n v="4.2249999999999996"/>
    <n v="1.375"/>
    <n v="0.75"/>
    <n v="3.7332999999999998"/>
    <n v="3.5"/>
    <n v="15.675000000000001"/>
    <n v="0.35"/>
    <n v="0"/>
    <n v="0"/>
    <n v="5.8182"/>
    <n v="6"/>
    <n v="0"/>
    <n v="0"/>
    <n v="16.061"/>
    <n v="1.01403"/>
    <n v="42"/>
    <n v="14"/>
    <n v="8.7169999999999997E-2"/>
    <x v="119"/>
    <n v="0"/>
    <n v="0"/>
    <n v="51"/>
    <n v="9.0726000000000001E-2"/>
    <n v="0"/>
    <n v="0"/>
  </r>
  <r>
    <n v="1724"/>
    <s v="แขวงทางหลวงชลบุรีที่ 1"/>
    <n v="422"/>
    <n v="3701"/>
    <n v="401"/>
    <s v="เขาดิน - ดอนหัวฬ่อ"/>
    <n v="52000"/>
    <n v="57226"/>
    <n v="12.579000000000001"/>
    <n v="2"/>
    <s v="R1"/>
    <d v="2015-08-15T00:00:00"/>
    <s v="A.C."/>
    <n v="2.5299999999999998"/>
    <n v="3.83"/>
    <n v="3.04"/>
    <n v="3.19"/>
    <n v="4.2342000000000004"/>
    <n v="4"/>
    <n v="10.97"/>
    <n v="1.28"/>
    <n v="0.27"/>
    <n v="0.08"/>
    <n v="7.1291200000000003"/>
    <n v="7"/>
    <n v="0"/>
    <n v="0"/>
    <n v="12.579000000000001"/>
    <n v="1.2118500000000001"/>
    <n v="24.72"/>
    <n v="31.69"/>
    <n v="8.7139999999999995E-2"/>
    <x v="119"/>
    <n v="0"/>
    <n v="0"/>
    <n v="4"/>
    <n v="8.5929999999999999E-3"/>
    <n v="4.75"/>
    <n v="1.0200000000000001E-2"/>
  </r>
  <r>
    <n v="49"/>
    <s v="แขวงทางหลวงลำปางที่ 1"/>
    <n v="523"/>
    <n v="1036"/>
    <n v="100"/>
    <s v="บ้านฟ่อน - ศูนย์สร้างทางลำปาง"/>
    <s v="0+000"/>
    <s v="29+003"/>
    <n v="29.003"/>
    <n v="2"/>
    <s v="L1"/>
    <d v="2015-08-06T00:00:00"/>
    <s v="A.C."/>
    <n v="21.274999999999999"/>
    <n v="5.0999999999999996"/>
    <n v="2.0249999999999999"/>
    <n v="0.5"/>
    <n v="2.1881200000000001"/>
    <n v="2"/>
    <n v="28.824999999999999"/>
    <n v="0.05"/>
    <n v="2.5000000000000001E-2"/>
    <n v="0"/>
    <n v="1.96997"/>
    <n v="2"/>
    <n v="0"/>
    <n v="0"/>
    <n v="28.9"/>
    <n v="1.12683"/>
    <n v="88.25"/>
    <n v="0"/>
    <n v="8.6936819343811714E-2"/>
    <x v="119"/>
    <n v="45.54"/>
    <n v="4.4862354140704649E-2"/>
    <n v="0"/>
    <n v="0"/>
    <n v="0"/>
    <n v="0"/>
  </r>
  <r>
    <n v="2205"/>
    <s v="แขวงทางหลวงพัทลุง"/>
    <n v="314"/>
    <n v="4237"/>
    <n v="100"/>
    <s v="แม่ขรี - ตะโหมด"/>
    <n v="0"/>
    <n v="8730"/>
    <n v="8.73"/>
    <n v="2"/>
    <s v="R1"/>
    <d v="2015-05-21T00:00:00"/>
    <s v="A.C."/>
    <n v="4.9249999999999998"/>
    <n v="2.125"/>
    <n v="1.35"/>
    <n v="0.35"/>
    <n v="2.6385399999999999"/>
    <n v="2.5"/>
    <n v="7.2750000000000004"/>
    <n v="1.1499999999999999"/>
    <n v="0.27500000000000002"/>
    <n v="0.05"/>
    <n v="6.0654300000000001"/>
    <n v="6"/>
    <n v="0"/>
    <n v="0"/>
    <n v="8.75"/>
    <n v="1.20739"/>
    <n v="26.42"/>
    <n v="0"/>
    <n v="8.6467026673212252E-2"/>
    <x v="119"/>
    <n v="0"/>
    <n v="0"/>
    <n v="0"/>
    <n v="0"/>
    <n v="0"/>
    <n v="0"/>
  </r>
  <r>
    <n v="1124"/>
    <s v="แขวงทางหลวงลพบุรีที่ 1"/>
    <n v="431"/>
    <n v="3334"/>
    <n v="100"/>
    <s v="ธารเกษม - สถานีรถไฟเขาสูง"/>
    <s v="29+002"/>
    <s v="0+000"/>
    <n v="29.001999999999999"/>
    <n v="2"/>
    <s v="R1"/>
    <d v="2015-10-05T00:00:00"/>
    <s v="A.C."/>
    <n v="21"/>
    <n v="4.9249999999999998"/>
    <n v="2.0499999999999998"/>
    <n v="0.92500000000000004"/>
    <n v="2.24505"/>
    <n v="2"/>
    <n v="27.95"/>
    <n v="0.625"/>
    <n v="0.2"/>
    <n v="0.125"/>
    <n v="4.0072900000000002"/>
    <n v="4"/>
    <n v="0"/>
    <n v="0"/>
    <n v="28.900000000000002"/>
    <n v="1.27959"/>
    <n v="85.96"/>
    <n v="3.25"/>
    <n v="8.6284689725831726E-2"/>
    <x v="119"/>
    <n v="125.36"/>
    <n v="0.12349887199897547"/>
    <n v="0"/>
    <n v="0"/>
    <n v="0"/>
    <n v="0"/>
  </r>
  <r>
    <n v="1623"/>
    <s v="แขวงทางหลวงสมุทรปราการ"/>
    <n v="417"/>
    <n v="3117"/>
    <n v="100"/>
    <s v="คลองด่าน - บางบ่อ"/>
    <n v="0"/>
    <n v="7822"/>
    <n v="7.8220000000000001"/>
    <n v="2"/>
    <s v="L1"/>
    <d v="2015-08-22T00:00:00"/>
    <s v="A.C."/>
    <n v="4.0999999999999996"/>
    <n v="2.5499999999999998"/>
    <n v="0.75"/>
    <n v="0.42499999999999999"/>
    <n v="2.4928499999999998"/>
    <n v="2.5"/>
    <n v="7.35"/>
    <n v="0.45"/>
    <n v="2.5000000000000001E-2"/>
    <n v="0"/>
    <n v="4.3741000000000003"/>
    <n v="4.5"/>
    <n v="0"/>
    <n v="0"/>
    <n v="7.8249999999999993"/>
    <n v="1.081"/>
    <n v="17.5"/>
    <n v="12.19"/>
    <n v="8.6185484165540407E-2"/>
    <x v="119"/>
    <n v="8.6"/>
    <n v="3.1413230083646854E-2"/>
    <n v="2.0499999999999998"/>
    <n v="7.4880374036600059E-3"/>
    <n v="0"/>
    <n v="0"/>
  </r>
  <r>
    <n v="939"/>
    <s v="แขวงทางหลวงนครราชสีมาที่ 1"/>
    <n v="611"/>
    <n v="205"/>
    <n v="402"/>
    <s v="โคกสวาย - แขวงการทางนครราชสีมาที่ 1"/>
    <s v="223+859"/>
    <s v="195+197"/>
    <n v="28.251999999999999"/>
    <n v="4"/>
    <s v="R2"/>
    <d v="2015-04-23T00:00:00"/>
    <s v="A.C."/>
    <n v="25.225000000000001"/>
    <n v="2.0249999999999999"/>
    <n v="0.75"/>
    <n v="0.35"/>
    <n v="1.8666199999999999"/>
    <n v="2"/>
    <n v="25.8"/>
    <n v="2"/>
    <n v="0.47499999999999998"/>
    <n v="7.4999999999999997E-2"/>
    <n v="5.6399600000000003"/>
    <n v="5.5"/>
    <n v="0"/>
    <n v="0"/>
    <n v="28.251999999999999"/>
    <n v="1.2483599999999999"/>
    <n v="84.6"/>
    <n v="0"/>
    <n v="8.5556521915009814E-2"/>
    <x v="119"/>
    <n v="604.13"/>
    <n v="0.61096053882405299"/>
    <n v="0"/>
    <n v="0"/>
    <n v="0"/>
    <n v="0"/>
  </r>
  <r>
    <n v="324"/>
    <s v="แขวงทางหลวงนครพนม"/>
    <n v="644"/>
    <n v="2417"/>
    <n v="100"/>
    <s v="นาพระชัย -  เซกา"/>
    <n v="0"/>
    <n v="45440"/>
    <n v="45.44"/>
    <n v="2"/>
    <s v="L1"/>
    <d v="2015-06-03T00:00:00"/>
    <s v="A.C."/>
    <n v="29.08"/>
    <n v="10.29"/>
    <n v="4.0599999999999996"/>
    <n v="2.0099999999999998"/>
    <n v="2.7903799999999999"/>
    <n v="3"/>
    <n v="44.73"/>
    <n v="0.57999999999999996"/>
    <n v="0.13"/>
    <n v="0"/>
    <n v="2.6442800000000002"/>
    <n v="2.5"/>
    <n v="0.05"/>
    <n v="0.05"/>
    <n v="45.34"/>
    <n v="1.22051"/>
    <n v="15"/>
    <n v="241"/>
    <n v="8.5199999999999998E-2"/>
    <x v="119"/>
    <n v="0.56000000000000005"/>
    <n v="3.5E-4"/>
    <n v="0"/>
    <n v="0"/>
    <n v="0"/>
    <n v="0"/>
  </r>
  <r>
    <n v="483"/>
    <s v="แขวงทางหลวงพิจิตร"/>
    <n v="519"/>
    <n v="113"/>
    <n v="202"/>
    <s v="เขาทราย - ฆะมัง"/>
    <s v="96+209"/>
    <s v="57+803"/>
    <n v="38.405999999999999"/>
    <s v="R1"/>
    <n v="2"/>
    <d v="2015-09-29T00:00:00"/>
    <s v="A.C."/>
    <n v="27.62"/>
    <n v="7.53"/>
    <n v="2.27"/>
    <n v="0.98"/>
    <n v="2.3119399999999999"/>
    <n v="2.5"/>
    <n v="35.159999999999997"/>
    <n v="2.2999999999999998"/>
    <n v="0.72"/>
    <n v="0.22"/>
    <n v="4.5339799999999997"/>
    <n v="4.5"/>
    <n v="0"/>
    <n v="0"/>
    <n v="38.409999999999997"/>
    <n v="1.1374500000000001"/>
    <n v="111.24"/>
    <n v="6.15"/>
    <n v="8.5042999999999994E-2"/>
    <x v="119"/>
    <n v="45.648000000000003"/>
    <n v="3.3959000000000003E-2"/>
    <n v="0"/>
    <n v="0"/>
    <n v="0"/>
    <n v="0"/>
  </r>
  <r>
    <n v="1978"/>
    <s v="แขวงทางหลวงตรัง"/>
    <n v="322"/>
    <n v="419"/>
    <n v="100"/>
    <s v="ถนนวงแหวนรอบเมืองตรัง"/>
    <n v="0"/>
    <n v="31255"/>
    <n v="31.254999999999999"/>
    <n v="2"/>
    <s v="L2"/>
    <d v="2015-05-06T00:00:00"/>
    <s v="A.C."/>
    <n v="22.324999999999999"/>
    <n v="5.1749999999999998"/>
    <n v="2.5499999999999998"/>
    <n v="1.425"/>
    <n v="2.40774"/>
    <n v="2.5"/>
    <n v="29.85"/>
    <n v="1.375"/>
    <n v="0.15"/>
    <n v="0.1"/>
    <n v="4.66716"/>
    <n v="4.5"/>
    <n v="0"/>
    <n v="0"/>
    <n v="31.475000000000001"/>
    <n v="1.3208599999999999"/>
    <n v="88.97"/>
    <n v="8"/>
    <n v="8.4987544849966859E-2"/>
    <x v="119"/>
    <n v="34.22"/>
    <n v="3.1281852046529696E-2"/>
    <n v="343.17"/>
    <n v="0.31370523573371117"/>
    <n v="0"/>
    <n v="0"/>
  </r>
  <r>
    <n v="216"/>
    <s v="แขวงทางหลวงน่านที่ 1"/>
    <n v="536"/>
    <n v="1083"/>
    <n v="200"/>
    <s v="เด่นชาติ - นาน้อย"/>
    <s v="32+724"/>
    <s v="77+524"/>
    <n v="44.8"/>
    <n v="2"/>
    <s v="L1"/>
    <d v="2015-08-04T00:00:00"/>
    <s v="A.C."/>
    <n v="13.86"/>
    <n v="16.28"/>
    <n v="10.46"/>
    <n v="4.21"/>
    <n v="3.5390000000000001"/>
    <n v="3.5"/>
    <n v="23.15"/>
    <n v="6.33"/>
    <n v="4.8499999999999996"/>
    <n v="10.49"/>
    <n v="18.039000000000001"/>
    <n v="18"/>
    <n v="0"/>
    <n v="0.03"/>
    <n v="44.78"/>
    <n v="1.633"/>
    <n v="78.61"/>
    <n v="109.26"/>
    <n v="8.4974489795918401E-2"/>
    <x v="119"/>
    <n v="0.5"/>
    <n v="3.1887755102040819E-4"/>
    <n v="236.14"/>
    <n v="0.15059948979591839"/>
    <n v="5.38"/>
    <n v="3.4311224489795922E-3"/>
  </r>
  <r>
    <n v="1454"/>
    <s v="แขวงทางหลวงอ่างทอง"/>
    <n v="448"/>
    <n v="3195"/>
    <n v="201"/>
    <s v="ลาดตาล - วิเศษชัยชาญ"/>
    <n v="8450"/>
    <n v="25300"/>
    <n v="16.850000000000001"/>
    <n v="2"/>
    <s v="L2"/>
    <d v="2015-06-28T00:00:00"/>
    <s v="A.C."/>
    <n v="9.9250000000000007"/>
    <n v="4.8250000000000002"/>
    <n v="1.625"/>
    <n v="0.45"/>
    <n v="2.5830600000000001"/>
    <n v="2.5"/>
    <n v="13.95"/>
    <n v="2.2999999999999998"/>
    <n v="0.52500000000000002"/>
    <n v="0.05"/>
    <n v="6.9421200000000001"/>
    <n v="7"/>
    <n v="0"/>
    <n v="0"/>
    <n v="16.824999999999999"/>
    <n v="1.008"/>
    <n v="33"/>
    <n v="34"/>
    <n v="8.4781687155574381E-2"/>
    <x v="119"/>
    <n v="26"/>
    <n v="4.4086477320898682E-2"/>
    <n v="230"/>
    <n v="0.3899957609156422"/>
    <n v="0"/>
    <n v="0"/>
  </r>
  <r>
    <n v="2093"/>
    <s v="แขวงทางหลวงกระบี่"/>
    <n v="323"/>
    <n v="4156"/>
    <n v="100"/>
    <s v="เขาพนม - ทุ่งใหญ่"/>
    <n v="0"/>
    <n v="40475"/>
    <n v="40.475000000000001"/>
    <n v="2"/>
    <s v="L1"/>
    <d v="2015-05-08T00:00:00"/>
    <s v="A.C."/>
    <n v="33.700000000000003"/>
    <n v="4.72"/>
    <n v="1.48"/>
    <n v="0.57999999999999996"/>
    <n v="1.95688"/>
    <n v="2"/>
    <n v="39.950000000000003"/>
    <n v="0.43"/>
    <n v="0.1"/>
    <n v="0"/>
    <n v="2.4621300000000002"/>
    <n v="2.5"/>
    <n v="0"/>
    <n v="0"/>
    <n v="40.479999999999997"/>
    <n v="1.3362099999999999"/>
    <n v="114"/>
    <n v="12"/>
    <n v="8.4708373775699286E-2"/>
    <x v="119"/>
    <n v="2"/>
    <n v="1.411806229594988E-3"/>
    <n v="0"/>
    <n v="0"/>
    <n v="0"/>
    <n v="0"/>
  </r>
  <r>
    <n v="1924"/>
    <s v="แขวงทางหลวงเพชรบุรี"/>
    <n v="338"/>
    <n v="3179"/>
    <n v="100"/>
    <s v="เทศบาลเมืองเพชรบุรี - บ้านลาด"/>
    <n v="109"/>
    <n v="8091"/>
    <n v="7.9820000000000002"/>
    <n v="2"/>
    <s v="L1"/>
    <d v="2015-04-02T00:00:00"/>
    <s v="A.C."/>
    <n v="4.34"/>
    <n v="2.09"/>
    <n v="0.72"/>
    <n v="0.83"/>
    <n v="2.94265"/>
    <n v="3"/>
    <n v="7.93"/>
    <n v="0.05"/>
    <n v="0"/>
    <n v="0"/>
    <n v="1.8362799999999999"/>
    <n v="2"/>
    <n v="0"/>
    <n v="0"/>
    <n v="7.98"/>
    <n v="1.22224"/>
    <n v="4"/>
    <n v="39.31"/>
    <n v="8.467265633389412E-2"/>
    <x v="119"/>
    <n v="1.89"/>
    <n v="6.7652217489351041E-3"/>
    <n v="27"/>
    <n v="9.6646024984787207E-2"/>
    <n v="0"/>
    <n v="0"/>
  </r>
  <r>
    <n v="893"/>
    <s v="แขวงทางหลวงอำนาจเจริญ"/>
    <n v="634"/>
    <n v="2050"/>
    <n v="201"/>
    <s v="ตระการพืชผล - ห้วยยาง"/>
    <n v="45948"/>
    <n v="77923"/>
    <n v="31.975000000000001"/>
    <n v="2"/>
    <s v="L1"/>
    <d v="2015-05-21T00:00:00"/>
    <s v="A.C."/>
    <n v="15.925000000000001"/>
    <n v="9.75"/>
    <n v="4.5750000000000002"/>
    <n v="1.85"/>
    <n v="3.1419999999999999"/>
    <n v="3"/>
    <n v="28.65"/>
    <n v="2.65"/>
    <n v="0.52500000000000002"/>
    <n v="0.27500000000000002"/>
    <n v="7.3710000000000004"/>
    <n v="7.5"/>
    <n v="0"/>
    <n v="0"/>
    <n v="32.1"/>
    <n v="1.3660000000000001"/>
    <n v="70.569999999999993"/>
    <n v="48.34"/>
    <n v="8.4659999999999999E-2"/>
    <x v="119"/>
    <n v="0.41"/>
    <n v="3.6999999999999999E-4"/>
    <n v="553.17999999999995"/>
    <n v="0.49429699999999999"/>
    <n v="0"/>
    <n v="0"/>
  </r>
  <r>
    <n v="2194"/>
    <s v="แขวงทางหลวงพัทลุง"/>
    <n v="314"/>
    <n v="4081"/>
    <n v="100"/>
    <s v="ท่านางพรหม - จงเก"/>
    <n v="0"/>
    <n v="16150"/>
    <n v="16.149999999999999"/>
    <n v="2"/>
    <s v="L1"/>
    <d v="2015-05-20T00:00:00"/>
    <s v="A.C."/>
    <n v="9.1"/>
    <n v="3.875"/>
    <n v="2.2250000000000001"/>
    <n v="0.82499999999999996"/>
    <n v="2.6057899999999998"/>
    <n v="2.5"/>
    <n v="15.625"/>
    <n v="0.3"/>
    <n v="0.1"/>
    <n v="0"/>
    <n v="2.6990099999999999"/>
    <n v="2.5"/>
    <n v="0"/>
    <n v="0"/>
    <n v="16.024999999999999"/>
    <n v="1.08789"/>
    <n v="34.39"/>
    <n v="26.44"/>
    <n v="8.4228217602830613E-2"/>
    <x v="119"/>
    <n v="348.6"/>
    <n v="0.61671826625387016"/>
    <n v="62.22"/>
    <n v="0.11007518796992483"/>
    <n v="0"/>
    <n v="0"/>
  </r>
  <r>
    <n v="1461"/>
    <s v="แขวงทางหลวงอ่างทอง"/>
    <n v="448"/>
    <n v="3372"/>
    <n v="102"/>
    <s v="สามโก้ - สีบัวทอง"/>
    <n v="17951"/>
    <n v="59151"/>
    <n v="41.2"/>
    <n v="2"/>
    <s v="L1"/>
    <d v="2015-06-26T00:00:00"/>
    <s v="A.C."/>
    <n v="34.75"/>
    <n v="5.25"/>
    <n v="1.2"/>
    <n v="0"/>
    <n v="2.7120000000000002"/>
    <n v="2.5"/>
    <n v="34.700000000000003"/>
    <n v="6.4"/>
    <n v="0.1"/>
    <n v="0"/>
    <n v="4.1210000000000004"/>
    <n v="4"/>
    <n v="0"/>
    <n v="0"/>
    <n v="41.2"/>
    <n v="1.113"/>
    <n v="121.23"/>
    <n v="0"/>
    <n v="8.4070735090152546E-2"/>
    <x v="119"/>
    <n v="39.61"/>
    <n v="2.7468793342579744E-2"/>
    <n v="0"/>
    <n v="0"/>
    <n v="0"/>
    <n v="0"/>
  </r>
  <r>
    <n v="1103"/>
    <s v="แขวงทางหลวงลพบุรีที่ 1"/>
    <n v="431"/>
    <n v="2089"/>
    <n v="200"/>
    <s v="แสลงพัน - คลองท่าข้าม"/>
    <s v="16+000"/>
    <s v="33+760"/>
    <n v="17.760000000000002"/>
    <n v="2"/>
    <s v="L1"/>
    <d v="2015-10-05T00:00:00"/>
    <s v="A.C."/>
    <n v="12.475"/>
    <n v="2.8"/>
    <n v="1.675"/>
    <n v="1.1000000000000001"/>
    <n v="2.53607"/>
    <n v="2.5"/>
    <n v="16.850000000000001"/>
    <n v="0.85"/>
    <n v="0.17499999999999999"/>
    <n v="0.17499999999999999"/>
    <n v="3.93397"/>
    <n v="4"/>
    <n v="0"/>
    <n v="0"/>
    <n v="18.05"/>
    <n v="1.2044699999999999"/>
    <n v="49.9"/>
    <n v="4.1500000000000004"/>
    <n v="8.3614864864864857E-2"/>
    <x v="119"/>
    <n v="0"/>
    <n v="0"/>
    <n v="0"/>
    <n v="0"/>
    <n v="0"/>
    <n v="0"/>
  </r>
  <r>
    <n v="1913"/>
    <s v="แขวงทางหลวงสมุทรสงคราม"/>
    <n v="337"/>
    <n v="3643"/>
    <n v="100"/>
    <s v="เทศบาลเมืองสมุทรสงคราม - ท่าน้ำสมุทรสงคราม"/>
    <n v="4066"/>
    <n v="0"/>
    <n v="4.0659999999999998"/>
    <n v="8"/>
    <s v="R4"/>
    <d v="2015-03-28T00:00:00"/>
    <s v="A.C."/>
    <n v="1.5"/>
    <n v="1.58"/>
    <n v="0.51"/>
    <n v="0.48"/>
    <n v="3.1934900000000002"/>
    <n v="3"/>
    <n v="3.72"/>
    <n v="0.32"/>
    <n v="0.03"/>
    <n v="0"/>
    <n v="4.7709700000000002"/>
    <n v="5"/>
    <n v="0"/>
    <n v="0"/>
    <n v="4.07"/>
    <n v="1.35924"/>
    <n v="9.69"/>
    <n v="4.32"/>
    <n v="8.3268919963460045E-2"/>
    <x v="119"/>
    <n v="29.9"/>
    <n v="0.21010470100484854"/>
    <n v="133.46"/>
    <n v="0.93781181926779567"/>
    <n v="0"/>
    <n v="0"/>
  </r>
  <r>
    <n v="539"/>
    <s v="แขวงทางหลวงอุตรดิตถ์ที่ 2"/>
    <n v="558"/>
    <n v="1163"/>
    <n v="100"/>
    <s v="ร่วมจิต - น้ำพร้า"/>
    <s v="0+000"/>
    <s v="40+837"/>
    <n v="40.837000000000003"/>
    <s v="L1"/>
    <n v="2"/>
    <d v="2015-09-24T00:00:00"/>
    <s v="A.C."/>
    <n v="14.63"/>
    <n v="11.33"/>
    <n v="10.45"/>
    <n v="4.33"/>
    <n v="3.2190400000000001"/>
    <n v="3"/>
    <n v="38.450000000000003"/>
    <n v="1.3"/>
    <n v="0.45"/>
    <n v="0.52500000000000002"/>
    <n v="4.2106199999999996"/>
    <n v="4"/>
    <n v="0"/>
    <n v="0"/>
    <n v="40.739999999999995"/>
    <n v="1.3136699999999999"/>
    <n v="115.35"/>
    <n v="7.16"/>
    <n v="8.3209000000000005E-2"/>
    <x v="119"/>
    <n v="83.74"/>
    <n v="5.8588000000000001E-2"/>
    <n v="1.72"/>
    <n v="1.2030000000000001E-3"/>
    <n v="0"/>
    <n v="0"/>
  </r>
  <r>
    <n v="482"/>
    <s v="แขวงทางหลวงพิจิตร"/>
    <n v="519"/>
    <n v="113"/>
    <n v="202"/>
    <s v="เขาทราย - ฆะมัง"/>
    <s v="57+803"/>
    <s v="96+209"/>
    <n v="38.405999999999999"/>
    <s v="L1"/>
    <n v="2"/>
    <d v="2015-09-29T00:00:00"/>
    <s v="A.C."/>
    <n v="24.35"/>
    <n v="9.91"/>
    <n v="3.35"/>
    <n v="0.8"/>
    <n v="2.4606599999999998"/>
    <n v="2.5"/>
    <n v="32.43"/>
    <n v="3.73"/>
    <n v="1.45"/>
    <n v="0.8"/>
    <n v="5.6666999999999996"/>
    <n v="5.5"/>
    <n v="0"/>
    <n v="0"/>
    <n v="38.409999999999997"/>
    <n v="1.11443"/>
    <n v="99.254000000000005"/>
    <n v="24.25"/>
    <n v="8.2858000000000001E-2"/>
    <x v="119"/>
    <n v="85.49"/>
    <n v="6.3599000000000003E-2"/>
    <n v="0"/>
    <n v="0"/>
    <n v="0"/>
    <n v="0"/>
  </r>
  <r>
    <n v="128"/>
    <s v="แขวงทางหลวงลำปางที่ 2"/>
    <n v="528"/>
    <n v="1035"/>
    <n v="101"/>
    <s v="วังหม้อพัฒนา - สำเภาทอง"/>
    <s v="30+000"/>
    <s v="0+000"/>
    <n v="30"/>
    <n v="2"/>
    <s v="R1"/>
    <d v="2015-08-08T00:00:00"/>
    <s v="A.C."/>
    <n v="19.625"/>
    <n v="6.875"/>
    <n v="2.7250000000000001"/>
    <n v="0.92500000000000004"/>
    <n v="2.4266999999999999"/>
    <n v="2.5"/>
    <n v="29.725000000000001"/>
    <n v="0.32500000000000001"/>
    <n v="0.05"/>
    <n v="0.05"/>
    <n v="2.88097"/>
    <n v="3"/>
    <n v="0"/>
    <n v="0"/>
    <n v="30.150000000000002"/>
    <n v="1.1019399999999999"/>
    <n v="68.63"/>
    <n v="36.58"/>
    <n v="8.2780952380952372E-2"/>
    <x v="119"/>
    <n v="3.2040999999999999"/>
    <n v="3.0515238095238095E-3"/>
    <n v="0"/>
    <n v="0"/>
    <n v="0"/>
    <n v="0"/>
  </r>
  <r>
    <n v="985"/>
    <s v="แขวงทางหลวงนครราชสีมาที่ 3"/>
    <n v="614"/>
    <n v="224"/>
    <n v="203"/>
    <s v="พะโค - หนองสนวน"/>
    <n v="35759"/>
    <n v="104799"/>
    <n v="69.040000000000006"/>
    <n v="4"/>
    <s v="L1"/>
    <d v="2015-05-01T00:00:00"/>
    <s v="A.C."/>
    <n v="56.091000000000001"/>
    <n v="8.2270000000000003"/>
    <n v="3.5139999999999998"/>
    <n v="1.2090000000000001"/>
    <n v="1.98715"/>
    <n v="2"/>
    <n v="67.215999999999994"/>
    <n v="1.639"/>
    <n v="0.10199999999999999"/>
    <n v="8.2000000000000003E-2"/>
    <n v="4.2085299999999997"/>
    <n v="4"/>
    <n v="0"/>
    <n v="0"/>
    <n v="69.040999999999997"/>
    <n v="1.5717300000000001"/>
    <n v="198.93"/>
    <n v="0"/>
    <n v="8.2324946200960106E-2"/>
    <x v="119"/>
    <n v="31.46"/>
    <n v="1.3019367654361859E-2"/>
    <n v="0"/>
    <n v="0"/>
    <n v="0"/>
    <n v="0"/>
  </r>
  <r>
    <n v="1172"/>
    <s v="แขวงทางหลวงสิงห์บุรี"/>
    <n v="433"/>
    <n v="311"/>
    <n v="201"/>
    <s v="แยกวัดสนามไชย - วัดกระดังงา"/>
    <s v="11+968"/>
    <s v="26+009"/>
    <n v="14.041"/>
    <n v="4"/>
    <s v="L2"/>
    <d v="2015-10-05T00:00:00"/>
    <s v="A.C."/>
    <n v="9.5"/>
    <n v="3.0249999999999999"/>
    <n v="1.125"/>
    <n v="0.4"/>
    <n v="2.4443800000000002"/>
    <n v="2.5"/>
    <n v="10.875"/>
    <n v="2.25"/>
    <n v="0.67500000000000004"/>
    <n v="0.25"/>
    <n v="7.3384900000000002"/>
    <n v="7.5"/>
    <n v="0"/>
    <n v="0"/>
    <n v="14.041"/>
    <n v="1.1529199999999999"/>
    <n v="32.5"/>
    <n v="14.257999999999999"/>
    <n v="8.0639352101498668E-2"/>
    <x v="119"/>
    <n v="12.66"/>
    <n v="2.5761290913345614E-2"/>
    <n v="0"/>
    <n v="0"/>
    <n v="0"/>
    <n v="0"/>
  </r>
  <r>
    <n v="862"/>
    <s v="แขวงทางหลวงสุรินทร์"/>
    <n v="615"/>
    <n v="2378"/>
    <n v="100"/>
    <s v="จอมพระ - สะพานบุรีรินทร์"/>
    <n v="0"/>
    <n v="20040"/>
    <n v="20.04"/>
    <n v="2"/>
    <s v="L1"/>
    <d v="2015-05-12T00:00:00"/>
    <s v="A.C."/>
    <n v="10"/>
    <n v="6.4"/>
    <n v="3.1"/>
    <n v="0.55000000000000004"/>
    <n v="2.7120000000000002"/>
    <n v="2.5"/>
    <n v="16.8"/>
    <n v="1.95"/>
    <n v="1.125"/>
    <n v="0.17499999999999999"/>
    <n v="5.2880000000000003"/>
    <n v="5.5"/>
    <n v="0"/>
    <n v="2.5000000000000001E-2"/>
    <n v="20.024999999999999"/>
    <n v="1.304"/>
    <n v="36.380000000000003"/>
    <n v="39.270000000000003"/>
    <n v="7.9862000000000002E-2"/>
    <x v="119"/>
    <n v="7.59"/>
    <n v="1.0821000000000001E-2"/>
    <n v="74.13"/>
    <n v="0.10568900000000001"/>
    <n v="0"/>
    <n v="0"/>
  </r>
  <r>
    <n v="131"/>
    <s v="แขวงทางหลวงลำปางที่ 2"/>
    <n v="528"/>
    <n v="1157"/>
    <n v="100"/>
    <s v="ท่าล้อ - เมืองปาน"/>
    <s v="0+000"/>
    <s v="55+109"/>
    <n v="55.109000000000002"/>
    <n v="2"/>
    <s v="L1"/>
    <d v="2015-08-08T00:00:00"/>
    <s v="A.C."/>
    <n v="27.425000000000001"/>
    <n v="16.975000000000001"/>
    <n v="7.45"/>
    <n v="3.375"/>
    <n v="2.7880500000000001"/>
    <n v="3"/>
    <n v="54.174999999999997"/>
    <n v="0.82499999999999996"/>
    <n v="0.2"/>
    <n v="2.5000000000000001E-2"/>
    <n v="3.0182600000000002"/>
    <n v="3"/>
    <n v="0"/>
    <n v="0"/>
    <n v="55.225000000000009"/>
    <n v="1.28193"/>
    <n v="115.74"/>
    <n v="76.45"/>
    <n v="7.9823622275853295E-2"/>
    <x v="119"/>
    <n v="377.35"/>
    <n v="0.1956382545759961"/>
    <n v="23"/>
    <n v="1.1924419915855069E-2"/>
    <n v="1.45"/>
    <n v="7.5175690773868914E-4"/>
  </r>
  <r>
    <n v="1513"/>
    <s v="แขวงทางหลวงอยุธยา"/>
    <n v="413"/>
    <n v="3056"/>
    <n v="100"/>
    <s v="บ้านหว้า - ภาชี"/>
    <n v="0"/>
    <n v="23727"/>
    <n v="23.727"/>
    <n v="4"/>
    <s v="L1"/>
    <d v="2015-09-18T00:00:00"/>
    <s v="A.C."/>
    <n v="12.95"/>
    <n v="5.15"/>
    <n v="2.8"/>
    <n v="2.6749999999999998"/>
    <n v="2.9005399999999999"/>
    <n v="3"/>
    <n v="18.524999999999999"/>
    <n v="2.9"/>
    <n v="1.3"/>
    <n v="0.85"/>
    <n v="8.3194999999999997"/>
    <n v="8.5"/>
    <n v="0"/>
    <n v="0"/>
    <n v="23.727"/>
    <n v="1.0664499999999999"/>
    <n v="10"/>
    <n v="111.94"/>
    <n v="7.9439336741144811E-2"/>
    <x v="119"/>
    <n v="7"/>
    <n v="8.4292156614826988E-3"/>
    <n v="0"/>
    <n v="0"/>
    <n v="55"/>
    <n v="6.6229551625935495E-2"/>
  </r>
  <r>
    <n v="311"/>
    <s v="แขวงทางหลวงนครพนม"/>
    <n v="644"/>
    <n v="2028"/>
    <n v="100"/>
    <s v="โพนจาน - โนนศิวิลัย"/>
    <n v="14000"/>
    <n v="40631"/>
    <n v="26.631"/>
    <n v="2"/>
    <s v="L1"/>
    <d v="2015-06-03T00:00:00"/>
    <s v="A.C."/>
    <n v="20.43"/>
    <n v="4.12"/>
    <n v="1.34"/>
    <n v="0.75"/>
    <n v="2.22316"/>
    <n v="2"/>
    <n v="26.11"/>
    <n v="0.43"/>
    <n v="0.05"/>
    <n v="0.05"/>
    <n v="2.4353500000000001"/>
    <n v="2.5"/>
    <n v="0"/>
    <n v="0"/>
    <n v="26.63"/>
    <n v="1.1540999999999999"/>
    <n v="10"/>
    <n v="128"/>
    <n v="7.9390000000000002E-2"/>
    <x v="119"/>
    <n v="6.09"/>
    <n v="6.5300000000000002E-3"/>
    <n v="0"/>
    <n v="0"/>
    <n v="0"/>
    <n v="1"/>
  </r>
  <r>
    <n v="8"/>
    <s v="แขวงทางหลวงเชียงใหม่ที่ 1"/>
    <n v="521"/>
    <n v="108"/>
    <n v="104"/>
    <s v="ออบหลวง - สะพานแม่ริด"/>
    <s v="156+600"/>
    <n v="126910"/>
    <n v="29.69"/>
    <n v="2"/>
    <s v="R1"/>
    <d v="2015-08-17T00:00:00"/>
    <s v="A.C."/>
    <n v="7.9"/>
    <n v="9.5749999999999993"/>
    <n v="7.5"/>
    <n v="4.05"/>
    <n v="3.45214"/>
    <n v="3.5"/>
    <n v="25.375"/>
    <n v="2.4"/>
    <n v="0.92500000000000004"/>
    <n v="0.32500000000000001"/>
    <n v="4.9775700000000001"/>
    <n v="5"/>
    <n v="0"/>
    <n v="0"/>
    <n v="29.025000000000002"/>
    <n v="1.25407"/>
    <n v="26.21"/>
    <n v="112.57"/>
    <n v="7.9386998989558782E-2"/>
    <x v="119"/>
    <n v="118.62"/>
    <n v="0.11415098878891403"/>
    <n v="0"/>
    <n v="0"/>
    <n v="0"/>
    <n v="0"/>
  </r>
  <r>
    <n v="495"/>
    <s v="แขวงทางหลวงพิจิตร"/>
    <n v="519"/>
    <n v="1067"/>
    <n v="102"/>
    <s v="หอไกร - สี่แยกโพธิ์ไทรงาม"/>
    <s v="3+750"/>
    <s v="29+874"/>
    <n v="26.123999999999999"/>
    <s v="L1"/>
    <n v="2"/>
    <d v="2015-09-30T00:00:00"/>
    <s v="A.C."/>
    <n v="20.05"/>
    <n v="3.68"/>
    <n v="1.43"/>
    <n v="0.97"/>
    <n v="2.2507100000000002"/>
    <n v="2.5"/>
    <n v="26.12"/>
    <n v="0"/>
    <n v="0"/>
    <n v="0"/>
    <n v="1.952"/>
    <n v="2"/>
    <n v="0"/>
    <n v="0"/>
    <n v="26.12"/>
    <n v="1.1593800000000001"/>
    <n v="66.213999999999999"/>
    <n v="12.26"/>
    <n v="7.9121999999999998E-2"/>
    <x v="119"/>
    <n v="83.57"/>
    <n v="9.1398999999999994E-2"/>
    <n v="0"/>
    <n v="0"/>
    <n v="0"/>
    <n v="0"/>
  </r>
  <r>
    <n v="1378"/>
    <s v="แขวงทางหลวงสุพรรณบุรีที่ 2 (อู่ทอง)"/>
    <n v="445"/>
    <n v="3443"/>
    <n v="101"/>
    <s v="ตลาดใหม่ - ตลุงเหนือ"/>
    <n v="26665"/>
    <n v="0"/>
    <n v="26.664999999999999"/>
    <n v="2"/>
    <s v="L1"/>
    <d v="2015-07-03T00:00:00"/>
    <s v="A.C."/>
    <n v="18.247700000000002"/>
    <n v="5.9486999999999997"/>
    <n v="1.5812999999999999"/>
    <n v="0.90360000000000007"/>
    <n v="2.3927800000000001"/>
    <n v="2.5"/>
    <n v="26.405200000000001"/>
    <n v="0.1757"/>
    <n v="0.1004"/>
    <n v="0"/>
    <n v="2.7066599999999998"/>
    <n v="2.5"/>
    <n v="0"/>
    <n v="0"/>
    <n v="26.6813"/>
    <n v="1.0097499999999999"/>
    <n v="35.65"/>
    <n v="76.099999999999994"/>
    <n v="7.896922129061637E-2"/>
    <x v="119"/>
    <n v="12.8"/>
    <n v="1.3715142910717635E-2"/>
    <n v="0"/>
    <n v="0"/>
    <n v="2.8643000000000001"/>
    <n v="3.0690846749350403E-3"/>
  </r>
  <r>
    <n v="143"/>
    <s v="แขวงทางหลวงแพร่"/>
    <n v="531"/>
    <n v="129"/>
    <n v="100"/>
    <s v="ทางเลี่ยงเมืองแพร่"/>
    <n v="0"/>
    <n v="10418"/>
    <n v="10.417999999999999"/>
    <n v="4"/>
    <s v="R2"/>
    <d v="2015-08-06T00:00:00"/>
    <s v="A.C."/>
    <n v="4.7300000000000004"/>
    <n v="2.33"/>
    <n v="2"/>
    <n v="1.38"/>
    <n v="3.1335999999999999"/>
    <n v="3"/>
    <n v="2.2000000000000002"/>
    <n v="1.58"/>
    <n v="2.58"/>
    <n v="4.08"/>
    <n v="17.539100000000001"/>
    <n v="17.5"/>
    <n v="0"/>
    <n v="0"/>
    <n v="10.42"/>
    <n v="1.0805"/>
    <n v="0"/>
    <n v="57.47"/>
    <n v="7.8805912843156092E-2"/>
    <x v="119"/>
    <n v="0"/>
    <n v="0"/>
    <n v="0"/>
    <n v="0"/>
    <n v="0"/>
    <n v="0"/>
  </r>
  <r>
    <n v="532"/>
    <s v="แขวงทางหลวงอุตรดิตถ์ที่ 2"/>
    <n v="558"/>
    <n v="117"/>
    <n v="501"/>
    <s v="วังผาชัน - น้ำปาด"/>
    <s v="320+216"/>
    <s v="294+700"/>
    <n v="25.515999999999998"/>
    <s v="R1"/>
    <n v="2"/>
    <d v="2015-09-26T00:00:00"/>
    <s v="A.C."/>
    <n v="20.9"/>
    <n v="3.3"/>
    <n v="1.0249999999999999"/>
    <n v="0.28000000000000003"/>
    <n v="2.0561600000000002"/>
    <n v="2"/>
    <n v="25.15"/>
    <n v="0.2"/>
    <n v="0.15"/>
    <n v="0"/>
    <n v="2.1502300000000001"/>
    <n v="2"/>
    <n v="0"/>
    <n v="0"/>
    <n v="25.504999999999999"/>
    <n v="1.3268500000000001"/>
    <n v="67.25"/>
    <n v="6.2450000000000001"/>
    <n v="7.8798999999999994E-2"/>
    <x v="119"/>
    <n v="76.484999999999999"/>
    <n v="8.5643999999999998E-2"/>
    <n v="0"/>
    <n v="0"/>
    <n v="0"/>
    <n v="0"/>
  </r>
  <r>
    <n v="851"/>
    <s v="แขวงทางหลวงสุรินทร์"/>
    <n v="615"/>
    <n v="2077"/>
    <n v="101"/>
    <s v="สุรินทร์ - สังขะ"/>
    <n v="2305"/>
    <n v="47250"/>
    <n v="43.954000000000001"/>
    <n v="2"/>
    <s v="L1"/>
    <d v="2015-05-09T00:00:00"/>
    <s v="A.C."/>
    <n v="34.75"/>
    <n v="6.4249999999999998"/>
    <n v="2.2749999999999999"/>
    <n v="1.3"/>
    <n v="2.9249999999999998"/>
    <n v="3"/>
    <n v="42.35"/>
    <n v="1.625"/>
    <n v="0.47499999999999998"/>
    <n v="0.3"/>
    <n v="6.3470000000000004"/>
    <n v="6.5"/>
    <n v="0"/>
    <n v="0"/>
    <n v="44.749999999999993"/>
    <n v="1.3009999999999999"/>
    <n v="52.4"/>
    <n v="142.74"/>
    <n v="7.868E-2"/>
    <x v="119"/>
    <n v="218.17"/>
    <n v="0.13869000000000001"/>
    <n v="441.36"/>
    <n v="0.28057100000000001"/>
    <n v="3.29"/>
    <n v="2.0899999999999998E-3"/>
  </r>
  <r>
    <n v="1750"/>
    <s v="แขวงทางหลวงจันทบุรี"/>
    <n v="423"/>
    <n v="3546"/>
    <n v="100"/>
    <s v="ท่าหลวง - ตลาดมะขาม"/>
    <n v="0"/>
    <n v="3397"/>
    <n v="3.3969999999999998"/>
    <n v="2"/>
    <s v="L1"/>
    <d v="2015-08-19T00:00:00"/>
    <s v="A.C."/>
    <n v="2.548"/>
    <n v="0.63700000000000001"/>
    <n v="0.21199999999999999"/>
    <n v="0"/>
    <n v="2.4420000000000002"/>
    <n v="2.5"/>
    <n v="2.548"/>
    <n v="0.63700000000000001"/>
    <n v="0.21199999999999999"/>
    <n v="0"/>
    <n v="7.6589999999999998"/>
    <n v="7.5"/>
    <n v="0"/>
    <n v="0"/>
    <n v="3.3969999999999998"/>
    <n v="1.216"/>
    <n v="5.76"/>
    <n v="7.14"/>
    <n v="7.8472601875604522E-2"/>
    <x v="119"/>
    <n v="0"/>
    <n v="0"/>
    <n v="0"/>
    <n v="0"/>
    <n v="0"/>
    <n v="0"/>
  </r>
  <r>
    <n v="1548"/>
    <s v="แขวงทางหลวงสมุทรสาคร"/>
    <n v="415"/>
    <n v="3242"/>
    <n v="100"/>
    <s v="สมุทรสาคร - บางบอน"/>
    <s v="13+746"/>
    <s v="1+216"/>
    <n v="12.53"/>
    <n v="6"/>
    <s v="R2"/>
    <d v="2015-08-26T00:00:00"/>
    <s v="A.C."/>
    <n v="10.38"/>
    <n v="1.575"/>
    <n v="0.45"/>
    <n v="0.3"/>
    <n v="2.4181599999999999"/>
    <n v="2.5"/>
    <n v="11.45"/>
    <n v="1.175"/>
    <n v="7.4999999999999997E-2"/>
    <n v="0"/>
    <n v="5.0570899999999996"/>
    <n v="5"/>
    <n v="0"/>
    <n v="0"/>
    <n v="12.705"/>
    <n v="1.0886499999999999"/>
    <n v="0"/>
    <n v="68.81"/>
    <n v="7.8450000000000006E-2"/>
    <x v="119"/>
    <n v="0"/>
    <n v="0"/>
    <n v="0"/>
    <n v="0"/>
    <n v="0"/>
    <n v="0"/>
  </r>
  <r>
    <n v="30"/>
    <s v="แขวงทางหลวงเชียงใหม่ที่ 2"/>
    <n v="522"/>
    <n v="1004"/>
    <n v="100"/>
    <s v="ห้วยแก้ว - พระตำหนักภูพิงคราชนิเวศน์"/>
    <n v="3250"/>
    <n v="19527"/>
    <n v="16.277000000000001"/>
    <n v="2"/>
    <s v="L1"/>
    <d v="2015-08-20T00:00:00"/>
    <s v="A.C."/>
    <n v="1.625"/>
    <n v="6.125"/>
    <n v="5.8"/>
    <n v="2.375"/>
    <n v="3.8547600000000002"/>
    <n v="4"/>
    <n v="15.7"/>
    <n v="0.2"/>
    <n v="2.5000000000000001E-2"/>
    <n v="0"/>
    <n v="3.6125099999999999"/>
    <n v="3.5"/>
    <n v="0"/>
    <n v="0"/>
    <n v="15.925000000000001"/>
    <n v="1.2647699999999999"/>
    <n v="38.090000000000003"/>
    <n v="13.13"/>
    <n v="7.8384047604419915E-2"/>
    <x v="119"/>
    <n v="0"/>
    <n v="0"/>
    <n v="0"/>
    <n v="0"/>
    <n v="0"/>
    <n v="0"/>
  </r>
  <r>
    <n v="1466"/>
    <s v="แขวงทางหลวงอ่างทอง"/>
    <n v="448"/>
    <n v="3483"/>
    <n v="100"/>
    <s v="คลองบางแก้ว  -  บ้านขวาง"/>
    <n v="5474"/>
    <n v="0"/>
    <n v="5.4740000000000002"/>
    <n v="2"/>
    <s v="R1"/>
    <d v="2015-06-26T00:00:00"/>
    <s v="A.C."/>
    <n v="3.25"/>
    <n v="1.65"/>
    <n v="0.42499999999999999"/>
    <n v="0.1"/>
    <n v="2.5245199999999999"/>
    <n v="2.5"/>
    <n v="5.35"/>
    <n v="2.5000000000000001E-2"/>
    <n v="2.5000000000000001E-2"/>
    <n v="2.5000000000000001E-2"/>
    <n v="2.4983900000000001"/>
    <n v="2.5"/>
    <n v="0"/>
    <n v="0"/>
    <n v="5.4249999999999998"/>
    <n v="1.0806"/>
    <n v="12"/>
    <n v="6"/>
    <n v="7.8292186439793313E-2"/>
    <x v="119"/>
    <n v="1"/>
    <n v="5.2194790959862207E-3"/>
    <n v="0"/>
    <n v="0"/>
    <n v="0"/>
    <n v="0"/>
  </r>
  <r>
    <n v="884"/>
    <s v="แขวงทางหลวงอุบลราชธานีที่ 2 (หนองหาน)"/>
    <n v="632"/>
    <n v="2182"/>
    <n v="101"/>
    <s v="เดชอุดม - โนนเรียง"/>
    <n v="289"/>
    <n v="35000"/>
    <n v="34.710999999999999"/>
    <n v="2"/>
    <s v="L1"/>
    <d v="2015-05-20T00:00:00"/>
    <s v="A.C."/>
    <n v="22.675000000000001"/>
    <n v="7.3"/>
    <n v="2.6"/>
    <n v="1.5"/>
    <n v="3.8931200000000001"/>
    <n v="4"/>
    <n v="31.65"/>
    <n v="1.9"/>
    <n v="0.45"/>
    <n v="7.4999999999999997E-2"/>
    <n v="5.6894799999999996"/>
    <n v="5.5"/>
    <n v="0"/>
    <n v="0"/>
    <n v="34.075000000000003"/>
    <n v="1.5627599999999999"/>
    <n v="90.94"/>
    <n v="6.45"/>
    <n v="7.7508999999999995E-2"/>
    <x v="119"/>
    <n v="118.28"/>
    <n v="9.7359000000000001E-2"/>
    <n v="0"/>
    <n v="0"/>
    <n v="0"/>
    <n v="0"/>
  </r>
  <r>
    <n v="442"/>
    <s v="แขวงทางหลวงสุโขทัย"/>
    <n v="513"/>
    <n v="1293"/>
    <n v="100"/>
    <s v="สุโขทัย - ท่าฉนวน"/>
    <s v="0+000"/>
    <s v="25+025"/>
    <n v="25.024999999999999"/>
    <s v="L1"/>
    <n v="2"/>
    <d v="2015-09-17T00:00:00"/>
    <s v="A.C."/>
    <n v="17.170000000000002"/>
    <n v="4.6100000000000003"/>
    <n v="2.12"/>
    <n v="1.1299999999999999"/>
    <n v="2.4938400000000001"/>
    <n v="2.5"/>
    <n v="24.3"/>
    <n v="0.56999999999999995"/>
    <n v="0.15"/>
    <n v="0"/>
    <n v="2.9685999999999999"/>
    <n v="3"/>
    <n v="0"/>
    <n v="0"/>
    <n v="25.03"/>
    <n v="1.29114"/>
    <n v="65.158000000000001"/>
    <n v="5.2"/>
    <n v="7.7360353931782505E-2"/>
    <x v="119"/>
    <n v="147.28"/>
    <n v="0.16815184815184819"/>
    <n v="0"/>
    <n v="0"/>
    <n v="0"/>
    <n v="0"/>
  </r>
  <r>
    <n v="1700"/>
    <s v="แขวงทางหลวงฉะเชิงเทรา"/>
    <n v="421"/>
    <n v="3640"/>
    <n v="100"/>
    <s v="สนามชัยเขต - ห้วยน้ำใส"/>
    <n v="3197"/>
    <n v="0"/>
    <n v="3.1970000000000001"/>
    <n v="2"/>
    <s v="R1"/>
    <d v="2015-08-10T00:00:00"/>
    <s v="A.C."/>
    <n v="1.625"/>
    <n v="1.0249999999999999"/>
    <n v="0.42499999999999999"/>
    <n v="0.17499999999999999"/>
    <n v="2.7399200000000001"/>
    <n v="2.5"/>
    <n v="0.05"/>
    <n v="0.05"/>
    <n v="0"/>
    <n v="3.15"/>
    <n v="53.8035"/>
    <n v="54"/>
    <n v="0"/>
    <n v="0"/>
    <n v="3.1970000000000001"/>
    <n v="1.0996999999999999"/>
    <n v="0"/>
    <n v="17.239999999999998"/>
    <n v="7.7036507440010712E-2"/>
    <x v="119"/>
    <n v="0"/>
    <n v="0"/>
    <n v="0"/>
    <n v="0"/>
    <n v="0"/>
    <n v="0"/>
  </r>
  <r>
    <n v="520"/>
    <s v="แขวงทางหลวงอุตรดิตถ์ที่ 1"/>
    <n v="557"/>
    <n v="1196"/>
    <n v="100"/>
    <s v="วังโป่ง - ด่านแม่คำมัน"/>
    <s v="25+850"/>
    <s v="0+000"/>
    <n v="25.85"/>
    <s v="R1"/>
    <n v="2"/>
    <d v="2015-09-24T00:00:00"/>
    <s v="A.C."/>
    <n v="20.85"/>
    <n v="3.7250000000000001"/>
    <n v="0.92500000000000004"/>
    <n v="0.33"/>
    <n v="2.0704899999999999"/>
    <n v="2"/>
    <n v="25.5"/>
    <n v="0.32500000000000001"/>
    <n v="0"/>
    <n v="0"/>
    <n v="2.93113"/>
    <n v="3"/>
    <n v="0"/>
    <n v="0"/>
    <n v="25.830000000000002"/>
    <n v="1.10483"/>
    <n v="65.400000000000006"/>
    <n v="7.5940000000000003"/>
    <n v="7.6481999999999994E-2"/>
    <x v="119"/>
    <n v="146.85"/>
    <n v="0.16231000000000001"/>
    <n v="0"/>
    <n v="0"/>
    <n v="0"/>
    <n v="0"/>
  </r>
  <r>
    <n v="364"/>
    <s v="แขวงทางหลวงตากที่ 2 (แม่สอด)"/>
    <n v="514"/>
    <n v="105"/>
    <n v="103"/>
    <s v="แม่สลิดหลวง - แม่เงา"/>
    <n v="113000"/>
    <n v="190318"/>
    <n v="77.317999999999998"/>
    <n v="2"/>
    <s v="R1"/>
    <d v="2015-08-29T00:00:00"/>
    <s v="A.C."/>
    <n v="15.1"/>
    <n v="21.475000000000001"/>
    <n v="19.399999999999999"/>
    <n v="21.45"/>
    <n v="5.0477699999999999"/>
    <n v="5"/>
    <n v="66.625"/>
    <n v="5.45"/>
    <n v="2.0249999999999999"/>
    <n v="3.3250000000000002"/>
    <n v="5.43119"/>
    <n v="5.5"/>
    <n v="0"/>
    <n v="0"/>
    <n v="77.424999999999997"/>
    <n v="1.53853"/>
    <n v="193.28700000000001"/>
    <n v="27.24"/>
    <n v="7.6458632807736515E-2"/>
    <x v="119"/>
    <n v="138.33000000000001"/>
    <n v="5.111727817954053E-2"/>
    <n v="0"/>
    <n v="0"/>
    <n v="1.679"/>
    <n v="6.2044321595784387E-4"/>
  </r>
  <r>
    <n v="1191"/>
    <s v="แขวงทางหลวงสิงห์บุรี"/>
    <n v="433"/>
    <n v="3303"/>
    <n v="100"/>
    <s v="บางระจัน - โพทะเล"/>
    <n v="0"/>
    <n v="10812"/>
    <n v="10.811999999999999"/>
    <n v="2"/>
    <s v="L1"/>
    <d v="2015-10-05T00:00:00"/>
    <s v="A.C."/>
    <n v="6.75"/>
    <n v="1.7250000000000001"/>
    <n v="1.7749999999999999"/>
    <n v="0.5"/>
    <n v="2.573"/>
    <n v="2.5"/>
    <n v="10.199999999999999"/>
    <n v="0.55000000000000004"/>
    <n v="0"/>
    <n v="0"/>
    <n v="3.9809999999999999"/>
    <n v="4"/>
    <n v="0"/>
    <n v="0"/>
    <n v="10.811999999999999"/>
    <n v="1.3109999999999999"/>
    <n v="16"/>
    <n v="25.86"/>
    <n v="7.6449447703609744E-2"/>
    <x v="119"/>
    <n v="124.36"/>
    <n v="0.32862956503356061"/>
    <n v="0"/>
    <n v="0"/>
    <n v="0"/>
    <n v="0"/>
  </r>
  <r>
    <n v="1403"/>
    <s v="แขวงทางหลวงอุทัยธานี"/>
    <n v="447"/>
    <n v="333"/>
    <n v="302"/>
    <s v="การุ้ง - อุทัยธานี"/>
    <n v="112386"/>
    <n v="166073"/>
    <n v="53.686999999999998"/>
    <n v="2"/>
    <s v="L1"/>
    <d v="2015-07-29T00:00:00"/>
    <s v="A.C."/>
    <n v="30.6"/>
    <n v="18.149999999999999"/>
    <n v="4.2249999999999996"/>
    <n v="0.77500000000000002"/>
    <n v="2.5857299999999999"/>
    <n v="2.5"/>
    <n v="53.075000000000003"/>
    <n v="0.6"/>
    <n v="0.05"/>
    <n v="2.5000000000000001E-2"/>
    <n v="3.29542"/>
    <n v="3.5"/>
    <n v="0"/>
    <n v="0"/>
    <n v="53.75"/>
    <n v="1.3154600000000001"/>
    <n v="64.3"/>
    <n v="156.53"/>
    <n v="7.5870987655963534E-2"/>
    <x v="119"/>
    <n v="187.54"/>
    <n v="9.9806018482793121E-2"/>
    <n v="0"/>
    <n v="0"/>
    <n v="0"/>
    <n v="0"/>
  </r>
  <r>
    <n v="1256"/>
    <s v="แขวงทางหลวงนครสวรรค์ที่ 2 (ตากฟ้า)"/>
    <n v="438"/>
    <n v="1119"/>
    <n v="101"/>
    <s v="น้ำสาดเหนือ - หนองผักหวาน"/>
    <s v="0+000"/>
    <s v="26+847"/>
    <n v="26.847000000000001"/>
    <n v="2"/>
    <s v="L1"/>
    <d v="2015-10-05T00:00:00"/>
    <s v="A.C."/>
    <n v="8.9250000000000007"/>
    <n v="7.4749999999999996"/>
    <n v="6.05"/>
    <n v="3.7250000000000001"/>
    <n v="3.41778"/>
    <n v="3.5"/>
    <n v="21.65"/>
    <n v="2.625"/>
    <n v="1.05"/>
    <n v="0.85"/>
    <n v="5.6295400000000004"/>
    <n v="5.5"/>
    <n v="0"/>
    <n v="0"/>
    <n v="26.847000000000001"/>
    <n v="1.5714900000000001"/>
    <n v="67.91"/>
    <n v="6.58"/>
    <n v="7.5773297362301734E-2"/>
    <x v="119"/>
    <n v="48.25"/>
    <n v="5.1349179743413728E-2"/>
    <n v="0"/>
    <n v="0"/>
    <n v="0"/>
    <n v="0"/>
  </r>
  <r>
    <n v="1293"/>
    <s v="แขวงทางหลวงสุพรรณบุรีที่ 1"/>
    <n v="441"/>
    <n v="3487"/>
    <n v="100"/>
    <s v="วัดป่าเลไลยก์  -  โพธิ์พระยา"/>
    <n v="8676"/>
    <n v="0"/>
    <n v="8.6760000000000002"/>
    <n v="2"/>
    <s v="R1"/>
    <d v="2015-06-30T00:00:00"/>
    <s v="A.C."/>
    <n v="7.05"/>
    <n v="1.0249999999999999"/>
    <n v="0.42499999999999999"/>
    <n v="0.1"/>
    <n v="1.96183"/>
    <n v="2"/>
    <n v="8.35"/>
    <n v="0.125"/>
    <n v="7.4999999999999997E-2"/>
    <n v="0.05"/>
    <n v="4.3923100000000002"/>
    <n v="4.5"/>
    <n v="0"/>
    <n v="0"/>
    <n v="8.6"/>
    <n v="1.10893"/>
    <n v="23"/>
    <n v="0"/>
    <n v="7.5742606862938822E-2"/>
    <x v="119"/>
    <n v="0"/>
    <n v="0"/>
    <n v="0"/>
    <n v="0"/>
    <n v="0"/>
    <n v="0"/>
  </r>
  <r>
    <n v="2182"/>
    <s v="แขวงทางหลวงสงขลาที่ 1"/>
    <n v="311"/>
    <n v="4287"/>
    <n v="102"/>
    <s v="ควนลัง - หาดใหญ่"/>
    <s v="30+843"/>
    <s v="31+224"/>
    <n v="0.38100000000000001"/>
    <n v="2"/>
    <s v="L1"/>
    <d v="2015-05-23T00:00:00"/>
    <s v="A.C."/>
    <n v="7.4999999999999997E-2"/>
    <n v="0.05"/>
    <n v="0.1"/>
    <n v="0.15"/>
    <n v="5.008"/>
    <n v="5"/>
    <n v="0.35"/>
    <n v="2.5000000000000001E-2"/>
    <n v="0"/>
    <n v="0"/>
    <n v="4.1952699999999998"/>
    <n v="4"/>
    <n v="0"/>
    <n v="0"/>
    <n v="0.375"/>
    <n v="1.0653999999999999"/>
    <n v="1.01"/>
    <n v="0"/>
    <n v="7.574053243344582E-2"/>
    <x v="119"/>
    <n v="0"/>
    <n v="0"/>
    <n v="10.87"/>
    <n v="0.81514810648668923"/>
    <n v="0.22"/>
    <n v="1.649793775778028E-2"/>
  </r>
  <r>
    <n v="1964"/>
    <s v="แขวงทางหลวงนครศรีธรรมราชที่ 1"/>
    <n v="321"/>
    <n v="4189"/>
    <n v="100"/>
    <s v="ท่าพุด - ยอดเหลือง"/>
    <n v="0"/>
    <s v="6+000"/>
    <n v="6"/>
    <n v="2"/>
    <s v="L1"/>
    <d v="2015-04-30T00:00:00"/>
    <s v="A.C."/>
    <n v="2.875"/>
    <n v="2.0249999999999999"/>
    <n v="0.67500000000000004"/>
    <n v="0.27500000000000002"/>
    <n v="2.67"/>
    <n v="2.5"/>
    <n v="5.8"/>
    <n v="0.05"/>
    <n v="0"/>
    <n v="0"/>
    <n v="2.863"/>
    <n v="3"/>
    <n v="0"/>
    <n v="0"/>
    <n v="5.85"/>
    <n v="1.613"/>
    <n v="0"/>
    <n v="31.79"/>
    <n v="7.5690476190476197E-2"/>
    <x v="119"/>
    <n v="0"/>
    <n v="0"/>
    <n v="0"/>
    <n v="0"/>
    <n v="0"/>
    <n v="0"/>
  </r>
  <r>
    <n v="1187"/>
    <s v="แขวงทางหลวงสิงห์บุรี"/>
    <n v="433"/>
    <n v="3251"/>
    <n v="200"/>
    <s v="คูพัฒนา - ชัณสูตร"/>
    <s v="33+332"/>
    <s v="15+271"/>
    <n v="18.061"/>
    <n v="2"/>
    <s v="R1"/>
    <d v="2015-10-05T00:00:00"/>
    <s v="A.C."/>
    <n v="14.7"/>
    <n v="2.2000000000000002"/>
    <n v="0.67500000000000004"/>
    <n v="0.45"/>
    <n v="2.1301899999999998"/>
    <n v="2"/>
    <n v="18"/>
    <n v="2.5000000000000001E-2"/>
    <n v="0"/>
    <n v="0"/>
    <n v="3.1786599999999998"/>
    <n v="3"/>
    <n v="0"/>
    <n v="0"/>
    <n v="18.061"/>
    <n v="1.40212"/>
    <n v="44.69"/>
    <n v="6.2030000000000003"/>
    <n v="7.5603312583546245E-2"/>
    <x v="119"/>
    <n v="0.03"/>
    <n v="4.7458216994787514E-5"/>
    <n v="0"/>
    <n v="0"/>
    <n v="0"/>
    <n v="0"/>
  </r>
  <r>
    <n v="784"/>
    <s v="แขวงทางหลวงยโสธร"/>
    <n v="633"/>
    <n v="215"/>
    <n v="200"/>
    <s v="สุวรรณภูมิ - สาหร่าย"/>
    <n v="53389"/>
    <n v="73993"/>
    <n v="20.603999999999999"/>
    <n v="2"/>
    <s v="L1"/>
    <d v="2015-05-25T00:00:00"/>
    <s v="A.C."/>
    <n v="15.75"/>
    <n v="3.0249999999999999"/>
    <n v="1.2000000000000002"/>
    <n v="0.47499999999999998"/>
    <n v="2.6673299999999998"/>
    <n v="2.5"/>
    <n v="20.375"/>
    <n v="7.5000000000000011E-2"/>
    <n v="0"/>
    <n v="0"/>
    <n v="4.3195399999999999"/>
    <n v="4.5"/>
    <n v="0"/>
    <n v="0"/>
    <n v="20.45"/>
    <n v="1.2586650000000001"/>
    <n v="0"/>
    <n v="109"/>
    <n v="7.5574784369193224E-2"/>
    <x v="119"/>
    <n v="0"/>
    <n v="0"/>
    <n v="0"/>
    <n v="0"/>
    <n v="0"/>
    <n v="0"/>
  </r>
  <r>
    <n v="965"/>
    <s v="แขวงทางหลวงนครราชสีมาที่ 2"/>
    <n v="612"/>
    <n v="2148"/>
    <n v="101"/>
    <s v="ด่านขุนทด - โคกสะอาด"/>
    <n v="0"/>
    <n v="19300"/>
    <n v="19.3"/>
    <n v="4"/>
    <s v="L2"/>
    <d v="2015-04-21T00:00:00"/>
    <s v="A.C."/>
    <n v="10.199999999999999"/>
    <n v="5.35"/>
    <n v="2.2999999999999998"/>
    <n v="1.4"/>
    <n v="2.5586000000000002"/>
    <n v="2.5"/>
    <n v="12.625"/>
    <n v="3.85"/>
    <n v="2.0750000000000002"/>
    <n v="0.7"/>
    <n v="8.8109999999999999"/>
    <n v="9"/>
    <n v="0"/>
    <n v="0"/>
    <n v="19.249999999999996"/>
    <n v="1.1656599999999999"/>
    <n v="50.65"/>
    <n v="0"/>
    <n v="7.4980000000000005E-2"/>
    <x v="119"/>
    <n v="230"/>
    <n v="0.34049000000000001"/>
    <n v="0"/>
    <n v="0"/>
    <n v="20"/>
    <n v="2.9610000000000001E-2"/>
  </r>
  <r>
    <n v="1156"/>
    <s v="แขวงทางหลวงสระบุรี"/>
    <n v="432"/>
    <n v="3222"/>
    <n v="100"/>
    <s v="แก่งคอย - เขาเพิ่ม"/>
    <s v="0+000"/>
    <s v="26+219"/>
    <n v="26.219000000000001"/>
    <n v="2"/>
    <s v="L1"/>
    <d v="2015-10-05T00:00:00"/>
    <s v="A.C."/>
    <n v="17.05"/>
    <n v="5.0250000000000004"/>
    <n v="2.5249999999999999"/>
    <n v="1.85"/>
    <n v="2.6048900000000001"/>
    <n v="2.5"/>
    <n v="21.574999999999999"/>
    <n v="3.35"/>
    <n v="0.77500000000000002"/>
    <n v="0.75"/>
    <n v="7.03017"/>
    <n v="7"/>
    <n v="0"/>
    <n v="0"/>
    <n v="26.450000000000003"/>
    <n v="1.4556800000000001"/>
    <n v="63.99"/>
    <n v="9.5"/>
    <n v="7.4908000000000002E-2"/>
    <x v="119"/>
    <n v="55.62"/>
    <n v="6.0609999999999997E-2"/>
    <n v="0"/>
    <n v="0"/>
    <n v="0"/>
    <n v="0"/>
  </r>
  <r>
    <n v="234"/>
    <s v="แขวงทางหลวงเชียงรายที่ 2"/>
    <n v="537"/>
    <n v="1126"/>
    <n v="100"/>
    <s v="พาน - บ้านวัง"/>
    <n v="0"/>
    <n v="45795"/>
    <n v="45.795000000000002"/>
    <n v="2"/>
    <s v="L1"/>
    <d v="2015-07-13T00:00:00"/>
    <s v="A.C."/>
    <n v="37.19"/>
    <n v="6.62"/>
    <n v="1.51"/>
    <n v="0.48"/>
    <n v="1.93337"/>
    <n v="2"/>
    <n v="45.12"/>
    <n v="0.6"/>
    <n v="0.08"/>
    <n v="0"/>
    <n v="3.8360300000000001"/>
    <n v="4"/>
    <n v="0"/>
    <n v="0"/>
    <n v="45.8"/>
    <n v="1.1894100000000001"/>
    <n v="117"/>
    <n v="5.99"/>
    <n v="7.4864692028137822E-2"/>
    <x v="119"/>
    <n v="0"/>
    <n v="0"/>
    <n v="16"/>
    <n v="9.9823748693712664E-3"/>
    <n v="55"/>
    <n v="3.4314413613463726E-2"/>
  </r>
  <r>
    <n v="1125"/>
    <s v="แขวงทางหลวงลพบุรีที่ 1"/>
    <n v="431"/>
    <n v="3353"/>
    <n v="100"/>
    <s v="วงษ์สว่าง -  ป่ารัง"/>
    <s v="0+000"/>
    <s v="18+841"/>
    <n v="18.841000000000001"/>
    <n v="2"/>
    <s v="L1"/>
    <d v="2015-10-05T00:00:00"/>
    <s v="A.C."/>
    <n v="11.324999999999999"/>
    <n v="4.875"/>
    <n v="1.925"/>
    <n v="0.7"/>
    <n v="2.5196700000000001"/>
    <n v="2.5"/>
    <n v="16.524999999999999"/>
    <n v="1.375"/>
    <n v="0.65"/>
    <n v="0.27500000000000002"/>
    <n v="4.9734800000000003"/>
    <n v="5"/>
    <n v="0"/>
    <n v="0"/>
    <n v="18.824999999999999"/>
    <n v="1.3325199999999999"/>
    <n v="46.87"/>
    <n v="4.9000000000000004"/>
    <n v="7.4791298611690302E-2"/>
    <x v="119"/>
    <n v="35.69"/>
    <n v="5.4122089364380115E-2"/>
    <n v="0"/>
    <n v="0"/>
    <n v="0"/>
    <n v="0"/>
  </r>
  <r>
    <n v="1105"/>
    <s v="แขวงทางหลวงลพบุรีที่ 1"/>
    <n v="431"/>
    <n v="2219"/>
    <n v="102"/>
    <s v="ดอนดึง - โคกเจริญ"/>
    <s v="0+500"/>
    <s v="46+858"/>
    <n v="46.357999999999997"/>
    <n v="2"/>
    <s v="L1"/>
    <d v="2015-10-05T00:00:00"/>
    <s v="A.C."/>
    <n v="20.274999999999999"/>
    <n v="3.7749999999999999"/>
    <n v="1.35"/>
    <n v="0.65"/>
    <n v="2.0603099999999999"/>
    <n v="2"/>
    <n v="24.925000000000001"/>
    <n v="0.92500000000000004"/>
    <n v="0.1"/>
    <n v="0.1"/>
    <n v="3.9164599999999998"/>
    <n v="4"/>
    <n v="0"/>
    <n v="0"/>
    <n v="26.049999999999997"/>
    <n v="1.12127"/>
    <n v="117.95"/>
    <n v="6.8"/>
    <n v="7.4790604796213328E-2"/>
    <x v="119"/>
    <n v="85.64"/>
    <n v="5.2781766746993891E-2"/>
    <n v="0"/>
    <n v="0"/>
    <n v="0"/>
    <n v="0"/>
  </r>
  <r>
    <n v="31"/>
    <s v="แขวงทางหลวงเชียงใหม่ที่ 2"/>
    <n v="522"/>
    <n v="1006"/>
    <n v="100"/>
    <s v="เชียงใหม่ - ออนหลวย"/>
    <n v="2500"/>
    <n v="31768"/>
    <n v="25.527000000000001"/>
    <n v="2"/>
    <s v="L1"/>
    <d v="2015-08-20T00:00:00"/>
    <s v="A.C."/>
    <n v="6.75"/>
    <n v="12.525"/>
    <n v="3.2250000000000001"/>
    <n v="3.0249999999999999"/>
    <n v="3.6110000000000002"/>
    <n v="3.5"/>
    <n v="13.55"/>
    <n v="7.25"/>
    <n v="4.6500000000000004"/>
    <n v="7.4999999999999997E-2"/>
    <n v="6.3250000000000002"/>
    <n v="6.5"/>
    <n v="0"/>
    <n v="0"/>
    <n v="25.524999999999999"/>
    <n v="1.3120000000000001"/>
    <n v="36.69"/>
    <n v="59.81"/>
    <n v="7.4537324625466583E-2"/>
    <x v="119"/>
    <n v="112.32"/>
    <n v="0.1257156288299783"/>
    <n v="25.62"/>
    <n v="2.8675520037607236E-2"/>
    <n v="5.26"/>
    <n v="5.8873237860192834E-3"/>
  </r>
  <r>
    <n v="43"/>
    <s v="แขวงทางหลวงเชียงใหม่ที่ 2"/>
    <n v="522"/>
    <n v="1365"/>
    <n v="100"/>
    <s v="สนามกีฬาสมโภชเชียงใหม่ 700 ปี - ศาลจังหวัดเชียงใหม่"/>
    <n v="0"/>
    <n v="876"/>
    <n v="0.876"/>
    <n v="2"/>
    <s v="L1"/>
    <d v="2015-08-20T00:00:00"/>
    <s v="A.C."/>
    <n v="0.875"/>
    <n v="0"/>
    <n v="0"/>
    <n v="0"/>
    <n v="2.532"/>
    <n v="2.5"/>
    <n v="0.875"/>
    <n v="0"/>
    <n v="0"/>
    <n v="0"/>
    <n v="2.6379999999999999"/>
    <n v="2.5"/>
    <n v="0"/>
    <n v="0"/>
    <n v="0.875"/>
    <n v="1.2130000000000001"/>
    <n v="1.1000000000000001"/>
    <n v="2.3199999999999998"/>
    <n v="7.3711676451402475E-2"/>
    <x v="119"/>
    <n v="0"/>
    <n v="0"/>
    <n v="0"/>
    <n v="0"/>
    <n v="0"/>
    <n v="0"/>
  </r>
  <r>
    <n v="218"/>
    <s v="แขวงทางหลวงน่านที่ 1"/>
    <n v="536"/>
    <n v="1162"/>
    <n v="100"/>
    <s v="ไผ่งาม - น้ำมวบ"/>
    <s v="26+369"/>
    <s v="0+000"/>
    <n v="26.369"/>
    <n v="2"/>
    <s v="R1"/>
    <d v="2015-08-04T00:00:00"/>
    <s v="A.C."/>
    <n v="19.41"/>
    <n v="5.12"/>
    <n v="1.29"/>
    <n v="0.55000000000000004"/>
    <n v="2.149"/>
    <n v="2"/>
    <n v="14.6"/>
    <n v="3.63"/>
    <n v="2.37"/>
    <n v="5.78"/>
    <n v="15.906000000000001"/>
    <n v="16"/>
    <n v="0"/>
    <n v="0"/>
    <n v="26.37"/>
    <n v="1.286"/>
    <n v="67.510000000000005"/>
    <n v="0.84"/>
    <n v="7.3603744656875233E-2"/>
    <x v="119"/>
    <n v="0"/>
    <n v="0"/>
    <n v="0"/>
    <n v="0"/>
    <n v="20.93"/>
    <n v="2.2678144791232129E-2"/>
  </r>
  <r>
    <n v="1161"/>
    <s v="แขวงทางหลวงสระบุรี"/>
    <n v="432"/>
    <n v="3261"/>
    <n v="200"/>
    <s v="หนองเสือ - ปากคลอง 13"/>
    <s v="32+600"/>
    <s v="21+120"/>
    <n v="11.48"/>
    <n v="2"/>
    <s v="R1"/>
    <d v="2015-10-05T00:00:00"/>
    <s v="A.C."/>
    <n v="8.5250000000000004"/>
    <n v="2.0499999999999998"/>
    <n v="0.97499999999999998"/>
    <n v="0.47499999999999998"/>
    <n v="2.4602300000000001"/>
    <n v="2.5"/>
    <n v="10.625"/>
    <n v="0.47499999999999998"/>
    <n v="0.42499999999999999"/>
    <n v="0.5"/>
    <n v="4.9362199999999996"/>
    <n v="5"/>
    <n v="0"/>
    <n v="0"/>
    <n v="12.024999999999999"/>
    <n v="1.36697"/>
    <n v="27.82"/>
    <n v="3.4"/>
    <n v="7.3469000000000007E-2"/>
    <x v="119"/>
    <n v="14.95"/>
    <n v="3.7207999999999998E-2"/>
    <n v="0"/>
    <n v="0"/>
    <n v="0"/>
    <n v="0"/>
  </r>
  <r>
    <n v="1521"/>
    <s v="แขวงทางหลวงอยุธยา"/>
    <n v="413"/>
    <n v="3467"/>
    <n v="100"/>
    <s v="นครหลวง - ท่าเรือ"/>
    <n v="0"/>
    <n v="19556"/>
    <n v="19.556000000000001"/>
    <n v="2"/>
    <s v="R1"/>
    <d v="2015-09-18T00:00:00"/>
    <s v="A.C."/>
    <n v="5.85"/>
    <n v="4.2249999999999996"/>
    <n v="4.8499999999999996"/>
    <n v="4.7249999999999996"/>
    <n v="3.9681299999999999"/>
    <n v="4"/>
    <n v="9.625"/>
    <n v="3.15"/>
    <n v="2.3250000000000002"/>
    <n v="4.55"/>
    <n v="11.181699999999999"/>
    <n v="11"/>
    <n v="0"/>
    <n v="0"/>
    <n v="19.556000000000001"/>
    <n v="1.0802"/>
    <n v="0"/>
    <n v="100.5"/>
    <n v="7.3415539257224674E-2"/>
    <x v="119"/>
    <n v="35"/>
    <n v="5.1135201472693806E-2"/>
    <n v="0"/>
    <n v="0"/>
    <n v="70"/>
    <n v="0.10227040294538761"/>
  </r>
  <r>
    <n v="1214"/>
    <s v="แขวงทางหลวงลพบุรีที่ 2 (ลำนารายณ์)"/>
    <n v="435"/>
    <n v="2275"/>
    <n v="100"/>
    <s v="หนองบง - ซับลังกา"/>
    <s v="0+000"/>
    <s v="12+000"/>
    <n v="12"/>
    <n v="2"/>
    <s v="L1"/>
    <d v="2015-10-05T00:00:00"/>
    <s v="A.C."/>
    <n v="4.875"/>
    <n v="3.55"/>
    <n v="3.0249999999999999"/>
    <n v="0.57499999999999996"/>
    <n v="2.9817300000000002"/>
    <n v="3"/>
    <n v="11.45"/>
    <n v="0.42499999999999999"/>
    <n v="0.05"/>
    <n v="0.1"/>
    <n v="4.6388400000000001"/>
    <n v="4.5"/>
    <n v="0"/>
    <n v="0"/>
    <n v="12"/>
    <n v="1.2886"/>
    <n v="27.64"/>
    <n v="6.3319999999999999"/>
    <n v="7.334761904761905E-2"/>
    <x v="119"/>
    <n v="18.649999999999999"/>
    <n v="4.4405E-2"/>
    <n v="0"/>
    <n v="0"/>
    <n v="0"/>
    <n v="0"/>
  </r>
  <r>
    <n v="114"/>
    <s v="แขวงทางหลวงเชียงใหม่ที่ 3"/>
    <n v="527"/>
    <n v="1150"/>
    <n v="102"/>
    <s v="กิ่วไฮ - ขุนแจ๋"/>
    <n v="16"/>
    <n v="53000"/>
    <n v="37"/>
    <n v="2"/>
    <s v="L1"/>
    <d v="2015-08-24T00:00:00"/>
    <s v="A.C."/>
    <n v="8.2799999999999994"/>
    <n v="11.78"/>
    <n v="11.03"/>
    <n v="5.93"/>
    <n v="3.4209999999999998"/>
    <n v="3.5"/>
    <n v="33.700000000000003"/>
    <n v="1.93"/>
    <n v="1.28"/>
    <n v="0.1"/>
    <n v="8.6270000000000007"/>
    <n v="8.5"/>
    <n v="0"/>
    <n v="0"/>
    <n v="37"/>
    <n v="1.3009999999999999"/>
    <n v="57.69"/>
    <n v="74.150000000000006"/>
    <n v="7.3177606177606172E-2"/>
    <x v="119"/>
    <n v="65.3"/>
    <n v="5.0424710424710417E-2"/>
    <n v="0"/>
    <n v="0"/>
    <n v="0"/>
    <n v="0"/>
  </r>
  <r>
    <n v="310"/>
    <s v="แขวงทางหลวงนครพนม"/>
    <n v="644"/>
    <n v="2027"/>
    <n v="100"/>
    <s v="ทางเข้าท่าอุเทน"/>
    <n v="2542"/>
    <n v="0"/>
    <n v="2.5419999999999998"/>
    <n v="4"/>
    <s v="R2"/>
    <d v="2015-06-03T00:00:00"/>
    <s v="A.C."/>
    <n v="0.78"/>
    <n v="0.22"/>
    <n v="0.56000000000000005"/>
    <n v="0.98"/>
    <n v="3.6208399999999998"/>
    <n v="3.5"/>
    <n v="2.5499999999999998"/>
    <n v="0"/>
    <n v="0"/>
    <n v="0"/>
    <n v="3.9091"/>
    <n v="4"/>
    <n v="0"/>
    <n v="0"/>
    <n v="2.5499999999999998"/>
    <n v="1.1498999999999999"/>
    <n v="0"/>
    <n v="13"/>
    <n v="7.306E-2"/>
    <x v="119"/>
    <n v="0"/>
    <n v="0"/>
    <n v="0"/>
    <n v="0"/>
    <n v="0"/>
    <n v="0"/>
  </r>
  <r>
    <n v="2017"/>
    <s v="แขวงทางหลวงสุราษฎร์ธานี ที่ 1 (พุนพิน)"/>
    <n v="325"/>
    <n v="4213"/>
    <n v="100"/>
    <s v="บางอิฐ - บางเทพ"/>
    <s v="0+000"/>
    <s v="1+945"/>
    <n v="1.9450000000000001"/>
    <n v="2"/>
    <s v="L2"/>
    <d v="2015-04-25T00:00:00"/>
    <s v="A.C."/>
    <n v="0.82"/>
    <n v="0.6"/>
    <n v="0.15"/>
    <n v="0.37"/>
    <n v="3.4417900000000001"/>
    <n v="3.5"/>
    <n v="1.45"/>
    <n v="0.42"/>
    <n v="0.05"/>
    <n v="0.02"/>
    <n v="7.1572899999999997"/>
    <n v="7"/>
    <n v="0"/>
    <n v="0"/>
    <n v="1.95"/>
    <n v="1.10883"/>
    <n v="4.96"/>
    <n v="0"/>
    <n v="7.2860815277267718E-2"/>
    <x v="119"/>
    <n v="86.35"/>
    <n v="1.2684539111274329"/>
    <n v="0"/>
    <n v="0"/>
    <n v="0"/>
    <n v="0"/>
  </r>
  <r>
    <n v="1442"/>
    <s v="แขวงทางหลวงอ่างทอง"/>
    <n v="448"/>
    <n v="309"/>
    <n v="201"/>
    <s v="บางเสด็จ - แยกที่ดิน"/>
    <s v="37+600"/>
    <s v="53+900"/>
    <n v="16.3"/>
    <n v="4"/>
    <s v="L2"/>
    <d v="2015-06-27T00:00:00"/>
    <s v="A.C."/>
    <n v="11.45"/>
    <n v="3.05"/>
    <n v="1.3"/>
    <n v="0.47499999999999998"/>
    <n v="2.3673999999999999"/>
    <n v="2.5"/>
    <n v="15.8"/>
    <n v="0.375"/>
    <n v="0.1"/>
    <n v="0"/>
    <n v="3.3341599999999998"/>
    <n v="3.5"/>
    <n v="0"/>
    <n v="0"/>
    <n v="16.275000000000002"/>
    <n v="1.1039600000000001"/>
    <n v="0"/>
    <n v="83"/>
    <n v="7.2743207712532856E-2"/>
    <x v="119"/>
    <n v="0"/>
    <n v="0"/>
    <n v="0"/>
    <n v="0"/>
    <n v="0"/>
    <n v="0"/>
  </r>
  <r>
    <n v="849"/>
    <s v="แขวงทางหลวงสุรินทร์"/>
    <n v="615"/>
    <n v="293"/>
    <n v="100"/>
    <s v="ทางเลี่ยงเมืองสุรินทร์"/>
    <n v="0"/>
    <n v="21977"/>
    <n v="21.977"/>
    <n v="2"/>
    <s v="L1"/>
    <d v="2015-05-10T00:00:00"/>
    <s v="A.C."/>
    <n v="10"/>
    <n v="4.5999999999999996"/>
    <n v="3.35"/>
    <n v="3.6749999999999998"/>
    <n v="4.8090000000000002"/>
    <n v="5"/>
    <n v="18.375"/>
    <n v="2.35"/>
    <n v="0.72499999999999998"/>
    <n v="0.17499999999999999"/>
    <n v="6.8040000000000003"/>
    <n v="7"/>
    <n v="0"/>
    <n v="0"/>
    <n v="21.625"/>
    <n v="1.1779999999999999"/>
    <n v="18.68"/>
    <n v="74.45"/>
    <n v="7.2679999999999995E-2"/>
    <x v="119"/>
    <n v="1474.67"/>
    <n v="1.91716"/>
    <n v="0"/>
    <n v="0"/>
    <n v="0.92"/>
    <n v="1.1999999999999999E-3"/>
  </r>
  <r>
    <n v="65"/>
    <s v="แขวงทางหลวงลำพูน"/>
    <n v="524"/>
    <n v="106"/>
    <n v="202"/>
    <s v="ลี้ - ม่วงโตน"/>
    <s v="118+533"/>
    <s v="52+000"/>
    <n v="66.533000000000001"/>
    <n v="2"/>
    <s v="R1"/>
    <d v="2015-08-12T00:00:00"/>
    <s v="A.C."/>
    <n v="36.524999999999999"/>
    <n v="17.475000000000001"/>
    <n v="9.3000000000000007"/>
    <n v="3.4249999999999998"/>
    <n v="2.6874600000000002"/>
    <n v="2.5"/>
    <n v="65.900000000000006"/>
    <n v="0.77500000000000002"/>
    <n v="0.05"/>
    <n v="0"/>
    <n v="2.81134"/>
    <n v="3"/>
    <n v="0"/>
    <n v="0"/>
    <n v="66.724999999999994"/>
    <n v="1.18824"/>
    <n v="169.21"/>
    <n v="0"/>
    <n v="7.2664263276440696E-2"/>
    <x v="119"/>
    <n v="0"/>
    <n v="0"/>
    <n v="1.6"/>
    <n v="6.8709190498377826E-4"/>
    <n v="0"/>
    <n v="0"/>
  </r>
  <r>
    <n v="524"/>
    <s v="แขวงทางหลวงอุตรดิตถ์ที่ 1"/>
    <n v="557"/>
    <n v="1214"/>
    <n v="102"/>
    <s v="น้ำอ่าง - วังผาชัน"/>
    <s v="50+600"/>
    <s v="12+380"/>
    <n v="38.22"/>
    <s v="R1"/>
    <n v="2"/>
    <d v="2015-09-23T00:00:00"/>
    <s v="A.C."/>
    <n v="25.25"/>
    <n v="9.125"/>
    <n v="2.4750000000000001"/>
    <n v="1.3"/>
    <n v="2.4159299999999999"/>
    <n v="2.5"/>
    <n v="36.725000000000001"/>
    <n v="1.175"/>
    <n v="0.26145000000000002"/>
    <n v="2.9049999999999999E-2"/>
    <n v="4.0083200000000003"/>
    <n v="4"/>
    <n v="0"/>
    <n v="0"/>
    <n v="38.15"/>
    <n v="1.17818"/>
    <n v="82.54"/>
    <n v="29.15"/>
    <n v="7.2597999999999996E-2"/>
    <x v="119"/>
    <n v="86.47"/>
    <n v="6.4641000000000004E-2"/>
    <n v="0"/>
    <n v="0"/>
    <n v="0"/>
    <n v="0"/>
  </r>
  <r>
    <n v="1490"/>
    <s v="แขวงทางหลวงกรุงเทพ"/>
    <n v="411"/>
    <n v="3702"/>
    <n v="100"/>
    <s v="ถนนศรีนครินทร์ - ลาดกระบัง"/>
    <s v="22+000"/>
    <s v="22+435"/>
    <n v="0.435"/>
    <n v="2"/>
    <s v="R1"/>
    <d v="2015-09-01T00:00:00"/>
    <s v="A.C."/>
    <n v="0.32100000000000001"/>
    <n v="9.2999999999999999E-2"/>
    <n v="2.1000000000000001E-2"/>
    <n v="0"/>
    <n v="2.129"/>
    <n v="2"/>
    <n v="0.32500000000000001"/>
    <n v="0.25"/>
    <n v="2.5000000000000001E-2"/>
    <n v="0"/>
    <n v="8.6219999999999999"/>
    <n v="8.5"/>
    <n v="0"/>
    <n v="0"/>
    <n v="0.6"/>
    <n v="1.339"/>
    <n v="0"/>
    <n v="2.21"/>
    <n v="7.2577996715927753E-2"/>
    <x v="119"/>
    <n v="16"/>
    <n v="1.0509031198686372"/>
    <n v="24.05"/>
    <n v="1.5796387520525452"/>
    <n v="4"/>
    <n v="0.26272577996715929"/>
  </r>
  <r>
    <n v="1870"/>
    <s v="แขวงทางหลวงราชบุรี"/>
    <n v="335"/>
    <n v="3206"/>
    <n v="200"/>
    <s v="โป่งกระทิง - จอมบึง"/>
    <n v="102445"/>
    <n v="54104"/>
    <n v="48.341000000000001"/>
    <n v="2"/>
    <s v="R1"/>
    <d v="2015-04-01T00:00:00"/>
    <s v="A.C."/>
    <n v="33.450000000000003"/>
    <n v="8.0399999999999991"/>
    <n v="4.22"/>
    <n v="2.62"/>
    <n v="2.28973"/>
    <n v="2.5"/>
    <n v="46.14"/>
    <n v="1.87"/>
    <n v="0.3"/>
    <n v="0.02"/>
    <n v="3.4217599999999999"/>
    <n v="3.5"/>
    <n v="0"/>
    <n v="0"/>
    <n v="48.34"/>
    <n v="1.4374499999999999"/>
    <n v="118.39"/>
    <n v="8.3000000000000007"/>
    <n v="7.2425950169480502E-2"/>
    <x v="119"/>
    <n v="96.37"/>
    <n v="5.6958452895649062E-2"/>
    <n v="0"/>
    <n v="0"/>
    <n v="0"/>
    <n v="0"/>
  </r>
  <r>
    <n v="2153"/>
    <s v="แขวงทางหลวงระนอง"/>
    <n v="331"/>
    <n v="4006"/>
    <n v="100"/>
    <s v="ราชกรูด  -  วังตะกอ"/>
    <n v="0"/>
    <n v="68100"/>
    <n v="68.099999999999994"/>
    <n v="2"/>
    <s v="L1"/>
    <d v="2015-10-27T00:00:00"/>
    <s v="A.C."/>
    <n v="35.825000000000003"/>
    <n v="19.375"/>
    <n v="9.3000000000000007"/>
    <n v="3.5249999999999999"/>
    <n v="2.7512400000000001"/>
    <n v="3"/>
    <n v="67.150000000000006"/>
    <n v="0.75"/>
    <n v="7.4999999999999997E-2"/>
    <n v="0.05"/>
    <n v="2.2272599999999998"/>
    <n v="2"/>
    <n v="0"/>
    <n v="0"/>
    <n v="68.025000000000006"/>
    <n v="1.58599"/>
    <n v="160.68"/>
    <n v="23.48"/>
    <n v="7.2338997272917996E-2"/>
    <x v="119"/>
    <n v="163.84"/>
    <n v="6.8739249003566191E-2"/>
    <n v="1.38"/>
    <n v="5.78980490874764E-4"/>
    <n v="0"/>
    <n v="0"/>
  </r>
  <r>
    <n v="1887"/>
    <s v="แขวงทางหลวงราชบุรี"/>
    <n v="335"/>
    <n v="3525"/>
    <n v="100"/>
    <s v="สามแยกกระจับ - หนองโพ"/>
    <n v="0"/>
    <n v="6519"/>
    <n v="6.5190000000000001"/>
    <n v="4"/>
    <s v="L1"/>
    <d v="2015-03-30T00:00:00"/>
    <s v="A.C."/>
    <n v="2.79"/>
    <n v="2.4900000000000002"/>
    <n v="0.78"/>
    <n v="0.46"/>
    <n v="3.1615199999999999"/>
    <n v="3"/>
    <n v="5.53"/>
    <n v="0.86"/>
    <n v="0.11"/>
    <n v="0.03"/>
    <n v="6.1093200000000003"/>
    <n v="6"/>
    <n v="0"/>
    <n v="0"/>
    <n v="6.52"/>
    <n v="1.4059200000000001"/>
    <n v="16.329999999999998"/>
    <n v="0.26"/>
    <n v="7.2140775316108949E-2"/>
    <x v="119"/>
    <n v="38.94"/>
    <n v="0.17066596541976201"/>
    <n v="0"/>
    <n v="0"/>
    <n v="0"/>
    <n v="0"/>
  </r>
  <r>
    <n v="1157"/>
    <s v="แขวงทางหลวงสระบุรี"/>
    <n v="432"/>
    <n v="3222"/>
    <n v="100"/>
    <s v="แก่งคอย - เขาเพิ่ม"/>
    <s v="26+219"/>
    <s v="0+000"/>
    <n v="26.219000000000001"/>
    <n v="2"/>
    <s v="R1"/>
    <d v="2015-10-05T00:00:00"/>
    <s v="A.C."/>
    <n v="20.100000000000001"/>
    <n v="4.4249999999999998"/>
    <n v="1.5"/>
    <n v="0.4"/>
    <n v="2.1555"/>
    <n v="2"/>
    <n v="23.4"/>
    <n v="2.0750000000000002"/>
    <n v="0.65"/>
    <n v="0.3"/>
    <n v="5.2883599999999999"/>
    <n v="5.5"/>
    <n v="0"/>
    <n v="0"/>
    <n v="26.425000000000001"/>
    <n v="1.1682900000000001"/>
    <n v="62.1"/>
    <n v="8.0020000000000007"/>
    <n v="7.2031999999999999E-2"/>
    <x v="119"/>
    <n v="154.6"/>
    <n v="0.16847100000000001"/>
    <n v="0"/>
    <n v="0"/>
    <n v="0"/>
    <n v="0"/>
  </r>
  <r>
    <n v="362"/>
    <s v="แขวงทางหลวงตากที่ 2 (แม่สอด)"/>
    <n v="514"/>
    <n v="105"/>
    <n v="101"/>
    <s v="แม่สอด - ห้วยบง"/>
    <s v="18+215"/>
    <s v="0+000"/>
    <n v="18.215"/>
    <n v="4"/>
    <s v="R2"/>
    <d v="2015-09-07T00:00:00"/>
    <s v="A.C."/>
    <n v="9.9499999999999993"/>
    <n v="5.4249999999999998"/>
    <n v="2.1749999999999998"/>
    <n v="0.67500000000000004"/>
    <n v="2.6669999999999998"/>
    <n v="2.5"/>
    <n v="17.425000000000001"/>
    <n v="0.625"/>
    <n v="0.125"/>
    <n v="0.05"/>
    <n v="3.589"/>
    <n v="3.5"/>
    <n v="0"/>
    <n v="0"/>
    <n v="18.225000000000001"/>
    <n v="1.087"/>
    <n v="31.5"/>
    <n v="28.2"/>
    <n v="7.1526606799733342E-2"/>
    <x v="119"/>
    <n v="69.319999999999993"/>
    <n v="0.10873299086310341"/>
    <n v="12.26"/>
    <n v="1.9230618407121289E-2"/>
    <n v="0"/>
    <n v="0"/>
  </r>
  <r>
    <n v="1946"/>
    <s v="แขวงทางหลวงนครศรีธรรมราชที่ 1"/>
    <n v="321"/>
    <n v="408"/>
    <n v="101"/>
    <s v="หัวถนน - เฉลิมพระเกียรติ"/>
    <n v="28721"/>
    <n v="284"/>
    <n v="28.437000000000001"/>
    <n v="4"/>
    <s v="R2"/>
    <d v="2015-04-29T00:00:00"/>
    <s v="A.C."/>
    <n v="21.45"/>
    <n v="5.05"/>
    <n v="1.4"/>
    <n v="0.45"/>
    <n v="2.1363400000000001"/>
    <n v="2"/>
    <n v="28.2"/>
    <n v="0.125"/>
    <n v="2.5000000000000001E-2"/>
    <n v="0"/>
    <n v="2.9494400000000001"/>
    <n v="3"/>
    <n v="0"/>
    <n v="0"/>
    <n v="28.349999999999998"/>
    <n v="1.10764"/>
    <n v="70.900000000000006"/>
    <n v="0"/>
    <n v="7.1235161434549568E-2"/>
    <x v="119"/>
    <n v="0"/>
    <n v="0"/>
    <n v="20.66"/>
    <n v="2.0757664812944908E-2"/>
    <n v="0"/>
    <n v="0"/>
  </r>
  <r>
    <n v="1348"/>
    <s v="แขวงทางหลวงกาญจนบุรี"/>
    <n v="444"/>
    <n v="3579"/>
    <n v="100"/>
    <s v="ทุ่งนานางหรอก - ลาดหญ้า"/>
    <n v="0"/>
    <n v="9762"/>
    <n v="9.7620000000000005"/>
    <n v="2"/>
    <s v="L1"/>
    <d v="2015-07-26T00:00:00"/>
    <s v="A.C."/>
    <n v="6.5"/>
    <n v="2.25"/>
    <n v="0.625"/>
    <n v="0.4"/>
    <n v="2.5202300000000002"/>
    <n v="2.5"/>
    <n v="9.6"/>
    <n v="0.15"/>
    <n v="2.5000000000000001E-2"/>
    <n v="0"/>
    <n v="3.5597599999999998"/>
    <n v="3.5"/>
    <n v="0"/>
    <n v="0"/>
    <n v="9.7750000000000004"/>
    <n v="1.2316400000000001"/>
    <n v="0"/>
    <n v="48"/>
    <n v="7.0243217139344977E-2"/>
    <x v="119"/>
    <n v="0"/>
    <n v="0"/>
    <n v="10"/>
    <n v="2.9268007141393746E-2"/>
    <n v="0"/>
    <n v="0"/>
  </r>
  <r>
    <n v="608"/>
    <s v="แขวงทางหลวงเลยที่ 1"/>
    <n v="554"/>
    <n v="2141"/>
    <n v="100"/>
    <s v="ตาดข่า - ภูป่าไผ่"/>
    <n v="0"/>
    <n v="44026"/>
    <n v="44.026000000000003"/>
    <n v="2"/>
    <s v="L1"/>
    <d v="2015-06-27T00:00:00"/>
    <s v="A.C."/>
    <n v="20.93"/>
    <n v="13.46"/>
    <n v="6.64"/>
    <n v="3"/>
    <n v="2.89527"/>
    <n v="3"/>
    <n v="40.22"/>
    <n v="2.56"/>
    <n v="0.43"/>
    <n v="0.05"/>
    <n v="4.0038799999999997"/>
    <n v="4"/>
    <n v="0"/>
    <n v="0"/>
    <n v="44.03"/>
    <n v="1.17953"/>
    <n v="108"/>
    <n v="0"/>
    <n v="7.0088454225100752E-2"/>
    <x v="119"/>
    <n v="0"/>
    <n v="0"/>
    <n v="0"/>
    <n v="0"/>
    <n v="0"/>
    <n v="0"/>
  </r>
  <r>
    <n v="1425"/>
    <s v="แขวงทางหลวงอุทัยธานี"/>
    <n v="447"/>
    <n v="3438"/>
    <n v="102"/>
    <s v="ดินแดง - ไผ่งาม"/>
    <s v="55+725"/>
    <s v="19+730"/>
    <n v="35.994999999999997"/>
    <n v="2"/>
    <s v="R1"/>
    <d v="2015-08-01T00:00:00"/>
    <s v="A.C."/>
    <n v="16.899999999999999"/>
    <n v="16"/>
    <n v="4.4000000000000004"/>
    <n v="0.9"/>
    <n v="2.7900700000000001"/>
    <n v="3"/>
    <n v="34.774999999999999"/>
    <n v="1.05"/>
    <n v="0.27500000000000002"/>
    <n v="0.05"/>
    <n v="4.1064800000000004"/>
    <n v="4"/>
    <n v="0"/>
    <n v="0"/>
    <n v="38.199999999999996"/>
    <n v="1.2471399999999999"/>
    <n v="55.2"/>
    <n v="65.36"/>
    <n v="6.975572004048182E-2"/>
    <x v="119"/>
    <n v="98.1"/>
    <n v="7.7867957851288874E-2"/>
    <n v="0"/>
    <n v="0"/>
    <n v="2.14"/>
    <n v="1.6986486218323977E-3"/>
  </r>
  <r>
    <n v="90"/>
    <s v="แขวงทางหลวงแม่ฮ่องสอน"/>
    <n v="526"/>
    <n v="108"/>
    <n v="204"/>
    <s v="แม่สุริน - ปางหมู"/>
    <s v="353+508"/>
    <s v="307+900"/>
    <n v="45.607999999999997"/>
    <n v="2"/>
    <s v="R1"/>
    <d v="2015-08-28T00:00:00"/>
    <s v="A.C."/>
    <n v="15.39"/>
    <n v="17.010000000000002"/>
    <n v="9.81"/>
    <n v="3.4"/>
    <n v="3.1401699999999999"/>
    <n v="3"/>
    <n v="44.66"/>
    <n v="0.88"/>
    <n v="0.08"/>
    <n v="0"/>
    <n v="3.75848"/>
    <n v="4"/>
    <n v="0"/>
    <n v="0"/>
    <n v="45.61"/>
    <n v="1.3234399999999999"/>
    <n v="110.36"/>
    <n v="1.36"/>
    <n v="6.956173102463227E-2"/>
    <x v="119"/>
    <n v="15.3"/>
    <n v="9.5847846242513857E-3"/>
    <n v="0.96"/>
    <n v="6.0139825093342015E-4"/>
    <n v="0"/>
    <n v="0"/>
  </r>
  <r>
    <n v="740"/>
    <s v="แขวงทางหลวงขอนแก่นที่ 3 (บ้านไผ่)"/>
    <n v="628"/>
    <n v="2297"/>
    <n v="100"/>
    <s v="บ้านลาน - เปือยน้อย"/>
    <n v="0"/>
    <n v="16123"/>
    <n v="16.123000000000001"/>
    <n v="2"/>
    <s v="L1"/>
    <d v="2015-06-18T00:00:00"/>
    <s v="A.C."/>
    <n v="12.025"/>
    <n v="3.1"/>
    <n v="0.85"/>
    <n v="0.22500000000000001"/>
    <n v="2.22167"/>
    <n v="2"/>
    <n v="16.074999999999999"/>
    <n v="0.1"/>
    <n v="2.5000000000000001E-2"/>
    <n v="0"/>
    <n v="3.5137499999999999"/>
    <n v="3.5"/>
    <n v="0"/>
    <n v="0"/>
    <n v="16.2"/>
    <n v="1.35198"/>
    <n v="37.21"/>
    <n v="3.94"/>
    <n v="6.9430000000000006E-2"/>
    <x v="119"/>
    <n v="0"/>
    <n v="0"/>
    <n v="19.22"/>
    <n v="3.4070000000000003E-2"/>
    <n v="0"/>
    <n v="0"/>
  </r>
  <r>
    <n v="493"/>
    <s v="แขวงทางหลวงพิจิตร"/>
    <n v="519"/>
    <n v="117"/>
    <n v="202"/>
    <s v="เนินสว่าง - หนองนา"/>
    <s v="88+900"/>
    <s v="70+000"/>
    <n v="18.899999999999999"/>
    <s v="R2"/>
    <n v="4"/>
    <d v="2015-09-28T00:00:00"/>
    <s v="A.C."/>
    <n v="13.14"/>
    <n v="4.08"/>
    <n v="1.43"/>
    <n v="0.25"/>
    <n v="3.2471299999999998"/>
    <n v="3"/>
    <n v="18.75"/>
    <n v="0.15"/>
    <n v="0"/>
    <n v="0"/>
    <n v="4.3759199999999998"/>
    <n v="4.5"/>
    <n v="0"/>
    <n v="0"/>
    <n v="18.899999999999999"/>
    <n v="1.3816999999999999"/>
    <n v="64.13"/>
    <n v="24.65"/>
    <n v="6.9237000000000007E-2"/>
    <x v="119"/>
    <n v="134.19"/>
    <n v="0.121521"/>
    <n v="0"/>
    <n v="0"/>
    <n v="0"/>
    <n v="0"/>
  </r>
  <r>
    <n v="262"/>
    <s v="แขวงทางหลวงน่านที่ 2"/>
    <n v="539"/>
    <n v="1188"/>
    <n v="200"/>
    <s v="ห้วยกอก - ห้วยอ่วม"/>
    <s v="45+364"/>
    <s v="40+685"/>
    <n v="4.6790000000000003"/>
    <n v="2"/>
    <s v="R1"/>
    <d v="2015-07-27T00:00:00"/>
    <s v="A.C."/>
    <n v="0.28000000000000003"/>
    <n v="0.28000000000000003"/>
    <n v="1.87"/>
    <n v="2.34"/>
    <n v="5.52"/>
    <n v="5.5"/>
    <n v="4.21"/>
    <n v="0.47"/>
    <n v="0"/>
    <n v="0"/>
    <n v="5.9481000000000002"/>
    <n v="6"/>
    <n v="0"/>
    <n v="0"/>
    <n v="4.68"/>
    <n v="2.3241999999999998"/>
    <n v="0"/>
    <n v="22.63"/>
    <n v="6.9092907519921837E-2"/>
    <x v="119"/>
    <n v="9"/>
    <n v="5.4956797850578575E-2"/>
    <n v="1537"/>
    <n v="9.3853998107043637"/>
    <n v="1"/>
    <n v="6.106310872286508E-3"/>
  </r>
  <r>
    <n v="1503"/>
    <s v="แขวงทางหลวงอยุธยา"/>
    <n v="413"/>
    <n v="309"/>
    <n v="103"/>
    <s v="อยุธยา - บางเสด็จ"/>
    <n v="24637"/>
    <n v="37600"/>
    <n v="12.962999999999999"/>
    <n v="4"/>
    <s v="L1"/>
    <d v="2015-09-17T00:00:00"/>
    <s v="A.C."/>
    <n v="9.2249999999999996"/>
    <n v="1.425"/>
    <n v="1"/>
    <n v="1.375"/>
    <n v="2.8336800000000002"/>
    <n v="3"/>
    <n v="11.45"/>
    <n v="1.2250000000000001"/>
    <n v="0.2"/>
    <n v="0.15"/>
    <n v="5.1648199999999997"/>
    <n v="5"/>
    <n v="0"/>
    <n v="0"/>
    <n v="12.962999999999999"/>
    <n v="0.966553"/>
    <n v="0"/>
    <n v="62.56"/>
    <n v="6.8943476488026373E-2"/>
    <x v="119"/>
    <n v="0"/>
    <n v="0"/>
    <n v="21.91"/>
    <n v="4.8291290596312583E-2"/>
    <n v="0"/>
    <n v="0"/>
  </r>
  <r>
    <n v="375"/>
    <s v="แขวงทางหลวงตากที่ 2 (แม่สอด)"/>
    <n v="514"/>
    <n v="1288"/>
    <n v="100"/>
    <s v="หนองหลวง - เปิ่งเคลิ่ง"/>
    <n v="0"/>
    <s v="39+100"/>
    <n v="39.1"/>
    <n v="2"/>
    <s v="L1"/>
    <d v="2015-09-08T00:00:00"/>
    <s v="A.C."/>
    <n v="3.15"/>
    <n v="11.175000000000001"/>
    <n v="12.75"/>
    <n v="12"/>
    <n v="4.7320000000000002"/>
    <n v="4.5"/>
    <n v="32.625"/>
    <n v="4"/>
    <n v="1.35"/>
    <n v="1.1000000000000001"/>
    <n v="6.4701500000000003"/>
    <n v="6.5"/>
    <n v="0"/>
    <n v="0"/>
    <n v="39.075000000000003"/>
    <n v="1.7069300000000001"/>
    <n v="94.25"/>
    <n v="0"/>
    <n v="6.8871026671538174E-2"/>
    <x v="119"/>
    <n v="146.32"/>
    <n v="0.10691998538545852"/>
    <n v="0"/>
    <n v="0"/>
    <n v="1.57"/>
    <n v="1.1472415052977713E-3"/>
  </r>
  <r>
    <n v="1453"/>
    <s v="แขวงทางหลวงอ่างทอง"/>
    <n v="448"/>
    <n v="3064"/>
    <n v="100"/>
    <s v="อ่างทอง - ปากดง"/>
    <n v="416"/>
    <n v="32587"/>
    <n v="32.170999999999999"/>
    <n v="2"/>
    <s v="L1"/>
    <d v="2015-06-27T00:00:00"/>
    <s v="A.C."/>
    <n v="20.625"/>
    <n v="7.1"/>
    <n v="3.1"/>
    <n v="1.3"/>
    <n v="2.5070899999999998"/>
    <n v="2.5"/>
    <n v="31.024999999999999"/>
    <n v="0.875"/>
    <n v="0.125"/>
    <n v="0.1"/>
    <n v="3.8902600000000001"/>
    <n v="4"/>
    <n v="0"/>
    <n v="0"/>
    <n v="32.125"/>
    <n v="1.06332"/>
    <n v="3"/>
    <n v="149"/>
    <n v="6.8828625603360616E-2"/>
    <x v="119"/>
    <n v="8"/>
    <n v="7.1048903848630312E-3"/>
    <n v="4"/>
    <n v="3.5524451924315156E-3"/>
    <n v="0"/>
    <n v="0"/>
  </r>
  <r>
    <n v="1258"/>
    <s v="แขวงทางหลวงนครสวรรค์ที่ 2 (ตากฟ้า)"/>
    <n v="438"/>
    <n v="1145"/>
    <n v="100"/>
    <s v="ตากฟ้า - หัวถนน"/>
    <s v="28+666"/>
    <s v="0+000"/>
    <n v="28.666"/>
    <n v="2"/>
    <s v="R1"/>
    <d v="2015-10-05T00:00:00"/>
    <s v="A.C."/>
    <n v="16.524999999999999"/>
    <n v="6.3"/>
    <n v="3.125"/>
    <n v="2.7"/>
    <n v="2.7988599999999999"/>
    <n v="3"/>
    <n v="27.175000000000001"/>
    <n v="1.2749999999999999"/>
    <n v="0.17499999999999999"/>
    <n v="2.5000000000000001E-2"/>
    <n v="4.2610799999999998"/>
    <n v="4.5"/>
    <n v="0"/>
    <n v="0"/>
    <n v="28.666"/>
    <n v="1.3281799999999999"/>
    <n v="61.558"/>
    <n v="14.326000000000001"/>
    <n v="6.8494283920224053E-2"/>
    <x v="119"/>
    <n v="21.56"/>
    <n v="2.14888718342287E-2"/>
    <n v="0"/>
    <n v="0"/>
    <n v="1.5580000000000001"/>
    <n v="1.5529999999999999E-3"/>
  </r>
  <r>
    <n v="466"/>
    <s v="แขวงทางหลวงพิษณุโลกที่ 2 (วังทอง)"/>
    <n v="515"/>
    <n v="1143"/>
    <n v="102"/>
    <s v="น้ำคลาด - ปางหมิ่น"/>
    <s v="28+300"/>
    <s v="71+000"/>
    <n v="42.7"/>
    <s v="L1"/>
    <n v="2"/>
    <d v="2015-09-21T00:00:00"/>
    <s v="A.C."/>
    <n v="30.5"/>
    <n v="9.1"/>
    <n v="2.5499999999999998"/>
    <n v="0.48"/>
    <n v="2.2521300000000002"/>
    <n v="2.5"/>
    <n v="42"/>
    <n v="0.57499999999999996"/>
    <n v="0.05"/>
    <n v="0"/>
    <n v="2.74248"/>
    <n v="2.5"/>
    <n v="0"/>
    <n v="0"/>
    <n v="42.629999999999995"/>
    <n v="1.2943"/>
    <n v="98.48"/>
    <n v="7.15"/>
    <n v="6.8287052525928385E-2"/>
    <x v="119"/>
    <n v="73.64"/>
    <n v="4.9274004683840737E-2"/>
    <n v="0.94"/>
    <n v="6.2897290063566392E-4"/>
    <n v="0"/>
    <n v="0"/>
  </r>
  <r>
    <n v="181"/>
    <s v="แขวงทางหลวงเชียงรายที่ 1"/>
    <n v="533"/>
    <n v="1232"/>
    <n v="100"/>
    <s v="อนุสาวรีย์พ่อขุนเม็งราย - เวียงชัย"/>
    <n v="0"/>
    <s v="12+467"/>
    <n v="12.467000000000001"/>
    <n v="2"/>
    <s v="L1"/>
    <d v="2015-07-18T00:00:00"/>
    <s v="A.C."/>
    <n v="6.92"/>
    <n v="4.29"/>
    <n v="1.08"/>
    <n v="0.18"/>
    <n v="2.9018299999999999"/>
    <n v="3"/>
    <n v="12.08"/>
    <n v="0.36"/>
    <n v="0.03"/>
    <n v="0"/>
    <n v="4.4801200000000003"/>
    <n v="4.5"/>
    <n v="0"/>
    <n v="0"/>
    <n v="12.47"/>
    <n v="1.0178100000000001"/>
    <n v="20"/>
    <n v="19.010000000000002"/>
    <n v="6.7618512873987333E-2"/>
    <x v="119"/>
    <n v="0"/>
    <n v="0"/>
    <n v="0"/>
    <n v="0"/>
    <n v="0"/>
    <n v="0"/>
  </r>
  <r>
    <n v="1754"/>
    <s v="แขวงทางหลวงตราด"/>
    <n v="425"/>
    <n v="3157"/>
    <n v="101"/>
    <s v="แสนตุ้ง - บ่อไร่"/>
    <n v="0"/>
    <n v="34650"/>
    <n v="34.65"/>
    <n v="2"/>
    <s v="R1"/>
    <d v="2015-08-20T00:00:00"/>
    <s v="A.C."/>
    <n v="8.4749999999999996"/>
    <n v="9.625"/>
    <n v="10.6"/>
    <n v="6.4249999999999998"/>
    <n v="3.8286899999999999"/>
    <n v="4"/>
    <n v="24.6"/>
    <n v="7"/>
    <n v="1.825"/>
    <n v="1.7"/>
    <n v="8.6662199999999991"/>
    <n v="8.5"/>
    <n v="0"/>
    <n v="0"/>
    <n v="35.125000000000007"/>
    <n v="1.2379199999999999"/>
    <n v="80.27"/>
    <n v="2.36"/>
    <n v="6.7161410018552886E-2"/>
    <x v="119"/>
    <n v="174.06"/>
    <n v="0.14352504638218927"/>
    <n v="5"/>
    <n v="4.1228612657184093E-3"/>
    <n v="203.89"/>
    <n v="0.16812203669346529"/>
  </r>
  <r>
    <n v="645"/>
    <s v="แขวงทางหลวงขอนแก่นที่ 1"/>
    <n v="621"/>
    <n v="2109"/>
    <n v="100"/>
    <s v="คำแก่นคูน -  เขื่อนอุบลรัตน์"/>
    <n v="0"/>
    <n v="25224"/>
    <n v="25.224"/>
    <n v="2"/>
    <s v="L1"/>
    <d v="2015-06-17T00:00:00"/>
    <s v="A.C."/>
    <n v="13.225"/>
    <n v="6.9749999999999996"/>
    <n v="3.875"/>
    <n v="1.2250000000000001"/>
    <n v="2.8511299999999999"/>
    <n v="3"/>
    <n v="23.975000000000001"/>
    <n v="1.2250000000000001"/>
    <n v="7.4999999999999997E-2"/>
    <n v="2.5000000000000001E-2"/>
    <n v="4.1410400000000003"/>
    <n v="4"/>
    <n v="0"/>
    <n v="0"/>
    <n v="25.3"/>
    <n v="1.0944"/>
    <n v="59.19"/>
    <n v="0"/>
    <n v="6.7044991164876985E-2"/>
    <x v="119"/>
    <n v="58.98"/>
    <n v="6.6807122468397442E-2"/>
    <n v="11.86"/>
    <n v="1.3433917810701825E-2"/>
    <n v="9.2100000000000009"/>
    <n v="1.0432241402745686E-2"/>
  </r>
  <r>
    <n v="1653"/>
    <s v="แขวงทางหลวงสมุทรปราการ"/>
    <n v="417"/>
    <n v="3901"/>
    <n v="700"/>
    <s v="ประเวศ - บางแก้ว"/>
    <s v="62+500"/>
    <s v="64+550"/>
    <n v="2.0499999999999998"/>
    <n v="2"/>
    <s v="L1"/>
    <d v="2015-08-24T00:00:00"/>
    <s v="A.C."/>
    <n v="1.4"/>
    <n v="1"/>
    <n v="0.22500000000000001"/>
    <n v="0.27500000000000002"/>
    <n v="2.944"/>
    <n v="3"/>
    <n v="2.5499999999999998"/>
    <n v="0.15"/>
    <n v="0.1"/>
    <n v="0.1"/>
    <n v="5.8529999999999998"/>
    <n v="6"/>
    <n v="0"/>
    <n v="0"/>
    <n v="2.9"/>
    <n v="1.139"/>
    <n v="3.14"/>
    <n v="3.33"/>
    <n v="6.6968641114982588E-2"/>
    <x v="119"/>
    <n v="0"/>
    <n v="0"/>
    <n v="46.4"/>
    <n v="0.64668989547038336"/>
    <n v="0"/>
    <n v="0"/>
  </r>
  <r>
    <n v="598"/>
    <s v="แขวงทางหลวงเลยที่ 1"/>
    <n v="554"/>
    <n v="201"/>
    <n v="404"/>
    <s v="ปากปวน - ปากภู"/>
    <s v="341+241"/>
    <s v="322+036"/>
    <n v="19.204999999999998"/>
    <n v="4"/>
    <s v="R2"/>
    <d v="2015-06-27T00:00:00"/>
    <s v="A.C."/>
    <n v="13.42"/>
    <n v="3.17"/>
    <n v="1.89"/>
    <n v="0.73"/>
    <n v="2.7281"/>
    <n v="2.5"/>
    <n v="16.34"/>
    <n v="2.16"/>
    <n v="0.55000000000000004"/>
    <n v="0.15"/>
    <n v="7.3077699999999997"/>
    <n v="7.5"/>
    <n v="0"/>
    <n v="0"/>
    <n v="19.2"/>
    <n v="1.04009"/>
    <n v="45"/>
    <n v="0"/>
    <n v="6.6946851638338231E-2"/>
    <x v="119"/>
    <n v="0"/>
    <n v="0"/>
    <n v="0"/>
    <n v="0"/>
    <n v="0"/>
    <n v="0"/>
  </r>
  <r>
    <n v="2223"/>
    <s v="แขวงทางหลวงสตูล"/>
    <n v="318"/>
    <n v="4125"/>
    <n v="100"/>
    <s v="ท่าพญา - ทุ่งยาว"/>
    <n v="26933"/>
    <n v="0"/>
    <n v="26.933"/>
    <n v="2"/>
    <s v="R1"/>
    <d v="2015-05-26T00:00:00"/>
    <s v="A.C."/>
    <n v="18.524999999999999"/>
    <n v="5.7249999999999996"/>
    <n v="2.0750000000000002"/>
    <n v="0.6"/>
    <n v="2.3372799999999998"/>
    <n v="2.5"/>
    <n v="26.9"/>
    <n v="2.5000000000000001E-2"/>
    <n v="0"/>
    <n v="0"/>
    <n v="1.74535"/>
    <n v="1.5"/>
    <n v="0"/>
    <n v="0"/>
    <n v="26.925000000000001"/>
    <n v="1.3182499999999999"/>
    <n v="63.09"/>
    <n v="0"/>
    <n v="6.6927985318064404E-2"/>
    <x v="119"/>
    <n v="22"/>
    <n v="2.3338336931326944E-2"/>
    <n v="0"/>
    <n v="0"/>
    <n v="0"/>
    <n v="0"/>
  </r>
  <r>
    <n v="2206"/>
    <s v="แขวงทางหลวงพัทลุง"/>
    <n v="314"/>
    <n v="4285"/>
    <n v="100"/>
    <s v="ท่ามิหรำ - โคกกอก"/>
    <n v="0"/>
    <n v="3188"/>
    <n v="3.1880000000000002"/>
    <n v="2"/>
    <s v="L1"/>
    <d v="2015-05-20T00:00:00"/>
    <s v="A.C."/>
    <n v="1.625"/>
    <n v="0.5"/>
    <n v="0.625"/>
    <n v="0.4"/>
    <n v="3.2455599999999998"/>
    <n v="3"/>
    <n v="3.15"/>
    <n v="0"/>
    <n v="0"/>
    <n v="0"/>
    <n v="2.7038600000000002"/>
    <n v="2.5"/>
    <n v="0"/>
    <n v="0"/>
    <n v="3.15"/>
    <n v="1.3266"/>
    <n v="0"/>
    <n v="14.82"/>
    <n v="6.6409750851407046E-2"/>
    <x v="119"/>
    <n v="0"/>
    <n v="0"/>
    <n v="7.91"/>
    <n v="7.0890840652446663E-2"/>
    <n v="0"/>
    <n v="0"/>
  </r>
  <r>
    <n v="1500"/>
    <s v="แขวงทางหลวงอยุธยา"/>
    <n v="413"/>
    <n v="308"/>
    <n v="100"/>
    <s v="ทางเข้าบางปะอิน"/>
    <s v="6+550"/>
    <s v="0+000"/>
    <n v="6.55"/>
    <n v="6"/>
    <s v="R1"/>
    <d v="2015-09-16T00:00:00"/>
    <s v="A.C."/>
    <n v="2.8"/>
    <n v="2.5249999999999999"/>
    <n v="0.97499999999999998"/>
    <n v="0.32500000000000001"/>
    <n v="3.2608999999999999"/>
    <n v="3.5"/>
    <n v="5.8250000000000002"/>
    <n v="0.65"/>
    <n v="7.4999999999999997E-2"/>
    <n v="7.4999999999999997E-2"/>
    <n v="4.6947000000000001"/>
    <n v="4.5"/>
    <n v="0"/>
    <n v="0"/>
    <n v="6.55"/>
    <n v="1.101"/>
    <n v="6"/>
    <n v="18.34"/>
    <n v="6.6172300981461291E-2"/>
    <x v="119"/>
    <n v="0"/>
    <n v="0"/>
    <n v="0"/>
    <n v="0"/>
    <n v="0"/>
    <n v="0"/>
  </r>
  <r>
    <n v="1098"/>
    <s v="แขวงทางหลวงลพบุรีที่ 1"/>
    <n v="431"/>
    <n v="205"/>
    <n v="102"/>
    <s v="ดงพลับ -  ม่วงค่อม"/>
    <s v="20+209"/>
    <s v="48+754"/>
    <n v="28.545000000000002"/>
    <n v="4"/>
    <s v="L3"/>
    <d v="2015-10-05T00:00:00"/>
    <s v="A.C."/>
    <n v="12.475"/>
    <n v="11.025"/>
    <n v="4.1500000000000004"/>
    <n v="1.0249999999999999"/>
    <n v="2.8504200000000002"/>
    <n v="3"/>
    <n v="23.45"/>
    <n v="3.625"/>
    <n v="1.175"/>
    <n v="0.42499999999999999"/>
    <n v="6.6724500000000004"/>
    <n v="6.5"/>
    <n v="0"/>
    <n v="0"/>
    <n v="28.674999999999997"/>
    <n v="1.2528999999999999"/>
    <n v="64.319999999999993"/>
    <n v="3.11"/>
    <n v="6.5935990791482116E-2"/>
    <x v="119"/>
    <n v="45.69"/>
    <n v="4.5732302379701217E-2"/>
    <n v="15.3"/>
    <n v="1.5314165603182946E-2"/>
    <n v="0"/>
    <n v="0"/>
  </r>
  <r>
    <n v="1215"/>
    <s v="แขวงทางหลวงลพบุรีที่ 2 (ลำนารายณ์)"/>
    <n v="435"/>
    <n v="2282"/>
    <n v="100"/>
    <s v="มะนาวหวาน - โป่งเกตุ"/>
    <s v="25+065"/>
    <s v="6+854"/>
    <n v="18.210999999999999"/>
    <n v="2"/>
    <s v="R1"/>
    <d v="2015-10-05T00:00:00"/>
    <s v="A.C."/>
    <n v="10.199999999999999"/>
    <n v="4.2249999999999996"/>
    <n v="2.7"/>
    <n v="1.0249999999999999"/>
    <n v="2.6592099999999999"/>
    <n v="2.5"/>
    <n v="17.074999999999999"/>
    <n v="0.6"/>
    <n v="0.375"/>
    <n v="0.1"/>
    <n v="3.8275899999999998"/>
    <n v="4"/>
    <n v="0"/>
    <n v="0"/>
    <n v="18.210999999999999"/>
    <n v="1.3101"/>
    <n v="31.64"/>
    <n v="20.32"/>
    <n v="6.5580457651184143E-2"/>
    <x v="119"/>
    <n v="23.69"/>
    <n v="3.7166999999999999E-2"/>
    <n v="0"/>
    <n v="0"/>
    <n v="0"/>
    <n v="0"/>
  </r>
  <r>
    <n v="692"/>
    <s v="แขวงทางหลวงอุดรธานีที่ 2"/>
    <n v="624"/>
    <n v="2350"/>
    <n v="100"/>
    <s v="หนองหาน - กุมภวาปี"/>
    <n v="0"/>
    <n v="34072"/>
    <n v="34.072000000000003"/>
    <n v="2"/>
    <s v="L1"/>
    <d v="2015-06-16T00:00:00"/>
    <s v="A.C."/>
    <n v="19.024999999999999"/>
    <n v="10.15"/>
    <n v="3.125"/>
    <n v="1.575"/>
    <n v="2.6363699999999999"/>
    <n v="2.5"/>
    <n v="32.125"/>
    <n v="1.6"/>
    <n v="0.1"/>
    <n v="0.05"/>
    <n v="4.6734799999999996"/>
    <n v="4.5"/>
    <n v="0"/>
    <n v="0"/>
    <n v="33.875"/>
    <n v="1.1995100000000001"/>
    <n v="68.040000000000006"/>
    <n v="18.899999999999999"/>
    <n v="6.4979999999999996E-2"/>
    <x v="119"/>
    <n v="357.54"/>
    <n v="0.29981999999999998"/>
    <n v="88.52"/>
    <n v="7.4229000000000003E-2"/>
    <n v="26.97"/>
    <n v="2.2620000000000001E-2"/>
  </r>
  <r>
    <n v="85"/>
    <s v="แขวงทางหลวงแม่ฮ่องสอน"/>
    <n v="526"/>
    <n v="108"/>
    <n v="201"/>
    <s v="สะพานแม่ริด - ห้วยงู"/>
    <s v="206+975"/>
    <s v="156+600"/>
    <n v="50.375"/>
    <n v="2"/>
    <s v="R1"/>
    <d v="2015-08-28T00:00:00"/>
    <s v="A.C."/>
    <n v="23.1"/>
    <n v="13.73"/>
    <n v="8.85"/>
    <n v="4.68"/>
    <n v="2.99871"/>
    <n v="3"/>
    <n v="47.73"/>
    <n v="2.06"/>
    <n v="0.32"/>
    <n v="0.27"/>
    <n v="4.0692399999999997"/>
    <n v="4"/>
    <n v="0"/>
    <n v="0"/>
    <n v="50.38"/>
    <n v="1.2317800000000001"/>
    <n v="114.25"/>
    <n v="0"/>
    <n v="6.479971641261964E-2"/>
    <x v="119"/>
    <n v="0"/>
    <n v="0"/>
    <n v="20.95"/>
    <n v="1.1882311237149945E-2"/>
    <n v="0"/>
    <n v="0"/>
  </r>
  <r>
    <n v="1469"/>
    <s v="แขวงทางหลวงกรุงเทพ"/>
    <n v="411"/>
    <n v="31"/>
    <n v="101"/>
    <s v="ดินแดง - งามวงศ์วาน"/>
    <s v="14+700"/>
    <s v="4+990"/>
    <n v="9.7100000000000009"/>
    <n v="10"/>
    <s v="R2"/>
    <d v="2015-08-31T00:00:00"/>
    <s v="A.C."/>
    <n v="5.95"/>
    <n v="1.5"/>
    <n v="1.1499999999999999"/>
    <n v="0.8"/>
    <n v="3.5019999999999998"/>
    <n v="3.5"/>
    <n v="9.3000000000000007"/>
    <n v="0.1"/>
    <n v="0"/>
    <n v="0"/>
    <n v="3.6560000000000001"/>
    <n v="3.5"/>
    <n v="0"/>
    <n v="0"/>
    <n v="9.4"/>
    <n v="1.375"/>
    <n v="0"/>
    <n v="44"/>
    <n v="6.4734441665440637E-2"/>
    <x v="119"/>
    <n v="0"/>
    <n v="0"/>
    <n v="0"/>
    <n v="0"/>
    <n v="0"/>
    <n v="0"/>
  </r>
  <r>
    <n v="1519"/>
    <s v="แขวงทางหลวงอยุธยา"/>
    <n v="413"/>
    <n v="3412"/>
    <n v="102"/>
    <s v="บางบาล - ผักไห่"/>
    <n v="8943"/>
    <n v="25892"/>
    <n v="16.949000000000002"/>
    <n v="2"/>
    <s v="R1"/>
    <d v="2015-09-17T00:00:00"/>
    <s v="A.C."/>
    <n v="12.1"/>
    <n v="2.5"/>
    <n v="1.4750000000000001"/>
    <n v="0.9"/>
    <n v="2.6693600000000002"/>
    <n v="2.5"/>
    <n v="16"/>
    <n v="0.625"/>
    <n v="0.15"/>
    <n v="0.2"/>
    <n v="4.78064"/>
    <n v="5"/>
    <n v="0"/>
    <n v="0"/>
    <n v="16.949000000000002"/>
    <n v="1.0624499999999999"/>
    <n v="8"/>
    <n v="60.57"/>
    <n v="6.4538152271941859E-2"/>
    <x v="119"/>
    <n v="3"/>
    <n v="5.0571883718382032E-3"/>
    <n v="0"/>
    <n v="0"/>
    <n v="0"/>
    <n v="0"/>
  </r>
  <r>
    <n v="1873"/>
    <s v="แขวงทางหลวงราชบุรี"/>
    <n v="335"/>
    <n v="3208"/>
    <n v="1000"/>
    <s v="เขาวัง - เหมืองผาปกค้างคาว"/>
    <s v="68+034"/>
    <s v="41+062"/>
    <n v="26.972000000000001"/>
    <n v="2"/>
    <s v="R1"/>
    <d v="2015-03-30T00:00:00"/>
    <s v="A.C."/>
    <n v="24.95"/>
    <n v="1.85"/>
    <n v="0.18"/>
    <n v="0"/>
    <n v="1.83402"/>
    <n v="2"/>
    <n v="25.48"/>
    <n v="1.1100000000000001"/>
    <n v="0.3"/>
    <n v="0.08"/>
    <n v="3.33284"/>
    <n v="3.5"/>
    <n v="0"/>
    <n v="0"/>
    <n v="26.97"/>
    <n v="1.2296"/>
    <n v="44.62"/>
    <n v="32.299999999999997"/>
    <n v="6.4373636151776437E-2"/>
    <x v="119"/>
    <n v="102.55"/>
    <n v="0.1086311730683672"/>
    <n v="8.36"/>
    <n v="8.8557445816825897E-3"/>
    <n v="0"/>
    <n v="0"/>
  </r>
  <r>
    <n v="1549"/>
    <s v="แขวงทางหลวงสมุทรสาคร"/>
    <n v="415"/>
    <n v="3316"/>
    <n v="100"/>
    <s v="ไร่ขิง - ทรงคนอง"/>
    <s v="1+800"/>
    <s v="13+161"/>
    <n v="11.361000000000001"/>
    <n v="2"/>
    <s v="L1"/>
    <d v="2015-08-26T00:00:00"/>
    <s v="A.C."/>
    <n v="5.9749999999999996"/>
    <n v="1.95"/>
    <n v="1.825"/>
    <n v="2.2250000000000001"/>
    <n v="3.36"/>
    <n v="3.5"/>
    <n v="11.15"/>
    <n v="0.8"/>
    <n v="2.5000000000000001E-2"/>
    <n v="0"/>
    <n v="6.97248"/>
    <n v="7"/>
    <n v="0"/>
    <n v="0"/>
    <n v="11.975"/>
    <n v="1.0208699999999999"/>
    <n v="17"/>
    <n v="16.989999999999998"/>
    <n v="6.4119999999999996E-2"/>
    <x v="119"/>
    <n v="0"/>
    <n v="0"/>
    <n v="0"/>
    <n v="0"/>
    <n v="2"/>
    <n v="5.0299999999999997E-3"/>
  </r>
  <r>
    <n v="39"/>
    <s v="แขวงทางหลวงเชียงใหม่ที่ 2"/>
    <n v="522"/>
    <n v="1269"/>
    <n v="101"/>
    <s v="สะเมิง - แม่ขนิน"/>
    <s v="6+983"/>
    <s v="0+000"/>
    <n v="6.9829999999999997"/>
    <n v="4"/>
    <s v="L1"/>
    <d v="2015-08-20T00:00:00"/>
    <s v="A.C."/>
    <n v="0.52500000000000002"/>
    <n v="2.375"/>
    <n v="2.7"/>
    <n v="1.175"/>
    <n v="4.0007400000000004"/>
    <n v="4"/>
    <n v="6.6"/>
    <n v="0.17499999999999999"/>
    <n v="0"/>
    <n v="0"/>
    <n v="4.2140399999999998"/>
    <n v="4"/>
    <n v="0"/>
    <n v="0"/>
    <n v="6.7749999999999995"/>
    <n v="1.41805"/>
    <n v="15.663"/>
    <n v="0"/>
    <n v="6.4086250281295387E-2"/>
    <x v="119"/>
    <n v="14.45"/>
    <n v="5.9123176694421138E-2"/>
    <n v="0"/>
    <n v="0"/>
    <n v="0"/>
    <n v="0"/>
  </r>
  <r>
    <n v="1767"/>
    <s v="แขวงทางหลวงระยอง"/>
    <n v="426"/>
    <n v="364"/>
    <n v="100"/>
    <s v="ทางเลี่ยงเมืองระยอง"/>
    <n v="0"/>
    <n v="3909"/>
    <n v="3.9089999999999998"/>
    <n v="4"/>
    <s v="L2"/>
    <d v="2015-08-17T00:00:00"/>
    <s v="A.C."/>
    <n v="2.1749999999999998"/>
    <n v="1.0249999999999999"/>
    <n v="0.42499999999999999"/>
    <n v="0.27500000000000002"/>
    <n v="2.7354500000000002"/>
    <n v="2.5"/>
    <n v="3.4750000000000001"/>
    <n v="0.27500000000000002"/>
    <n v="0.1"/>
    <n v="0.05"/>
    <n v="4.9311699999999998"/>
    <n v="5"/>
    <n v="0"/>
    <n v="0"/>
    <n v="3.9"/>
    <n v="1.1330499999999999"/>
    <n v="6.73"/>
    <n v="4.07"/>
    <n v="6.4060000000000006E-2"/>
    <x v="119"/>
    <n v="88.27"/>
    <n v="0.64517999999999998"/>
    <n v="25"/>
    <n v="0.182729"/>
    <n v="92.97"/>
    <n v="0.67952999999999997"/>
  </r>
  <r>
    <n v="1508"/>
    <s v="แขวงทางหลวงอยุธยา"/>
    <n v="413"/>
    <n v="347"/>
    <n v="200"/>
    <s v="บางกระสั้น - บางปะหัน"/>
    <s v="20+643"/>
    <s v="49+141"/>
    <n v="28.498000000000001"/>
    <n v="4"/>
    <s v="L2"/>
    <d v="2015-09-17T00:00:00"/>
    <s v="A.C."/>
    <n v="12.275"/>
    <n v="6.95"/>
    <n v="5.3"/>
    <n v="3.85"/>
    <n v="3.1160000000000001"/>
    <n v="3"/>
    <n v="14"/>
    <n v="6.2249999999999996"/>
    <n v="5.5750000000000002"/>
    <n v="2.5750000000000002"/>
    <n v="9.8610000000000007"/>
    <n v="10"/>
    <n v="0"/>
    <n v="0"/>
    <n v="28.498000000000001"/>
    <n v="1.302"/>
    <n v="62"/>
    <n v="3.39"/>
    <n v="6.385911793308803E-2"/>
    <x v="119"/>
    <n v="0"/>
    <n v="0"/>
    <n v="19.13"/>
    <n v="1.9179290777297651E-2"/>
    <n v="0"/>
    <n v="0"/>
  </r>
  <r>
    <n v="850"/>
    <s v="แขวงทางหลวงสุรินทร์"/>
    <n v="615"/>
    <n v="2076"/>
    <n v="102"/>
    <s v="รัตนบุรี - หนองฮู"/>
    <n v="18848"/>
    <n v="36513"/>
    <n v="17.664999999999999"/>
    <n v="2"/>
    <s v="L1"/>
    <d v="2015-05-11T00:00:00"/>
    <s v="A.C."/>
    <n v="10.55"/>
    <n v="5.1749999999999998"/>
    <n v="1.325"/>
    <n v="0.57499999999999996"/>
    <n v="2.6629999999999998"/>
    <n v="2.5"/>
    <n v="17.05"/>
    <n v="0.52500000000000002"/>
    <n v="0.05"/>
    <n v="0"/>
    <n v="5.181"/>
    <n v="5"/>
    <n v="0"/>
    <n v="0"/>
    <n v="17.625"/>
    <n v="1.33"/>
    <n v="21.28"/>
    <n v="36.08"/>
    <n v="6.3600000000000004E-2"/>
    <x v="119"/>
    <n v="175.61"/>
    <n v="0.28403"/>
    <n v="7.73"/>
    <n v="1.2503E-2"/>
    <n v="39.799999999999997"/>
    <n v="6.4369999999999997E-2"/>
  </r>
  <r>
    <n v="64"/>
    <s v="แขวงทางหลวงลำพูน"/>
    <n v="524"/>
    <n v="106"/>
    <n v="202"/>
    <s v="ลี้ - ม่วงโตน"/>
    <s v="52+000"/>
    <s v="118+533"/>
    <n v="66.533000000000001"/>
    <n v="2"/>
    <s v="L1"/>
    <d v="2015-08-12T00:00:00"/>
    <s v="A.C."/>
    <n v="37.975000000000001"/>
    <n v="17.25"/>
    <n v="8.4250000000000007"/>
    <n v="3.1"/>
    <n v="2.62507"/>
    <n v="2.5"/>
    <n v="65.875"/>
    <n v="0.85"/>
    <n v="2.5000000000000001E-2"/>
    <n v="0"/>
    <n v="2.72593"/>
    <n v="2.5"/>
    <n v="0"/>
    <n v="0"/>
    <n v="66.75"/>
    <n v="1.1854199999999999"/>
    <n v="147.35"/>
    <n v="1.05"/>
    <n v="6.3502322155922622E-2"/>
    <x v="119"/>
    <n v="15.32"/>
    <n v="6.5789049902196754E-3"/>
    <n v="0"/>
    <n v="0"/>
    <n v="2.36"/>
    <n v="1.0134605598510727E-3"/>
  </r>
  <r>
    <n v="1317"/>
    <s v="แขวงทางหลวงกาญจนบุรี"/>
    <n v="444"/>
    <n v="324"/>
    <n v="100"/>
    <s v="กาญจนบุรี - หนองขาว"/>
    <n v="11000"/>
    <n v="2000"/>
    <n v="9"/>
    <n v="4"/>
    <s v="R2"/>
    <d v="2015-07-26T00:00:00"/>
    <s v="A.C."/>
    <n v="6.125"/>
    <n v="1.9"/>
    <n v="0.7"/>
    <n v="0.32500000000000001"/>
    <n v="2.4482599999999999"/>
    <n v="2.5"/>
    <n v="8.625"/>
    <n v="0.4"/>
    <n v="2.5000000000000001E-2"/>
    <n v="0"/>
    <n v="5.1886299999999999"/>
    <n v="5"/>
    <n v="0"/>
    <n v="0"/>
    <n v="9.0499999999999989"/>
    <n v="1.09799"/>
    <n v="20"/>
    <n v="0"/>
    <n v="6.3492063492063489E-2"/>
    <x v="119"/>
    <n v="0"/>
    <n v="0"/>
    <n v="11"/>
    <n v="3.4920634920634921E-2"/>
    <n v="0"/>
    <n v="0"/>
  </r>
  <r>
    <n v="1618"/>
    <s v="แขวงทางหลวงสมุทรปราการ"/>
    <n v="417"/>
    <n v="34"/>
    <n v="102"/>
    <s v="ทางเข้าท่าอากาศยานสุวรรณภูมิ - บางวัว"/>
    <s v="35+600"/>
    <s v="14+900"/>
    <n v="18.399999999999999"/>
    <n v="4"/>
    <s v="R2"/>
    <d v="2015-08-25T00:00:00"/>
    <s v="A.C."/>
    <n v="8.7750000000000004"/>
    <n v="4.9249999999999998"/>
    <n v="2.6749999999999998"/>
    <n v="2.125"/>
    <n v="3.2840400000000001"/>
    <n v="3.5"/>
    <n v="17.074999999999999"/>
    <n v="1.35"/>
    <n v="7.4999999999999997E-2"/>
    <n v="0"/>
    <n v="6.2627899999999999"/>
    <n v="6.5"/>
    <n v="0"/>
    <n v="0"/>
    <n v="18.5"/>
    <n v="1.23394"/>
    <n v="26.45"/>
    <n v="28.86"/>
    <n v="6.347826086956522E-2"/>
    <x v="119"/>
    <n v="56.59"/>
    <n v="8.7872670807453437E-2"/>
    <n v="17.489999999999998"/>
    <n v="2.7158385093167699E-2"/>
    <n v="12.89"/>
    <n v="2.0015527950310561E-2"/>
  </r>
  <r>
    <n v="543"/>
    <s v="แขวงทางหลวงอุตรดิตถ์ที่ 2"/>
    <n v="558"/>
    <n v="1339"/>
    <n v="101"/>
    <s v="ห้วยมุ่น - น้ำปาด"/>
    <s v="0+000"/>
    <s v="46+862"/>
    <n v="46.862000000000002"/>
    <s v="L1"/>
    <n v="2"/>
    <d v="2015-09-26T00:00:00"/>
    <s v="A.C."/>
    <n v="6.7750000000000004"/>
    <n v="14.55"/>
    <n v="17.100000000000001"/>
    <n v="7.85"/>
    <n v="3.8839700000000001"/>
    <n v="4"/>
    <n v="38.825000000000003"/>
    <n v="3.8"/>
    <n v="1.25"/>
    <n v="2.4"/>
    <n v="6.70974"/>
    <n v="6.5"/>
    <n v="0"/>
    <n v="2.5000000000000001E-2"/>
    <n v="46.25"/>
    <n v="1.3914899999999999"/>
    <n v="95.313999999999993"/>
    <n v="17.457999999999998"/>
    <n v="6.3434000000000004E-2"/>
    <x v="119"/>
    <n v="54.97"/>
    <n v="3.3515000000000003E-2"/>
    <n v="0"/>
    <n v="0"/>
    <n v="0"/>
    <n v="0"/>
  </r>
  <r>
    <n v="772"/>
    <s v="แขวงทางหลวงมหาสารคาม"/>
    <n v="622"/>
    <n v="2300"/>
    <n v="100"/>
    <s v="หนองแหน - หนองเขื่อน"/>
    <n v="0"/>
    <n v="29570"/>
    <n v="29.57"/>
    <n v="2"/>
    <s v="L1"/>
    <d v="2015-05-28T00:00:00"/>
    <s v="A.C."/>
    <n v="25.774999999999999"/>
    <n v="2.95"/>
    <n v="0.92500000000000004"/>
    <n v="0.55000000000000004"/>
    <n v="2.0296400000000001"/>
    <n v="2"/>
    <n v="28.93"/>
    <n v="0.47"/>
    <n v="0.13"/>
    <n v="0.05"/>
    <n v="3.5362399999999998"/>
    <n v="3.5"/>
    <n v="0"/>
    <n v="0"/>
    <n v="29.57"/>
    <n v="1.2396"/>
    <n v="53"/>
    <n v="25"/>
    <n v="6.3288081549833328E-2"/>
    <x v="119"/>
    <n v="164"/>
    <n v="0.15846176143775062"/>
    <n v="28"/>
    <n v="2.7054447074737913E-2"/>
    <n v="16"/>
    <n v="1.5459684042707379E-2"/>
  </r>
  <r>
    <n v="1687"/>
    <s v="แขวงทางหลวงฉะเชิงเทรา"/>
    <n v="421"/>
    <n v="3076"/>
    <n v="301"/>
    <s v="วังขอน - พนมสารคาม"/>
    <n v="43521"/>
    <n v="58921"/>
    <n v="15.4"/>
    <n v="2"/>
    <s v="L1"/>
    <d v="2015-08-10T00:00:00"/>
    <s v="A.C."/>
    <n v="12.43"/>
    <n v="1.9"/>
    <n v="0.77500000000000002"/>
    <n v="0.27500000000000002"/>
    <n v="2.4900899999999999"/>
    <n v="2.5"/>
    <n v="7.9"/>
    <n v="4.7249999999999996"/>
    <n v="1.675"/>
    <n v="1.075"/>
    <n v="9.3908799999999992"/>
    <n v="9.5"/>
    <n v="0"/>
    <n v="0"/>
    <n v="15.4"/>
    <n v="1.17178"/>
    <n v="26.77"/>
    <n v="14.36"/>
    <n v="6.2987012987012994E-2"/>
    <x v="119"/>
    <n v="0"/>
    <n v="0"/>
    <n v="107"/>
    <n v="0.19851576994434136"/>
    <n v="0"/>
    <n v="0"/>
  </r>
  <r>
    <n v="544"/>
    <s v="แขวงทางหลวงอุตรดิตถ์ที่ 2"/>
    <n v="558"/>
    <n v="1339"/>
    <n v="102"/>
    <s v="น้ำปาด - ปากนาย"/>
    <s v="48+793"/>
    <s v="101+376"/>
    <n v="52.582999999999998"/>
    <s v="L1"/>
    <n v="2"/>
    <d v="2015-09-25T00:00:00"/>
    <s v="A.C."/>
    <n v="14.4"/>
    <n v="20.149999999999999"/>
    <n v="12.5"/>
    <n v="5.25"/>
    <n v="3.3586399999999998"/>
    <n v="3.5"/>
    <n v="51.05"/>
    <n v="0.97499999999999998"/>
    <n v="0.25"/>
    <n v="2.5000000000000001E-2"/>
    <n v="3.6347200000000002"/>
    <n v="3.5"/>
    <n v="0"/>
    <n v="0"/>
    <n v="52.3"/>
    <n v="1.5304599999999999"/>
    <n v="114.456"/>
    <n v="2.34"/>
    <n v="6.2826000000000007E-2"/>
    <x v="119"/>
    <n v="69.498000000000005"/>
    <n v="3.7761999999999997E-2"/>
    <n v="0"/>
    <n v="0"/>
    <n v="0.78"/>
    <n v="4.2400000000000001E-4"/>
  </r>
  <r>
    <n v="58"/>
    <s v="แขวงทางหลวงลำปางที่ 1"/>
    <n v="523"/>
    <n v="1348"/>
    <n v="100"/>
    <s v="ทางเข้าโรงไฟฟ้าแม่เมาะ"/>
    <s v="17+213"/>
    <s v="0+000"/>
    <n v="17.213000000000001"/>
    <n v="4"/>
    <s v="R2"/>
    <d v="2015-08-06T00:00:00"/>
    <s v="A.C."/>
    <n v="10.3"/>
    <n v="3.9750000000000001"/>
    <n v="1.75"/>
    <n v="1.2250000000000001"/>
    <n v="2.6710400000000001"/>
    <n v="2.5"/>
    <n v="15.3"/>
    <n v="1.35"/>
    <n v="0.5"/>
    <n v="0.1"/>
    <n v="5.8779399999999997"/>
    <n v="6"/>
    <n v="0"/>
    <n v="0"/>
    <n v="17.25"/>
    <n v="1.1050899999999999"/>
    <n v="32.4"/>
    <n v="10.81"/>
    <n v="6.2751574806417063E-2"/>
    <x v="119"/>
    <n v="262.89"/>
    <n v="0.43636454175000616"/>
    <n v="88"/>
    <n v="0.14606900100422437"/>
    <n v="2.23"/>
    <n v="3.7015212754479584E-3"/>
  </r>
  <r>
    <n v="396"/>
    <s v="แขวงทางหลวงพิษณุโลกที่ 1"/>
    <n v="511"/>
    <n v="126"/>
    <n v="100"/>
    <s v="ถนนวงแหวนรอบเมืองพิษณุโลกด้านทิศเหนือ"/>
    <s v="0+000"/>
    <s v="21+297"/>
    <n v="21.297000000000001"/>
    <s v="L2"/>
    <n v="4"/>
    <d v="2015-09-18T00:00:00"/>
    <s v="A.C."/>
    <n v="14.26"/>
    <n v="3.19"/>
    <n v="2.19"/>
    <n v="1.66"/>
    <n v="2.51539"/>
    <n v="2.5"/>
    <n v="19.760000000000002"/>
    <n v="1.1200000000000001"/>
    <n v="0.41"/>
    <n v="0"/>
    <n v="4.4261400000000002"/>
    <n v="4.5"/>
    <n v="0"/>
    <n v="0"/>
    <n v="21.3"/>
    <n v="1.1972499999999999"/>
    <n v="12.3"/>
    <n v="14.581"/>
    <n v="6.2375E-2"/>
    <x v="119"/>
    <n v="23.654"/>
    <n v="7.5313000000000005E-2"/>
    <n v="1.59"/>
    <n v="5.0619999999999997E-3"/>
    <n v="0"/>
    <n v="0"/>
  </r>
  <r>
    <n v="436"/>
    <s v="แขวงทางหลวงสุโขทัย"/>
    <n v="513"/>
    <n v="1180"/>
    <n v="100"/>
    <s v="สวรรคโลก - ปลายราง"/>
    <s v="0+000"/>
    <s v="30+650"/>
    <n v="30.65"/>
    <s v="L1"/>
    <n v="2"/>
    <d v="2015-09-17T00:00:00"/>
    <s v="A.C."/>
    <n v="22.35"/>
    <n v="4.21"/>
    <n v="2.46"/>
    <n v="1.63"/>
    <n v="2.2866499999999998"/>
    <n v="2.5"/>
    <n v="28.94"/>
    <n v="1.18"/>
    <n v="0.38"/>
    <n v="0.15"/>
    <n v="3.5354399999999999"/>
    <n v="3.5"/>
    <n v="0"/>
    <n v="0"/>
    <n v="30.65"/>
    <n v="1.1404700000000001"/>
    <n v="64.209999999999994"/>
    <n v="5.34"/>
    <n v="6.2344441855045452E-2"/>
    <x v="119"/>
    <n v="126.57"/>
    <n v="0.11798648333721742"/>
    <n v="0"/>
    <n v="0"/>
    <n v="0"/>
    <n v="0"/>
  </r>
  <r>
    <n v="238"/>
    <s v="แขวงทางหลวงเชียงรายที่ 2"/>
    <n v="537"/>
    <n v="1152"/>
    <n v="202"/>
    <s v="พญาเม็งราย - ต้าตลาด"/>
    <n v="39500"/>
    <n v="49427"/>
    <n v="9.9269999999999996"/>
    <n v="2"/>
    <s v="R1"/>
    <d v="2015-07-13T00:00:00"/>
    <s v="A.C."/>
    <n v="5.77"/>
    <n v="2.89"/>
    <n v="0.95"/>
    <n v="0.33"/>
    <n v="2.5630799999999998"/>
    <n v="2.5"/>
    <n v="9.7799999999999994"/>
    <n v="0.15"/>
    <n v="0"/>
    <n v="0"/>
    <n v="4.0742900000000004"/>
    <n v="4"/>
    <n v="0"/>
    <n v="0"/>
    <n v="9.93"/>
    <n v="1.0750500000000001"/>
    <n v="19"/>
    <n v="5.31"/>
    <n v="6.2326411374462147E-2"/>
    <x v="119"/>
    <n v="71"/>
    <n v="0.20434888975233489"/>
    <n v="0"/>
    <n v="0"/>
    <n v="3"/>
    <n v="8.6344601303803472E-3"/>
  </r>
  <r>
    <n v="242"/>
    <s v="แขวงทางหลวงเชียงรายที่ 2"/>
    <n v="537"/>
    <n v="1202"/>
    <n v="200"/>
    <s v="สันต้นแหน - ป่าแดด"/>
    <n v="33922"/>
    <n v="45462"/>
    <n v="11.54"/>
    <n v="2"/>
    <s v="L1"/>
    <d v="2015-07-13T00:00:00"/>
    <s v="A.C."/>
    <n v="10.18"/>
    <n v="0.6"/>
    <n v="0.53"/>
    <n v="0.23"/>
    <n v="1.82779"/>
    <n v="2"/>
    <n v="11.37"/>
    <n v="0.13"/>
    <n v="0.05"/>
    <n v="0"/>
    <n v="3.1464400000000001"/>
    <n v="3"/>
    <n v="0"/>
    <n v="0"/>
    <n v="11.54"/>
    <n v="1.4370700000000001"/>
    <n v="25"/>
    <n v="0"/>
    <n v="6.189650903689032E-2"/>
    <x v="119"/>
    <n v="0"/>
    <n v="0"/>
    <n v="0"/>
    <n v="0"/>
    <n v="0"/>
    <n v="0"/>
  </r>
  <r>
    <n v="418"/>
    <s v="แขวงทางหลวงสุโขทัย"/>
    <n v="513"/>
    <n v="101"/>
    <n v="304"/>
    <s v="สวรรคโลก - ศรีสัชนาลัย"/>
    <s v="114+044"/>
    <s v="149+519"/>
    <n v="35.475000000000001"/>
    <s v="L1"/>
    <n v="2"/>
    <d v="2015-09-17T00:00:00"/>
    <s v="A.C."/>
    <n v="29.64"/>
    <n v="4.04"/>
    <n v="1.35"/>
    <n v="0.45"/>
    <n v="1.95"/>
    <n v="2"/>
    <n v="34.93"/>
    <n v="0.35"/>
    <n v="0.2"/>
    <n v="0"/>
    <n v="2.9780000000000002"/>
    <n v="3"/>
    <n v="0"/>
    <n v="0"/>
    <n v="35.47"/>
    <n v="1.0609999999999999"/>
    <n v="68.319999999999993"/>
    <n v="15.9"/>
    <n v="6.1427564683378622E-2"/>
    <x v="119"/>
    <n v="212.3"/>
    <n v="0.17098560354374306"/>
    <n v="128.6"/>
    <n v="0.10357394543441052"/>
    <n v="0"/>
    <n v="0"/>
  </r>
  <r>
    <n v="844"/>
    <s v="แขวงทางหลวงสุรินทร์"/>
    <n v="615"/>
    <n v="219"/>
    <n v="200"/>
    <s v="พยัคฆภูมิพิสัย - สตึก"/>
    <n v="79889"/>
    <n v="97604"/>
    <n v="17.715"/>
    <n v="4"/>
    <s v="L1"/>
    <d v="2015-05-11T00:00:00"/>
    <s v="A.C."/>
    <n v="11.824999999999999"/>
    <n v="3.6"/>
    <n v="1.65"/>
    <n v="0.7"/>
    <n v="2.363"/>
    <n v="2.5"/>
    <n v="14.3"/>
    <n v="2.35"/>
    <n v="0.82499999999999996"/>
    <n v="0.3"/>
    <n v="6.0330000000000004"/>
    <n v="6"/>
    <n v="0"/>
    <n v="0"/>
    <n v="17.774999999999999"/>
    <n v="1.1759999999999999"/>
    <n v="20.11"/>
    <n v="35.75"/>
    <n v="6.1260000000000002E-2"/>
    <x v="119"/>
    <n v="48.91"/>
    <n v="7.8880000000000006E-2"/>
    <n v="45.2"/>
    <n v="7.2900000000000006E-2"/>
    <n v="13.07"/>
    <n v="2.1080000000000002E-2"/>
  </r>
  <r>
    <n v="964"/>
    <s v="แขวงทางหลวงนครราชสีมาที่ 2"/>
    <n v="612"/>
    <n v="2090"/>
    <n v="100"/>
    <s v="ปางแก - อุทยานแห่งชาติเขาใหญ่"/>
    <n v="0"/>
    <n v="23442"/>
    <n v="23.442"/>
    <n v="2"/>
    <s v="L1"/>
    <d v="2015-04-22T00:00:00"/>
    <s v="A.C."/>
    <n v="18.38"/>
    <n v="3.35"/>
    <n v="1.2"/>
    <n v="0.45"/>
    <n v="1.94791"/>
    <n v="2"/>
    <n v="23.024999999999999"/>
    <n v="0.2"/>
    <n v="0.15"/>
    <n v="0"/>
    <n v="3.7818700000000001"/>
    <n v="4"/>
    <n v="0"/>
    <n v="0"/>
    <n v="23.38"/>
    <n v="1.1303399999999999"/>
    <n v="50.01"/>
    <n v="0"/>
    <n v="6.0949999999999997E-2"/>
    <x v="119"/>
    <n v="214"/>
    <n v="0.26083000000000001"/>
    <n v="0"/>
    <n v="0"/>
    <n v="1"/>
    <n v="1.2199999999999999E-3"/>
  </r>
  <r>
    <n v="2001"/>
    <s v="แขวงทางหลวงตรัง"/>
    <n v="322"/>
    <n v="4320"/>
    <n v="100"/>
    <s v="ทางเข้าสิเกา"/>
    <n v="0"/>
    <n v="1172"/>
    <n v="1.1719999999999999"/>
    <n v="2"/>
    <s v="L2"/>
    <d v="2015-05-06T00:00:00"/>
    <s v="A.C."/>
    <n v="0.98"/>
    <n v="0.1"/>
    <n v="0.1"/>
    <n v="0.04"/>
    <n v="1.7658100000000001"/>
    <n v="2"/>
    <n v="1.075"/>
    <n v="0"/>
    <n v="0"/>
    <n v="0"/>
    <n v="1.30291"/>
    <n v="1.5"/>
    <n v="0"/>
    <n v="0"/>
    <n v="1.075"/>
    <n v="1.15893"/>
    <n v="2.5"/>
    <n v="0"/>
    <n v="6.0945880058508053E-2"/>
    <x v="119"/>
    <n v="1.98"/>
    <n v="4.8269137006338385E-2"/>
    <n v="0"/>
    <n v="0"/>
    <n v="0"/>
    <n v="0"/>
  </r>
  <r>
    <n v="443"/>
    <s v="แขวงทางหลวงสุโขทัย"/>
    <n v="513"/>
    <n v="1294"/>
    <n v="100"/>
    <s v="เมืองเก่า - อุทยานแห่งชาติศรีสัชนาลัย"/>
    <s v="0+000"/>
    <s v="51+772"/>
    <n v="51.771999999999998"/>
    <s v="L1"/>
    <n v="2"/>
    <d v="2015-09-16T00:00:00"/>
    <s v="A.C."/>
    <n v="25.72"/>
    <n v="17.7"/>
    <n v="6.19"/>
    <n v="2.16"/>
    <n v="2.7516099999999999"/>
    <n v="3"/>
    <n v="50.47"/>
    <n v="1.1499999999999999"/>
    <n v="0.15"/>
    <n v="0"/>
    <n v="4.0528000000000004"/>
    <n v="4"/>
    <n v="0"/>
    <n v="0"/>
    <n v="51.77"/>
    <n v="1.6101000000000001"/>
    <n v="110.214"/>
    <n v="0"/>
    <n v="6.0823831966534583E-2"/>
    <x v="119"/>
    <n v="124.29"/>
    <n v="6.8591958146157331E-2"/>
    <n v="0"/>
    <n v="0"/>
    <n v="0"/>
    <n v="0"/>
  </r>
  <r>
    <n v="1680"/>
    <s v="แขวงทางหลวงฉะเชิงเทรา"/>
    <n v="421"/>
    <n v="314"/>
    <n v="101"/>
    <s v="บางปะกง - แสนภูดาษ"/>
    <n v="7475"/>
    <n v="0"/>
    <n v="7.4749999999999996"/>
    <n v="4"/>
    <s v="R2"/>
    <d v="2015-08-11T00:00:00"/>
    <s v="A.C."/>
    <n v="1.1000000000000001"/>
    <n v="1.75"/>
    <n v="2.0499999999999998"/>
    <n v="2.5750000000000002"/>
    <n v="4.4801799999999998"/>
    <n v="4.5"/>
    <n v="6.35"/>
    <n v="0.8"/>
    <n v="0.2"/>
    <n v="0.125"/>
    <n v="7.6209699999999998"/>
    <n v="7.5"/>
    <n v="0"/>
    <n v="0"/>
    <n v="7.4749999999999996"/>
    <n v="1.4111800000000001"/>
    <n v="0"/>
    <n v="31.71"/>
    <n v="6.0602006688963213E-2"/>
    <x v="119"/>
    <n v="25.96"/>
    <n v="9.9225991399904456E-2"/>
    <n v="20"/>
    <n v="7.6445293836598191E-2"/>
    <n v="0"/>
    <n v="0"/>
  </r>
  <r>
    <n v="107"/>
    <s v="แขวงทางหลวงเชียงใหม่ที่ 3"/>
    <n v="527"/>
    <n v="107"/>
    <n v="203"/>
    <s v="ปิงโค้ง - ล้องอ้อ"/>
    <s v="84+738"/>
    <s v="138+993"/>
    <n v="54.255000000000003"/>
    <n v="2"/>
    <s v="L1"/>
    <d v="2015-08-23T00:00:00"/>
    <s v="A.C."/>
    <n v="30.39"/>
    <n v="12.66"/>
    <n v="7.35"/>
    <n v="3.86"/>
    <n v="2.7237800000000001"/>
    <n v="2.5"/>
    <n v="52.63"/>
    <n v="1.25"/>
    <n v="0.28000000000000003"/>
    <n v="0.1"/>
    <n v="3.7184300000000001"/>
    <n v="3.5"/>
    <n v="0"/>
    <n v="0"/>
    <n v="54.26"/>
    <n v="1.08266"/>
    <n v="87.15"/>
    <n v="54.6"/>
    <n v="6.0270942770251586E-2"/>
    <x v="119"/>
    <n v="18.899999999999999"/>
    <n v="9.9529997235277851E-3"/>
    <n v="5.89"/>
    <n v="3.1017549402951664E-3"/>
    <n v="1.5"/>
    <n v="7.8992061297839574E-4"/>
  </r>
  <r>
    <n v="2031"/>
    <s v="แขวงทางหลวงนครศรีธรรมราชที่ 2 (ทุ่งสง)"/>
    <n v="326"/>
    <n v="403"/>
    <n v="201"/>
    <s v="เสาธง - สวนผัก"/>
    <n v="32352"/>
    <n v="14276"/>
    <n v="18.076000000000001"/>
    <n v="4"/>
    <s v="R2"/>
    <d v="2015-04-30T00:00:00"/>
    <s v="A.C."/>
    <n v="9.85"/>
    <n v="3.65"/>
    <n v="2.75"/>
    <n v="1.85"/>
    <n v="2.8201399999999999"/>
    <n v="3"/>
    <n v="12.425000000000001"/>
    <n v="3.3250000000000002"/>
    <n v="1.65"/>
    <n v="0.7"/>
    <n v="8.3898100000000007"/>
    <n v="8.5"/>
    <n v="0"/>
    <n v="0"/>
    <n v="18.100000000000001"/>
    <n v="1.0919300000000001"/>
    <n v="37.75"/>
    <n v="0"/>
    <n v="5.9668700407801978E-2"/>
    <x v="119"/>
    <n v="31.63"/>
    <n v="4.9995258116523875E-2"/>
    <n v="63.87"/>
    <n v="0.10095469920652482"/>
    <n v="0"/>
    <n v="0"/>
  </r>
  <r>
    <n v="606"/>
    <s v="แขวงทางหลวงเลยที่ 1"/>
    <n v="554"/>
    <n v="2138"/>
    <n v="100"/>
    <s v="บ้านใหม่ - นาด้วง"/>
    <n v="0"/>
    <n v="34773"/>
    <n v="34.773000000000003"/>
    <n v="2"/>
    <s v="L2"/>
    <d v="2015-07-01T00:00:00"/>
    <s v="A.C."/>
    <n v="20.8"/>
    <n v="9.48"/>
    <n v="3.36"/>
    <n v="1.1299999999999999"/>
    <n v="2.7229999999999999"/>
    <n v="2.5"/>
    <n v="33.200000000000003"/>
    <n v="0.85"/>
    <n v="0.2"/>
    <n v="0.05"/>
    <n v="3.6840000000000002"/>
    <n v="3.5"/>
    <n v="0"/>
    <n v="0"/>
    <n v="34.770000000000003"/>
    <n v="1.27"/>
    <n v="72.36"/>
    <n v="0"/>
    <n v="5.9455000000000001E-2"/>
    <x v="119"/>
    <n v="0"/>
    <n v="0"/>
    <n v="0"/>
    <n v="0"/>
    <n v="0"/>
    <n v="0"/>
  </r>
  <r>
    <n v="888"/>
    <s v="แขวงทางหลวงอุบลราชธานีที่ 2 (หนองหาน)"/>
    <n v="632"/>
    <n v="2296"/>
    <n v="100"/>
    <s v="ทางเข้าแก่งตะนะ"/>
    <n v="0"/>
    <n v="2600"/>
    <n v="2.6"/>
    <n v="2"/>
    <s v="L1"/>
    <d v="2015-05-19T00:00:00"/>
    <s v="A.C."/>
    <n v="0"/>
    <n v="0.27500000000000002"/>
    <n v="1.325"/>
    <n v="1.0249999999999999"/>
    <n v="5.0742900000000004"/>
    <n v="5"/>
    <n v="2.625"/>
    <n v="0"/>
    <n v="0"/>
    <n v="0"/>
    <n v="3.0887500000000001"/>
    <n v="3"/>
    <n v="2.5000000000000001E-2"/>
    <n v="0"/>
    <n v="2.6"/>
    <n v="2.9600499999999998"/>
    <n v="0"/>
    <n v="10.82"/>
    <n v="5.9450999999999997E-2"/>
    <x v="119"/>
    <n v="366.34"/>
    <n v="4.0257139999999998"/>
    <n v="0"/>
    <n v="0"/>
    <n v="9.9499999999999993"/>
    <n v="0.10934099999999999"/>
  </r>
  <r>
    <n v="989"/>
    <s v="แขวงทางหลวงนครราชสีมาที่ 3"/>
    <n v="614"/>
    <n v="2162"/>
    <n v="100"/>
    <s v="ทางเข้าเมืองจักราช"/>
    <s v="1+567"/>
    <n v="2277"/>
    <n v="0.71"/>
    <n v="3"/>
    <s v="L2"/>
    <d v="2015-05-02T00:00:00"/>
    <s v="A.C."/>
    <n v="0.375"/>
    <n v="0.15"/>
    <n v="0.125"/>
    <n v="0"/>
    <n v="2.5670000000000002"/>
    <n v="2.5"/>
    <n v="0.625"/>
    <n v="2.5000000000000001E-2"/>
    <n v="0"/>
    <n v="0"/>
    <n v="3.9940000000000002"/>
    <n v="4"/>
    <n v="0"/>
    <n v="0"/>
    <n v="0.65"/>
    <n v="1.0389999999999999"/>
    <n v="1.47"/>
    <n v="0"/>
    <n v="5.9154929577464786E-2"/>
    <x v="119"/>
    <n v="0"/>
    <n v="0"/>
    <n v="0"/>
    <n v="0"/>
    <n v="0"/>
    <n v="0"/>
  </r>
  <r>
    <n v="1254"/>
    <s v="แขวงทางหลวงนครสวรรค์ที่ 2 (ตากฟ้า)"/>
    <n v="438"/>
    <n v="225"/>
    <n v="202"/>
    <s v="เกยไชย - ศรีมงคล"/>
    <s v="33+200"/>
    <s v="93+190"/>
    <n v="59.99"/>
    <n v="2"/>
    <s v="L1"/>
    <d v="2015-10-05T00:00:00"/>
    <s v="A.C."/>
    <n v="30.5"/>
    <n v="15.125"/>
    <n v="9.1750000000000007"/>
    <n v="4.7249999999999996"/>
    <n v="2.8480099999999999"/>
    <n v="3"/>
    <n v="52"/>
    <n v="4.8250000000000002"/>
    <n v="1.7749999999999999"/>
    <n v="0.92500000000000004"/>
    <n v="5.3104500000000003"/>
    <n v="5.5"/>
    <n v="0"/>
    <n v="0"/>
    <n v="59.99"/>
    <n v="1.46994"/>
    <n v="99.647000000000006"/>
    <n v="48.23"/>
    <n v="5.8944109732574482E-2"/>
    <x v="119"/>
    <n v="85.6"/>
    <n v="4.0768699545162289E-2"/>
    <n v="2.48"/>
    <n v="1.181E-3"/>
    <n v="0"/>
    <n v="0"/>
  </r>
  <r>
    <n v="1987"/>
    <s v="แขวงทางหลวงตรัง"/>
    <n v="322"/>
    <n v="4158"/>
    <n v="100"/>
    <s v="คลองเต็ง - เขาวิเศษ"/>
    <n v="16075"/>
    <n v="0"/>
    <n v="16.074999999999999"/>
    <n v="2"/>
    <s v="R4"/>
    <d v="2015-05-06T00:00:00"/>
    <s v="A.C."/>
    <n v="9.9250000000000007"/>
    <n v="3.5249999999999999"/>
    <n v="1.85"/>
    <n v="0.77500000000000002"/>
    <n v="2.5810399999999998"/>
    <n v="2.5"/>
    <n v="16.024999999999999"/>
    <n v="2.5000000000000001E-2"/>
    <n v="0"/>
    <n v="2.5000000000000001E-2"/>
    <n v="2.3509600000000002"/>
    <n v="2.5"/>
    <n v="0"/>
    <n v="0"/>
    <n v="16.074999999999999"/>
    <n v="1.20207"/>
    <n v="33.119999999999997"/>
    <n v="0"/>
    <n v="5.886691846256388E-2"/>
    <x v="119"/>
    <n v="0"/>
    <n v="0"/>
    <n v="0"/>
    <n v="0"/>
    <n v="0"/>
    <n v="0"/>
  </r>
  <r>
    <n v="1283"/>
    <s v="แขวงทางหลวงสุพรรณบุรีที่ 1"/>
    <n v="441"/>
    <n v="3260"/>
    <n v="200"/>
    <s v="มะขามล้ม - วัดป่าเลไลยก์"/>
    <n v="31856"/>
    <n v="42057"/>
    <n v="10.201000000000001"/>
    <n v="2"/>
    <s v="L1"/>
    <d v="2015-07-02T00:00:00"/>
    <s v="A.C."/>
    <n v="6.2249999999999996"/>
    <n v="2.875"/>
    <n v="0.8"/>
    <n v="0.22500000000000001"/>
    <n v="2.4408599999999998"/>
    <n v="2.5"/>
    <n v="9.4250000000000007"/>
    <n v="0.6"/>
    <n v="0.1"/>
    <n v="0"/>
    <n v="4.26084"/>
    <n v="4.5"/>
    <n v="0"/>
    <n v="0"/>
    <n v="10.125"/>
    <n v="1.0176499999999999"/>
    <n v="21"/>
    <n v="0"/>
    <n v="5.8817762964415238E-2"/>
    <x v="119"/>
    <n v="0"/>
    <n v="0.63364327979712609"/>
    <n v="0"/>
    <n v="0"/>
    <n v="0"/>
    <n v="2.4"/>
  </r>
  <r>
    <n v="421"/>
    <s v="แขวงทางหลวงสุโขทัย"/>
    <n v="513"/>
    <n v="125"/>
    <n v="101"/>
    <s v="วังวน - แจกัน"/>
    <s v="0+000"/>
    <s v="7+000"/>
    <n v="7"/>
    <s v="L2"/>
    <n v="4"/>
    <d v="2015-09-16T00:00:00"/>
    <s v="A.C."/>
    <n v="3.2"/>
    <n v="1.93"/>
    <n v="1.33"/>
    <n v="0.55000000000000004"/>
    <n v="2.919"/>
    <n v="3"/>
    <n v="3.13"/>
    <n v="1.85"/>
    <n v="1.28"/>
    <n v="0.75"/>
    <n v="11.839"/>
    <n v="12"/>
    <n v="0"/>
    <n v="0"/>
    <n v="7"/>
    <n v="1.133"/>
    <n v="12.6"/>
    <n v="3.6"/>
    <n v="5.8775510204081637E-2"/>
    <x v="119"/>
    <n v="5.6479999999999997"/>
    <n v="2.3053061224489795E-2"/>
    <n v="6.2"/>
    <n v="2.530612244897959E-2"/>
    <n v="0"/>
    <n v="0"/>
  </r>
  <r>
    <n v="217"/>
    <s v="แขวงทางหลวงน่านที่ 1"/>
    <n v="536"/>
    <n v="1091"/>
    <n v="200"/>
    <s v="ปงสนุก - น่าน"/>
    <s v="69+827"/>
    <s v="134+652"/>
    <n v="64.825000000000003"/>
    <n v="2"/>
    <s v="L1"/>
    <d v="2015-07-25T00:00:00"/>
    <s v="A.C."/>
    <n v="41.67"/>
    <n v="14.86"/>
    <n v="6.33"/>
    <n v="1.98"/>
    <n v="2.4790000000000001"/>
    <n v="2.5"/>
    <n v="60.01"/>
    <n v="4.01"/>
    <n v="0.71"/>
    <n v="0.1"/>
    <n v="6.4950000000000001"/>
    <n v="6.5"/>
    <n v="0.2"/>
    <n v="0.68"/>
    <n v="63.95"/>
    <n v="1.208"/>
    <n v="128.69999999999999"/>
    <n v="7.19"/>
    <n v="5.8308633133160689E-2"/>
    <x v="119"/>
    <n v="0"/>
    <n v="0"/>
    <n v="53.04"/>
    <n v="2.3377224395350116E-2"/>
    <n v="0"/>
    <n v="0"/>
  </r>
  <r>
    <n v="2169"/>
    <s v="แขวงทางหลวงสงขลาที่ 1"/>
    <n v="311"/>
    <n v="414"/>
    <n v="102"/>
    <s v="คลองวง - ท่าท้อน"/>
    <s v="2+550"/>
    <s v="16+430"/>
    <n v="13.88"/>
    <n v="8"/>
    <s v="L2"/>
    <d v="2015-05-23T00:00:00"/>
    <s v="A.C."/>
    <n v="8.125"/>
    <n v="3.2749999999999999"/>
    <n v="1.7250000000000001"/>
    <n v="0.625"/>
    <n v="2.6436899999999999"/>
    <n v="2.5"/>
    <n v="13.225"/>
    <n v="0.27500000000000002"/>
    <n v="0.05"/>
    <n v="0.2"/>
    <n v="4.2122000000000002"/>
    <n v="4"/>
    <n v="0"/>
    <n v="0"/>
    <n v="13.75"/>
    <n v="1.32863"/>
    <n v="20.2"/>
    <n v="16.100000000000001"/>
    <n v="5.8151502675998348E-2"/>
    <x v="119"/>
    <n v="40.96"/>
    <n v="8.4314532729518304E-2"/>
    <n v="0"/>
    <n v="0"/>
    <n v="0"/>
    <n v="0"/>
  </r>
  <r>
    <n v="710"/>
    <s v="แขวงทางหลวงชัยภูมิ"/>
    <n v="626"/>
    <n v="2354"/>
    <n v="101"/>
    <s v="วะตะแบก - ซับใหญ่"/>
    <n v="0"/>
    <n v="49560"/>
    <n v="49.56"/>
    <n v="2"/>
    <s v="L1"/>
    <d v="2015-06-20T00:00:00"/>
    <s v="A.C."/>
    <n v="19.875"/>
    <n v="15.1"/>
    <n v="9.8000000000000007"/>
    <n v="4.3"/>
    <n v="3.03756"/>
    <n v="3"/>
    <n v="45.8"/>
    <n v="2.75"/>
    <n v="0.32500000000000001"/>
    <n v="0.2"/>
    <n v="4.8277700000000001"/>
    <n v="5"/>
    <n v="0"/>
    <n v="0"/>
    <n v="49.075000000000003"/>
    <n v="1.36557"/>
    <n v="99.9"/>
    <n v="1.73"/>
    <n v="5.8091202582728006E-2"/>
    <x v="119"/>
    <n v="0"/>
    <n v="0"/>
    <n v="0"/>
    <n v="0"/>
    <n v="0"/>
    <n v="0"/>
  </r>
  <r>
    <n v="758"/>
    <s v="แขวงทางหลวงชัยภูมิ"/>
    <n v="626"/>
    <n v="2354"/>
    <n v="101"/>
    <s v="วะตะแบก - ซับใหญ่"/>
    <n v="0"/>
    <n v="49560"/>
    <n v="49.56"/>
    <n v="2"/>
    <s v="L1"/>
    <d v="2015-06-20T00:00:00"/>
    <s v="A.C."/>
    <n v="19.875"/>
    <n v="15.1"/>
    <n v="9.8000000000000007"/>
    <n v="4.3"/>
    <n v="3.03756"/>
    <n v="3"/>
    <n v="45.8"/>
    <n v="2.75"/>
    <n v="0.32500000000000001"/>
    <n v="0.2"/>
    <n v="4.8277700000000001"/>
    <n v="5"/>
    <n v="0"/>
    <n v="0"/>
    <n v="49.075000000000003"/>
    <n v="1.36557"/>
    <n v="99.9"/>
    <n v="1.73"/>
    <n v="5.8091202582728006E-2"/>
    <x v="119"/>
    <n v="0"/>
    <n v="0"/>
    <n v="0"/>
    <n v="0"/>
    <n v="0"/>
    <n v="0"/>
  </r>
  <r>
    <n v="42"/>
    <s v="แขวงทางหลวงเชียงใหม่ที่ 2"/>
    <n v="522"/>
    <n v="1364"/>
    <n v="100"/>
    <s v="โรงเรียนนวมินทราชูทิศ - กองพันพัฒนาที่3"/>
    <s v="0+971"/>
    <s v="0+000"/>
    <n v="0.97099999999999997"/>
    <n v="4"/>
    <s v="L2"/>
    <d v="2015-08-20T00:00:00"/>
    <s v="A.C."/>
    <n v="0.8"/>
    <n v="7.4999999999999997E-2"/>
    <n v="0"/>
    <n v="7.4999999999999997E-2"/>
    <n v="2.2976299999999998"/>
    <n v="2.5"/>
    <n v="0.92500000000000004"/>
    <n v="2.5000000000000001E-2"/>
    <n v="0"/>
    <n v="0"/>
    <n v="2.68492"/>
    <n v="2.5"/>
    <n v="0"/>
    <n v="0"/>
    <n v="0.95"/>
    <n v="1.12324"/>
    <n v="0.55000000000000004"/>
    <n v="2.81"/>
    <n v="5.7525378843607478E-2"/>
    <x v="119"/>
    <n v="0.51"/>
    <n v="1.5006620567897602E-2"/>
    <n v="0.32"/>
    <n v="9.4159187877004575E-3"/>
    <n v="0.28000000000000003"/>
    <n v="8.2389289392379005E-3"/>
  </r>
  <r>
    <n v="1197"/>
    <s v="แขวงทางหลวงลพบุรีที่ 2 (ลำนารายณ์)"/>
    <n v="435"/>
    <n v="2089"/>
    <n v="302"/>
    <s v="น้ำตกวังก้านเหลือง - ลำนารายณ์"/>
    <s v="38+675"/>
    <s v="70+600"/>
    <n v="31.925000000000001"/>
    <n v="2"/>
    <s v="L1"/>
    <d v="2015-10-05T00:00:00"/>
    <s v="A.C."/>
    <n v="18.100000000000001"/>
    <n v="8.1750000000000007"/>
    <n v="4.25"/>
    <n v="1.45"/>
    <n v="2.6886199999999998"/>
    <n v="2.5"/>
    <n v="30.25"/>
    <n v="1.325"/>
    <n v="0.25"/>
    <n v="0.15"/>
    <n v="3.98549"/>
    <n v="4"/>
    <n v="0"/>
    <n v="0"/>
    <n v="31.925000000000001"/>
    <n v="1.25512"/>
    <n v="62.331000000000003"/>
    <n v="3.4889999999999999"/>
    <n v="5.7344669426110308E-2"/>
    <x v="119"/>
    <n v="9.65"/>
    <n v="8.6359999999999996E-3"/>
    <n v="0"/>
    <n v="0"/>
    <n v="0"/>
    <n v="0"/>
  </r>
  <r>
    <n v="1253"/>
    <s v="แขวงทางหลวงนครสวรรค์ที่ 2 (ตากฟ้า)"/>
    <n v="438"/>
    <n v="225"/>
    <n v="101"/>
    <s v="เกรียงไกรกลาง - เกยไชย"/>
    <s v="10+000"/>
    <s v="33+200"/>
    <n v="23.2"/>
    <n v="2"/>
    <s v="L1"/>
    <d v="2015-10-05T00:00:00"/>
    <s v="A.C."/>
    <n v="16.475000000000001"/>
    <n v="5.55"/>
    <n v="1.05"/>
    <n v="0.15"/>
    <n v="2.2240000000000002"/>
    <n v="2"/>
    <n v="23.074999999999999"/>
    <n v="0.125"/>
    <n v="2.5000000000000001E-2"/>
    <n v="0"/>
    <n v="2.5019999999999998"/>
    <n v="2.5"/>
    <n v="0"/>
    <n v="0"/>
    <n v="23.2"/>
    <n v="1.351"/>
    <n v="28.411999999999999"/>
    <n v="36.26"/>
    <n v="5.7317733990147786E-2"/>
    <x v="119"/>
    <n v="26.984999999999999"/>
    <n v="3.3232758620689654E-2"/>
    <n v="0"/>
    <n v="0"/>
    <n v="0"/>
    <n v="0"/>
  </r>
  <r>
    <n v="558"/>
    <s v="แขวงทางหลวงเพชรบูรณ์ที่ 1"/>
    <n v="551"/>
    <n v="2258"/>
    <n v="100"/>
    <s v="สะเดาะพง - เสลี่ยงแห้ง2"/>
    <n v="0"/>
    <n v="5000"/>
    <n v="5"/>
    <n v="2"/>
    <s v="L2"/>
    <d v="2015-07-08T00:00:00"/>
    <s v="A.C."/>
    <n v="1.86"/>
    <n v="1.86"/>
    <n v="0.84"/>
    <n v="0.45"/>
    <n v="2.835"/>
    <n v="3"/>
    <n v="4.88"/>
    <n v="0.08"/>
    <n v="0"/>
    <n v="0.05"/>
    <n v="4.8"/>
    <n v="5"/>
    <n v="0"/>
    <n v="0.05"/>
    <n v="5"/>
    <n v="1.1759999999999999"/>
    <n v="10"/>
    <n v="0"/>
    <n v="5.7142857142857148E-2"/>
    <x v="119"/>
    <n v="0"/>
    <n v="0"/>
    <n v="0"/>
    <n v="0"/>
    <n v="0"/>
    <n v="0"/>
  </r>
  <r>
    <n v="513"/>
    <s v="แขวงทางหลวงอุตรดิตถ์ที่ 1"/>
    <n v="557"/>
    <n v="117"/>
    <n v="402"/>
    <s v="ไร่อ้อย - อุตรดิตถ์"/>
    <s v="208+053"/>
    <s v="239+926"/>
    <n v="31.873000000000001"/>
    <s v="L1"/>
    <n v="2"/>
    <d v="2015-09-23T00:00:00"/>
    <s v="A.C."/>
    <n v="22.35"/>
    <n v="6.125"/>
    <n v="2.2749999999999999"/>
    <n v="1.1299999999999999"/>
    <n v="2.3327800000000001"/>
    <n v="2.5"/>
    <n v="31.024999999999999"/>
    <n v="0.72499999999999998"/>
    <n v="0.125"/>
    <n v="0"/>
    <n v="3.3930799999999999"/>
    <n v="3.5"/>
    <n v="0"/>
    <n v="0"/>
    <n v="31.88"/>
    <n v="1.11938"/>
    <n v="54.265000000000001"/>
    <n v="18.95"/>
    <n v="5.7137E-2"/>
    <x v="119"/>
    <n v="116.45"/>
    <n v="0.10438799999999999"/>
    <n v="0"/>
    <n v="0"/>
    <n v="0"/>
    <n v="0"/>
  </r>
  <r>
    <n v="1891"/>
    <s v="แขวงทางหลวงราชบุรี"/>
    <n v="335"/>
    <n v="3630"/>
    <n v="100"/>
    <s v="ปากบึง - ทำเนียบ"/>
    <s v="0+751"/>
    <s v="0+000"/>
    <n v="0.751"/>
    <n v="4"/>
    <s v="R2"/>
    <d v="2015-04-01T00:00:00"/>
    <s v="A.C."/>
    <n v="0.7"/>
    <n v="0.05"/>
    <n v="0"/>
    <n v="0"/>
    <n v="1.9993300000000001"/>
    <n v="2"/>
    <n v="0.75"/>
    <n v="0"/>
    <n v="0"/>
    <n v="0"/>
    <n v="2.7052999999999998"/>
    <n v="2.5"/>
    <n v="0"/>
    <n v="0"/>
    <n v="0.75"/>
    <n v="1.20197"/>
    <n v="0.35"/>
    <n v="2.2999999999999998"/>
    <n v="5.7066768118698874E-2"/>
    <x v="119"/>
    <n v="0"/>
    <n v="0"/>
    <n v="0"/>
    <n v="0"/>
    <n v="0"/>
    <n v="0"/>
  </r>
  <r>
    <n v="919"/>
    <s v="แขวงทางหลวงศรีสะเกษที่ 1"/>
    <n v="638"/>
    <n v="2076"/>
    <n v="200"/>
    <s v="หนองฮู - ส้มป่อยน้อย"/>
    <n v="36513"/>
    <n v="57985"/>
    <n v="21.472000000000001"/>
    <n v="2"/>
    <s v="L1"/>
    <d v="2015-05-12T00:00:00"/>
    <s v="A.C."/>
    <n v="12.775"/>
    <n v="5.7"/>
    <n v="2.0499999999999998"/>
    <n v="0.875"/>
    <n v="3.2308699999999999"/>
    <n v="3"/>
    <n v="20.425000000000001"/>
    <n v="0.85"/>
    <n v="0.1"/>
    <n v="2.5000000000000001E-2"/>
    <n v="5.8822599999999996"/>
    <n v="6"/>
    <n v="0"/>
    <n v="0"/>
    <n v="21.400000000000002"/>
    <n v="1.41917"/>
    <n v="42.81"/>
    <n v="0"/>
    <n v="5.6959999999999997E-2"/>
    <x v="119"/>
    <n v="1.71"/>
    <n v="2.2799999999999999E-3"/>
    <n v="853.84"/>
    <n v="1.1361509999999999"/>
    <n v="0"/>
    <n v="0"/>
  </r>
  <r>
    <n v="1269"/>
    <s v="แขวงทางหลวงนครสวรรค์ที่ 2 (ตากฟ้า)"/>
    <n v="438"/>
    <n v="3330"/>
    <n v="100"/>
    <s v="สุขสำราญ - สำโรงชัย"/>
    <s v="0+000"/>
    <s v="34+170"/>
    <n v="34.17"/>
    <n v="2"/>
    <s v="L1"/>
    <d v="2015-10-05T00:00:00"/>
    <s v="A.C."/>
    <n v="20.524999999999999"/>
    <n v="9.1"/>
    <n v="3.45"/>
    <n v="1.1000000000000001"/>
    <n v="2.5938599999999998"/>
    <n v="2.5"/>
    <n v="33.125"/>
    <n v="0.875"/>
    <n v="7.4999999999999997E-2"/>
    <n v="0.1"/>
    <n v="3.4674399999999999"/>
    <n v="3.5"/>
    <n v="0"/>
    <n v="0"/>
    <n v="34.17"/>
    <n v="1.31382"/>
    <n v="64.203000000000003"/>
    <n v="6.5579999999999998"/>
    <n v="5.6425435845980178E-2"/>
    <x v="119"/>
    <n v="26.68"/>
    <n v="2.2308624942514319E-2"/>
    <n v="0"/>
    <n v="0"/>
    <n v="0"/>
    <n v="0"/>
  </r>
  <r>
    <n v="676"/>
    <s v="แขวงทางหลวงอุดรธานีที่ 2"/>
    <n v="624"/>
    <n v="2022"/>
    <n v="100"/>
    <s v="นิคม - บ้านดุง"/>
    <n v="0"/>
    <n v="62183"/>
    <n v="61.183"/>
    <n v="2"/>
    <s v="L1"/>
    <d v="2015-06-16T00:00:00"/>
    <s v="A.C."/>
    <n v="36.424999999999997"/>
    <n v="16.774999999999999"/>
    <n v="7.0750000000000002"/>
    <n v="1.85"/>
    <n v="3.1408299999999998"/>
    <n v="3"/>
    <n v="58.85"/>
    <n v="2.2000000000000002"/>
    <n v="0.625"/>
    <n v="0.45"/>
    <n v="5.4675399999999996"/>
    <n v="5.5"/>
    <n v="0"/>
    <n v="0"/>
    <n v="62.125"/>
    <n v="1.2183299999999999"/>
    <n v="54.2"/>
    <n v="136.54"/>
    <n v="5.6270000000000001E-2"/>
    <x v="119"/>
    <n v="239.89"/>
    <n v="0.11022"/>
    <n v="6.47"/>
    <n v="2.9729999999999999E-3"/>
    <n v="23.71"/>
    <n v="1.089E-2"/>
  </r>
  <r>
    <n v="1443"/>
    <s v="แขวงทางหลวงอ่างทอง"/>
    <n v="448"/>
    <n v="309"/>
    <n v="201"/>
    <s v="บางเสด็จ - แยกที่ดิน"/>
    <s v="53+900"/>
    <s v="37+600"/>
    <n v="16.3"/>
    <n v="4"/>
    <s v="L2"/>
    <d v="2015-06-27T00:00:00"/>
    <s v="A.C."/>
    <n v="10.7"/>
    <n v="3.45"/>
    <n v="1.575"/>
    <n v="0.57499999999999996"/>
    <n v="2.4568699999999999"/>
    <n v="2.5"/>
    <n v="15.625"/>
    <n v="0.47499999999999998"/>
    <n v="0.1"/>
    <n v="0.1"/>
    <n v="3.9613900000000002"/>
    <n v="4"/>
    <n v="0"/>
    <n v="0"/>
    <n v="16.299999999999997"/>
    <n v="1.14943"/>
    <n v="2"/>
    <n v="60"/>
    <n v="5.609114811568798E-2"/>
    <x v="119"/>
    <n v="0"/>
    <n v="0"/>
    <n v="0"/>
    <n v="0"/>
    <n v="0"/>
    <n v="0"/>
  </r>
  <r>
    <n v="117"/>
    <s v="แขวงทางหลวงเชียงใหม่ที่ 3"/>
    <n v="527"/>
    <n v="1178"/>
    <n v="103"/>
    <s v="สินไชย - บ้านหลวง"/>
    <n v="47515"/>
    <n v="74349"/>
    <n v="26.834"/>
    <n v="2"/>
    <s v="L1"/>
    <d v="2015-08-24T00:00:00"/>
    <s v="A.C."/>
    <n v="13.53"/>
    <n v="9.11"/>
    <n v="3.49"/>
    <n v="0.7"/>
    <n v="3.431"/>
    <n v="3.5"/>
    <n v="20.14"/>
    <n v="6.7"/>
    <n v="0"/>
    <n v="0"/>
    <n v="3.681"/>
    <n v="3.5"/>
    <n v="0"/>
    <n v="0"/>
    <n v="26.83"/>
    <n v="1.236"/>
    <n v="41.32"/>
    <n v="22.69"/>
    <n v="5.6074915618777879E-2"/>
    <x v="119"/>
    <n v="39.36"/>
    <n v="4.1908453028673638E-2"/>
    <n v="0"/>
    <n v="0"/>
    <n v="0"/>
    <n v="0"/>
  </r>
  <r>
    <n v="1288"/>
    <s v="แขวงทางหลวงสุพรรณบุรีที่ 1"/>
    <n v="441"/>
    <n v="3351"/>
    <n v="100"/>
    <s v="เก้าห้อง - บางแม่หม้าย"/>
    <n v="0"/>
    <n v="18600"/>
    <n v="18.600000000000001"/>
    <n v="2"/>
    <s v="L1"/>
    <d v="2015-07-02T00:00:00"/>
    <s v="A.C."/>
    <n v="13.9"/>
    <n v="3.3250000000000002"/>
    <n v="0.9"/>
    <n v="0.4"/>
    <n v="2.2073"/>
    <n v="2"/>
    <n v="17.774999999999999"/>
    <n v="0.57499999999999996"/>
    <n v="0.15"/>
    <n v="2.5000000000000001E-2"/>
    <n v="2.99973"/>
    <n v="3"/>
    <n v="0"/>
    <n v="0"/>
    <n v="18.524999999999999"/>
    <n v="1.08589"/>
    <n v="32.700000000000003"/>
    <n v="6.9"/>
    <n v="5.5529953917050692E-2"/>
    <x v="119"/>
    <n v="347.87"/>
    <n v="0.53436251920122879"/>
    <n v="0"/>
    <n v="0"/>
    <n v="0"/>
    <n v="0"/>
  </r>
  <r>
    <n v="769"/>
    <s v="แขวงทางหลวงมหาสารคาม"/>
    <n v="622"/>
    <n v="2063"/>
    <n v="100"/>
    <s v="บรบือ - วาปีปทุม"/>
    <n v="24930"/>
    <n v="0"/>
    <n v="29.93"/>
    <n v="2"/>
    <s v="R1"/>
    <d v="2015-05-27T00:00:00"/>
    <s v="A.C."/>
    <n v="21.959"/>
    <n v="5.0810000000000004"/>
    <n v="2.2010000000000001"/>
    <n v="0.68899999999999995"/>
    <n v="2.4790000000000001"/>
    <n v="2.5"/>
    <n v="29.13"/>
    <n v="0.74"/>
    <n v="0.05"/>
    <n v="0.03"/>
    <n v="5.9950000000000001"/>
    <n v="6"/>
    <n v="0"/>
    <n v="0"/>
    <n v="29.93"/>
    <n v="1.2290000000000001"/>
    <n v="47.68"/>
    <n v="20.58"/>
    <n v="5.5338647319936998E-2"/>
    <x v="119"/>
    <n v="1.24"/>
    <n v="1.1837143811751229E-3"/>
    <n v="20.74"/>
    <n v="1.9798577633525844E-2"/>
    <n v="0"/>
    <n v="0"/>
  </r>
  <r>
    <n v="2168"/>
    <s v="แขวงทางหลวงสงขลาที่ 1"/>
    <n v="311"/>
    <n v="414"/>
    <n v="101"/>
    <s v="น้ำกระจาย - คลองวง"/>
    <n v="2550"/>
    <n v="0"/>
    <n v="2.5499999999999998"/>
    <n v="4"/>
    <s v="R2"/>
    <d v="2015-05-23T00:00:00"/>
    <s v="A.C."/>
    <n v="1.1499999999999999"/>
    <n v="0.99"/>
    <n v="0.24"/>
    <n v="0.21"/>
    <n v="2.8226900000000001"/>
    <n v="3"/>
    <n v="2.5099999999999998"/>
    <n v="2.5000000000000001E-2"/>
    <n v="0"/>
    <n v="0"/>
    <n v="3.1997599999999999"/>
    <n v="3"/>
    <n v="0"/>
    <n v="0"/>
    <n v="1.6749999999999998"/>
    <n v="1.3779300000000001"/>
    <n v="0"/>
    <n v="9.8699999999999992"/>
    <n v="5.5294117647058827E-2"/>
    <x v="119"/>
    <n v="0"/>
    <n v="0"/>
    <n v="1.33"/>
    <n v="1.4901960784313731E-2"/>
    <n v="0"/>
    <n v="0"/>
  </r>
  <r>
    <n v="469"/>
    <s v="แขวงทางหลวงพิษณุโลกที่ 2 (วังทอง)"/>
    <n v="515"/>
    <n v="1296"/>
    <n v="100"/>
    <s v="ท่างาม - โป่งแค"/>
    <s v="45+741"/>
    <s v="0+000"/>
    <n v="45.741"/>
    <s v="R1"/>
    <n v="2"/>
    <d v="2015-09-21T00:00:00"/>
    <s v="A.C."/>
    <n v="33"/>
    <n v="8.875"/>
    <n v="2.625"/>
    <n v="1.18"/>
    <n v="2.2681100000000001"/>
    <n v="2.5"/>
    <n v="43.9"/>
    <n v="1.45"/>
    <n v="0.25"/>
    <n v="7.4999999999999997E-2"/>
    <n v="3.7682199999999999"/>
    <n v="4"/>
    <n v="0"/>
    <n v="0"/>
    <n v="45.68"/>
    <n v="1.25383"/>
    <n v="85.47"/>
    <n v="5.61"/>
    <n v="5.5139652765415215E-2"/>
    <x v="119"/>
    <n v="143.65"/>
    <n v="8.9728814723895725E-2"/>
    <n v="0"/>
    <n v="0"/>
    <n v="0"/>
    <n v="0"/>
  </r>
  <r>
    <n v="1268"/>
    <s v="แขวงทางหลวงนครสวรรค์ที่ 2 (ตากฟ้า)"/>
    <n v="438"/>
    <n v="3329"/>
    <n v="100"/>
    <s v="ตาคลี - หนองหลวง"/>
    <s v="0+000"/>
    <s v="39+074"/>
    <n v="39.073999999999998"/>
    <n v="2"/>
    <s v="L1"/>
    <d v="2015-10-05T00:00:00"/>
    <s v="A.C."/>
    <n v="21.475000000000001"/>
    <n v="12.2"/>
    <n v="5.3250000000000002"/>
    <n v="1.9750000000000001"/>
    <n v="2.7239300000000002"/>
    <n v="2.5"/>
    <n v="39.125"/>
    <n v="1.55"/>
    <n v="0.22500000000000001"/>
    <n v="7.4999999999999997E-2"/>
    <n v="3.5368400000000002"/>
    <n v="3.5"/>
    <n v="0"/>
    <n v="0"/>
    <n v="39.073999999999998"/>
    <n v="1.3973100000000001"/>
    <n v="67.64"/>
    <n v="14.56"/>
    <n v="5.4782500603250975E-2"/>
    <x v="119"/>
    <n v="63.225000000000001"/>
    <n v="4.6230961033643124E-2"/>
    <n v="0"/>
    <n v="0"/>
    <n v="0"/>
    <n v="0"/>
  </r>
  <r>
    <n v="610"/>
    <s v="แขวงทางหลวงเลยที่ 1"/>
    <n v="554"/>
    <n v="2250"/>
    <n v="100"/>
    <s v="ห้วยทรายคำ - หนองคัน"/>
    <n v="0"/>
    <n v="20360"/>
    <n v="20.36"/>
    <n v="2"/>
    <s v="L1"/>
    <d v="2015-06-27T00:00:00"/>
    <s v="A.C."/>
    <n v="12.02"/>
    <n v="6.06"/>
    <n v="1.65"/>
    <n v="0.63"/>
    <n v="2.6314299999999999"/>
    <n v="2.5"/>
    <n v="16.91"/>
    <n v="2.94"/>
    <n v="0.2"/>
    <n v="0.1"/>
    <n v="3.4705499999999998"/>
    <n v="3.5"/>
    <n v="0"/>
    <n v="0"/>
    <n v="20.37"/>
    <n v="1.19543"/>
    <n v="39"/>
    <n v="0"/>
    <n v="5.4729160819534106E-2"/>
    <x v="119"/>
    <n v="8"/>
    <n v="1.122649452708392E-2"/>
    <n v="2"/>
    <n v="2.80662363177098E-3"/>
    <n v="0"/>
    <n v="0"/>
  </r>
  <r>
    <n v="365"/>
    <s v="แขวงทางหลวงตากที่ 2 (แม่สอด)"/>
    <n v="514"/>
    <n v="1090"/>
    <n v="101"/>
    <s v="แม่สอด - ห้วยน้ำริน"/>
    <n v="0"/>
    <n v="64839"/>
    <n v="64.838999999999999"/>
    <n v="2"/>
    <s v="L1"/>
    <d v="2015-09-08T00:00:00"/>
    <s v="A.C."/>
    <n v="25.074999999999999"/>
    <n v="21.475000000000001"/>
    <n v="13.85"/>
    <n v="4.0999999999999996"/>
    <n v="3.0489999999999999"/>
    <n v="3"/>
    <n v="62.4"/>
    <n v="1.7749999999999999"/>
    <n v="0.27500000000000002"/>
    <n v="0.05"/>
    <n v="3.7450000000000001"/>
    <n v="3.5"/>
    <n v="0"/>
    <n v="0"/>
    <n v="64.5"/>
    <n v="1.1950000000000001"/>
    <n v="117.25"/>
    <n v="11.35"/>
    <n v="5.4167134859310864E-2"/>
    <x v="119"/>
    <n v="176.32"/>
    <n v="7.7695743082315985E-2"/>
    <n v="0"/>
    <n v="0"/>
    <n v="1.77"/>
    <n v="7.7995386374602577E-4"/>
  </r>
  <r>
    <n v="366"/>
    <s v="แขวงทางหลวงตากที่ 2 (แม่สอด)"/>
    <n v="514"/>
    <n v="1090"/>
    <n v="101"/>
    <s v="แม่สอด - ห้วยน้ำริน"/>
    <n v="64839"/>
    <n v="0"/>
    <n v="64.838999999999999"/>
    <n v="2"/>
    <s v="R1"/>
    <d v="2015-09-08T00:00:00"/>
    <s v="A.C."/>
    <n v="24.25"/>
    <n v="20.975000000000001"/>
    <n v="13.85"/>
    <n v="5.2"/>
    <n v="3.1019999999999999"/>
    <n v="3"/>
    <n v="60.85"/>
    <n v="2.3250000000000002"/>
    <n v="0.57499999999999996"/>
    <n v="0.52500000000000002"/>
    <n v="4.2919999999999998"/>
    <n v="4.5"/>
    <n v="0"/>
    <n v="0"/>
    <n v="64.275000000000006"/>
    <n v="1.107"/>
    <n v="117.25"/>
    <n v="11.35"/>
    <n v="5.4167134859310864E-2"/>
    <x v="119"/>
    <n v="176.32"/>
    <n v="7.7695743082315985E-2"/>
    <n v="0"/>
    <n v="0"/>
    <n v="1.77"/>
    <n v="7.7995386374602577E-4"/>
  </r>
  <r>
    <n v="1041"/>
    <s v="แขวงทางหลวงบุรีรัมย์"/>
    <n v="617"/>
    <n v="2436"/>
    <n v="100"/>
    <s v="บ้านแวง - แยกโชว์รูม"/>
    <n v="0"/>
    <n v="10525"/>
    <n v="10.525"/>
    <n v="2"/>
    <s v="L1"/>
    <d v="2015-05-05T00:00:00"/>
    <s v="A.C."/>
    <n v="5.4249999999999998"/>
    <n v="2.8250000000000002"/>
    <n v="1.45"/>
    <n v="0.77500000000000002"/>
    <n v="2.8411200000000001"/>
    <n v="3"/>
    <n v="7.6749999999999998"/>
    <n v="2.2250000000000001"/>
    <n v="0.42499999999999999"/>
    <n v="0.15"/>
    <n v="7.8027800000000003"/>
    <n v="8"/>
    <n v="0"/>
    <n v="0"/>
    <n v="10.475"/>
    <n v="1.21414"/>
    <n v="12.07"/>
    <n v="15.66"/>
    <n v="5.4021038344078724E-2"/>
    <x v="119"/>
    <n v="162.66"/>
    <n v="0.44156090939938919"/>
    <n v="251.25"/>
    <n v="0.68204954190702405"/>
    <n v="0"/>
    <n v="0"/>
  </r>
  <r>
    <n v="1995"/>
    <s v="แขวงทางหลวงตรัง"/>
    <n v="322"/>
    <n v="4267"/>
    <n v="100"/>
    <s v="ห้วยนาง - หนองบัว"/>
    <s v="23+288"/>
    <s v="3+810"/>
    <n v="19.478000000000002"/>
    <n v="2"/>
    <s v="R2"/>
    <d v="2015-05-02T00:00:00"/>
    <s v="A.C."/>
    <n v="10.725"/>
    <n v="5.5750000000000002"/>
    <n v="1.9"/>
    <n v="0.7"/>
    <n v="2.6120000000000001"/>
    <n v="2.5"/>
    <n v="16.975000000000001"/>
    <n v="1.65"/>
    <n v="0.2"/>
    <n v="7.4999999999999997E-2"/>
    <n v="5.2480000000000002"/>
    <n v="5"/>
    <n v="0"/>
    <n v="0"/>
    <n v="18.899999999999999"/>
    <n v="1.095"/>
    <n v="38.81"/>
    <n v="10"/>
    <n v="5.3749325219610351E-2"/>
    <x v="119"/>
    <n v="38.9"/>
    <n v="4.7725376650144764E-2"/>
    <n v="9.31"/>
    <n v="1.14221916867056E-2"/>
    <n v="3"/>
    <n v="4.4005691402754753E-3"/>
  </r>
  <r>
    <n v="1617"/>
    <s v="แขวงทางหลวงสมุทรปราการ"/>
    <n v="417"/>
    <n v="34"/>
    <n v="102"/>
    <s v="ทางเข้าท่าอากาศยานสุวรรณภูมิ - บางวัว"/>
    <s v="14+900"/>
    <s v="35+600"/>
    <n v="18.399999999999999"/>
    <n v="14"/>
    <s v="L2"/>
    <d v="2015-08-25T00:00:00"/>
    <s v="A.C."/>
    <n v="9.5"/>
    <n v="4.4249999999999998"/>
    <n v="2.7749999999999999"/>
    <n v="1.9"/>
    <n v="3.0896599999999999"/>
    <n v="3"/>
    <n v="17.375"/>
    <n v="1.05"/>
    <n v="0.125"/>
    <n v="0.05"/>
    <n v="5.4435900000000004"/>
    <n v="5.5"/>
    <n v="0"/>
    <n v="0"/>
    <n v="18.599999999999998"/>
    <n v="1.29217"/>
    <n v="30.61"/>
    <n v="7.84"/>
    <n v="5.3618012422360257E-2"/>
    <x v="119"/>
    <n v="2.1800000000000002"/>
    <n v="3.3850931677018637E-3"/>
    <n v="71.59"/>
    <n v="0.11116459627329195"/>
    <n v="0"/>
    <n v="0"/>
  </r>
  <r>
    <n v="832"/>
    <s v="แขวงทางหลวงกาฬสินธุ์"/>
    <n v="647"/>
    <n v="2416"/>
    <n v="100"/>
    <s v="ทางเข้าเขื่อนลำปาว"/>
    <n v="0"/>
    <n v="26000"/>
    <n v="26"/>
    <n v="2"/>
    <s v="L1"/>
    <d v="2015-05-29T00:00:00"/>
    <s v="A.C."/>
    <n v="16.524999999999999"/>
    <n v="7.3250000000000002"/>
    <n v="1.65"/>
    <n v="0.42499999999999999"/>
    <n v="2.4150900000000002"/>
    <n v="2.5"/>
    <n v="25.25"/>
    <n v="0.67500000000000004"/>
    <n v="0"/>
    <n v="0"/>
    <n v="3.96576"/>
    <n v="4"/>
    <n v="0"/>
    <n v="0"/>
    <n v="25.924999999999997"/>
    <n v="1.1282399999999999"/>
    <n v="0"/>
    <n v="96"/>
    <n v="5.274725274725274E-2"/>
    <x v="119"/>
    <n v="0"/>
    <n v="0"/>
    <n v="155"/>
    <n v="0.17033000000000001"/>
    <n v="0"/>
    <n v="0"/>
  </r>
  <r>
    <n v="2108"/>
    <s v="แขวงทางหลวงภูเก็ต"/>
    <n v="324"/>
    <n v="402"/>
    <n v="102"/>
    <s v="หมากปรก - เมืองภูเก็ต"/>
    <n v="48958"/>
    <n v="21856"/>
    <n v="27.102"/>
    <n v="4"/>
    <s v="R2"/>
    <d v="2015-05-13T00:00:00"/>
    <s v="A.C."/>
    <n v="19"/>
    <n v="4"/>
    <n v="1.925"/>
    <n v="2.2000000000000002"/>
    <n v="2.5044900000000001"/>
    <n v="2.5"/>
    <n v="23.425000000000001"/>
    <n v="3.3250000000000002"/>
    <n v="0.32500000000000001"/>
    <n v="0.05"/>
    <n v="6.0403799999999999"/>
    <n v="6"/>
    <n v="0"/>
    <n v="0"/>
    <n v="27.125"/>
    <n v="1.2317199999999999"/>
    <n v="50"/>
    <n v="0"/>
    <n v="5.2710922757413792E-2"/>
    <x v="119"/>
    <n v="0"/>
    <n v="0"/>
    <n v="0"/>
    <n v="0"/>
    <n v="0"/>
    <n v="0"/>
  </r>
  <r>
    <n v="475"/>
    <s v="แขวงทางหลวงพิษณุโลกที่ 2 (วังทอง)"/>
    <n v="515"/>
    <n v="2331"/>
    <n v="200"/>
    <s v="อุทยานแห่งชาติภูหินร่องกล้า - นครไทย"/>
    <s v="71+947"/>
    <s v="35+100"/>
    <n v="36.847000000000001"/>
    <s v="R1"/>
    <n v="2"/>
    <d v="2015-09-21T00:00:00"/>
    <s v="A.C."/>
    <n v="22.08"/>
    <n v="11.7"/>
    <n v="2.6"/>
    <n v="0.88"/>
    <n v="2.5471400000000002"/>
    <n v="2.5"/>
    <n v="37"/>
    <n v="0.17499999999999999"/>
    <n v="0.05"/>
    <n v="2.5000000000000001E-2"/>
    <n v="2.6682700000000001"/>
    <n v="2.5"/>
    <n v="0"/>
    <n v="0"/>
    <n v="37.260000000000005"/>
    <n v="1.2716700000000001"/>
    <n v="64.241"/>
    <n v="7.16"/>
    <n v="5.2588890741250491E-2"/>
    <x v="119"/>
    <n v="97.57"/>
    <n v="7.5656479108591884E-2"/>
    <n v="0"/>
    <n v="0"/>
    <n v="1.42"/>
    <n v="1.1010782036917134E-3"/>
  </r>
  <r>
    <n v="1235"/>
    <s v="แขวงทางหลวงนครสวรรค์ที่ 1"/>
    <n v="437"/>
    <n v="3005"/>
    <n v="100"/>
    <s v="นครสวรรค์ - โกรกพระ"/>
    <s v="0+440"/>
    <s v="14+554"/>
    <n v="14.114000000000001"/>
    <n v="4"/>
    <s v="L2"/>
    <d v="2015-10-05T00:00:00"/>
    <s v="A.C."/>
    <n v="8.4"/>
    <n v="3.2250000000000001"/>
    <n v="1.85"/>
    <n v="0.92500000000000004"/>
    <n v="2.7698999999999998"/>
    <n v="3"/>
    <n v="13.9"/>
    <n v="0.42499999999999999"/>
    <n v="7.4999999999999997E-2"/>
    <n v="0"/>
    <n v="3.6423399999999999"/>
    <n v="3.5"/>
    <n v="0"/>
    <n v="0"/>
    <n v="14.114000000000001"/>
    <n v="1.0861400000000001"/>
    <n v="25.096"/>
    <n v="1.59"/>
    <n v="5.2411992145589996E-2"/>
    <x v="119"/>
    <n v="0"/>
    <n v="0"/>
    <n v="0"/>
    <n v="0"/>
    <n v="0"/>
    <n v="0"/>
  </r>
  <r>
    <n v="977"/>
    <s v="แขวงทางหลวงนครราชสีมาที่ 2"/>
    <n v="612"/>
    <n v="2256"/>
    <n v="200"/>
    <s v="ปางโก - กุดม่วง"/>
    <n v="77033"/>
    <n v="39088"/>
    <n v="37.945"/>
    <n v="2"/>
    <s v="R1"/>
    <d v="2015-04-22T00:00:00"/>
    <s v="A.C."/>
    <n v="28.78"/>
    <n v="5.875"/>
    <n v="2.4249999999999998"/>
    <n v="0.92500000000000004"/>
    <n v="2.7259600000000002"/>
    <n v="2.5"/>
    <n v="36.75"/>
    <n v="0.97499999999999998"/>
    <n v="0.25"/>
    <n v="2.5000000000000001E-2"/>
    <n v="3.69068"/>
    <n v="3.5"/>
    <n v="0"/>
    <n v="0"/>
    <n v="38.004999999999995"/>
    <n v="1.36897"/>
    <n v="69.58"/>
    <n v="0"/>
    <n v="5.2389999999999999E-2"/>
    <x v="119"/>
    <n v="633"/>
    <n v="0.47663"/>
    <n v="0"/>
    <n v="0"/>
    <n v="33"/>
    <n v="2.4850000000000001E-2"/>
  </r>
  <r>
    <n v="268"/>
    <s v="แขวงทางหลวงสกลนครที่ 1"/>
    <n v="641"/>
    <n v="213"/>
    <n v="306"/>
    <s v="ทางเข้าตำหนักฟ้าชาย, ตำหนักปีกไม้"/>
    <n v="0"/>
    <n v="573"/>
    <n v="0.57299999999999995"/>
    <n v="2"/>
    <s v="L1"/>
    <d v="2015-06-05T00:00:00"/>
    <s v="A.C."/>
    <n v="0"/>
    <n v="0"/>
    <n v="0.125"/>
    <n v="0.42499999999999999"/>
    <n v="8.27"/>
    <n v="8.5"/>
    <n v="0.47499999999999998"/>
    <n v="2.5000000000000001E-2"/>
    <n v="0"/>
    <n v="0.05"/>
    <n v="6.1449999999999996"/>
    <n v="6"/>
    <n v="0"/>
    <n v="2.3E-2"/>
    <n v="0.52500000000000002"/>
    <n v="0.96899999999999997"/>
    <n v="0"/>
    <n v="2.1"/>
    <n v="5.2356020942408391E-2"/>
    <x v="119"/>
    <n v="0"/>
    <n v="0"/>
    <n v="0"/>
    <n v="0"/>
    <n v="0"/>
    <n v="0"/>
  </r>
  <r>
    <n v="1752"/>
    <s v="แขวงทางหลวงตราด"/>
    <n v="425"/>
    <n v="3155"/>
    <n v="100"/>
    <s v="ตราด - แหลมศอก"/>
    <n v="0"/>
    <n v="24415"/>
    <n v="24.414999999999999"/>
    <n v="2"/>
    <s v="L1"/>
    <d v="2015-08-20T00:00:00"/>
    <s v="A.C."/>
    <n v="15.75"/>
    <n v="5.95"/>
    <n v="2.2999999999999998"/>
    <n v="0.4"/>
    <n v="2.4109099999999999"/>
    <n v="2.5"/>
    <n v="22.975000000000001"/>
    <n v="1.125"/>
    <n v="0.3"/>
    <n v="0"/>
    <n v="5.0626800000000003"/>
    <n v="5"/>
    <n v="0"/>
    <n v="0"/>
    <n v="24.400000000000002"/>
    <n v="1.24031"/>
    <n v="0"/>
    <n v="89.37"/>
    <n v="5.2292209122026867E-2"/>
    <x v="119"/>
    <n v="168.77"/>
    <n v="0.19750153594101988"/>
    <n v="0"/>
    <n v="0"/>
    <n v="2.72"/>
    <n v="3.1830549135484628E-3"/>
  </r>
  <r>
    <n v="1324"/>
    <s v="แขวงทางหลวงกาญจนบุรี"/>
    <n v="444"/>
    <n v="3086"/>
    <n v="100"/>
    <s v="ลาดหญ้า - ทุ่งมะสังข์"/>
    <n v="11850"/>
    <n v="100"/>
    <n v="11.75"/>
    <n v="2"/>
    <s v="R1"/>
    <d v="2015-07-26T00:00:00"/>
    <s v="A.C."/>
    <n v="7.4"/>
    <n v="2.6749999999999998"/>
    <n v="1.175"/>
    <n v="0.45"/>
    <n v="2.53647"/>
    <n v="2.5"/>
    <n v="11.7"/>
    <n v="0"/>
    <n v="0"/>
    <n v="0"/>
    <n v="2.0435300000000001"/>
    <n v="2"/>
    <n v="0"/>
    <n v="0"/>
    <n v="11.7"/>
    <n v="1.4300600000000001"/>
    <n v="15"/>
    <n v="13"/>
    <n v="5.2279635258358666E-2"/>
    <x v="119"/>
    <n v="0"/>
    <n v="0"/>
    <n v="36"/>
    <n v="8.753799392097264E-2"/>
    <n v="0"/>
    <n v="0"/>
  </r>
  <r>
    <n v="572"/>
    <s v="แขวงทางหลวงเพชรบูรณ์ที่ 1"/>
    <n v="551"/>
    <n v="2472"/>
    <n v="100"/>
    <s v="ทางเข้าพระตำหนักเขาค้อ"/>
    <n v="0"/>
    <n v="5490"/>
    <n v="5.49"/>
    <n v="2"/>
    <s v="L1"/>
    <d v="2015-08-08T00:00:00"/>
    <s v="A.C."/>
    <n v="0.54"/>
    <n v="2.04"/>
    <n v="1.77"/>
    <n v="1.1599999999999999"/>
    <n v="4.0741699999999996"/>
    <n v="4"/>
    <n v="5.28"/>
    <n v="0.19"/>
    <n v="2.5000000000000001E-2"/>
    <n v="0"/>
    <n v="3.8690799999999999"/>
    <n v="4"/>
    <n v="0"/>
    <n v="0"/>
    <n v="5.495000000000001"/>
    <n v="1.4901500000000001"/>
    <n v="10"/>
    <n v="0"/>
    <n v="5.2042674993494666E-2"/>
    <x v="119"/>
    <n v="0"/>
    <n v="0"/>
    <n v="0"/>
    <n v="0"/>
    <n v="0"/>
    <n v="0"/>
  </r>
  <r>
    <n v="2160"/>
    <s v="แขวงทางหลวงสงขลาที่ 1"/>
    <n v="311"/>
    <n v="407"/>
    <n v="102"/>
    <s v="ควนหิน - สงขลา"/>
    <n v="28230"/>
    <n v="17266"/>
    <n v="10.964"/>
    <n v="4"/>
    <s v="R2"/>
    <d v="2015-05-22T00:00:00"/>
    <s v="A.C."/>
    <n v="6.55"/>
    <n v="2.875"/>
    <n v="1.1499999999999999"/>
    <n v="0.4"/>
    <n v="2.5537399999999999"/>
    <n v="2.5"/>
    <n v="10.8"/>
    <n v="0.125"/>
    <n v="2.5000000000000001E-2"/>
    <n v="2.5000000000000001E-2"/>
    <n v="3.5658599999999998"/>
    <n v="3.5"/>
    <n v="0"/>
    <n v="0"/>
    <n v="10.975000000000001"/>
    <n v="1.1121799999999999"/>
    <n v="19.91"/>
    <n v="0"/>
    <n v="5.1884088184708396E-2"/>
    <x v="119"/>
    <n v="22.02"/>
    <n v="5.7382602803981865E-2"/>
    <n v="0"/>
    <n v="0"/>
    <n v="0"/>
    <n v="0"/>
  </r>
  <r>
    <n v="533"/>
    <s v="แขวงทางหลวงอุตรดิตถ์ที่ 2"/>
    <n v="558"/>
    <n v="117"/>
    <n v="502"/>
    <s v="น้ำปาด - นาไพร"/>
    <s v="320+192"/>
    <s v="373+915"/>
    <n v="53.722999999999999"/>
    <s v="L1"/>
    <n v="2"/>
    <d v="2015-09-25T00:00:00"/>
    <s v="A.C."/>
    <n v="39.65"/>
    <n v="10.5"/>
    <n v="2.7"/>
    <n v="0.95"/>
    <n v="2.2609599999999999"/>
    <n v="2.5"/>
    <n v="52.924999999999997"/>
    <n v="0.77500000000000002"/>
    <n v="0.05"/>
    <n v="0.05"/>
    <n v="2.81115"/>
    <n v="3"/>
    <n v="0"/>
    <n v="0"/>
    <n v="53.800000000000004"/>
    <n v="1.1969000000000001"/>
    <n v="96.26"/>
    <n v="2.14"/>
    <n v="5.1763000000000003E-2"/>
    <x v="119"/>
    <n v="93.47"/>
    <n v="4.9709999999999997E-2"/>
    <n v="0"/>
    <n v="0"/>
    <n v="0"/>
    <n v="0"/>
  </r>
  <r>
    <n v="870"/>
    <s v="แขวงทางหลวงอุบลราชธานีที่ 1"/>
    <n v="631"/>
    <n v="226"/>
    <n v="500"/>
    <s v="ห้วยขะยุง - วารินชำราบ"/>
    <n v="334224"/>
    <n v="313384"/>
    <n v="20.84"/>
    <n v="4"/>
    <s v="R2"/>
    <d v="2015-05-16T00:00:00"/>
    <s v="A.C."/>
    <n v="16.675000000000001"/>
    <n v="2.7"/>
    <n v="0.8"/>
    <n v="0.5"/>
    <n v="2.1199400000000002"/>
    <n v="2"/>
    <n v="16.75"/>
    <n v="2.7250000000000001"/>
    <n v="0.75"/>
    <n v="0.45"/>
    <n v="7.60642"/>
    <n v="7.5"/>
    <n v="0"/>
    <n v="0"/>
    <n v="20.675000000000001"/>
    <n v="1.2347600000000001"/>
    <n v="27.01"/>
    <n v="21.27"/>
    <n v="5.1610000000000003E-2"/>
    <x v="119"/>
    <n v="0"/>
    <n v="0"/>
    <n v="0"/>
    <n v="0"/>
    <n v="0"/>
    <n v="0"/>
  </r>
  <r>
    <n v="927"/>
    <s v="แขวงทางหลวงศรีสะเกษที่ 1"/>
    <n v="638"/>
    <n v="2201"/>
    <n v="101"/>
    <s v="ขุขันธ์ - แยกนาเจริญ"/>
    <n v="0"/>
    <n v="15828"/>
    <n v="15.827999999999999"/>
    <n v="2"/>
    <s v="L1"/>
    <d v="2015-05-20T00:00:00"/>
    <s v="A.C."/>
    <n v="9.6999999999999993"/>
    <n v="3.55"/>
    <n v="1.7"/>
    <n v="0.85"/>
    <n v="2.6409500000000001"/>
    <n v="2.5"/>
    <n v="15.375"/>
    <n v="0.42499999999999999"/>
    <n v="0"/>
    <n v="0"/>
    <n v="3.8555299999999999"/>
    <n v="4"/>
    <n v="0"/>
    <n v="0"/>
    <n v="15.799999999999999"/>
    <n v="1.21136"/>
    <n v="0"/>
    <n v="57.17"/>
    <n v="5.16E-2"/>
    <x v="119"/>
    <n v="53.95"/>
    <n v="9.7390000000000004E-2"/>
    <n v="0"/>
    <n v="0"/>
    <n v="0"/>
    <n v="0"/>
  </r>
  <r>
    <n v="1656"/>
    <s v="แขวงทางหลวงนนทบุรี"/>
    <n v="418"/>
    <n v="9"/>
    <n v="201"/>
    <s v="คลองมหาสวัสดิ์ - บางบัวทอง"/>
    <s v="40+472"/>
    <s v="31+872"/>
    <n v="8.6"/>
    <n v="6"/>
    <s v="R2"/>
    <d v="2015-08-28T00:00:00"/>
    <s v="A.C."/>
    <n v="3.1749999999999998"/>
    <n v="2.75"/>
    <n v="2.2749999999999999"/>
    <n v="0.45"/>
    <n v="3.1072000000000002"/>
    <n v="3"/>
    <n v="8.0749999999999993"/>
    <n v="0.47499999999999998"/>
    <n v="0.1"/>
    <n v="0"/>
    <n v="5.1398599999999997"/>
    <n v="5"/>
    <n v="0"/>
    <n v="0"/>
    <n v="8.6499999999999986"/>
    <n v="1.13432"/>
    <n v="0"/>
    <n v="31"/>
    <n v="5.1495016611295685E-2"/>
    <x v="119"/>
    <n v="0"/>
    <n v="0"/>
    <n v="0"/>
    <n v="0"/>
    <n v="0"/>
    <n v="0"/>
  </r>
  <r>
    <n v="367"/>
    <s v="แขวงทางหลวงตากที่ 2 (แม่สอด)"/>
    <n v="514"/>
    <n v="1090"/>
    <n v="102"/>
    <s v="ห้วยน้ำริน - อุ้มผาง"/>
    <n v="64839"/>
    <n v="154839"/>
    <n v="90"/>
    <n v="2"/>
    <s v="R1"/>
    <d v="2015-09-09T00:00:00"/>
    <s v="A.C."/>
    <n v="15.324999999999999"/>
    <n v="26.225000000000001"/>
    <n v="27.875"/>
    <n v="20.350000000000001"/>
    <n v="4.3369099999999996"/>
    <n v="4.5"/>
    <n v="80.825000000000003"/>
    <n v="4.75"/>
    <n v="1.7"/>
    <n v="2.5"/>
    <n v="5.3308099999999996"/>
    <n v="5.5"/>
    <n v="0"/>
    <n v="0"/>
    <n v="89.775000000000006"/>
    <n v="1.48438"/>
    <n v="153.21"/>
    <n v="17.25"/>
    <n v="5.1376190476190478E-2"/>
    <x v="119"/>
    <n v="164.29"/>
    <n v="5.2155555555555552E-2"/>
    <n v="0"/>
    <n v="0"/>
    <n v="0"/>
    <n v="0"/>
  </r>
  <r>
    <n v="6"/>
    <s v="แขวงทางหลวงเชียงใหม่ที่ 1"/>
    <n v="521"/>
    <n v="108"/>
    <n v="103"/>
    <s v="สะพานแม่กลาง  - บ่อหลวง"/>
    <s v="109+900"/>
    <s v="62+395"/>
    <n v="47.505000000000003"/>
    <n v="2"/>
    <s v="R1"/>
    <d v="2015-08-14T00:00:00"/>
    <s v="A.C."/>
    <n v="24.824999999999999"/>
    <n v="11.4"/>
    <n v="7.3"/>
    <n v="4.1500000000000004"/>
    <n v="2.8536299999999999"/>
    <n v="3"/>
    <n v="46.475000000000001"/>
    <n v="0.9"/>
    <n v="0.25"/>
    <n v="0.05"/>
    <n v="3.14968"/>
    <n v="3"/>
    <n v="0"/>
    <n v="0"/>
    <n v="47.674999999999997"/>
    <n v="1.10243"/>
    <n v="84.94"/>
    <n v="0"/>
    <n v="5.1086351812591149E-2"/>
    <x v="119"/>
    <n v="50.36"/>
    <n v="3.0288541055828708E-2"/>
    <n v="0"/>
    <n v="0"/>
    <n v="0"/>
    <n v="0"/>
  </r>
  <r>
    <n v="535"/>
    <s v="แขวงทางหลวงอุตรดิตถ์ที่ 2"/>
    <n v="558"/>
    <n v="1083"/>
    <n v="100"/>
    <s v="ห้วยน้อยกา - เด่นชาติ"/>
    <s v="0+000"/>
    <s v="32+724"/>
    <n v="32.723999999999997"/>
    <s v="L1"/>
    <n v="2"/>
    <d v="2015-09-26T00:00:00"/>
    <s v="A.C."/>
    <n v="7.5750000000000002"/>
    <n v="13.88"/>
    <n v="8.1"/>
    <n v="2.93"/>
    <n v="3.45364"/>
    <n v="3.5"/>
    <n v="30.274999999999999"/>
    <n v="1.675"/>
    <n v="0.3"/>
    <n v="0.22500000000000001"/>
    <n v="4.7443900000000001"/>
    <n v="4.5"/>
    <n v="0"/>
    <n v="0"/>
    <n v="32.484999999999999"/>
    <n v="1.8088"/>
    <n v="46.21"/>
    <n v="24.518999999999998"/>
    <n v="5.1049999999999998E-2"/>
    <x v="119"/>
    <n v="93.78"/>
    <n v="8.1879999999999994E-2"/>
    <n v="0"/>
    <n v="0"/>
    <n v="0"/>
    <n v="0"/>
  </r>
  <r>
    <n v="1245"/>
    <s v="แขวงทางหลวงนครสวรรค์ที่ 1"/>
    <n v="437"/>
    <n v="3504"/>
    <n v="200"/>
    <s v="ห้วยน้ำดัง - เขาชนกัน"/>
    <s v="39+432"/>
    <s v="3+717"/>
    <n v="35.715000000000003"/>
    <n v="2"/>
    <s v="R1"/>
    <d v="2015-10-05T00:00:00"/>
    <s v="A.C."/>
    <n v="19.149999999999999"/>
    <n v="11.25"/>
    <n v="3.85"/>
    <n v="1.5"/>
    <n v="2.7612800000000002"/>
    <n v="3"/>
    <n v="28.55"/>
    <n v="5.2750000000000004"/>
    <n v="1.125"/>
    <n v="0.8"/>
    <n v="6.7148399999999997"/>
    <n v="6.5"/>
    <n v="0"/>
    <n v="0"/>
    <n v="35.715000000000003"/>
    <n v="1.60022"/>
    <n v="62.268000000000001"/>
    <n v="2.54"/>
    <n v="5.0829383412331758E-2"/>
    <x v="119"/>
    <n v="48.35"/>
    <n v="3.8679226415471689E-2"/>
    <n v="0"/>
    <n v="0"/>
    <n v="0"/>
    <n v="0"/>
  </r>
  <r>
    <n v="1008"/>
    <s v="แขวงทางหลวงบุรีรัมย์"/>
    <n v="617"/>
    <n v="226"/>
    <n v="202"/>
    <s v="ลำปลายมาศ - หนองม้า"/>
    <n v="108098"/>
    <n v="91010"/>
    <n v="17.088000000000001"/>
    <n v="6"/>
    <s v="R2"/>
    <d v="2015-05-05T00:00:00"/>
    <s v="A.C."/>
    <n v="10.6"/>
    <n v="3.9"/>
    <n v="1.5249999999999999"/>
    <n v="0.95"/>
    <n v="2.8207100000000001"/>
    <n v="3"/>
    <n v="13.45"/>
    <n v="2.35"/>
    <n v="0.875"/>
    <n v="0.3"/>
    <n v="7.5865900000000002"/>
    <n v="7.5"/>
    <n v="0"/>
    <n v="0"/>
    <n v="16.974999999999998"/>
    <n v="1.09378"/>
    <n v="30.31"/>
    <n v="0"/>
    <n v="5.0678838951310846E-2"/>
    <x v="119"/>
    <n v="8.82"/>
    <n v="1.4747191011235953E-2"/>
    <n v="72.760000000000005"/>
    <n v="0.12165596575708934"/>
    <n v="0"/>
    <n v="0"/>
  </r>
  <r>
    <n v="1035"/>
    <s v="แขวงทางหลวงบุรีรัมย์"/>
    <n v="617"/>
    <n v="2208"/>
    <n v="102"/>
    <s v="ห้วยละเวี้ย - ระกา"/>
    <n v="4557"/>
    <n v="42016"/>
    <n v="37.459000000000003"/>
    <n v="2"/>
    <s v="L1"/>
    <d v="2015-05-08T00:00:00"/>
    <s v="A.C."/>
    <n v="28.68"/>
    <n v="6.0750000000000002"/>
    <n v="1.7"/>
    <n v="0.4"/>
    <n v="2.2363599999999999"/>
    <n v="2"/>
    <n v="36.200000000000003"/>
    <n v="0.57499999999999996"/>
    <n v="7.4999999999999997E-2"/>
    <n v="0"/>
    <n v="3.76512"/>
    <n v="4"/>
    <n v="0"/>
    <n v="0"/>
    <n v="36.855000000000004"/>
    <n v="1.2486600000000001"/>
    <n v="12.09"/>
    <n v="108.45"/>
    <n v="5.0581016196756062E-2"/>
    <x v="119"/>
    <n v="0"/>
    <n v="0"/>
    <n v="0"/>
    <n v="0"/>
    <n v="0"/>
    <n v="0"/>
  </r>
  <r>
    <n v="104"/>
    <s v="แขวงทางหลวงแม่ฮ่องสอน"/>
    <n v="526"/>
    <n v="1399"/>
    <n v="100"/>
    <s v="ทางเข้าผาบ่อง"/>
    <s v="1+507"/>
    <s v="0+000"/>
    <n v="1.5069999999999999"/>
    <n v="2"/>
    <s v="R1"/>
    <d v="2015-08-28T00:00:00"/>
    <s v="A.C."/>
    <n v="7.0000000000000007E-2"/>
    <n v="0.33"/>
    <n v="0.69"/>
    <n v="0.41"/>
    <n v="4.40524"/>
    <n v="4.5"/>
    <n v="1.48"/>
    <n v="0.02"/>
    <n v="0"/>
    <n v="0"/>
    <n v="4.4886999999999997"/>
    <n v="4.5"/>
    <n v="0"/>
    <n v="0"/>
    <n v="1.51"/>
    <n v="1.38748"/>
    <n v="2.66"/>
    <n v="0"/>
    <n v="5.0431320504313204E-2"/>
    <x v="119"/>
    <n v="2.35"/>
    <n v="4.455398615982558E-2"/>
    <n v="0"/>
    <n v="0"/>
    <n v="0"/>
    <n v="0"/>
  </r>
  <r>
    <n v="1201"/>
    <s v="แขวงทางหลวงลพบุรีที่ 2 (ลำนารายณ์)"/>
    <n v="435"/>
    <n v="2224"/>
    <n v="200"/>
    <s v="กลุ่มพระบาท - ซับน้อยเหนือ"/>
    <s v="19+187"/>
    <s v="51+798"/>
    <n v="32.610999999999997"/>
    <n v="2"/>
    <s v="L1"/>
    <d v="2015-10-05T00:00:00"/>
    <s v="A.C."/>
    <n v="18.399999999999999"/>
    <n v="8"/>
    <n v="3.5249999999999999"/>
    <n v="2.1749999999999998"/>
    <n v="2.7587899999999999"/>
    <n v="3"/>
    <n v="31.774999999999999"/>
    <n v="0.22500000000000001"/>
    <n v="7.4999999999999997E-2"/>
    <n v="2.5000000000000001E-2"/>
    <n v="2.58867"/>
    <n v="2.5"/>
    <n v="0"/>
    <n v="0"/>
    <n v="32.610999999999997"/>
    <n v="1.35788"/>
    <n v="54.87"/>
    <n v="5.3259999999999996"/>
    <n v="5.0406304621140104E-2"/>
    <x v="119"/>
    <n v="13.25"/>
    <n v="1.1609E-2"/>
    <n v="0"/>
    <n v="0"/>
    <n v="0"/>
    <n v="0"/>
  </r>
  <r>
    <n v="674"/>
    <s v="แขวงทางหลวงอุดรธานีที่ 1"/>
    <n v="623"/>
    <n v="2414"/>
    <n v="100"/>
    <s v="โคกน้อย  -  นาเมืองไทย"/>
    <n v="0"/>
    <n v="19150"/>
    <n v="19.149999999999999"/>
    <n v="2"/>
    <s v="L1"/>
    <d v="2015-05-12T00:00:00"/>
    <s v="A.C."/>
    <n v="9.52"/>
    <n v="4.92"/>
    <n v="2.31"/>
    <n v="2.41"/>
    <n v="3.1074799999999998"/>
    <n v="3"/>
    <n v="17.600000000000001"/>
    <n v="1.2"/>
    <n v="0.3"/>
    <n v="0.05"/>
    <n v="5.3521599999999996"/>
    <n v="5.5"/>
    <n v="0"/>
    <n v="0"/>
    <n v="19.16"/>
    <n v="1.24692"/>
    <n v="26.48"/>
    <n v="13.52"/>
    <n v="4.9590000000000002E-2"/>
    <x v="106"/>
    <n v="0"/>
    <n v="0"/>
    <n v="971.36"/>
    <n v="1.4492499999999999"/>
    <n v="18.78"/>
    <n v="2.802E-2"/>
  </r>
  <r>
    <n v="642"/>
    <s v="แขวงทางหลวงขอนแก่นที่ 1"/>
    <n v="621"/>
    <n v="12"/>
    <n v="802"/>
    <s v="ขอนแก่น - พรหมนิมิตร"/>
    <n v="561850"/>
    <n v="567052"/>
    <n v="5.202"/>
    <n v="4"/>
    <s v="L2"/>
    <d v="2015-06-17T00:00:00"/>
    <s v="A.C."/>
    <n v="1.9750000000000001"/>
    <n v="2.2250000000000001"/>
    <n v="0.67500000000000004"/>
    <n v="0.375"/>
    <n v="3.0537100000000001"/>
    <n v="3"/>
    <n v="3.95"/>
    <n v="0.47499999999999998"/>
    <n v="0.47499999999999998"/>
    <n v="0.35"/>
    <n v="6.37026"/>
    <n v="6.5"/>
    <n v="0"/>
    <n v="0"/>
    <n v="5.2499999999999991"/>
    <n v="1.1157699999999999"/>
    <n v="0"/>
    <n v="18.02"/>
    <n v="4.9486461251167131E-2"/>
    <x v="106"/>
    <n v="7.64"/>
    <n v="4.1961882792332615E-2"/>
    <n v="0"/>
    <n v="0"/>
    <n v="0"/>
    <n v="0"/>
  </r>
  <r>
    <n v="1802"/>
    <s v="แขวงทางหลวงชลบุรีที่ 2"/>
    <n v="428"/>
    <n v="3701"/>
    <n v="500"/>
    <s v="ทางต่างระดับคีรี - พัทยา"/>
    <s v="80+294"/>
    <s v="81+504"/>
    <n v="1.21"/>
    <n v="2"/>
    <s v="L1"/>
    <d v="2015-08-15T00:00:00"/>
    <s v="A.C."/>
    <n v="0.17499999999999999"/>
    <n v="0.42499999999999999"/>
    <n v="0.2"/>
    <n v="0.45"/>
    <n v="7.3710000000000004"/>
    <n v="7.5"/>
    <n v="1.075"/>
    <n v="7.4999999999999997E-2"/>
    <n v="0.05"/>
    <n v="0.05"/>
    <n v="6.5640000000000001"/>
    <n v="6.5"/>
    <n v="0"/>
    <n v="0"/>
    <n v="1.25"/>
    <n v="1.4419999999999999"/>
    <n v="2.09"/>
    <n v="0"/>
    <n v="4.935064935064936E-2"/>
    <x v="106"/>
    <n v="0"/>
    <n v="0"/>
    <n v="0"/>
    <n v="0"/>
    <n v="0"/>
    <n v="0"/>
  </r>
  <r>
    <n v="148"/>
    <s v="แขวงทางหลวงแพร่"/>
    <n v="531"/>
    <n v="1024"/>
    <n v="100"/>
    <s v="สวนเขื่อน - ปากห้วยอ้อย"/>
    <s v="0+000"/>
    <s v="38+685"/>
    <n v="38.685000000000002"/>
    <n v="2"/>
    <s v="R1"/>
    <d v="2015-08-06T00:00:00"/>
    <s v="A.C."/>
    <n v="20.43"/>
    <n v="9.9600000000000009"/>
    <n v="5.29"/>
    <n v="3.01"/>
    <n v="2.8359999999999999"/>
    <n v="3"/>
    <n v="21.44"/>
    <n v="5.3"/>
    <n v="2.3199999999999998"/>
    <n v="9.6300000000000008"/>
    <n v="16.172999999999998"/>
    <n v="16"/>
    <n v="0.03"/>
    <n v="0.1"/>
    <n v="38.56"/>
    <n v="1.4470000000000001"/>
    <n v="8.02"/>
    <n v="116.89"/>
    <n v="4.9088794106242728E-2"/>
    <x v="106"/>
    <n v="0.62"/>
    <n v="4.5791096585978322E-4"/>
    <n v="0"/>
    <n v="0"/>
    <n v="0"/>
    <n v="0"/>
  </r>
  <r>
    <n v="474"/>
    <s v="แขวงทางหลวงพิษณุโลกที่ 2 (วังทอง)"/>
    <n v="515"/>
    <n v="2013"/>
    <n v="102"/>
    <s v="น้ำเทิน - บ่อโพธิ์"/>
    <s v="20+236"/>
    <s v="62+782"/>
    <n v="42.545999999999999"/>
    <s v="L1"/>
    <n v="2"/>
    <d v="2015-09-21T00:00:00"/>
    <s v="A.C."/>
    <n v="25.53"/>
    <n v="10.7"/>
    <n v="4.5"/>
    <n v="1.88"/>
    <n v="2.6682199999999998"/>
    <n v="2.5"/>
    <n v="41.825000000000003"/>
    <n v="0.6"/>
    <n v="0.1"/>
    <n v="7.4999999999999997E-2"/>
    <n v="3.6348799999999999"/>
    <n v="3.5"/>
    <n v="0"/>
    <n v="0"/>
    <n v="42.610000000000007"/>
    <n v="1.31796"/>
    <n v="63.213999999999999"/>
    <n v="18.95"/>
    <n v="4.8813720947411536E-2"/>
    <x v="106"/>
    <n v="93.65"/>
    <n v="6.2889914109770267E-2"/>
    <n v="0"/>
    <n v="0"/>
    <n v="0"/>
    <n v="0"/>
  </r>
  <r>
    <n v="144"/>
    <s v="แขวงทางหลวงแพร่"/>
    <n v="531"/>
    <n v="129"/>
    <n v="100"/>
    <s v="ทางเลี่ยงเมืองแพร่"/>
    <s v="0+000"/>
    <s v="10+418"/>
    <n v="10.417999999999999"/>
    <n v="4"/>
    <s v="L2"/>
    <d v="2015-08-07T00:00:00"/>
    <s v="A.C."/>
    <n v="7.41"/>
    <n v="1.38"/>
    <n v="1"/>
    <n v="0.63"/>
    <n v="2.2719999999999998"/>
    <n v="2.5"/>
    <n v="4.6100000000000003"/>
    <n v="3.69"/>
    <n v="1.65"/>
    <n v="0.48"/>
    <n v="11.188000000000001"/>
    <n v="11"/>
    <n v="0"/>
    <n v="0"/>
    <n v="10.42"/>
    <n v="1.008"/>
    <n v="0"/>
    <n v="35.57"/>
    <n v="4.8775471025423039E-2"/>
    <x v="106"/>
    <n v="0"/>
    <n v="0"/>
    <n v="0"/>
    <n v="0"/>
    <n v="0"/>
    <n v="0"/>
  </r>
  <r>
    <n v="2073"/>
    <s v="แขวงทางหลวงสุราษฎร์ธานีที่ 3 (เวียงสระ)"/>
    <n v="329"/>
    <n v="4035"/>
    <n v="100"/>
    <s v="นาชุมเห็ด - โคกมะพร้าว"/>
    <n v="2004"/>
    <n v="0"/>
    <n v="2.004"/>
    <n v="2"/>
    <s v="R1"/>
    <d v="2015-04-27T00:00:00"/>
    <s v="A.C."/>
    <n v="0.9"/>
    <n v="0.625"/>
    <n v="0.375"/>
    <n v="7.4999999999999997E-2"/>
    <n v="2.81291"/>
    <n v="3"/>
    <n v="1.875"/>
    <n v="0"/>
    <n v="7.4999999999999997E-2"/>
    <n v="2.5000000000000001E-2"/>
    <n v="3.8499400000000001"/>
    <n v="4"/>
    <n v="0"/>
    <n v="0"/>
    <n v="1.9749999999999999"/>
    <n v="2.0216099999999999"/>
    <n v="0"/>
    <n v="6.83"/>
    <n v="4.86883376104933E-2"/>
    <x v="106"/>
    <n v="0"/>
    <n v="0"/>
    <n v="0"/>
    <n v="0"/>
    <n v="0"/>
    <n v="0"/>
  </r>
  <r>
    <n v="2183"/>
    <s v="แขวงทางหลวงสงขลาที่ 1"/>
    <n v="311"/>
    <n v="4287"/>
    <n v="102"/>
    <s v="ควนลัง - หาดใหญ่"/>
    <s v="29+224"/>
    <s v="29+724"/>
    <n v="0.5"/>
    <n v="2"/>
    <s v="L1"/>
    <d v="2015-05-23T00:00:00"/>
    <s v="A.C."/>
    <n v="0.1"/>
    <n v="0.15"/>
    <n v="0.15"/>
    <n v="0.1"/>
    <n v="4.3815"/>
    <n v="4.5"/>
    <n v="0.5"/>
    <n v="0"/>
    <n v="0"/>
    <n v="0"/>
    <n v="5.0661500000000004"/>
    <n v="5"/>
    <n v="0"/>
    <n v="0"/>
    <n v="0.5"/>
    <n v="0.98150000000000004"/>
    <n v="0"/>
    <n v="1.7"/>
    <n v="4.8571428571428571E-2"/>
    <x v="106"/>
    <n v="0"/>
    <n v="0"/>
    <n v="4.45"/>
    <n v="0.25428571428571434"/>
    <n v="0"/>
    <n v="0"/>
  </r>
  <r>
    <n v="2218"/>
    <s v="แขวงทางหลวงสตูล"/>
    <n v="318"/>
    <n v="4051"/>
    <n v="100"/>
    <s v="สตูล - เจ๊ะบิลัง"/>
    <n v="596"/>
    <n v="11900"/>
    <n v="11.304"/>
    <n v="2"/>
    <s v="L1"/>
    <d v="2015-05-25T00:00:00"/>
    <s v="A.C."/>
    <n v="8.7249999999999996"/>
    <n v="1.8"/>
    <n v="0.8"/>
    <n v="0.42499999999999999"/>
    <n v="2.2708300000000001"/>
    <n v="2.5"/>
    <n v="11.7"/>
    <n v="2.5000000000000001E-2"/>
    <n v="0"/>
    <n v="2.5000000000000001E-2"/>
    <n v="3.1738200000000001"/>
    <n v="3"/>
    <n v="0"/>
    <n v="0"/>
    <n v="11.750000000000002"/>
    <n v="1.31186"/>
    <n v="19.21"/>
    <n v="0"/>
    <n v="4.8554241229400497E-2"/>
    <x v="106"/>
    <n v="0"/>
    <n v="0"/>
    <n v="0"/>
    <n v="0"/>
    <n v="0"/>
    <n v="0"/>
  </r>
  <r>
    <n v="91"/>
    <s v="แขวงทางหลวงแม่ฮ่องสอน"/>
    <n v="526"/>
    <n v="128"/>
    <n v="100"/>
    <s v="ทางเลี่ยงเมืองแม่ฮ่องสอน"/>
    <s v="8+363"/>
    <s v="0+000"/>
    <n v="8.3629999999999995"/>
    <n v="2"/>
    <s v="R1"/>
    <d v="2015-08-28T00:00:00"/>
    <s v="A.C."/>
    <n v="6.87"/>
    <n v="0.72"/>
    <n v="0.54"/>
    <n v="0.23"/>
    <n v="1.98495"/>
    <n v="2"/>
    <n v="8.36"/>
    <n v="0"/>
    <n v="0"/>
    <n v="0"/>
    <n v="2.9937100000000001"/>
    <n v="3"/>
    <n v="0"/>
    <n v="0"/>
    <n v="8.36"/>
    <n v="1.17469"/>
    <n v="14.2"/>
    <n v="0"/>
    <n v="4.8513007977315038E-2"/>
    <x v="106"/>
    <n v="10.32"/>
    <n v="3.5257341008865579E-2"/>
    <n v="0.62"/>
    <n v="2.1181735877419242E-3"/>
    <n v="0"/>
    <n v="0"/>
  </r>
  <r>
    <n v="999"/>
    <s v="แขวงทางหลวงบุรีรัมย์"/>
    <n v="617"/>
    <n v="219"/>
    <n v="301"/>
    <s v="สตึก - หัวถนน"/>
    <n v="97604"/>
    <n v="128082"/>
    <n v="30.478000000000002"/>
    <n v="4"/>
    <s v="L1"/>
    <d v="2015-05-05T00:00:00"/>
    <s v="A.C."/>
    <n v="18.25"/>
    <n v="7.5250000000000004"/>
    <n v="3.4"/>
    <n v="1.1499999999999999"/>
    <n v="2.7380100000000001"/>
    <n v="2.5"/>
    <n v="26.9"/>
    <n v="2.4249999999999998"/>
    <n v="0.57499999999999996"/>
    <n v="0.42499999999999999"/>
    <n v="8.2154500000000006"/>
    <n v="8"/>
    <n v="0"/>
    <n v="0"/>
    <n v="30.324999999999996"/>
    <n v="1.29681"/>
    <n v="39.06"/>
    <n v="25.17"/>
    <n v="4.8414312900171556E-2"/>
    <x v="106"/>
    <n v="0"/>
    <n v="0"/>
    <n v="0"/>
    <n v="0"/>
    <n v="0"/>
    <n v="0"/>
  </r>
  <r>
    <n v="1480"/>
    <s v="แขวงทางหลวงกรุงเทพ"/>
    <n v="411"/>
    <n v="3312"/>
    <n v="100"/>
    <s v="สนามกีฬาธูปเตมีย์ - ลำลูกกา"/>
    <s v="10+911"/>
    <s v="12+348"/>
    <n v="1.4370000000000001"/>
    <n v="6"/>
    <m/>
    <m/>
    <m/>
    <n v="1.4370000000000001"/>
    <m/>
    <m/>
    <m/>
    <m/>
    <n v="0"/>
    <n v="1.4370000000000001"/>
    <m/>
    <m/>
    <m/>
    <m/>
    <n v="0"/>
    <m/>
    <m/>
    <n v="1.4370000000000001"/>
    <m/>
    <m/>
    <m/>
    <m/>
    <x v="106"/>
    <m/>
    <m/>
    <m/>
    <m/>
    <m/>
    <m/>
  </r>
  <r>
    <n v="1481"/>
    <s v="แขวงทางหลวงกรุงเทพ"/>
    <n v="411"/>
    <n v="3312"/>
    <n v="100"/>
    <s v="สนามกีฬาธูปเตมีย์ - ลำลูกกา"/>
    <n v="12348"/>
    <n v="10911"/>
    <n v="1.4370000000000001"/>
    <n v="6"/>
    <m/>
    <m/>
    <m/>
    <n v="1.4370000000000001"/>
    <m/>
    <m/>
    <m/>
    <m/>
    <n v="0"/>
    <n v="1.4370000000000001"/>
    <m/>
    <m/>
    <m/>
    <m/>
    <n v="0"/>
    <m/>
    <m/>
    <n v="1.4370000000000001"/>
    <m/>
    <m/>
    <m/>
    <m/>
    <x v="106"/>
    <m/>
    <m/>
    <m/>
    <m/>
    <m/>
    <m/>
  </r>
  <r>
    <n v="1727"/>
    <s v="แขวงทางหลวงชลบุรีที่ 1"/>
    <n v="422"/>
    <n v="3702"/>
    <n v="402"/>
    <s v="ดอนหัวฬ่อ - หนองข้างคอก"/>
    <n v="65426"/>
    <n v="65820"/>
    <n v="0.39400000000000002"/>
    <n v="2"/>
    <s v="L1"/>
    <d v="2015-08-15T00:00:00"/>
    <s v="A.C."/>
    <n v="0.13"/>
    <n v="0.03"/>
    <n v="0.04"/>
    <n v="0.19"/>
    <n v="4.8862500000000004"/>
    <n v="5"/>
    <n v="0.22"/>
    <n v="7.0000000000000007E-2"/>
    <n v="0.03"/>
    <n v="0.06"/>
    <n v="9.7754600000000007"/>
    <n v="10"/>
    <n v="0"/>
    <n v="0"/>
    <n v="0.39400000000000002"/>
    <n v="1.87775"/>
    <n v="15.97"/>
    <n v="5.34"/>
    <n v="4.7876000000000002E-2"/>
    <x v="106"/>
    <n v="102.36"/>
    <n v="0.26290599999999997"/>
    <n v="154"/>
    <n v="0.39554099999999998"/>
    <n v="26.47"/>
    <n v="6.7987000000000006E-2"/>
  </r>
  <r>
    <n v="1492"/>
    <s v="แขวงทางหลวงกรุงเทพ"/>
    <n v="411"/>
    <n v="3902"/>
    <n v="601"/>
    <s v="บึงคำพร้อย - คู้บอน"/>
    <s v="39+607"/>
    <s v="30+600"/>
    <n v="9.0069999999999997"/>
    <n v="2"/>
    <s v="R1"/>
    <d v="2015-09-01T00:00:00"/>
    <s v="A.C."/>
    <n v="5.65"/>
    <n v="1.925"/>
    <n v="0.82499999999999996"/>
    <n v="0.67500000000000004"/>
    <n v="2.7080000000000002"/>
    <n v="2.5"/>
    <n v="8.4250000000000007"/>
    <n v="0.6"/>
    <n v="0.05"/>
    <n v="0"/>
    <n v="5.5049999999999999"/>
    <n v="5.5"/>
    <n v="0"/>
    <n v="0"/>
    <n v="9.0750000000000011"/>
    <n v="1.1910000000000001"/>
    <n v="9"/>
    <n v="12.02"/>
    <n v="4.7613760725784701E-2"/>
    <x v="106"/>
    <n v="48"/>
    <n v="0.15226252597186316"/>
    <n v="544.20000000000005"/>
    <n v="1.7262763882059988"/>
    <n v="304"/>
    <n v="0.9643293311551332"/>
  </r>
  <r>
    <n v="668"/>
    <s v="แขวงทางหลวงอุดรธานีที่ 1"/>
    <n v="623"/>
    <n v="2316"/>
    <n v="101"/>
    <s v="โคกผักหวาน - ท่ายม"/>
    <n v="18025"/>
    <n v="0"/>
    <n v="18.024999999999999"/>
    <n v="2"/>
    <s v="R1"/>
    <d v="2015-05-11T00:00:00"/>
    <s v="A.C."/>
    <n v="10.18"/>
    <n v="4.8"/>
    <n v="2.15"/>
    <n v="0.9"/>
    <n v="2.5921599999999998"/>
    <n v="2.5"/>
    <n v="17.77"/>
    <n v="0.18"/>
    <n v="0.05"/>
    <n v="0.03"/>
    <n v="3.3098200000000002"/>
    <n v="3.5"/>
    <n v="0"/>
    <n v="0"/>
    <n v="18.03"/>
    <n v="1.1517999999999999"/>
    <n v="0"/>
    <n v="59.55"/>
    <n v="4.7199999999999999E-2"/>
    <x v="106"/>
    <n v="0"/>
    <n v="0"/>
    <n v="63.65"/>
    <n v="0.100892"/>
    <n v="0"/>
    <n v="0"/>
  </r>
  <r>
    <n v="1732"/>
    <s v="แขวงทางหลวงจันทบุรี"/>
    <n v="423"/>
    <n v="317"/>
    <n v="103"/>
    <s v="พังงอน - เขาแหลม"/>
    <n v="45000"/>
    <n v="89300"/>
    <n v="44.3"/>
    <n v="2"/>
    <s v="L1"/>
    <d v="2015-08-18T00:00:00"/>
    <s v="A.C."/>
    <n v="33.088000000000001"/>
    <n v="6.3209999999999997"/>
    <n v="3.2360000000000002"/>
    <n v="1.655"/>
    <n v="2.1089899999999999"/>
    <n v="2"/>
    <n v="39.375"/>
    <n v="4.0999999999999996"/>
    <n v="0.55000000000000004"/>
    <n v="0.125"/>
    <n v="6.1965500000000002"/>
    <n v="6"/>
    <n v="0"/>
    <n v="0"/>
    <n v="44.3"/>
    <n v="1.14131"/>
    <n v="61.24"/>
    <n v="23.69"/>
    <n v="4.7140000000000001E-2"/>
    <x v="106"/>
    <n v="0"/>
    <n v="0"/>
    <n v="631"/>
    <n v="0.40696549500161244"/>
    <n v="36.01"/>
    <n v="2.3220000000000001E-2"/>
  </r>
  <r>
    <n v="70"/>
    <s v="แขวงทางหลวงลำพูน"/>
    <n v="524"/>
    <n v="116"/>
    <n v="102"/>
    <s v="สะปุ๋ง - บ้านเรือน"/>
    <s v="16+348"/>
    <s v="23+651"/>
    <n v="7.3029999999999999"/>
    <n v="2"/>
    <s v="L1"/>
    <d v="2015-08-11T00:00:00"/>
    <s v="A.C."/>
    <n v="4.8499999999999996"/>
    <n v="1.875"/>
    <n v="0.57499999999999996"/>
    <n v="0.1"/>
    <n v="2.34368"/>
    <n v="2.5"/>
    <n v="6.7750000000000004"/>
    <n v="0.6"/>
    <n v="2.5000000000000001E-2"/>
    <n v="0"/>
    <n v="4.8455199999999996"/>
    <n v="5"/>
    <n v="0"/>
    <n v="0"/>
    <n v="7.3999999999999995"/>
    <n v="1.37019"/>
    <n v="12.036199999999999"/>
    <n v="0"/>
    <n v="4.708906320298898E-2"/>
    <x v="106"/>
    <n v="105.96"/>
    <n v="0.41454588134034931"/>
    <n v="0"/>
    <n v="0"/>
    <n v="1.32"/>
    <n v="5.1642182273429708E-3"/>
  </r>
  <r>
    <n v="2174"/>
    <s v="แขวงทางหลวงสงขลาที่ 1"/>
    <n v="311"/>
    <n v="414"/>
    <n v="102"/>
    <s v="คลองวง - ท่าท้อน"/>
    <s v="22+250"/>
    <s v="24+315"/>
    <n v="2.0649999999999999"/>
    <n v="8"/>
    <s v="L1"/>
    <d v="2015-05-20T00:00:00"/>
    <s v="A.C."/>
    <n v="1.6"/>
    <n v="0.375"/>
    <n v="0.125"/>
    <n v="0.05"/>
    <n v="2.2330000000000001"/>
    <n v="2"/>
    <n v="2"/>
    <n v="0.125"/>
    <n v="0"/>
    <n v="2.5000000000000001E-2"/>
    <n v="5.4539999999999997"/>
    <n v="5.5"/>
    <n v="0"/>
    <n v="0"/>
    <n v="2.15"/>
    <n v="1.2130000000000001"/>
    <n v="2.4"/>
    <n v="2"/>
    <n v="4.7042545831892081E-2"/>
    <x v="106"/>
    <n v="34.5"/>
    <n v="0.4773434797647873"/>
    <n v="10.8"/>
    <n v="0.14942926323071604"/>
    <n v="0"/>
    <n v="0"/>
  </r>
  <r>
    <n v="2203"/>
    <s v="แขวงทางหลวงพัทลุง"/>
    <n v="314"/>
    <n v="4187"/>
    <n v="101"/>
    <s v="สี่แยกโพธิ์ทอง - ควนขนุน"/>
    <n v="0"/>
    <n v="2770"/>
    <n v="2.77"/>
    <n v="2"/>
    <s v="L1"/>
    <d v="2015-05-20T00:00:00"/>
    <s v="A.C."/>
    <n v="2.2000000000000002"/>
    <n v="0.32500000000000001"/>
    <n v="0.1"/>
    <n v="0.17499999999999999"/>
    <n v="2.4283000000000001"/>
    <n v="2.5"/>
    <n v="2.8"/>
    <n v="0"/>
    <n v="0"/>
    <n v="0"/>
    <n v="2.3957999999999999"/>
    <n v="2.5"/>
    <n v="0"/>
    <n v="0"/>
    <n v="2.8000000000000003"/>
    <n v="0.97020499999999998"/>
    <n v="4.5599999999999996"/>
    <n v="0"/>
    <n v="4.7034553893759663E-2"/>
    <x v="106"/>
    <n v="0"/>
    <n v="0"/>
    <n v="0"/>
    <n v="0"/>
    <n v="0"/>
    <n v="0"/>
  </r>
  <r>
    <n v="2164"/>
    <s v="แขวงทางหลวงสงขลาที่ 1"/>
    <n v="311"/>
    <n v="408"/>
    <n v="102"/>
    <s v="สทิงพระ - เกาะยอ"/>
    <s v="155+141"/>
    <s v="125+011"/>
    <n v="30.13"/>
    <n v="2"/>
    <s v="R2"/>
    <d v="2015-05-23T00:00:00"/>
    <s v="A.C."/>
    <n v="21.4"/>
    <n v="6.625"/>
    <n v="1.6"/>
    <n v="0.32500000000000001"/>
    <n v="2.2738100000000001"/>
    <n v="2.5"/>
    <n v="24.65"/>
    <n v="4.2249999999999996"/>
    <n v="0.95"/>
    <n v="0.125"/>
    <n v="6.8315400000000004"/>
    <n v="7"/>
    <n v="0"/>
    <n v="0"/>
    <n v="29.95"/>
    <n v="1.21594"/>
    <n v="45.54"/>
    <n v="7.97"/>
    <n v="4.6963159641553266E-2"/>
    <x v="106"/>
    <n v="14.14"/>
    <n v="1.3408562894125457E-2"/>
    <n v="2.96"/>
    <n v="2.8068844530842541E-3"/>
    <n v="0"/>
    <n v="0"/>
  </r>
  <r>
    <n v="593"/>
    <s v="แขวงทางหลวงเลยที่ 1"/>
    <n v="554"/>
    <n v="201"/>
    <n v="401"/>
    <s v="ผานกเค้า - หลักร้อยหกสิบ"/>
    <n v="253485"/>
    <n v="285186"/>
    <n v="31.701000000000001"/>
    <n v="2"/>
    <s v="L2"/>
    <d v="2015-06-27T00:00:00"/>
    <s v="A.C."/>
    <n v="21.35"/>
    <n v="6.92"/>
    <n v="2"/>
    <n v="1.43"/>
    <n v="3.1989999999999998"/>
    <n v="3"/>
    <n v="30.32"/>
    <n v="1.03"/>
    <n v="0.2"/>
    <n v="0.15"/>
    <n v="5.8419999999999996"/>
    <n v="6"/>
    <n v="0"/>
    <n v="0"/>
    <n v="31.71"/>
    <n v="1.1830000000000001"/>
    <n v="20.21"/>
    <n v="63.7"/>
    <n v="4.6920999999999997E-2"/>
    <x v="106"/>
    <n v="0"/>
    <n v="0"/>
    <n v="0"/>
    <n v="0"/>
    <n v="0"/>
    <n v="0"/>
  </r>
  <r>
    <n v="1717"/>
    <s v="แขวงทางหลวงชลบุรีที่ 1"/>
    <n v="422"/>
    <n v="3245"/>
    <n v="302"/>
    <s v="หนองเสือช่อ - หนองไม้แก่น"/>
    <n v="53317"/>
    <n v="81317"/>
    <n v="28"/>
    <n v="2"/>
    <s v="L1"/>
    <d v="2015-08-14T00:00:00"/>
    <s v="A.C."/>
    <n v="15.55"/>
    <n v="7.61"/>
    <n v="3.34"/>
    <n v="1.5"/>
    <n v="3.43641"/>
    <n v="3.5"/>
    <n v="23.99"/>
    <n v="3.09"/>
    <n v="0.75"/>
    <n v="0.18"/>
    <n v="6.0596300000000003"/>
    <n v="6"/>
    <n v="0"/>
    <n v="0"/>
    <n v="28"/>
    <n v="1.3117099999999999"/>
    <n v="45.97"/>
    <n v="0"/>
    <n v="4.691E-2"/>
    <x v="106"/>
    <n v="0"/>
    <n v="0"/>
    <n v="0"/>
    <n v="0"/>
    <n v="0"/>
    <n v="0"/>
  </r>
  <r>
    <n v="1725"/>
    <s v="แขวงทางหลวงชลบุรีที่ 1"/>
    <n v="422"/>
    <n v="3701"/>
    <n v="402"/>
    <s v="ดอนหัวฬ่อ - หนองข้างคอก"/>
    <n v="71500"/>
    <n v="65360"/>
    <n v="6.14"/>
    <n v="2"/>
    <s v="R1"/>
    <d v="2015-08-15T00:00:00"/>
    <s v="A.C."/>
    <n v="0.92"/>
    <n v="1.32"/>
    <n v="1.68"/>
    <n v="2.2400000000000002"/>
    <n v="3.8807999999999998"/>
    <n v="4"/>
    <n v="5.03"/>
    <n v="0.55000000000000004"/>
    <n v="0.19"/>
    <n v="0.4"/>
    <n v="13.9526"/>
    <n v="14"/>
    <n v="0"/>
    <n v="0"/>
    <n v="6.14"/>
    <n v="1.48237"/>
    <n v="10.039999999999999"/>
    <n v="0"/>
    <n v="4.6719999999999998E-2"/>
    <x v="106"/>
    <n v="16.059999999999999"/>
    <n v="7.4730000000000005E-2"/>
    <n v="6"/>
    <n v="2.792E-2"/>
    <n v="72.94"/>
    <n v="0.33940999999999999"/>
  </r>
  <r>
    <n v="1493"/>
    <s v="แขวงทางหลวงกรุงเทพ"/>
    <n v="411"/>
    <n v="3902"/>
    <n v="602"/>
    <s v="คู้บอน - ประเวศ"/>
    <s v="41+100"/>
    <s v="39+808"/>
    <n v="1.292"/>
    <n v="2"/>
    <s v="R1"/>
    <d v="2015-09-01T00:00:00"/>
    <s v="A.C."/>
    <n v="0"/>
    <n v="0"/>
    <n v="0"/>
    <n v="0"/>
    <m/>
    <n v="0"/>
    <n v="0"/>
    <n v="0"/>
    <n v="0"/>
    <n v="0"/>
    <m/>
    <n v="0"/>
    <n v="0"/>
    <n v="0"/>
    <n v="0"/>
    <m/>
    <m/>
    <m/>
    <n v="0"/>
    <x v="106"/>
    <m/>
    <n v="0"/>
    <m/>
    <n v="0"/>
    <m/>
    <n v="0"/>
  </r>
  <r>
    <n v="339"/>
    <s v="แขวงทางหลวงมุกดาหาร"/>
    <n v="639"/>
    <n v="2047"/>
    <n v="100"/>
    <s v="กุดโจด - กุดแห่"/>
    <n v="0"/>
    <n v="6259"/>
    <n v="6.2590000000000003"/>
    <n v="2"/>
    <s v="L1"/>
    <d v="2015-06-02T00:00:00"/>
    <s v="A.C."/>
    <n v="3.875"/>
    <n v="1.45"/>
    <n v="0.57499999999999996"/>
    <n v="0.375"/>
    <n v="2.50976"/>
    <n v="2.5"/>
    <n v="5.625"/>
    <n v="0.6"/>
    <n v="0.05"/>
    <n v="0"/>
    <n v="5.3798700000000004"/>
    <n v="5.5"/>
    <n v="0"/>
    <n v="0"/>
    <n v="6.2750000000000004"/>
    <n v="1.2239599999999999"/>
    <n v="3.94"/>
    <n v="12.56"/>
    <n v="4.6649999999999997E-2"/>
    <x v="106"/>
    <n v="0"/>
    <n v="0"/>
    <n v="0"/>
    <n v="0"/>
    <n v="0"/>
    <n v="0"/>
  </r>
  <r>
    <n v="1127"/>
    <s v="แขวงทางหลวงลพบุรีที่ 1"/>
    <n v="431"/>
    <n v="3354"/>
    <n v="102"/>
    <s v="สระใหญ่ - ชอนม่วง"/>
    <n v="500"/>
    <n v="16959"/>
    <n v="16.459"/>
    <n v="2"/>
    <s v="L1"/>
    <d v="2015-10-05T00:00:00"/>
    <s v="A.C."/>
    <n v="14.574999999999999"/>
    <n v="1.925"/>
    <n v="0"/>
    <n v="0"/>
    <n v="2.871"/>
    <n v="3"/>
    <n v="16.5"/>
    <n v="0"/>
    <n v="0"/>
    <n v="0"/>
    <n v="2.5310000000000001"/>
    <n v="2.5"/>
    <n v="0"/>
    <n v="0"/>
    <n v="16.5"/>
    <n v="1.242"/>
    <n v="12.51"/>
    <n v="28.62"/>
    <n v="4.655724614409832E-2"/>
    <x v="106"/>
    <n v="29.63"/>
    <n v="5.1435167906399452E-2"/>
    <n v="5.5"/>
    <n v="9.5475336984541682E-3"/>
    <n v="0"/>
    <n v="0"/>
  </r>
  <r>
    <n v="940"/>
    <s v="แขวงทางหลวงนครราชสีมาที่ 1"/>
    <n v="611"/>
    <n v="206"/>
    <n v="100"/>
    <s v="ตลาดแค - วังหิน"/>
    <n v="0"/>
    <n v="14702"/>
    <n v="14.702"/>
    <n v="4"/>
    <s v="L2"/>
    <d v="2015-04-25T00:00:00"/>
    <s v="A.C."/>
    <n v="9.0250000000000004"/>
    <n v="3.0249999999999999"/>
    <n v="1.5"/>
    <n v="1.075"/>
    <n v="3.1976399999999998"/>
    <n v="3"/>
    <n v="11"/>
    <n v="2.3250000000000002"/>
    <n v="0.72499999999999998"/>
    <n v="0.57499999999999996"/>
    <n v="6.3509500000000001"/>
    <n v="6.5"/>
    <n v="0"/>
    <n v="0"/>
    <n v="14.702"/>
    <n v="1.1145"/>
    <n v="23.67"/>
    <n v="0"/>
    <n v="4.5999572458557632E-2"/>
    <x v="106"/>
    <n v="15.63"/>
    <n v="3.0374876110150224E-2"/>
    <n v="0"/>
    <n v="0"/>
    <n v="0"/>
    <n v="0"/>
  </r>
  <r>
    <n v="435"/>
    <s v="แขวงทางหลวงสุโขทัย"/>
    <n v="513"/>
    <n v="1177"/>
    <n v="100"/>
    <s v="ดอนระเบียง - ป่าไร่หลวง"/>
    <s v="35+482"/>
    <s v="0+000"/>
    <n v="35.481999999999999"/>
    <s v="R1"/>
    <n v="2"/>
    <d v="2015-09-17T00:00:00"/>
    <s v="A.C."/>
    <n v="23.34"/>
    <n v="7.72"/>
    <n v="2.9"/>
    <n v="1.52"/>
    <n v="2.4604599999999999"/>
    <n v="2.5"/>
    <n v="32.99"/>
    <n v="1.78"/>
    <n v="0.57999999999999996"/>
    <n v="0.13"/>
    <n v="4.4689100000000002"/>
    <n v="4.5"/>
    <n v="0"/>
    <n v="0"/>
    <n v="35.479999999999997"/>
    <n v="1.2363200000000001"/>
    <n v="52.15"/>
    <n v="9.5399999999999991"/>
    <n v="4.5834105019043864E-2"/>
    <x v="106"/>
    <n v="116.45"/>
    <n v="9.3769879294934258E-2"/>
    <n v="0"/>
    <n v="0"/>
    <n v="0"/>
    <n v="0"/>
  </r>
  <r>
    <n v="467"/>
    <s v="แขวงทางหลวงพิษณุโลกที่ 2 (วังทอง)"/>
    <n v="515"/>
    <n v="1237"/>
    <n v="100"/>
    <s v="ชาติตระการ - ชำนาญจุ้ย"/>
    <s v="0+000"/>
    <s v="59+026"/>
    <n v="59.026000000000003"/>
    <s v="L1"/>
    <n v="2"/>
    <d v="2015-09-21T00:00:00"/>
    <s v="A.C."/>
    <n v="34.4"/>
    <n v="15.28"/>
    <n v="7.0250000000000004"/>
    <n v="2.25"/>
    <n v="2.5977999999999999"/>
    <n v="2.5"/>
    <n v="52.075000000000003"/>
    <n v="2.2000000000000002"/>
    <n v="1.5249999999999999"/>
    <n v="3.15"/>
    <n v="5.57165"/>
    <n v="5.5"/>
    <n v="0"/>
    <n v="0"/>
    <n v="58.954999999999998"/>
    <n v="1.2075199999999999"/>
    <n v="85.64"/>
    <n v="17.645"/>
    <n v="4.5724402321495133E-2"/>
    <x v="106"/>
    <n v="79.685000000000002"/>
    <n v="3.8571380166609388E-2"/>
    <n v="0"/>
    <n v="0"/>
    <n v="0"/>
    <n v="0"/>
  </r>
  <r>
    <n v="1031"/>
    <s v="แขวงทางหลวงบุรีรัมย์"/>
    <n v="617"/>
    <n v="2166"/>
    <n v="201"/>
    <s v="ดอนแขวน - หนองกี่"/>
    <n v="17263"/>
    <n v="30549"/>
    <n v="13.286"/>
    <n v="2"/>
    <s v="L1"/>
    <d v="2015-05-08T00:00:00"/>
    <s v="A.C."/>
    <n v="8.6999999999999993"/>
    <n v="3.7749999999999999"/>
    <n v="0.6"/>
    <n v="0.15"/>
    <n v="2.2777500000000002"/>
    <n v="2.5"/>
    <n v="13.025"/>
    <n v="0.2"/>
    <n v="0"/>
    <n v="0"/>
    <n v="5.1270300000000004"/>
    <n v="5"/>
    <n v="0"/>
    <n v="0"/>
    <n v="13.225"/>
    <n v="1.2627299999999999"/>
    <n v="0"/>
    <n v="42.43"/>
    <n v="4.5622674781187499E-2"/>
    <x v="106"/>
    <n v="0"/>
    <n v="0"/>
    <n v="0"/>
    <n v="0"/>
    <n v="0"/>
    <n v="0"/>
  </r>
  <r>
    <n v="1783"/>
    <s v="แขวงทางหลวงชลบุรีที่ 2"/>
    <n v="428"/>
    <n v="331"/>
    <n v="102"/>
    <s v="ห้วยใหญ่ - พันเสด็จนอก"/>
    <s v="47+000"/>
    <s v="10+000"/>
    <n v="37"/>
    <n v="4"/>
    <s v="R2"/>
    <d v="2015-08-14T00:00:00"/>
    <s v="A.C."/>
    <n v="26.4"/>
    <n v="4.9749999999999996"/>
    <n v="2.75"/>
    <n v="2.9"/>
    <n v="2.7480000000000002"/>
    <n v="2.5"/>
    <n v="34.174999999999997"/>
    <n v="2.4"/>
    <n v="0.4"/>
    <n v="0.05"/>
    <n v="6.2679999999999998"/>
    <n v="6.5"/>
    <n v="0"/>
    <n v="0"/>
    <n v="37.024999999999999"/>
    <n v="1.3620000000000001"/>
    <n v="57.83"/>
    <n v="2.4"/>
    <n v="4.5583011583011583E-2"/>
    <x v="106"/>
    <n v="0"/>
    <n v="0"/>
    <n v="0"/>
    <n v="0"/>
    <n v="0"/>
    <n v="0"/>
  </r>
  <r>
    <n v="97"/>
    <s v="แขวงทางหลวงแม่ฮ่องสอน"/>
    <n v="526"/>
    <n v="1265"/>
    <n v="100"/>
    <s v="ปาย - วัดจันทร์"/>
    <s v="0+000"/>
    <s v="43+619"/>
    <n v="43.619"/>
    <n v="2"/>
    <s v="L1"/>
    <d v="2015-08-27T00:00:00"/>
    <s v="A.C."/>
    <n v="1.2"/>
    <n v="8.1300000000000008"/>
    <n v="17.14"/>
    <n v="17.14"/>
    <n v="4.9809400000000004"/>
    <n v="5"/>
    <n v="39.25"/>
    <n v="2.76"/>
    <n v="0.9"/>
    <n v="0.7"/>
    <n v="5.1270100000000003"/>
    <n v="5"/>
    <n v="0"/>
    <n v="0"/>
    <n v="43.62"/>
    <n v="1.6544399999999999"/>
    <n v="62.35"/>
    <n v="14.3"/>
    <n v="4.5524067166012198E-2"/>
    <x v="106"/>
    <n v="201.36"/>
    <n v="0.13189534049709664"/>
    <n v="1.0029999999999999"/>
    <n v="6.5698761679870829E-4"/>
    <n v="0"/>
    <n v="0"/>
  </r>
  <r>
    <n v="1312"/>
    <s v="แขวงทางหลวงกาญจนบุรี"/>
    <n v="444"/>
    <n v="323"/>
    <n v="205"/>
    <s v="แยกปากกิเลน - น้ำตกไทรโยคใหญ่"/>
    <n v="90012"/>
    <n v="155136"/>
    <n v="65.123999999999995"/>
    <n v="2"/>
    <s v="L1"/>
    <d v="2015-07-24T00:00:00"/>
    <s v="A.C."/>
    <n v="55.1"/>
    <n v="8.2750000000000004"/>
    <n v="1.575"/>
    <n v="0.3"/>
    <n v="1.80003"/>
    <n v="2"/>
    <n v="64.95"/>
    <n v="0.3"/>
    <n v="0"/>
    <n v="0"/>
    <n v="2.00536"/>
    <n v="2"/>
    <n v="0"/>
    <n v="0"/>
    <n v="65.25"/>
    <n v="1.17136"/>
    <n v="96.344999999999999"/>
    <n v="13.561999999999999"/>
    <n v="4.5243798643466976E-2"/>
    <x v="106"/>
    <n v="145.4"/>
    <n v="6.3790395465354019E-2"/>
    <n v="0"/>
    <n v="0"/>
    <n v="1.34"/>
    <n v="5.8788947677836578E-4"/>
  </r>
  <r>
    <n v="161"/>
    <s v="แขวงทางหลวงเชียงรายที่ 1"/>
    <n v="533"/>
    <n v="1"/>
    <n v="1402"/>
    <s v="สบห้วย - เชียงราย"/>
    <s v="912+300"/>
    <s v="928+817"/>
    <n v="16.117000000000001"/>
    <n v="4"/>
    <s v="L2"/>
    <d v="2015-07-18T00:00:00"/>
    <s v="A.C."/>
    <n v="14.3"/>
    <n v="1.29"/>
    <n v="0.33"/>
    <n v="0.2"/>
    <n v="1.9294899999999999"/>
    <n v="2"/>
    <n v="11.09"/>
    <n v="3.43"/>
    <n v="1.07"/>
    <n v="0.53"/>
    <n v="9.1442200000000007"/>
    <n v="9"/>
    <n v="0"/>
    <n v="0"/>
    <n v="16.12"/>
    <n v="1.0683499999999999"/>
    <n v="13"/>
    <n v="25.04"/>
    <n v="4.524060663540716E-2"/>
    <x v="106"/>
    <n v="0"/>
    <n v="0"/>
    <n v="0"/>
    <n v="0"/>
    <n v="0"/>
    <n v="0"/>
  </r>
  <r>
    <n v="1780"/>
    <s v="แขวงทางหลวงระยอง"/>
    <n v="426"/>
    <n v="3575"/>
    <n v="100"/>
    <s v="ทางเข้าบ้านค่าย"/>
    <s v="3+292"/>
    <s v="0+000"/>
    <n v="2.254"/>
    <n v="2"/>
    <s v="R1"/>
    <d v="2015-08-17T00:00:00"/>
    <s v="A.C."/>
    <n v="1.4"/>
    <n v="0.45"/>
    <n v="0.17499999999999999"/>
    <n v="2.5000000000000001E-2"/>
    <n v="2.4291900000000002"/>
    <n v="2.5"/>
    <n v="2.0499999999999998"/>
    <n v="0"/>
    <n v="0"/>
    <n v="0"/>
    <n v="4.0362200000000001"/>
    <n v="4"/>
    <n v="0"/>
    <n v="0"/>
    <n v="2.0499999999999998"/>
    <n v="1.08182"/>
    <n v="0"/>
    <n v="10.42"/>
    <n v="4.5220000000000003E-2"/>
    <x v="106"/>
    <n v="0"/>
    <n v="0"/>
    <n v="91"/>
    <n v="0.78979299999999997"/>
    <n v="11.51"/>
    <n v="9.9900000000000003E-2"/>
  </r>
  <r>
    <n v="233"/>
    <s v="แขวงทางหลวงเชียงรายที่ 2"/>
    <n v="537"/>
    <n v="1093"/>
    <n v="100"/>
    <s v="ขุนห้วยไคร้ - ผาตั้ง"/>
    <n v="40427"/>
    <n v="89767"/>
    <n v="49.24"/>
    <n v="2"/>
    <s v="R1"/>
    <d v="2015-07-14T00:00:00"/>
    <s v="A.C."/>
    <n v="10.54"/>
    <n v="14.95"/>
    <n v="13.11"/>
    <n v="10.64"/>
    <n v="3.7415799999999999"/>
    <n v="3.5"/>
    <n v="43.89"/>
    <n v="3.51"/>
    <n v="0.97"/>
    <n v="0.87"/>
    <n v="5.4605199999999998"/>
    <n v="5.5"/>
    <n v="0.1"/>
    <n v="0.25"/>
    <n v="48.89"/>
    <n v="1.7552000000000001"/>
    <n v="78"/>
    <n v="0"/>
    <n v="4.5167641438415659E-2"/>
    <x v="106"/>
    <n v="40"/>
    <n v="2.3162893045341363E-2"/>
    <n v="50"/>
    <n v="2.8953616306676703E-2"/>
    <n v="297"/>
    <n v="0.17198448086165963"/>
  </r>
  <r>
    <n v="691"/>
    <s v="แขวงทางหลวงอุดรธานีที่ 2"/>
    <n v="624"/>
    <n v="2329"/>
    <n v="100"/>
    <s v="เพ็ญ - สร้างคอม"/>
    <n v="0"/>
    <n v="27512"/>
    <n v="27.512"/>
    <n v="2"/>
    <s v="L1"/>
    <d v="2015-06-16T00:00:00"/>
    <s v="A.C."/>
    <n v="19.3"/>
    <n v="6.3"/>
    <n v="1.45"/>
    <n v="0.32500000000000001"/>
    <n v="2.2650399999999999"/>
    <n v="2.5"/>
    <n v="26.9"/>
    <n v="0.4"/>
    <n v="7.4999999999999997E-2"/>
    <n v="0"/>
    <n v="2.6682399999999999"/>
    <n v="2.5"/>
    <n v="0"/>
    <n v="0"/>
    <n v="27.375"/>
    <n v="1.28209"/>
    <n v="25.53"/>
    <n v="35.85"/>
    <n v="4.5130000000000003E-2"/>
    <x v="106"/>
    <n v="1.7"/>
    <n v="1.7700000000000001E-3"/>
    <n v="0"/>
    <n v="0"/>
    <n v="7.87"/>
    <n v="8.1700000000000002E-3"/>
  </r>
  <r>
    <n v="1674"/>
    <s v="แขวงทางหลวงธนบุรี"/>
    <n v="419"/>
    <n v="3900"/>
    <n v="101"/>
    <s v="พระประแดง - บางแค"/>
    <s v="0+000"/>
    <n v="12577"/>
    <n v="12.577"/>
    <n v="2"/>
    <s v="L1"/>
    <d v="2015-08-27T00:00:00"/>
    <s v="A.C."/>
    <n v="4.8250000000000002"/>
    <n v="2.95"/>
    <n v="1.925"/>
    <n v="1.85"/>
    <n v="3.4769999999999999"/>
    <n v="3.5"/>
    <n v="10.225"/>
    <n v="0.82499999999999996"/>
    <n v="0.27500000000000002"/>
    <n v="0.22500000000000001"/>
    <n v="6.4809999999999999"/>
    <n v="6.5"/>
    <n v="0"/>
    <n v="0"/>
    <n v="11.55"/>
    <n v="1.1890000000000001"/>
    <n v="19"/>
    <n v="1.67"/>
    <n v="4.5059575869784985E-2"/>
    <x v="106"/>
    <n v="0"/>
    <n v="0"/>
    <n v="83.78"/>
    <n v="0.19032474244368974"/>
    <n v="0"/>
    <n v="0"/>
  </r>
  <r>
    <n v="80"/>
    <s v="แขวงทางหลวงลำพูน"/>
    <n v="524"/>
    <n v="1184"/>
    <n v="100"/>
    <s v="แม่อาว - ดอนมูล"/>
    <s v="0+000"/>
    <s v="73+300"/>
    <n v="73.3"/>
    <n v="2"/>
    <s v="L1"/>
    <d v="2015-08-10T00:00:00"/>
    <s v="A.C."/>
    <n v="45.3"/>
    <n v="20.425000000000001"/>
    <n v="5.3250000000000002"/>
    <n v="2.4500000000000002"/>
    <n v="2.54488"/>
    <n v="2.5"/>
    <n v="71.224999999999994"/>
    <n v="2"/>
    <n v="0.2"/>
    <n v="7.4999999999999997E-2"/>
    <n v="4.2726499999999996"/>
    <n v="4.5"/>
    <n v="0"/>
    <n v="0"/>
    <n v="73.5"/>
    <n v="1.3776299999999999"/>
    <n v="114.62"/>
    <n v="1.6099999999999999"/>
    <n v="4.4991229779770027E-2"/>
    <x v="106"/>
    <n v="0"/>
    <n v="0"/>
    <n v="0"/>
    <n v="0"/>
    <n v="0"/>
    <n v="0"/>
  </r>
  <r>
    <n v="777"/>
    <s v="แขวงทางหลวงมหาสารคาม"/>
    <n v="622"/>
    <n v="2381"/>
    <n v="100"/>
    <s v="นาเชือก - นาดูน"/>
    <n v="0"/>
    <n v="30003"/>
    <n v="30.003"/>
    <n v="2"/>
    <s v="L1"/>
    <d v="2015-05-27T00:00:00"/>
    <s v="A.C."/>
    <n v="23.274999999999999"/>
    <n v="5.35"/>
    <n v="1"/>
    <n v="0.27500000000000002"/>
    <n v="2.6920000000000002"/>
    <n v="2.5"/>
    <n v="29.05"/>
    <n v="0.85"/>
    <n v="0.1"/>
    <n v="0"/>
    <n v="3.3809999999999998"/>
    <n v="3.5"/>
    <n v="0"/>
    <n v="0"/>
    <n v="30"/>
    <n v="1.2609999999999999"/>
    <n v="1"/>
    <n v="92"/>
    <n v="4.4757429019002856E-2"/>
    <x v="106"/>
    <n v="15"/>
    <n v="1.4284285857128572E-2"/>
    <n v="0"/>
    <n v="0"/>
    <n v="0"/>
    <n v="0"/>
  </r>
  <r>
    <n v="620"/>
    <s v="แขวงทางหลวงเลยที่ 2 (ด่านซ้าย)"/>
    <n v="555"/>
    <n v="2115"/>
    <n v="101"/>
    <s v="ปากภู - โคกใหญ่"/>
    <n v="0"/>
    <n v="27450"/>
    <n v="27.45"/>
    <n v="2"/>
    <s v="L1"/>
    <d v="2015-07-01T00:00:00"/>
    <s v="A.C."/>
    <n v="14"/>
    <n v="7.9749999999999996"/>
    <n v="3.85"/>
    <n v="1.55"/>
    <n v="2.5058500000000001"/>
    <n v="2.5"/>
    <n v="25.7"/>
    <n v="1.45"/>
    <n v="0.2"/>
    <n v="2.5000000000000001E-2"/>
    <n v="4.1527000000000003"/>
    <n v="4"/>
    <n v="0"/>
    <n v="0"/>
    <n v="27.375000000000004"/>
    <n v="1.1695599999999999"/>
    <n v="43"/>
    <n v="0"/>
    <n v="4.4756700494405416E-2"/>
    <x v="106"/>
    <n v="9"/>
    <n v="9.3676814988290398E-3"/>
    <n v="0"/>
    <n v="0"/>
    <n v="0"/>
    <n v="0"/>
  </r>
  <r>
    <n v="1791"/>
    <s v="แขวงทางหลวงชลบุรีที่ 2"/>
    <n v="428"/>
    <n v="3134"/>
    <n v="100"/>
    <s v="แยกอ่างศิลา - เขาสามมุข"/>
    <n v="0"/>
    <n v="7533"/>
    <n v="7.5330000000000004"/>
    <n v="6"/>
    <s v="L2"/>
    <d v="2015-08-14T00:00:00"/>
    <s v="A.C."/>
    <n v="4.05"/>
    <n v="2.2250000000000001"/>
    <n v="1.0249999999999999"/>
    <n v="0.27500000000000002"/>
    <n v="2.8803700000000001"/>
    <n v="3"/>
    <n v="5.7"/>
    <n v="1.625"/>
    <n v="0.2"/>
    <n v="0.05"/>
    <n v="7.3857699999999999"/>
    <n v="7.5"/>
    <n v="0"/>
    <n v="0"/>
    <n v="7.5750000000000011"/>
    <n v="1.14228"/>
    <n v="5.9"/>
    <n v="11.78"/>
    <n v="4.4717528588496328E-2"/>
    <x v="106"/>
    <n v="0"/>
    <n v="0"/>
    <n v="0"/>
    <n v="0"/>
    <n v="0"/>
    <n v="0"/>
  </r>
  <r>
    <n v="1781"/>
    <s v="แขวงทางหลวงชลบุรีที่ 2"/>
    <n v="428"/>
    <n v="331"/>
    <n v="101"/>
    <s v="สัตหีบ - ห้วยใหญ่"/>
    <s v="10+000"/>
    <s v="0+000"/>
    <n v="10"/>
    <n v="2"/>
    <s v="R2"/>
    <d v="2015-08-14T00:00:00"/>
    <s v="A.C."/>
    <n v="6.6749999999999998"/>
    <n v="2"/>
    <n v="0.85"/>
    <n v="0.45"/>
    <n v="2.31176"/>
    <n v="2.5"/>
    <n v="9.5500000000000007"/>
    <n v="0.4"/>
    <n v="2.5000000000000001E-2"/>
    <n v="0"/>
    <n v="5.0850400000000002"/>
    <n v="5"/>
    <n v="0"/>
    <n v="0"/>
    <n v="9.9749999999999996"/>
    <n v="1.29434"/>
    <n v="15.64"/>
    <n v="0"/>
    <n v="4.4685714285714287E-2"/>
    <x v="106"/>
    <n v="0"/>
    <n v="0"/>
    <n v="0"/>
    <n v="0"/>
    <n v="0"/>
    <n v="0"/>
  </r>
  <r>
    <n v="1073"/>
    <s v="แขวงทางหลวงสระแก้ว (วัฒนานคร)"/>
    <n v="619"/>
    <n v="3076"/>
    <n v="402"/>
    <s v="ทุ่งกบินทร์ - ไผ่ล้อม"/>
    <s v="209+931"/>
    <s v="168+203"/>
    <n v="41.728000000000002"/>
    <n v="2"/>
    <s v="R1"/>
    <d v="2015-04-01T00:00:00"/>
    <s v="A.C."/>
    <n v="26.16"/>
    <n v="9.93"/>
    <n v="3.85"/>
    <n v="1.79"/>
    <n v="2.44713"/>
    <n v="2.5"/>
    <n v="33.380000000000003"/>
    <n v="4.8499999999999996"/>
    <n v="2.19"/>
    <n v="1.32"/>
    <n v="7.0902200000000004"/>
    <n v="7"/>
    <n v="0"/>
    <n v="0"/>
    <n v="41.73"/>
    <n v="1.2279500000000001"/>
    <n v="64.67"/>
    <n v="0"/>
    <n v="4.4279962751971956E-2"/>
    <x v="106"/>
    <n v="0"/>
    <n v="0"/>
    <n v="0"/>
    <n v="0"/>
    <n v="0"/>
    <n v="0"/>
  </r>
  <r>
    <n v="565"/>
    <s v="แขวงทางหลวงเพชรบูรณ์ที่ 1"/>
    <n v="551"/>
    <n v="2323"/>
    <n v="100"/>
    <s v="ทางเข้าอนุสรณ์ผู้เสียสละเขาค้อ"/>
    <n v="5818"/>
    <n v="0"/>
    <n v="5.8179999999999996"/>
    <n v="2"/>
    <s v="R1"/>
    <d v="2015-08-08T00:00:00"/>
    <s v="A.C."/>
    <n v="1.81"/>
    <n v="1.99"/>
    <n v="1.43"/>
    <n v="0.6"/>
    <n v="3.3255599999999998"/>
    <n v="3.5"/>
    <n v="5.53"/>
    <n v="0.2"/>
    <n v="0.04"/>
    <n v="0.03"/>
    <n v="2.4363199999999998"/>
    <n v="2.5"/>
    <n v="0"/>
    <n v="0"/>
    <n v="5.8000000000000007"/>
    <n v="1.24718"/>
    <n v="9"/>
    <n v="0"/>
    <n v="4.4197809752983354E-2"/>
    <x v="106"/>
    <n v="0"/>
    <n v="0"/>
    <n v="0"/>
    <n v="0"/>
    <n v="0"/>
    <n v="0"/>
  </r>
  <r>
    <n v="859"/>
    <s v="แขวงทางหลวงสุรินทร์"/>
    <n v="615"/>
    <n v="2333"/>
    <n v="101"/>
    <s v="หนองสนิท - สนม"/>
    <n v="0"/>
    <n v="16600"/>
    <n v="16.600000000000001"/>
    <n v="2"/>
    <s v="L1"/>
    <d v="2015-05-12T00:00:00"/>
    <s v="A.C."/>
    <n v="12.65"/>
    <n v="2.6749999999999998"/>
    <n v="1.05"/>
    <n v="0.2"/>
    <n v="2.3119999999999998"/>
    <n v="2.5"/>
    <n v="15.05"/>
    <n v="1.25"/>
    <n v="0.22500000000000001"/>
    <n v="0.05"/>
    <n v="5.8609999999999998"/>
    <n v="6"/>
    <n v="0"/>
    <n v="0"/>
    <n v="16.574999999999999"/>
    <n v="1.718"/>
    <n v="19.02"/>
    <n v="13.16"/>
    <n v="4.4061999999999997E-2"/>
    <x v="106"/>
    <n v="1.46"/>
    <n v="2.513E-3"/>
    <n v="63.57"/>
    <n v="0.109415"/>
    <n v="0"/>
    <n v="0"/>
  </r>
  <r>
    <n v="113"/>
    <s v="แขวงทางหลวงเชียงใหม่ที่ 3"/>
    <n v="527"/>
    <n v="1150"/>
    <n v="101"/>
    <s v="ปิงโค้ง - กิ่วไฮ"/>
    <n v="16000"/>
    <n v="0"/>
    <n v="16"/>
    <n v="2"/>
    <s v="R1"/>
    <d v="2015-08-24T00:00:00"/>
    <s v="A.C."/>
    <n v="4.3499999999999996"/>
    <n v="6.94"/>
    <n v="3.14"/>
    <n v="1.56"/>
    <n v="3.3271899999999999"/>
    <n v="3.5"/>
    <n v="11.09"/>
    <n v="3.35"/>
    <n v="1.01"/>
    <n v="0.55000000000000004"/>
    <n v="8.6918299999999995"/>
    <n v="8.5"/>
    <n v="0"/>
    <n v="0"/>
    <n v="16"/>
    <n v="1.5047699999999999"/>
    <n v="21.367999999999999"/>
    <n v="6.35"/>
    <n v="4.3826785714285714E-2"/>
    <x v="106"/>
    <n v="25.68"/>
    <n v="4.585714285714286E-2"/>
    <n v="0"/>
    <n v="0"/>
    <n v="0"/>
    <n v="0"/>
  </r>
  <r>
    <n v="954"/>
    <s v="แขวงทางหลวงนครราชสีมาที่ 1"/>
    <n v="611"/>
    <n v="2285"/>
    <n v="100"/>
    <s v="ประทาย - ชุมพวง"/>
    <n v="0"/>
    <n v="22390"/>
    <n v="22.39"/>
    <n v="2"/>
    <s v="L1"/>
    <d v="2015-04-24T00:00:00"/>
    <s v="A.C."/>
    <n v="19.024999999999999"/>
    <n v="2.2250000000000001"/>
    <n v="0.6"/>
    <n v="0.42499999999999999"/>
    <n v="1.95296"/>
    <n v="2"/>
    <n v="21.925000000000001"/>
    <n v="0.32500000000000001"/>
    <n v="2.5000000000000001E-2"/>
    <n v="0"/>
    <n v="3.29657"/>
    <n v="3.5"/>
    <n v="0"/>
    <n v="0"/>
    <n v="22.39"/>
    <n v="1.14131"/>
    <n v="34.29"/>
    <n v="0"/>
    <n v="4.3756779174376308E-2"/>
    <x v="106"/>
    <n v="16.34"/>
    <n v="2.0851145281694631E-2"/>
    <n v="0"/>
    <n v="0"/>
    <n v="0"/>
    <n v="0"/>
  </r>
  <r>
    <n v="2042"/>
    <s v="แขวงทางหลวงนครศรีธรรมราชที่ 2 (ทุ่งสง)"/>
    <n v="326"/>
    <n v="4227"/>
    <n v="100"/>
    <s v="สำนักขัน - เหนือคลอง"/>
    <n v="0"/>
    <n v="13840"/>
    <n v="13.84"/>
    <n v="2"/>
    <s v="L1"/>
    <d v="2015-05-02T00:00:00"/>
    <s v="A.C."/>
    <n v="10.75"/>
    <n v="1.825"/>
    <n v="0.72499999999999998"/>
    <n v="0.45"/>
    <n v="2.2362700000000002"/>
    <n v="2"/>
    <n v="13.65"/>
    <n v="0.1"/>
    <n v="0"/>
    <n v="0"/>
    <n v="2.0596800000000002"/>
    <n v="2"/>
    <n v="0"/>
    <n v="0"/>
    <n v="13.749999999999998"/>
    <n v="1.1189899999999999"/>
    <n v="5.71"/>
    <n v="30.86"/>
    <n v="4.3641618497109833E-2"/>
    <x v="106"/>
    <n v="74.28"/>
    <n v="0.15334434351775392"/>
    <n v="0"/>
    <n v="0"/>
    <n v="0"/>
    <n v="0"/>
  </r>
  <r>
    <n v="2096"/>
    <s v="แขวงทางหลวงกระบี่"/>
    <n v="323"/>
    <n v="4203"/>
    <n v="100"/>
    <s v="อ่าวน้ำเมา - หาดนพรัตน์ธารา"/>
    <n v="0"/>
    <n v="4590"/>
    <n v="4.59"/>
    <n v="2"/>
    <s v="L1"/>
    <d v="2015-05-08T00:00:00"/>
    <s v="A.C."/>
    <n v="3.52"/>
    <n v="0.71"/>
    <n v="0.33"/>
    <n v="0.03"/>
    <n v="1.95055"/>
    <n v="2"/>
    <n v="4.54"/>
    <n v="0.03"/>
    <n v="0.03"/>
    <n v="0"/>
    <n v="1.9396500000000001"/>
    <n v="2"/>
    <n v="0"/>
    <n v="0"/>
    <n v="4.59"/>
    <n v="1.05409"/>
    <n v="6.33"/>
    <n v="1.2"/>
    <n v="4.3137254901960791E-2"/>
    <x v="106"/>
    <n v="4.96"/>
    <n v="3.0874572051042642E-2"/>
    <n v="0"/>
    <n v="0"/>
    <n v="1.03"/>
    <n v="6.4114534702770006E-3"/>
  </r>
  <r>
    <n v="1174"/>
    <s v="แขวงทางหลวงสิงห์บุรี"/>
    <n v="433"/>
    <n v="311"/>
    <n v="201"/>
    <s v="แยกวัดสนามไชย - วัดกระดังงา"/>
    <s v="28+071"/>
    <s v="39+772"/>
    <n v="11.701000000000001"/>
    <n v="4"/>
    <s v="L3"/>
    <d v="2015-10-05T00:00:00"/>
    <s v="A.C."/>
    <n v="8.4499999999999993"/>
    <n v="2.375"/>
    <n v="0.65"/>
    <n v="0.27500000000000002"/>
    <n v="2.33202"/>
    <n v="2.5"/>
    <n v="11.675000000000001"/>
    <n v="7.4999999999999997E-2"/>
    <n v="0"/>
    <n v="0"/>
    <n v="2.8794"/>
    <n v="3"/>
    <n v="0"/>
    <n v="0"/>
    <n v="11.701000000000001"/>
    <n v="1.1623600000000001"/>
    <n v="15.87"/>
    <n v="3.25"/>
    <n v="4.2719181510737773E-2"/>
    <x v="106"/>
    <n v="9.1560000000000006"/>
    <n v="2.2357063498846249E-2"/>
    <n v="0"/>
    <n v="0"/>
    <n v="0"/>
    <n v="0"/>
  </r>
  <r>
    <n v="770"/>
    <s v="แขวงทางหลวงมหาสารคาม"/>
    <n v="622"/>
    <n v="2188"/>
    <n v="100"/>
    <s v="กันทรวิชัย - บ้านขี"/>
    <n v="0"/>
    <n v="22349"/>
    <n v="22.349"/>
    <n v="2"/>
    <s v="L1"/>
    <d v="2015-05-28T00:00:00"/>
    <s v="A.C."/>
    <n v="18.524999999999999"/>
    <n v="3.1749999999999998"/>
    <n v="0.3"/>
    <n v="0.22500000000000001"/>
    <n v="2.0179299999999998"/>
    <n v="2"/>
    <n v="22.17"/>
    <n v="0.18"/>
    <n v="0"/>
    <n v="0"/>
    <n v="3.3871500000000001"/>
    <n v="3.5"/>
    <n v="0"/>
    <n v="0"/>
    <n v="22.35"/>
    <n v="1.1687000000000001"/>
    <n v="19"/>
    <n v="28.72"/>
    <n v="4.2648121040890288E-2"/>
    <x v="106"/>
    <n v="3.3149999999999999"/>
    <n v="4.2379652653042957E-3"/>
    <n v="0"/>
    <n v="0"/>
    <n v="2"/>
    <n v="2.5568417890221998E-3"/>
  </r>
  <r>
    <n v="1877"/>
    <s v="แขวงทางหลวงราชบุรี"/>
    <n v="335"/>
    <n v="3291"/>
    <n v="101"/>
    <s v="เจดีย์หัก - แก้วฟ้า"/>
    <s v="4+207"/>
    <s v="14+207"/>
    <n v="10"/>
    <n v="2"/>
    <s v="L1"/>
    <d v="2015-04-01T00:00:00"/>
    <s v="A.C."/>
    <n v="6.53"/>
    <n v="3.24"/>
    <n v="0.23"/>
    <n v="0"/>
    <n v="2.3182200000000002"/>
    <n v="2.5"/>
    <n v="8.89"/>
    <n v="0.93"/>
    <n v="0.13"/>
    <n v="0.05"/>
    <n v="5.37859"/>
    <n v="5.5"/>
    <n v="0"/>
    <n v="0"/>
    <n v="10"/>
    <n v="1.2419100000000001"/>
    <n v="10.73"/>
    <n v="8.1999999999999993"/>
    <n v="4.2371428571428574E-2"/>
    <x v="106"/>
    <n v="7.68"/>
    <n v="2.1942857142857142E-2"/>
    <n v="0"/>
    <n v="0"/>
    <n v="10.33"/>
    <n v="2.9514285714285715E-2"/>
  </r>
  <r>
    <n v="1117"/>
    <s v="แขวงทางหลวงลพบุรีที่ 1"/>
    <n v="431"/>
    <n v="3196"/>
    <n v="301"/>
    <s v="จันเสน - ท่าแค"/>
    <s v="30+500"/>
    <s v="63+800"/>
    <n v="33.299999999999997"/>
    <n v="2"/>
    <s v="L1"/>
    <d v="2015-10-05T00:00:00"/>
    <s v="A.C."/>
    <n v="16.399999999999999"/>
    <n v="9.0250000000000004"/>
    <n v="5.0250000000000004"/>
    <n v="3.2250000000000001"/>
    <n v="3.0148799999999998"/>
    <n v="3"/>
    <n v="31.125"/>
    <n v="1.7749999999999999"/>
    <n v="0.57499999999999996"/>
    <n v="0.2"/>
    <n v="4.3625600000000002"/>
    <n v="4.5"/>
    <n v="0"/>
    <n v="0"/>
    <n v="33.674999999999997"/>
    <n v="1.2768699999999999"/>
    <n v="49.220999999999997"/>
    <n v="6.0000000000000001E-3"/>
    <n v="4.2234234234234239E-2"/>
    <x v="106"/>
    <n v="64.319999999999993"/>
    <n v="5.5186615186615183E-2"/>
    <n v="3.2"/>
    <n v="2.745602745602746E-3"/>
    <n v="0"/>
    <n v="0"/>
  </r>
  <r>
    <n v="1426"/>
    <s v="แขวงทางหลวงอุทัยธานี"/>
    <n v="447"/>
    <n v="3456"/>
    <n v="101"/>
    <s v="หนองกระดี่  - คลองข่อย"/>
    <n v="0"/>
    <n v="50107"/>
    <n v="50.106999999999999"/>
    <n v="2"/>
    <s v="L1"/>
    <d v="2015-08-01T00:00:00"/>
    <s v="A.C."/>
    <n v="31.5"/>
    <n v="12.2"/>
    <n v="4.8"/>
    <n v="1.7250000000000001"/>
    <n v="2.45966"/>
    <n v="2.5"/>
    <n v="46.85"/>
    <n v="2.6"/>
    <n v="0.6"/>
    <n v="0.17499999999999999"/>
    <n v="3.8143899999999999"/>
    <n v="4"/>
    <n v="0"/>
    <n v="0"/>
    <n v="50.225000000000001"/>
    <n v="1.24028"/>
    <n v="13.55"/>
    <n v="120.545"/>
    <n v="4.2094204117474325E-2"/>
    <x v="106"/>
    <n v="13.246499999999999"/>
    <n v="7.5532645852162085E-3"/>
    <n v="1.256"/>
    <n v="7.1618165696837345E-4"/>
    <n v="0"/>
    <n v="0"/>
  </r>
  <r>
    <n v="398"/>
    <s v="แขวงทางหลวงพิษณุโลกที่ 1"/>
    <n v="511"/>
    <n v="126"/>
    <n v="200"/>
    <s v="ถนนวงแหวนรอบเมืองพิษณุโลกด้านทิศใต้"/>
    <s v="30+203"/>
    <s v="51+054"/>
    <n v="20.850999999999999"/>
    <s v="L2"/>
    <n v="2"/>
    <d v="2015-09-19T00:00:00"/>
    <s v="A.C."/>
    <n v="15.65"/>
    <n v="3.25"/>
    <n v="1.42"/>
    <n v="0.53"/>
    <n v="2.0924299999999998"/>
    <n v="2"/>
    <n v="20.85"/>
    <n v="0"/>
    <n v="0"/>
    <n v="0"/>
    <n v="1.5823"/>
    <n v="1.5"/>
    <n v="0"/>
    <n v="0"/>
    <n v="20.85"/>
    <n v="1.32161"/>
    <n v="14.32"/>
    <n v="32.658000000000001"/>
    <n v="4.1997E-2"/>
    <x v="106"/>
    <n v="10.36"/>
    <n v="1.4196E-2"/>
    <n v="0"/>
    <n v="0"/>
    <n v="0"/>
    <n v="0"/>
  </r>
  <r>
    <n v="882"/>
    <s v="แขวงทางหลวงอุบลราชธานีที่ 2 (หนองหาน)"/>
    <n v="632"/>
    <n v="2172"/>
    <n v="102"/>
    <s v="อ่างศิลา - โนนเรียง"/>
    <n v="22000"/>
    <n v="44683"/>
    <n v="22.683"/>
    <n v="2"/>
    <s v="L1"/>
    <d v="2015-05-20T00:00:00"/>
    <s v="A.C."/>
    <n v="16.574999999999999"/>
    <n v="4.1500000000000004"/>
    <n v="1.075"/>
    <n v="0.8"/>
    <n v="2.4548399999999999"/>
    <n v="2.5"/>
    <n v="22.1"/>
    <n v="0.42499999999999999"/>
    <n v="7.4999999999999997E-2"/>
    <n v="0"/>
    <n v="3.1599400000000002"/>
    <n v="3"/>
    <n v="0"/>
    <n v="0"/>
    <n v="22.6"/>
    <n v="1.7443"/>
    <n v="0"/>
    <n v="66.680000000000007"/>
    <n v="4.1994999999999998E-2"/>
    <x v="106"/>
    <n v="598.53"/>
    <n v="0.75390599999999997"/>
    <n v="0"/>
    <n v="0"/>
    <n v="0.4"/>
    <n v="5.04E-4"/>
  </r>
  <r>
    <n v="2175"/>
    <s v="แขวงทางหลวงสงขลาที่ 1"/>
    <n v="311"/>
    <n v="414"/>
    <n v="102"/>
    <s v="คลองวง - ท่าท้อน"/>
    <s v="19+574"/>
    <s v="16+292"/>
    <n v="3.282"/>
    <n v="2"/>
    <s v="R1"/>
    <d v="2015-05-21T00:00:00"/>
    <s v="A.C."/>
    <n v="2.125"/>
    <n v="1.125"/>
    <n v="0.05"/>
    <n v="0"/>
    <n v="2.3140000000000001"/>
    <n v="2.5"/>
    <n v="3.3"/>
    <n v="0"/>
    <n v="0"/>
    <n v="0"/>
    <n v="5.1239999999999997"/>
    <n v="5"/>
    <n v="0"/>
    <n v="0"/>
    <n v="3.3"/>
    <n v="1.137"/>
    <n v="3.87"/>
    <n v="1.87"/>
    <n v="4.1829894663532687E-2"/>
    <x v="106"/>
    <n v="21.8"/>
    <n v="0.18977975102289546"/>
    <n v="12.8"/>
    <n v="0.11143031252720467"/>
    <n v="0"/>
    <n v="0"/>
  </r>
  <r>
    <n v="846"/>
    <s v="แขวงทางหลวงสุรินทร์"/>
    <n v="615"/>
    <n v="224"/>
    <n v="400"/>
    <s v="ตาเมียง - หินโคน"/>
    <n v="189040"/>
    <n v="225356"/>
    <n v="36.316000000000003"/>
    <n v="2"/>
    <s v="L1"/>
    <d v="2015-05-09T00:00:00"/>
    <s v="A.C."/>
    <n v="25.425000000000001"/>
    <n v="7.7750000000000004"/>
    <n v="2.375"/>
    <n v="0.65"/>
    <n v="2.4632700000000001"/>
    <n v="2.5"/>
    <n v="35.024999999999999"/>
    <n v="0.85"/>
    <n v="0.3"/>
    <n v="0.05"/>
    <n v="4.3564499999999997"/>
    <n v="4.5"/>
    <n v="0"/>
    <n v="2.5000000000000001E-2"/>
    <n v="36.225000000000001"/>
    <n v="1.3295999999999999"/>
    <n v="25.16"/>
    <n v="55.78"/>
    <n v="4.1739999999999999E-2"/>
    <x v="106"/>
    <n v="3716.36"/>
    <n v="2.9238300000000002"/>
    <n v="0"/>
    <n v="0"/>
    <n v="2.69"/>
    <n v="2.1199999999999999E-3"/>
  </r>
  <r>
    <n v="582"/>
    <s v="แขวงทางหลวงเพชรบูรณ์ที่ 2 (บึงสามพัน)"/>
    <n v="552"/>
    <n v="2012"/>
    <n v="100"/>
    <s v="บ้านสามแยก - วิเชียรบุรี"/>
    <n v="7200"/>
    <n v="0"/>
    <n v="7.2"/>
    <n v="6"/>
    <s v="R2"/>
    <d v="2015-07-09T00:00:00"/>
    <s v="A.C."/>
    <n v="4.4000000000000004"/>
    <n v="1.2"/>
    <n v="1.075"/>
    <n v="0.52500000000000002"/>
    <n v="3.1078999999999999"/>
    <n v="3"/>
    <n v="6.9"/>
    <n v="0.22500000000000001"/>
    <n v="2.5000000000000001E-2"/>
    <n v="0.05"/>
    <n v="4.4017099999999996"/>
    <n v="4.5"/>
    <n v="0"/>
    <n v="0"/>
    <n v="7.2000000000000011"/>
    <n v="1.40055"/>
    <n v="0"/>
    <n v="21"/>
    <n v="4.1666666666666671E-2"/>
    <x v="106"/>
    <n v="0"/>
    <n v="0"/>
    <n v="45"/>
    <n v="0.17857142857142858"/>
    <n v="4"/>
    <n v="1.5873015873015872E-2"/>
  </r>
  <r>
    <n v="996"/>
    <s v="แขวงทางหลวงบุรีรัมย์"/>
    <n v="617"/>
    <n v="202"/>
    <n v="300"/>
    <s v="ตลาดไทร - ลำพังชู"/>
    <n v="94878"/>
    <n v="127975"/>
    <n v="33.097000000000001"/>
    <n v="2"/>
    <s v="L1"/>
    <d v="2015-05-05T00:00:00"/>
    <s v="A.C."/>
    <n v="18.88"/>
    <n v="8.9499999999999993"/>
    <n v="3.7250000000000001"/>
    <n v="1.45"/>
    <n v="2.9043100000000002"/>
    <n v="3"/>
    <n v="24.95"/>
    <n v="6.0250000000000004"/>
    <n v="1.6"/>
    <n v="0.42499999999999999"/>
    <n v="8.0472900000000003"/>
    <n v="8"/>
    <n v="0"/>
    <n v="0"/>
    <n v="33.005000000000003"/>
    <n v="1.14917"/>
    <n v="47.96"/>
    <n v="0"/>
    <n v="4.1402112405526617E-2"/>
    <x v="106"/>
    <n v="982.37"/>
    <n v="0.84804406096366092"/>
    <n v="563.42999999999995"/>
    <n v="0.4863884944254766"/>
    <n v="0"/>
    <n v="0"/>
  </r>
  <r>
    <n v="1742"/>
    <s v="แขวงทางหลวงจันทบุรี"/>
    <n v="423"/>
    <n v="3322"/>
    <n v="102"/>
    <s v="เขาสุกิม - ห้วยสะท้อน"/>
    <n v="29475"/>
    <n v="15000"/>
    <n v="14.475"/>
    <n v="2"/>
    <s v="R1"/>
    <d v="2015-08-19T00:00:00"/>
    <s v="A.C."/>
    <n v="7.9139999999999997"/>
    <n v="4.2569999999999997"/>
    <n v="1.853"/>
    <n v="0.45100000000000001"/>
    <n v="2.84918"/>
    <n v="3"/>
    <n v="13.9"/>
    <n v="0.47499999999999998"/>
    <n v="0.05"/>
    <n v="2.5000000000000001E-2"/>
    <n v="4.7341800000000003"/>
    <n v="4.5"/>
    <n v="0"/>
    <n v="0"/>
    <n v="14.475"/>
    <n v="1.1068100000000001"/>
    <n v="14.65"/>
    <n v="12.62"/>
    <n v="4.1371823340735261E-2"/>
    <x v="106"/>
    <n v="19.34"/>
    <n v="3.8174191956575371E-2"/>
    <n v="0"/>
    <n v="0"/>
    <n v="0.42"/>
    <n v="8.2901554404145078E-4"/>
  </r>
  <r>
    <n v="1968"/>
    <s v="แขวงทางหลวงนครศรีธรรมราชที่ 1"/>
    <n v="321"/>
    <n v="4316"/>
    <n v="100"/>
    <s v="บนเนิน - ปากพนัง"/>
    <n v="0"/>
    <n v="1393"/>
    <n v="1.393"/>
    <n v="2"/>
    <s v="L1"/>
    <d v="2015-04-30T00:00:00"/>
    <s v="A.C."/>
    <n v="1"/>
    <n v="0.1"/>
    <n v="2.5000000000000001E-2"/>
    <n v="0.1"/>
    <n v="2.2814299999999998"/>
    <n v="2.5"/>
    <n v="1.2250000000000001"/>
    <n v="0"/>
    <n v="0"/>
    <n v="0"/>
    <n v="2.0034100000000001"/>
    <n v="2"/>
    <n v="0"/>
    <n v="0"/>
    <n v="1.2250000000000001"/>
    <n v="1.05084"/>
    <n v="0"/>
    <n v="4"/>
    <n v="4.1021433699107782E-2"/>
    <x v="106"/>
    <n v="0"/>
    <n v="0"/>
    <n v="0"/>
    <n v="0"/>
    <n v="0"/>
    <n v="0"/>
  </r>
  <r>
    <n v="1547"/>
    <s v="แขวงทางหลวงสมุทรสาคร"/>
    <n v="415"/>
    <n v="3242"/>
    <n v="100"/>
    <s v="สมุทรสาคร - บางบอน"/>
    <s v="1+216"/>
    <s v="13+746"/>
    <n v="12.53"/>
    <n v="6"/>
    <s v="L2"/>
    <d v="2015-08-26T00:00:00"/>
    <s v="A.C."/>
    <n v="8.875"/>
    <n v="2.2250000000000001"/>
    <n v="0.9"/>
    <n v="0.65"/>
    <n v="2.77841"/>
    <n v="3"/>
    <n v="11.2"/>
    <n v="0.95"/>
    <n v="0.4"/>
    <n v="0.1"/>
    <n v="5.0141499999999999"/>
    <n v="5"/>
    <n v="0"/>
    <n v="0"/>
    <n v="12.65"/>
    <n v="1.04922"/>
    <n v="0"/>
    <n v="35.85"/>
    <n v="4.0869999999999997E-2"/>
    <x v="106"/>
    <n v="0"/>
    <n v="0"/>
    <n v="0"/>
    <n v="0"/>
    <n v="0"/>
    <n v="0"/>
  </r>
  <r>
    <n v="147"/>
    <s v="แขวงทางหลวงแพร่"/>
    <n v="531"/>
    <n v="1023"/>
    <n v="102"/>
    <s v="แยกแม่แขม - วังชิ้น"/>
    <s v="77+349"/>
    <s v="56+627"/>
    <n v="20.722000000000001"/>
    <n v="2"/>
    <s v="R1"/>
    <d v="2015-08-07T00:00:00"/>
    <s v="A.C."/>
    <n v="14.42"/>
    <n v="3.65"/>
    <n v="1.8"/>
    <n v="0.85"/>
    <n v="2.3851"/>
    <n v="2.5"/>
    <n v="4.83"/>
    <n v="0.2"/>
    <n v="0.03"/>
    <n v="15.68"/>
    <n v="35.341500000000003"/>
    <n v="35.5"/>
    <n v="0"/>
    <n v="0"/>
    <n v="20.73"/>
    <n v="1.38296"/>
    <n v="28"/>
    <n v="3.19"/>
    <n v="4.0805493126697644E-2"/>
    <x v="106"/>
    <n v="115"/>
    <n v="0.15856163911370938"/>
    <n v="0"/>
    <n v="0"/>
    <n v="2"/>
    <n v="2.7575937237166851E-3"/>
  </r>
  <r>
    <n v="514"/>
    <s v="แขวงทางหลวงอุตรดิตถ์ที่ 1"/>
    <n v="557"/>
    <n v="117"/>
    <n v="403"/>
    <s v="ป่าขนุน - วังผาชัน"/>
    <s v="248+700"/>
    <s v="294+700"/>
    <n v="46"/>
    <s v="L1"/>
    <n v="2"/>
    <d v="2015-09-23T00:00:00"/>
    <s v="A.C."/>
    <n v="35.35"/>
    <n v="7.3"/>
    <n v="2.6"/>
    <n v="0.8"/>
    <n v="2.1808700000000001"/>
    <n v="2"/>
    <n v="43.725000000000001"/>
    <n v="2.0750000000000002"/>
    <n v="0.2"/>
    <n v="0.05"/>
    <n v="4.2564700000000002"/>
    <n v="4.5"/>
    <n v="0"/>
    <n v="0"/>
    <n v="46.05"/>
    <n v="1.2003200000000001"/>
    <n v="62.14"/>
    <n v="6.54"/>
    <n v="4.0627000000000003E-2"/>
    <x v="106"/>
    <n v="126.49"/>
    <n v="7.8564999999999996E-2"/>
    <n v="0"/>
    <n v="0"/>
    <n v="0"/>
    <n v="0"/>
  </r>
  <r>
    <n v="1367"/>
    <s v="แขวงทางหลวงสุพรรณบุรีที่ 2 (อู่ทอง)"/>
    <n v="445"/>
    <n v="3342"/>
    <n v="100"/>
    <s v="วังขอน - บ่อพลอย"/>
    <n v="38776"/>
    <n v="0"/>
    <n v="38.776000000000003"/>
    <n v="2"/>
    <s v="R1"/>
    <d v="2015-07-03T00:00:00"/>
    <s v="A.C."/>
    <n v="27.625"/>
    <n v="6.0750000000000002"/>
    <n v="2.9750000000000001"/>
    <n v="2.0249999999999999"/>
    <n v="2.3712300000000002"/>
    <n v="2.5"/>
    <n v="35.450000000000003"/>
    <n v="2.4500000000000002"/>
    <n v="0.67500000000000004"/>
    <n v="0.125"/>
    <n v="4.9515000000000002"/>
    <n v="5"/>
    <n v="0"/>
    <n v="0"/>
    <n v="38.700000000000003"/>
    <n v="1.3128"/>
    <n v="55"/>
    <n v="0"/>
    <n v="4.0525803884582511E-2"/>
    <x v="106"/>
    <n v="0"/>
    <n v="0"/>
    <n v="6"/>
    <n v="4.4209967874090017E-3"/>
    <n v="0"/>
    <n v="0"/>
  </r>
  <r>
    <n v="841"/>
    <s v="แขวงทางหลวงสุรินทร์"/>
    <n v="615"/>
    <n v="214"/>
    <n v="306"/>
    <s v="ปราสาท - ช่องจอม"/>
    <n v="224189"/>
    <n v="264660"/>
    <n v="40.470999999999997"/>
    <n v="2"/>
    <s v="L1"/>
    <d v="2015-05-09T00:00:00"/>
    <s v="A.C."/>
    <n v="24.475000000000001"/>
    <n v="10.275"/>
    <n v="4.05"/>
    <n v="1.4750000000000001"/>
    <n v="3.0139999999999998"/>
    <n v="3"/>
    <n v="36.6"/>
    <n v="3.25"/>
    <n v="0.32500000000000001"/>
    <n v="0.1"/>
    <n v="5.9710000000000001"/>
    <n v="6"/>
    <n v="0"/>
    <n v="0"/>
    <n v="40.274999999999999"/>
    <n v="1.351"/>
    <n v="55.39"/>
    <n v="3.88"/>
    <n v="4.0469999999999999E-2"/>
    <x v="106"/>
    <n v="673.67"/>
    <n v="0.47559000000000001"/>
    <n v="0"/>
    <n v="0"/>
    <n v="0.65"/>
    <n v="4.6000000000000001E-4"/>
  </r>
  <r>
    <n v="390"/>
    <s v="แขวงทางหลวงกำแพงเพชร"/>
    <n v="517"/>
    <n v="1117"/>
    <n v="100"/>
    <s v="คลองแม่ลาย - อุ้มผาง"/>
    <s v="0+000"/>
    <n v="99900"/>
    <n v="99.9"/>
    <n v="2"/>
    <s v="L1"/>
    <d v="2015-09-15T00:00:00"/>
    <s v="A.C."/>
    <n v="34.64"/>
    <n v="34.32"/>
    <n v="20.68"/>
    <n v="10.25"/>
    <n v="3.3132000000000001"/>
    <n v="3.5"/>
    <n v="92.37"/>
    <n v="5.22"/>
    <n v="1.43"/>
    <n v="0.89"/>
    <n v="4.2342399999999998"/>
    <n v="4"/>
    <n v="0"/>
    <n v="0"/>
    <n v="99.9"/>
    <n v="1.4050800000000001"/>
    <n v="124.258"/>
    <n v="34.270000000000003"/>
    <n v="4.0438438438438432E-2"/>
    <x v="106"/>
    <n v="86.48"/>
    <n v="2.4733304733304727E-2"/>
    <n v="0"/>
    <n v="0"/>
    <n v="0"/>
    <n v="0"/>
  </r>
  <r>
    <n v="1792"/>
    <s v="แขวงทางหลวงชลบุรีที่ 2"/>
    <n v="428"/>
    <n v="3134"/>
    <n v="100"/>
    <s v="แยกอ่างศิลา - เขาสามมุข"/>
    <s v="7+533"/>
    <s v="0+000"/>
    <n v="7.5330000000000004"/>
    <n v="6"/>
    <s v="R2"/>
    <d v="2015-08-14T00:00:00"/>
    <s v="A.C."/>
    <n v="4.2"/>
    <n v="2.25"/>
    <n v="0.875"/>
    <n v="0.2"/>
    <n v="2.7742100000000001"/>
    <n v="3"/>
    <n v="7.0250000000000004"/>
    <n v="0.42499999999999999"/>
    <n v="0.05"/>
    <n v="2.5000000000000001E-2"/>
    <n v="6.25631"/>
    <n v="6.5"/>
    <n v="0"/>
    <n v="0"/>
    <n v="7.5250000000000004"/>
    <n v="1.2153799999999999"/>
    <n v="3.47"/>
    <n v="14.19"/>
    <n v="4.0071305304280214E-2"/>
    <x v="106"/>
    <n v="0"/>
    <n v="0"/>
    <n v="0"/>
    <n v="0"/>
    <n v="0"/>
    <n v="0"/>
  </r>
  <r>
    <n v="908"/>
    <s v="แขวงทางหลวงอำนาจเจริญ"/>
    <n v="634"/>
    <n v="2460"/>
    <n v="100"/>
    <s v="ทางเข้าโพธิ์ไทร"/>
    <n v="0"/>
    <n v="1675"/>
    <n v="1.675"/>
    <n v="2"/>
    <s v="L1"/>
    <d v="2015-05-22T00:00:00"/>
    <s v="A.C."/>
    <n v="0.22500000000000001"/>
    <n v="0.6"/>
    <n v="0.42499999999999999"/>
    <n v="0.3"/>
    <n v="3.9903599999999999"/>
    <n v="4"/>
    <n v="1.55"/>
    <n v="0"/>
    <n v="0"/>
    <n v="0"/>
    <n v="1.64829"/>
    <n v="1.5"/>
    <n v="0"/>
    <n v="0"/>
    <n v="1.55"/>
    <n v="1.5617000000000001"/>
    <n v="0"/>
    <n v="4.67"/>
    <n v="3.9829999999999997E-2"/>
    <x v="106"/>
    <n v="1.94"/>
    <n v="3.3090000000000001E-2"/>
    <n v="0"/>
    <n v="0"/>
    <n v="0"/>
    <n v="0"/>
  </r>
  <r>
    <n v="323"/>
    <s v="แขวงทางหลวงนครพนม"/>
    <n v="644"/>
    <n v="2390"/>
    <n v="100"/>
    <s v="ปฏิรูป - โนนสมบูรณ์"/>
    <n v="18421"/>
    <n v="0"/>
    <n v="18.420999999999999"/>
    <n v="2"/>
    <s v="R1"/>
    <d v="2015-06-03T00:00:00"/>
    <s v="A.C."/>
    <n v="12.18"/>
    <n v="4.2"/>
    <n v="1.45"/>
    <n v="0.6"/>
    <n v="2.4415499999999999"/>
    <n v="2.5"/>
    <n v="18.43"/>
    <n v="0"/>
    <n v="0"/>
    <n v="0"/>
    <n v="2.7904800000000001"/>
    <n v="3"/>
    <n v="0"/>
    <n v="0"/>
    <n v="18.43"/>
    <n v="1.2584599999999999"/>
    <n v="3"/>
    <n v="45"/>
    <n v="3.9550000000000002E-2"/>
    <x v="106"/>
    <n v="0"/>
    <n v="0"/>
    <n v="0"/>
    <n v="0"/>
    <n v="0"/>
    <n v="0"/>
  </r>
  <r>
    <n v="180"/>
    <s v="แขวงทางหลวงเชียงรายที่ 1"/>
    <n v="533"/>
    <n v="1211"/>
    <n v="100"/>
    <s v="หนองเหียง - ดงมะดะ"/>
    <s v="0+800"/>
    <s v="30+509"/>
    <n v="29.709"/>
    <n v="2"/>
    <s v="L1"/>
    <d v="2015-07-18T00:00:00"/>
    <s v="A.C."/>
    <n v="20.47"/>
    <n v="6.73"/>
    <n v="1.72"/>
    <n v="0.79"/>
    <n v="2.3620000000000001"/>
    <n v="2.5"/>
    <n v="28.59"/>
    <n v="0.99"/>
    <n v="0.1"/>
    <n v="0.03"/>
    <n v="4.6210000000000004"/>
    <n v="4.5"/>
    <n v="0"/>
    <n v="0"/>
    <n v="29.71"/>
    <n v="1.254"/>
    <n v="31.93"/>
    <n v="18.02"/>
    <n v="3.937238835754437E-2"/>
    <x v="106"/>
    <n v="0"/>
    <n v="0"/>
    <n v="0"/>
    <n v="0"/>
    <n v="0"/>
    <n v="0"/>
  </r>
  <r>
    <n v="1666"/>
    <s v="แขวงทางหลวงธนบุรี"/>
    <n v="419"/>
    <n v="9"/>
    <n v="101"/>
    <s v="พระประแดง - บางแค"/>
    <n v="0"/>
    <n v="19972"/>
    <n v="19.972000000000001"/>
    <n v="8"/>
    <s v="L2"/>
    <d v="2015-08-27T00:00:00"/>
    <s v="A.C."/>
    <n v="5.0999999999999996"/>
    <n v="10.45"/>
    <n v="2.0499999999999998"/>
    <n v="2.25"/>
    <n v="3.3761399999999999"/>
    <n v="3.5"/>
    <n v="19.5"/>
    <n v="0.3"/>
    <n v="0.05"/>
    <n v="0"/>
    <n v="4.3579499999999998"/>
    <n v="4.5"/>
    <n v="0"/>
    <n v="0"/>
    <n v="19.849999999999998"/>
    <n v="1.2367600000000001"/>
    <n v="0"/>
    <n v="54.9"/>
    <n v="3.9269262682040569E-2"/>
    <x v="106"/>
    <n v="0"/>
    <n v="0"/>
    <n v="116.25"/>
    <n v="0.16630425452776743"/>
    <n v="0"/>
    <n v="0"/>
  </r>
  <r>
    <n v="1195"/>
    <s v="แขวงทางหลวงลพบุรีที่ 2 (ลำนารายณ์)"/>
    <n v="435"/>
    <n v="205"/>
    <n v="203"/>
    <s v="เทศบาลลำนารายณ์ - ช่องสำราญ"/>
    <s v="74+472"/>
    <s v="111+572"/>
    <n v="37.1"/>
    <n v="2"/>
    <s v="L1"/>
    <d v="2015-10-05T00:00:00"/>
    <s v="A.C."/>
    <n v="22.95"/>
    <n v="7.75"/>
    <n v="4.4000000000000004"/>
    <n v="1.75"/>
    <n v="2.5827200000000001"/>
    <n v="2.5"/>
    <n v="32.475000000000001"/>
    <n v="3.125"/>
    <n v="0.82499999999999996"/>
    <n v="0.42499999999999999"/>
    <n v="5.7622200000000001"/>
    <n v="6"/>
    <n v="0"/>
    <n v="0"/>
    <n v="37.1"/>
    <n v="1.21953"/>
    <n v="47.65"/>
    <n v="6.41"/>
    <n v="3.9164420485175204E-2"/>
    <x v="106"/>
    <n v="63.54"/>
    <n v="4.8932999999999997E-2"/>
    <n v="0"/>
    <n v="0"/>
    <n v="0"/>
    <n v="0"/>
  </r>
  <r>
    <n v="717"/>
    <s v="แขวงทางหลวงขอนแก่นที่ 2 (ชุมแพ)"/>
    <n v="627"/>
    <n v="201"/>
    <n v="302"/>
    <s v="ภูเขียว - ชุมแพ"/>
    <n v="200955"/>
    <n v="221081"/>
    <n v="20.126000000000001"/>
    <n v="4"/>
    <s v="L1"/>
    <d v="2015-06-23T00:00:00"/>
    <s v="A.C."/>
    <n v="10.3428"/>
    <n v="6.2477999999999998"/>
    <n v="2.6442000000000001"/>
    <n v="0.87750000000000006"/>
    <n v="2.60128"/>
    <n v="2.5"/>
    <n v="18.059999999999999"/>
    <n v="2.2000000000000002"/>
    <n v="0.42"/>
    <n v="0.23"/>
    <n v="5.7771699999999999"/>
    <n v="6"/>
    <n v="0"/>
    <n v="0"/>
    <n v="20.126000000000001"/>
    <n v="1.02121"/>
    <n v="27.35"/>
    <n v="0"/>
    <n v="3.8830000000000003E-2"/>
    <x v="106"/>
    <n v="124.2"/>
    <n v="0.176318"/>
    <n v="0"/>
    <n v="0"/>
    <n v="10.8"/>
    <n v="1.5331979954855838E-2"/>
  </r>
  <r>
    <n v="1491"/>
    <s v="แขวงทางหลวงกรุงเทพ"/>
    <n v="411"/>
    <n v="3901"/>
    <n v="601"/>
    <s v="บึงคำพร้อย - คลองพระยาสุเรนทร์"/>
    <s v="30+600"/>
    <s v="34+916"/>
    <n v="4.3159999999999998"/>
    <n v="2"/>
    <s v="L1"/>
    <d v="2015-08-31T00:00:00"/>
    <s v="A.C."/>
    <n v="2.0299999999999998"/>
    <n v="1.107"/>
    <n v="0.63900000000000001"/>
    <n v="0.54"/>
    <n v="3.266"/>
    <n v="3.5"/>
    <n v="1.4750000000000001"/>
    <n v="1.05"/>
    <n v="0.4"/>
    <n v="0.1"/>
    <n v="10.509"/>
    <n v="10.5"/>
    <n v="0"/>
    <n v="0"/>
    <n v="3.0250000000000004"/>
    <n v="1.0129999999999999"/>
    <n v="0"/>
    <n v="11.67"/>
    <n v="3.8627035614987419E-2"/>
    <x v="106"/>
    <n v="0"/>
    <n v="0"/>
    <n v="0"/>
    <n v="0"/>
    <n v="0"/>
    <n v="0"/>
  </r>
  <r>
    <n v="894"/>
    <s v="แขวงทางหลวงอำนาจเจริญ"/>
    <n v="634"/>
    <n v="2050"/>
    <n v="202"/>
    <s v="ห้วยยาง - เขมราฐ"/>
    <n v="77923"/>
    <n v="101069"/>
    <n v="23.146000000000001"/>
    <n v="2"/>
    <s v="L1"/>
    <d v="2015-05-21T00:00:00"/>
    <s v="A.C."/>
    <n v="13.1"/>
    <n v="5.4249999999999998"/>
    <n v="2.875"/>
    <n v="1.1000000000000001"/>
    <n v="3.1269999999999998"/>
    <n v="3"/>
    <n v="20.100000000000001"/>
    <n v="2.1"/>
    <n v="0.2"/>
    <n v="0.1"/>
    <n v="7.3109999999999999"/>
    <n v="7.5"/>
    <n v="0"/>
    <n v="0"/>
    <n v="22.5"/>
    <n v="1.6859999999999999"/>
    <n v="23.29"/>
    <n v="15.95"/>
    <n v="3.8589999999999999E-2"/>
    <x v="106"/>
    <n v="0.14000000000000001"/>
    <n v="1.6699999999999999E-4"/>
    <n v="182.55"/>
    <n v="0.22534000000000001"/>
    <n v="0"/>
    <n v="0"/>
  </r>
  <r>
    <n v="1228"/>
    <s v="แขวงทางหลวงนครสวรรค์ที่ 1"/>
    <n v="437"/>
    <n v="1084"/>
    <n v="100"/>
    <s v="ป่าแดง - หาดชะอม"/>
    <s v="48+188"/>
    <s v="0+000"/>
    <n v="48.188000000000002"/>
    <n v="2"/>
    <s v="R1"/>
    <d v="2015-10-05T00:00:00"/>
    <s v="A.C."/>
    <n v="25.7"/>
    <n v="10.375"/>
    <n v="7.25"/>
    <n v="4.8499999999999996"/>
    <n v="2.9157700000000002"/>
    <n v="3"/>
    <n v="45.3"/>
    <n v="2.1749999999999998"/>
    <n v="0.4"/>
    <n v="0.3"/>
    <n v="4.3583499999999997"/>
    <n v="4.5"/>
    <n v="0"/>
    <n v="0"/>
    <n v="48.188000000000002"/>
    <n v="1.2432700000000001"/>
    <n v="63.96"/>
    <n v="1.25"/>
    <n v="3.8293469624921438E-2"/>
    <x v="106"/>
    <n v="15.32"/>
    <n v="9.0834706921699513E-3"/>
    <n v="0"/>
    <n v="0"/>
    <n v="0"/>
    <n v="0"/>
  </r>
  <r>
    <n v="1948"/>
    <s v="แขวงทางหลวงนครศรีธรรมราชที่ 1"/>
    <n v="321"/>
    <n v="408"/>
    <n v="102"/>
    <s v="เฉลิมพระเกียรติ - ปากระวะ"/>
    <n v="70891"/>
    <n v="28721"/>
    <n v="42.17"/>
    <n v="4"/>
    <s v="R1"/>
    <d v="2015-04-29T00:00:00"/>
    <s v="A.C."/>
    <n v="30.6"/>
    <n v="7.5250000000000004"/>
    <n v="2.7749999999999999"/>
    <n v="1.325"/>
    <n v="2.25373"/>
    <n v="2.5"/>
    <n v="39.15"/>
    <n v="2.5"/>
    <n v="0.45"/>
    <n v="0.125"/>
    <n v="4.9767299999999999"/>
    <n v="5"/>
    <n v="0"/>
    <n v="0"/>
    <n v="42.225000000000001"/>
    <n v="1.1046"/>
    <n v="56.27"/>
    <n v="0"/>
    <n v="3.8124597716724822E-2"/>
    <x v="106"/>
    <n v="0"/>
    <n v="0"/>
    <n v="0"/>
    <n v="0"/>
    <n v="0"/>
    <n v="0"/>
  </r>
  <r>
    <n v="2120"/>
    <s v="แขวงทางหลวงภูเก็ต"/>
    <n v="324"/>
    <n v="4026"/>
    <n v="100"/>
    <s v="ทางเข้าสนามบินภูเก็ต"/>
    <n v="0"/>
    <n v="4130"/>
    <n v="4.13"/>
    <n v="4"/>
    <s v="R2"/>
    <d v="2015-05-15T00:00:00"/>
    <s v="A.C."/>
    <n v="2.8250000000000002"/>
    <n v="0.97499999999999998"/>
    <n v="0.2"/>
    <n v="0.1"/>
    <n v="2.36646"/>
    <n v="2.5"/>
    <n v="4.05"/>
    <n v="0.05"/>
    <n v="0"/>
    <n v="0"/>
    <n v="2.5350100000000002"/>
    <n v="2.5"/>
    <n v="0"/>
    <n v="0"/>
    <n v="4.0999999999999996"/>
    <n v="1.3242700000000001"/>
    <n v="5.32"/>
    <n v="0.36"/>
    <n v="3.8049117952265649E-2"/>
    <x v="106"/>
    <n v="14.53"/>
    <n v="0.10051885160843999"/>
    <n v="0"/>
    <n v="0"/>
    <n v="0"/>
    <n v="0"/>
  </r>
  <r>
    <n v="2087"/>
    <s v="แขวงทางหลวงกระบี่"/>
    <n v="323"/>
    <n v="4034"/>
    <n v="100"/>
    <s v="ปากน้ำกระบี่ - เขาทอง"/>
    <n v="25565"/>
    <n v="3750"/>
    <n v="21.815000000000001"/>
    <n v="4"/>
    <s v="R1"/>
    <d v="2015-05-08T00:00:00"/>
    <s v="A.C."/>
    <n v="13.57"/>
    <n v="4.75"/>
    <n v="2.64"/>
    <n v="0.85"/>
    <n v="2.4496500000000001"/>
    <n v="2.5"/>
    <n v="20.86"/>
    <n v="0.75"/>
    <n v="0.18"/>
    <n v="0.03"/>
    <n v="4.5906000000000002"/>
    <n v="4.5"/>
    <n v="0"/>
    <n v="0"/>
    <n v="21.82"/>
    <n v="1.3722799999999999"/>
    <n v="29"/>
    <n v="0"/>
    <n v="3.7981729478406077E-2"/>
    <x v="106"/>
    <n v="4"/>
    <n v="5.2388592384008384E-3"/>
    <n v="0"/>
    <n v="0"/>
    <n v="0"/>
    <n v="0"/>
  </r>
  <r>
    <n v="938"/>
    <s v="แขวงทางหลวงนครราชสีมาที่ 1"/>
    <n v="611"/>
    <n v="205"/>
    <n v="402"/>
    <s v="โคกสวาย - แขวงการทางนครราชสีมาที่ 1"/>
    <s v="195+197"/>
    <s v="223+859"/>
    <n v="28.251999999999999"/>
    <n v="4"/>
    <s v="L2"/>
    <d v="2015-04-24T00:00:00"/>
    <s v="A.C."/>
    <n v="23.9"/>
    <n v="1.875"/>
    <n v="1.55"/>
    <n v="0.85"/>
    <n v="2.11713"/>
    <n v="2"/>
    <n v="25.725000000000001"/>
    <n v="2.15"/>
    <n v="0.27500000000000002"/>
    <n v="2.5000000000000001E-2"/>
    <n v="4.8742400000000004"/>
    <n v="5"/>
    <n v="0"/>
    <n v="0"/>
    <n v="28.251999999999999"/>
    <n v="1.2176899999999999"/>
    <n v="37.51"/>
    <n v="0"/>
    <n v="3.7934103274610144E-2"/>
    <x v="106"/>
    <n v="3.32"/>
    <n v="3.3575372666410468E-3"/>
    <n v="0"/>
    <n v="0"/>
    <n v="0"/>
    <n v="0"/>
  </r>
  <r>
    <n v="828"/>
    <s v="แขวงทางหลวงกาฬสินธุ์"/>
    <n v="647"/>
    <n v="2322"/>
    <n v="300"/>
    <s v="กุดจิก - ท่าคันโท"/>
    <n v="126942"/>
    <n v="110692"/>
    <n v="16.25"/>
    <n v="2"/>
    <s v="R1"/>
    <d v="2015-05-30T00:00:00"/>
    <s v="A.C."/>
    <n v="12.574999999999999"/>
    <n v="2.2999999999999998"/>
    <n v="0.92500000000000004"/>
    <n v="0.42500000000000004"/>
    <n v="2.62"/>
    <n v="2.5"/>
    <n v="15.725"/>
    <n v="0.25"/>
    <n v="0.15"/>
    <n v="0.1"/>
    <n v="4.718"/>
    <n v="4.5"/>
    <n v="0"/>
    <n v="0"/>
    <n v="16.225000000000001"/>
    <n v="1.1718"/>
    <n v="0"/>
    <n v="43"/>
    <n v="3.7802197802197797E-2"/>
    <x v="106"/>
    <n v="2"/>
    <n v="3.5164835164835169E-3"/>
    <n v="5"/>
    <n v="8.7910000000000002E-3"/>
    <n v="0"/>
    <n v="0"/>
  </r>
  <r>
    <n v="1748"/>
    <s v="แขวงทางหลวงจันทบุรี"/>
    <n v="423"/>
    <n v="3493"/>
    <n v="100"/>
    <s v="คลองทราย - จันทบุรี"/>
    <n v="0"/>
    <n v="8430"/>
    <n v="8.43"/>
    <n v="4"/>
    <s v="L2"/>
    <d v="2015-08-19T00:00:00"/>
    <s v="A.C."/>
    <n v="5.7"/>
    <n v="1.5249999999999999"/>
    <n v="0.92500000000000004"/>
    <n v="0.3"/>
    <n v="2.2821600000000002"/>
    <n v="2.5"/>
    <n v="5.0999999999999996"/>
    <n v="2.8250000000000002"/>
    <n v="0.4"/>
    <n v="0.125"/>
    <n v="9.5870599999999992"/>
    <n v="9.5"/>
    <n v="0"/>
    <n v="0"/>
    <n v="8.43"/>
    <n v="1.23203"/>
    <n v="8.2349999999999994"/>
    <n v="5.6710000000000003"/>
    <n v="3.7520759193357053E-2"/>
    <x v="106"/>
    <n v="0"/>
    <n v="0"/>
    <n v="0"/>
    <n v="0"/>
    <n v="0"/>
    <n v="0"/>
  </r>
  <r>
    <n v="843"/>
    <s v="แขวงทางหลวงสุรินทร์"/>
    <n v="615"/>
    <n v="215"/>
    <n v="300"/>
    <s v="สาหร่าย - ตาฮะ"/>
    <n v="73993"/>
    <n v="85195"/>
    <n v="11.202"/>
    <n v="2"/>
    <s v="L1"/>
    <d v="2015-05-11T00:00:00"/>
    <s v="A.C."/>
    <n v="8.0749999999999993"/>
    <n v="2.2999999999999998"/>
    <n v="0.67500000000000004"/>
    <n v="0.125"/>
    <n v="2.84951"/>
    <n v="3"/>
    <n v="10.875"/>
    <n v="0.22500000000000001"/>
    <n v="0.05"/>
    <n v="2.5000000000000001E-2"/>
    <n v="5.2827999999999999"/>
    <n v="5.5"/>
    <n v="0"/>
    <n v="0"/>
    <n v="11.175000000000001"/>
    <n v="1.14588"/>
    <n v="14.68"/>
    <n v="0"/>
    <n v="3.7440000000000001E-2"/>
    <x v="106"/>
    <n v="22.6"/>
    <n v="5.7639999999999997E-2"/>
    <n v="6.84"/>
    <n v="1.7446E-2"/>
    <n v="0"/>
    <n v="0"/>
  </r>
  <r>
    <n v="988"/>
    <s v="แขวงทางหลวงนครราชสีมาที่ 3"/>
    <n v="614"/>
    <n v="2162"/>
    <n v="100"/>
    <s v="ทางเข้าเมืองจักราช"/>
    <n v="0"/>
    <s v="0+567"/>
    <n v="0.56699999999999995"/>
    <n v="2"/>
    <s v="L1"/>
    <d v="2015-05-01T00:00:00"/>
    <s v="A.C."/>
    <n v="0.4"/>
    <n v="7.4999999999999997E-2"/>
    <n v="2.5000000000000001E-2"/>
    <n v="7.4999999999999997E-2"/>
    <n v="2.98"/>
    <n v="3"/>
    <n v="0.57499999999999996"/>
    <n v="0"/>
    <n v="0"/>
    <n v="0"/>
    <n v="2.363"/>
    <n v="2.5"/>
    <n v="0"/>
    <n v="0"/>
    <n v="0.57499999999999996"/>
    <n v="0.99399999999999999"/>
    <n v="0.74"/>
    <n v="0"/>
    <n v="3.7288989669942055E-2"/>
    <x v="106"/>
    <n v="0"/>
    <n v="0"/>
    <n v="0"/>
    <n v="0"/>
    <n v="0"/>
    <n v="0"/>
  </r>
  <r>
    <n v="1347"/>
    <s v="แขวงทางหลวงกาญจนบุรี"/>
    <n v="444"/>
    <n v="3570"/>
    <n v="100"/>
    <s v="ท่าพะเนียด - ค่ายสุรสีห์"/>
    <s v="7+806"/>
    <s v="0+000"/>
    <n v="7.806"/>
    <n v="2"/>
    <s v="R1"/>
    <d v="2015-07-26T00:00:00"/>
    <s v="A.C."/>
    <n v="6.4749999999999996"/>
    <n v="1.05"/>
    <n v="0.2"/>
    <n v="7.4999999999999997E-2"/>
    <n v="2.0110299999999999"/>
    <n v="2"/>
    <n v="7.8"/>
    <n v="0"/>
    <n v="0"/>
    <n v="0"/>
    <n v="1.8264499999999999"/>
    <n v="2"/>
    <n v="0"/>
    <n v="0"/>
    <n v="7.8"/>
    <n v="1.19581"/>
    <n v="0"/>
    <n v="36"/>
    <n v="3.7256281823074062E-2"/>
    <x v="106"/>
    <n v="2"/>
    <n v="7.3203762673401413E-3"/>
    <n v="11"/>
    <n v="4.0262069470370775E-2"/>
    <n v="0"/>
    <n v="0"/>
  </r>
  <r>
    <n v="88"/>
    <s v="แขวงทางหลวงแม่ฮ่องสอน"/>
    <n v="526"/>
    <n v="108"/>
    <n v="203"/>
    <s v="หนองแห้ง - แม่สุริน"/>
    <s v="271+100"/>
    <s v="258+100"/>
    <n v="13"/>
    <n v="2"/>
    <s v="R1"/>
    <d v="2015-08-28T00:00:00"/>
    <s v="A.C."/>
    <n v="5.98"/>
    <n v="2.99"/>
    <n v="2.34"/>
    <n v="1.68"/>
    <n v="3.09545"/>
    <n v="3"/>
    <n v="12.3"/>
    <n v="0.53"/>
    <n v="0.13"/>
    <n v="0.05"/>
    <n v="3.7977300000000001"/>
    <n v="4"/>
    <n v="0"/>
    <n v="0"/>
    <n v="13"/>
    <n v="1.3131200000000001"/>
    <n v="16.95"/>
    <n v="0"/>
    <n v="3.7252747252747249E-2"/>
    <x v="106"/>
    <n v="8.0239999999999991"/>
    <n v="1.7635164835164831E-2"/>
    <n v="1.36"/>
    <n v="2.9890109890109893E-3"/>
    <n v="0"/>
    <n v="0"/>
  </r>
  <r>
    <n v="1758"/>
    <s v="แขวงทางหลวงตราด"/>
    <n v="425"/>
    <n v="3271"/>
    <n v="100"/>
    <s v="เนินสูง - ด่านชุมพล"/>
    <s v="0+000"/>
    <s v="24+815"/>
    <n v="24.815000000000001"/>
    <n v="2"/>
    <s v="L1"/>
    <d v="2015-08-20T00:00:00"/>
    <s v="A.C."/>
    <n v="9.1750000000000007"/>
    <n v="8.7750000000000004"/>
    <n v="4.3"/>
    <n v="2.6"/>
    <n v="3.6970000000000001"/>
    <n v="3.5"/>
    <n v="22.1"/>
    <n v="1.875"/>
    <n v="0.67500000000000004"/>
    <n v="0.2"/>
    <n v="5.88"/>
    <n v="6"/>
    <n v="0"/>
    <n v="0"/>
    <n v="24.85"/>
    <n v="1.5449999999999999"/>
    <n v="0.97"/>
    <n v="62.6"/>
    <n v="3.7154946604876088E-2"/>
    <x v="106"/>
    <n v="7.43"/>
    <n v="8.5547336000690831E-3"/>
    <n v="35.82"/>
    <n v="4.1242336144612993E-2"/>
    <n v="38.06"/>
    <n v="4.3821421375320226E-2"/>
  </r>
  <r>
    <n v="1382"/>
    <s v="แขวงทางหลวงสุพรรณบุรีที่ 2 (อู่ทอง)"/>
    <n v="445"/>
    <n v="3472"/>
    <n v="100"/>
    <s v="อู่ทอง - ตลุงเหนือ"/>
    <n v="0"/>
    <n v="19626"/>
    <n v="19.626000000000001"/>
    <n v="2"/>
    <s v="L1"/>
    <d v="2015-07-21T00:00:00"/>
    <s v="A.C."/>
    <n v="15.775"/>
    <n v="1.27755"/>
    <n v="1"/>
    <n v="0.3"/>
    <n v="2.0394999999999999"/>
    <n v="2"/>
    <n v="19.324999999999999"/>
    <n v="0.27500000000000002"/>
    <n v="2.5000000000000001E-2"/>
    <n v="0"/>
    <n v="4.7813800000000004"/>
    <n v="5"/>
    <n v="0"/>
    <n v="0"/>
    <n v="18.352550000000001"/>
    <n v="1.3486100000000001"/>
    <n v="10"/>
    <n v="31"/>
    <n v="3.7122767174739051E-2"/>
    <x v="106"/>
    <n v="5"/>
    <n v="7.2789739558311861E-3"/>
    <n v="17"/>
    <n v="2.4748511449826031E-2"/>
    <n v="2"/>
    <n v="2.9115895823324744E-3"/>
  </r>
  <r>
    <n v="45"/>
    <s v="แขวงทางหลวงเชียงใหม่ที่ 2"/>
    <n v="522"/>
    <n v="1367"/>
    <n v="100"/>
    <s v="สันทรายน้อย - มหาวิทยาลัยแม่โจ้"/>
    <s v="0+000"/>
    <s v="13+123"/>
    <n v="13.122999999999999"/>
    <n v="2"/>
    <s v="R2"/>
    <d v="2015-08-20T00:00:00"/>
    <s v="A.C."/>
    <n v="5.3"/>
    <n v="3.4750000000000001"/>
    <n v="2.875"/>
    <n v="1.5249999999999999"/>
    <n v="3.2709899999999998"/>
    <n v="3.5"/>
    <n v="13.15"/>
    <n v="2.5000000000000001E-2"/>
    <n v="0"/>
    <n v="0"/>
    <n v="2.2533400000000001"/>
    <n v="2.5"/>
    <n v="0"/>
    <n v="0"/>
    <n v="13.175000000000001"/>
    <n v="1.19872"/>
    <n v="0"/>
    <n v="33.86"/>
    <n v="3.6860038536484473E-2"/>
    <x v="106"/>
    <n v="0"/>
    <n v="0"/>
    <n v="2"/>
    <n v="4.3544050249833995E-3"/>
    <n v="0"/>
    <n v="0"/>
  </r>
  <r>
    <n v="2191"/>
    <s v="แขวงทางหลวงพัทลุง"/>
    <n v="314"/>
    <n v="4048"/>
    <n v="100"/>
    <s v="สี่แยกช่องโก - ทุ่งข่า"/>
    <n v="0"/>
    <n v="7960"/>
    <n v="7.96"/>
    <n v="2"/>
    <s v="L1"/>
    <d v="2015-05-20T00:00:00"/>
    <s v="A.C."/>
    <n v="5.2"/>
    <n v="1.45"/>
    <n v="0.55000000000000004"/>
    <n v="0.55000000000000004"/>
    <n v="2.4609399999999999"/>
    <n v="2.5"/>
    <n v="7.4249999999999998"/>
    <n v="0.3"/>
    <n v="2.5000000000000001E-2"/>
    <n v="0"/>
    <n v="4.7646199999999999"/>
    <n v="5"/>
    <n v="0"/>
    <n v="0"/>
    <n v="7.75"/>
    <n v="1.1960299999999999"/>
    <n v="0"/>
    <n v="20.48"/>
    <n v="3.6755204594400577E-2"/>
    <x v="106"/>
    <n v="7.17"/>
    <n v="2.5735821966977743E-2"/>
    <n v="0"/>
    <n v="0"/>
    <n v="0"/>
    <n v="0"/>
  </r>
  <r>
    <n v="338"/>
    <s v="แขวงทางหลวงมุกดาหาร"/>
    <n v="639"/>
    <n v="2034"/>
    <n v="102"/>
    <s v="นาสีนวน - บุ่งเขียว"/>
    <n v="13000"/>
    <n v="62715"/>
    <n v="49.715000000000003"/>
    <n v="2"/>
    <s v="L1"/>
    <d v="2015-06-02T00:00:00"/>
    <s v="A.C."/>
    <n v="41.25"/>
    <n v="4.6749999999999998"/>
    <n v="2.2999999999999998"/>
    <n v="1.425"/>
    <n v="2.1528200000000002"/>
    <n v="2"/>
    <n v="46.024999999999999"/>
    <n v="2.95"/>
    <n v="0.47499999999999998"/>
    <n v="0.2"/>
    <n v="5.5466600000000001"/>
    <n v="5.5"/>
    <n v="0"/>
    <n v="0"/>
    <n v="49.649999999999991"/>
    <n v="1.3948100000000001"/>
    <n v="38"/>
    <n v="51"/>
    <n v="3.649372853838307E-2"/>
    <x v="106"/>
    <n v="19.920000000000002"/>
    <n v="1.1448111377710091E-2"/>
    <n v="0"/>
    <n v="0"/>
    <n v="0"/>
    <n v="0"/>
  </r>
  <r>
    <n v="1564"/>
    <s v="แขวงทางหลวงปทุมธานี"/>
    <n v="416"/>
    <n v="9"/>
    <n v="301"/>
    <s v="คลองบางหลวง - ต่างระดับเชียงรากน้อย"/>
    <s v="60+141"/>
    <s v="78+872"/>
    <n v="0"/>
    <n v="4"/>
    <s v="L2"/>
    <d v="2015-09-02T00:00:00"/>
    <s v="C.C."/>
    <n v="6.7249999999999996"/>
    <n v="6.375"/>
    <n v="4.45"/>
    <n v="1.125"/>
    <n v="3.08514"/>
    <n v="3"/>
    <n v="0"/>
    <n v="0"/>
    <n v="18.675000000000001"/>
    <n v="1.2177500000000001"/>
    <n v="0"/>
    <n v="0"/>
    <n v="0"/>
    <n v="0"/>
    <n v="0"/>
    <n v="0"/>
    <n v="0"/>
    <n v="0.29379866836489543"/>
    <n v="0"/>
    <x v="106"/>
    <m/>
    <m/>
    <m/>
    <m/>
    <m/>
    <m/>
  </r>
  <r>
    <n v="1565"/>
    <s v="แขวงทางหลวงปทุมธานี"/>
    <n v="416"/>
    <n v="9"/>
    <n v="301"/>
    <s v="คลองบางหลวง - ต่างระดับเชียงรากน้อย"/>
    <s v="78+872"/>
    <s v="60+141"/>
    <n v="0"/>
    <n v="4"/>
    <s v="R2"/>
    <d v="2015-09-02T00:00:00"/>
    <s v="C.C."/>
    <n v="6.85"/>
    <n v="5.9749999999999996"/>
    <n v="3.875"/>
    <n v="1.9750000000000001"/>
    <n v="3.2073100000000001"/>
    <n v="3"/>
    <n v="0"/>
    <n v="0"/>
    <n v="18.675000000000001"/>
    <n v="1.0098400000000001"/>
    <n v="0"/>
    <n v="0"/>
    <n v="0"/>
    <n v="0"/>
    <n v="0"/>
    <n v="0"/>
    <n v="0"/>
    <n v="8.84706025915785E-3"/>
    <n v="0"/>
    <x v="106"/>
    <m/>
    <m/>
    <m/>
    <m/>
    <m/>
    <m/>
  </r>
  <r>
    <n v="719"/>
    <s v="แขวงทางหลวงขอนแก่นที่ 2 (ชุมแพ)"/>
    <n v="627"/>
    <n v="201"/>
    <n v="303"/>
    <s v="โนนหัน  -  ผานกเค้า"/>
    <n v="221081"/>
    <n v="253485"/>
    <n v="32.404000000000003"/>
    <n v="4"/>
    <s v="L1"/>
    <d v="2015-06-23T00:00:00"/>
    <s v="A.C."/>
    <n v="21.925000000000001"/>
    <n v="6.5250000000000004"/>
    <n v="2.85"/>
    <n v="0.95"/>
    <n v="2.5267499999999998"/>
    <n v="2.5"/>
    <n v="30.25"/>
    <n v="1.875"/>
    <n v="0.125"/>
    <n v="0"/>
    <n v="6.0082800000000001"/>
    <n v="6"/>
    <n v="0"/>
    <n v="0"/>
    <n v="32.404000000000003"/>
    <n v="1.19597"/>
    <n v="13.76"/>
    <n v="54.68"/>
    <n v="3.6238912303595675E-2"/>
    <x v="106"/>
    <n v="0"/>
    <n v="0"/>
    <n v="0"/>
    <n v="0"/>
    <n v="95.56"/>
    <n v="8.4257675419260408E-2"/>
  </r>
  <r>
    <n v="1920"/>
    <s v="แขวงทางหลวงเพชรบุรี"/>
    <n v="338"/>
    <n v="3175"/>
    <n v="100"/>
    <s v="ท่ายาง - เขื่อนเพชร"/>
    <n v="1447"/>
    <n v="2177"/>
    <n v="0.73"/>
    <n v="2"/>
    <s v="L1"/>
    <d v="2015-04-02T00:00:00"/>
    <s v="A.C."/>
    <n v="0"/>
    <n v="0.03"/>
    <n v="0.47"/>
    <n v="0.23"/>
    <n v="4.6692900000000002"/>
    <n v="4.5"/>
    <n v="0.73"/>
    <n v="0"/>
    <n v="0"/>
    <n v="0"/>
    <n v="1.46282"/>
    <n v="1.5"/>
    <n v="0"/>
    <n v="0"/>
    <n v="0.73"/>
    <n v="0.908107"/>
    <n v="0"/>
    <n v="1.85"/>
    <n v="3.6203522504892373E-2"/>
    <x v="106"/>
    <n v="150.214"/>
    <n v="1.0195335831025682E-4"/>
    <n v="0"/>
    <n v="0"/>
    <n v="0"/>
    <n v="0"/>
  </r>
  <r>
    <n v="1239"/>
    <s v="แขวงทางหลวงนครสวรรค์ที่ 1"/>
    <n v="437"/>
    <n v="3013"/>
    <n v="200"/>
    <s v="คลองแบ่ง - ลาดยาว"/>
    <s v="29+930"/>
    <s v="45+846"/>
    <n v="15.916"/>
    <n v="2"/>
    <s v="L1"/>
    <d v="2015-10-05T00:00:00"/>
    <s v="A.C."/>
    <n v="10.8"/>
    <n v="3.875"/>
    <n v="1.625"/>
    <n v="0.57499999999999996"/>
    <n v="2.5265900000000001"/>
    <n v="2.5"/>
    <n v="13.1"/>
    <n v="2.4500000000000002"/>
    <n v="0.85"/>
    <n v="0.47499999999999998"/>
    <n v="7.02555"/>
    <n v="7"/>
    <n v="0"/>
    <n v="0"/>
    <n v="15.916"/>
    <n v="1.33439"/>
    <n v="14.58"/>
    <n v="11.002000000000001"/>
    <n v="3.6048181524431844E-2"/>
    <x v="106"/>
    <n v="4.12"/>
    <n v="7.3959717086130765E-3"/>
    <n v="0"/>
    <n v="0"/>
    <n v="0"/>
    <n v="0"/>
  </r>
  <r>
    <n v="789"/>
    <s v="แขวงทางหลวงยโสธร"/>
    <n v="633"/>
    <n v="2169"/>
    <n v="100"/>
    <s v="ยโสธร - กุดชุม"/>
    <n v="2234"/>
    <n v="37241"/>
    <n v="35.006999999999998"/>
    <n v="2"/>
    <s v="L1"/>
    <d v="2015-05-23T00:00:00"/>
    <s v="A.C."/>
    <n v="23"/>
    <n v="7.5"/>
    <n v="3.1749999999999998"/>
    <n v="1.3"/>
    <n v="3.7088999999999999"/>
    <n v="3.5"/>
    <n v="33.1"/>
    <n v="1.5249999999999999"/>
    <n v="0.32500000000000001"/>
    <n v="2.5000000000000001E-2"/>
    <n v="6.2687999999999997"/>
    <n v="6.5"/>
    <n v="0"/>
    <n v="0"/>
    <n v="34.974999999999994"/>
    <n v="1.3959999999999999"/>
    <n v="44"/>
    <n v="0"/>
    <n v="3.5909999999999997E-2"/>
    <x v="106"/>
    <n v="19"/>
    <n v="1.5507102661100435E-2"/>
    <n v="100"/>
    <n v="8.1616329795265452E-2"/>
    <n v="0"/>
    <n v="0"/>
  </r>
  <r>
    <n v="2221"/>
    <s v="แขวงทางหลวงสตูล"/>
    <n v="318"/>
    <n v="4053"/>
    <n v="100"/>
    <s v="ควนเนียง - ปากบาง"/>
    <n v="1447"/>
    <n v="6600"/>
    <n v="5.1529999999999996"/>
    <n v="2"/>
    <s v="L1"/>
    <d v="2015-05-25T00:00:00"/>
    <s v="A.C."/>
    <n v="1.825"/>
    <n v="2"/>
    <n v="1.35"/>
    <n v="0.77500000000000002"/>
    <n v="3.40571"/>
    <n v="3.5"/>
    <n v="5.5250000000000004"/>
    <n v="0.3"/>
    <n v="0.125"/>
    <n v="0"/>
    <n v="4.6216900000000001"/>
    <n v="4.5"/>
    <n v="0"/>
    <n v="0"/>
    <n v="5.9500000000000011"/>
    <n v="1.24011"/>
    <n v="6.47"/>
    <n v="0"/>
    <n v="3.587369354883424E-2"/>
    <x v="106"/>
    <n v="0"/>
    <n v="0"/>
    <n v="0"/>
    <n v="0"/>
    <n v="0"/>
    <n v="0"/>
  </r>
  <r>
    <n v="393"/>
    <m/>
    <n v="517"/>
    <n v="1375"/>
    <n v="100"/>
    <s v="หนองกระทุ่ม - ดงเย็น"/>
    <s v="0+000"/>
    <s v="11+050"/>
    <n v="11.05"/>
    <n v="2"/>
    <s v="L1"/>
    <d v="2015-09-14T00:00:00"/>
    <s v="A.C."/>
    <n v="5.34"/>
    <n v="3.86"/>
    <n v="1.58"/>
    <n v="0.28000000000000003"/>
    <n v="2.6010900000000001"/>
    <n v="2.5"/>
    <n v="10.07"/>
    <n v="0.75"/>
    <n v="0.23"/>
    <n v="0"/>
    <n v="4.6289800000000003"/>
    <n v="4.5"/>
    <n v="0"/>
    <n v="0"/>
    <n v="11.05"/>
    <n v="1.1612499999999999"/>
    <n v="0"/>
    <n v="27.65"/>
    <n v="3.574660633484162E-2"/>
    <x v="106"/>
    <n v="86.457999999999998"/>
    <n v="0.22355009696186165"/>
    <n v="0"/>
    <n v="0"/>
    <n v="0"/>
    <n v="0"/>
  </r>
  <r>
    <n v="2215"/>
    <s v="แขวงทางหลวงสตูล"/>
    <n v="318"/>
    <n v="406"/>
    <n v="103"/>
    <s v="ย่านซื่อ - ตำมะลัง"/>
    <s v="99+890"/>
    <s v="92+974"/>
    <n v="6.9160000000000004"/>
    <n v="2"/>
    <s v="L2"/>
    <d v="2015-05-26T00:00:00"/>
    <s v="A.C."/>
    <n v="3.9750000000000001"/>
    <n v="1.675"/>
    <n v="0.85"/>
    <n v="0.35"/>
    <n v="2.7194199999999999"/>
    <n v="2.5"/>
    <n v="6.75"/>
    <n v="0.05"/>
    <n v="0.05"/>
    <n v="0"/>
    <n v="4.7724700000000002"/>
    <n v="5"/>
    <n v="0"/>
    <n v="0"/>
    <n v="6.85"/>
    <n v="1.50177"/>
    <n v="7.7"/>
    <n v="1.88"/>
    <n v="3.5693629678592076E-2"/>
    <x v="106"/>
    <n v="9.5"/>
    <n v="3.9246467817896383E-2"/>
    <n v="0"/>
    <n v="0"/>
    <n v="0"/>
    <n v="0"/>
  </r>
  <r>
    <n v="1261"/>
    <s v="แขวงทางหลวงนครสวรรค์ที่ 2 (ตากฟ้า)"/>
    <n v="438"/>
    <n v="3004"/>
    <n v="201"/>
    <s v="พระนอน - ท่าตะโก"/>
    <s v="13+298"/>
    <s v="44+648"/>
    <n v="31.35"/>
    <n v="2"/>
    <s v="L1"/>
    <d v="2015-10-05T00:00:00"/>
    <s v="A.C."/>
    <n v="18.625"/>
    <n v="6.5250000000000004"/>
    <n v="3.0249999999999999"/>
    <n v="3.4249999999999998"/>
    <n v="2.80945"/>
    <n v="3"/>
    <n v="30.45"/>
    <n v="0.875"/>
    <n v="0.2"/>
    <n v="7.4999999999999997E-2"/>
    <n v="4.4013099999999996"/>
    <n v="4.5"/>
    <n v="0"/>
    <n v="0"/>
    <n v="31.35"/>
    <n v="1.22872"/>
    <n v="38.198"/>
    <n v="1.02"/>
    <n v="3.5277284119389379E-2"/>
    <x v="106"/>
    <n v="17.850000000000001"/>
    <n v="1.6267942583732056E-2"/>
    <n v="0"/>
    <n v="0"/>
    <n v="0"/>
    <n v="0"/>
  </r>
  <r>
    <n v="802"/>
    <s v="แขวงทางหลวงร้อยเอ็ด"/>
    <n v="635"/>
    <n v="2045"/>
    <n v="100"/>
    <s v="ร้อยเอ็ด - หนองคูโคก"/>
    <n v="598"/>
    <n v="20200"/>
    <n v="19.602"/>
    <n v="2"/>
    <s v="L1"/>
    <d v="2015-05-26T00:00:00"/>
    <s v="A.C."/>
    <n v="12.35"/>
    <n v="4.9249999999999998"/>
    <n v="1.75"/>
    <n v="0.57499999999999996"/>
    <n v="2.7280199999999999"/>
    <n v="2.5"/>
    <n v="18.175000000000001"/>
    <n v="1"/>
    <n v="0.375"/>
    <n v="0.05"/>
    <n v="4.9046500000000002"/>
    <n v="5"/>
    <n v="0"/>
    <n v="0"/>
    <n v="19.602"/>
    <n v="1.18329"/>
    <n v="24"/>
    <n v="0"/>
    <n v="3.4979999999999997E-2"/>
    <x v="106"/>
    <n v="0"/>
    <n v="0"/>
    <n v="120"/>
    <n v="0.17490900000000001"/>
    <n v="0"/>
    <n v="0"/>
  </r>
  <r>
    <n v="679"/>
    <s v="แขวงทางหลวงอุดรธานีที่ 2"/>
    <n v="624"/>
    <n v="2025"/>
    <n v="100"/>
    <s v="ห้วยเกิ้ง - กุมภวาปี"/>
    <n v="14205"/>
    <n v="0"/>
    <n v="14.205"/>
    <n v="2"/>
    <s v="R1"/>
    <d v="2015-06-16T00:00:00"/>
    <s v="A.C."/>
    <n v="8.7750000000000004"/>
    <n v="3.9"/>
    <n v="1.075"/>
    <n v="0.375"/>
    <n v="2.4841600000000001"/>
    <n v="2.5"/>
    <n v="13.775"/>
    <n v="0.32500000000000001"/>
    <n v="2.5000000000000001E-2"/>
    <n v="0"/>
    <n v="4.3091299999999997"/>
    <n v="4.5"/>
    <n v="0"/>
    <n v="0"/>
    <n v="14.125"/>
    <n v="1.14808"/>
    <n v="8.9"/>
    <n v="16.43"/>
    <n v="3.4419999999999999E-2"/>
    <x v="106"/>
    <n v="11.46"/>
    <n v="2.3050000000000001E-2"/>
    <n v="0"/>
    <n v="0"/>
    <n v="20.32"/>
    <n v="4.0869999999999997E-2"/>
  </r>
  <r>
    <n v="363"/>
    <s v="แขวงทางหลวงตากที่ 2 (แม่สอด)"/>
    <n v="514"/>
    <n v="105"/>
    <n v="102"/>
    <s v="ห้วยบง - แม่สลิดหลวง"/>
    <s v="18+215"/>
    <s v="113+000"/>
    <n v="94.784999999999997"/>
    <n v="2"/>
    <s v="L1"/>
    <d v="2015-09-08T00:00:00"/>
    <s v="A.C."/>
    <n v="43.45"/>
    <n v="30.55"/>
    <n v="15.925000000000001"/>
    <n v="4.875"/>
    <n v="2.8140000000000001"/>
    <n v="3"/>
    <n v="93.55"/>
    <n v="1.0249999999999999"/>
    <n v="0.05"/>
    <n v="0"/>
    <n v="2.8929999999999998"/>
    <n v="3"/>
    <n v="0"/>
    <n v="0"/>
    <n v="94.8"/>
    <n v="1.125"/>
    <n v="53.31"/>
    <n v="121.2"/>
    <n v="3.433635520991115E-2"/>
    <x v="106"/>
    <n v="0"/>
    <n v="0"/>
    <n v="12.23"/>
    <n v="3.6865387079028479E-3"/>
    <n v="0"/>
    <n v="0"/>
  </r>
  <r>
    <n v="2171"/>
    <s v="แขวงทางหลวงสงขลาที่ 1"/>
    <n v="311"/>
    <n v="414"/>
    <n v="102"/>
    <s v="คลองวง - ท่าท้อน"/>
    <s v="16+430"/>
    <s v="22+020"/>
    <n v="5.59"/>
    <n v="8"/>
    <s v="L2"/>
    <d v="2015-05-23T00:00:00"/>
    <s v="A.C."/>
    <n v="2.9249999999999998"/>
    <n v="1.4750000000000001"/>
    <n v="0.6"/>
    <n v="0.47499999999999998"/>
    <n v="2.8374899999999998"/>
    <n v="3"/>
    <n v="4.9249999999999998"/>
    <n v="0.27500000000000002"/>
    <n v="0.2"/>
    <n v="7.4999999999999997E-2"/>
    <n v="5.3669000000000002"/>
    <n v="5.5"/>
    <n v="0"/>
    <n v="0"/>
    <n v="5.4749999999999996"/>
    <n v="1.08284"/>
    <n v="5.7"/>
    <n v="2.0099999999999998"/>
    <n v="3.4270380782008697E-2"/>
    <x v="106"/>
    <n v="14.2"/>
    <n v="7.2578584206491187E-2"/>
    <n v="0.88"/>
    <n v="4.4978277536417083E-3"/>
    <n v="0"/>
    <n v="0"/>
  </r>
  <r>
    <n v="902"/>
    <s v="แขวงทางหลวงอำนาจเจริญ"/>
    <n v="634"/>
    <n v="2210"/>
    <n v="100"/>
    <s v="ขมิ้น - น้ำปลีก"/>
    <n v="0"/>
    <n v="37425"/>
    <n v="37.424999999999997"/>
    <n v="2"/>
    <s v="L1"/>
    <d v="2015-05-22T00:00:00"/>
    <s v="A.C."/>
    <n v="9.7249999999999996"/>
    <n v="5.95"/>
    <n v="6.125"/>
    <n v="15.625"/>
    <n v="3.85"/>
    <n v="4"/>
    <n v="35.424999999999997"/>
    <n v="1.7"/>
    <n v="0.3"/>
    <n v="0"/>
    <n v="5.2023000000000001"/>
    <n v="5"/>
    <n v="0"/>
    <n v="0"/>
    <n v="37.424999999999997"/>
    <n v="1.4810000000000001"/>
    <n v="44.49"/>
    <n v="0.72"/>
    <n v="3.424E-2"/>
    <x v="106"/>
    <n v="7.03"/>
    <n v="5.3699999999999998E-3"/>
    <n v="178.88"/>
    <n v="0.13656299999999999"/>
    <n v="0"/>
    <n v="0"/>
  </r>
  <r>
    <n v="949"/>
    <s v="แขวงทางหลวงนครราชสีมาที่ 1"/>
    <n v="611"/>
    <n v="2160"/>
    <n v="100"/>
    <s v="คง - บ้านเหลื่อม"/>
    <n v="0"/>
    <n v="32463"/>
    <n v="32.463000000000001"/>
    <n v="2"/>
    <s v="L1"/>
    <d v="2015-04-24T00:00:00"/>
    <s v="A.C."/>
    <n v="19.649999999999999"/>
    <n v="7.9249999999999998"/>
    <n v="3.875"/>
    <n v="1.2749999999999999"/>
    <n v="2.3038400000000001"/>
    <n v="2.5"/>
    <n v="31.8"/>
    <n v="0.7"/>
    <n v="0.2"/>
    <n v="2.5000000000000001E-2"/>
    <n v="3.6817799999999998"/>
    <n v="3.5"/>
    <n v="0"/>
    <n v="0"/>
    <n v="32.463000000000001"/>
    <n v="1.3132200000000001"/>
    <n v="38.83"/>
    <n v="0"/>
    <n v="3.4175170853851196E-2"/>
    <x v="106"/>
    <n v="0"/>
    <n v="0"/>
    <n v="0"/>
    <n v="0"/>
    <n v="0"/>
    <n v="0"/>
  </r>
  <r>
    <n v="1751"/>
    <s v="แขวงทางหลวงจันทบุรี"/>
    <n v="423"/>
    <n v="3587"/>
    <n v="100"/>
    <s v="บ้านถ้ำ - ยางระโหง"/>
    <n v="0"/>
    <n v="3372"/>
    <n v="3.3719999999999999"/>
    <n v="2"/>
    <s v="R1"/>
    <d v="2015-08-19T00:00:00"/>
    <s v="A.C."/>
    <n v="2.75"/>
    <n v="0.47499999999999998"/>
    <n v="0.2"/>
    <n v="7.4999999999999997E-2"/>
    <n v="2.161"/>
    <n v="2"/>
    <n v="3.4750000000000001"/>
    <n v="2.5000000000000001E-2"/>
    <n v="0"/>
    <n v="0"/>
    <n v="2.891"/>
    <n v="3"/>
    <n v="0"/>
    <n v="0"/>
    <n v="3.3719999999999999"/>
    <n v="1.385"/>
    <n v="3.4569999999999999"/>
    <n v="1.0900000000000001"/>
    <n v="3.3909506863243517E-2"/>
    <x v="106"/>
    <n v="0"/>
    <n v="0"/>
    <n v="0"/>
    <n v="0"/>
    <n v="0"/>
    <n v="0"/>
  </r>
  <r>
    <n v="2167"/>
    <s v="แขวงทางหลวงสงขลาที่ 1"/>
    <n v="311"/>
    <n v="414"/>
    <n v="101"/>
    <s v="น้ำกระจาย - คลองวง"/>
    <n v="0"/>
    <n v="2550"/>
    <n v="2.5499999999999998"/>
    <n v="4"/>
    <s v="L2"/>
    <d v="2015-05-23T00:00:00"/>
    <s v="A.C."/>
    <n v="1.24"/>
    <n v="0.89"/>
    <n v="0.38"/>
    <n v="7.0000000000000007E-2"/>
    <n v="2.6617299999999999"/>
    <n v="2.5"/>
    <n v="2.56"/>
    <n v="0"/>
    <n v="0"/>
    <n v="0"/>
    <n v="2.8244600000000002"/>
    <n v="3"/>
    <n v="0"/>
    <n v="0"/>
    <n v="2.56"/>
    <n v="1.2559"/>
    <n v="0.77"/>
    <n v="4.47"/>
    <n v="3.3669467787114847E-2"/>
    <x v="106"/>
    <n v="2.1"/>
    <n v="2.3529411764705889E-2"/>
    <n v="0"/>
    <n v="0"/>
    <n v="0"/>
    <n v="0"/>
  </r>
  <r>
    <n v="587"/>
    <s v="แขวงทางหลวงเพชรบูรณ์ที่ 2 (บึงสามพัน)"/>
    <n v="552"/>
    <n v="2275"/>
    <n v="203"/>
    <s v="หนองแดง - ห้วยไร่"/>
    <n v="78516"/>
    <n v="113800"/>
    <n v="35.283999999999999"/>
    <n v="2"/>
    <s v="L1"/>
    <d v="2015-07-10T00:00:00"/>
    <s v="A.C."/>
    <n v="20.55"/>
    <n v="6.9749999999999996"/>
    <n v="3.5750000000000002"/>
    <n v="4.0750000000000002"/>
    <n v="2.9194599999999999"/>
    <n v="3"/>
    <n v="31.25"/>
    <n v="2.95"/>
    <n v="0.55000000000000004"/>
    <n v="0.42499999999999999"/>
    <n v="5.1055299999999999"/>
    <n v="5"/>
    <n v="0"/>
    <n v="0"/>
    <n v="35.174999999999997"/>
    <n v="1.3170900000000001"/>
    <n v="41"/>
    <n v="0"/>
    <n v="3.3199993521952485E-2"/>
    <x v="106"/>
    <n v="0"/>
    <n v="0"/>
    <n v="0"/>
    <n v="0"/>
    <n v="0"/>
    <n v="0"/>
  </r>
  <r>
    <n v="2185"/>
    <s v="แขวงทางหลวงสงขลาที่ 1"/>
    <n v="311"/>
    <n v="4309"/>
    <n v="100"/>
    <s v="สามแยกทุ่งหวัง - สงขลา"/>
    <n v="10679"/>
    <n v="0"/>
    <n v="10.679"/>
    <n v="2"/>
    <s v="R2"/>
    <d v="2015-05-22T00:00:00"/>
    <s v="A.C."/>
    <n v="6.3250000000000002"/>
    <n v="2.75"/>
    <n v="1.2"/>
    <n v="0.42499999999999999"/>
    <n v="2.63944"/>
    <n v="2.5"/>
    <n v="10.225"/>
    <n v="0.47499999999999998"/>
    <n v="0"/>
    <n v="0"/>
    <n v="4.7888099999999998"/>
    <n v="5"/>
    <n v="0"/>
    <n v="0"/>
    <n v="10.7"/>
    <n v="1.33026"/>
    <n v="10.11"/>
    <n v="4.41"/>
    <n v="3.2948510427675146E-2"/>
    <x v="106"/>
    <n v="11.2"/>
    <n v="2.9965352561101229E-2"/>
    <n v="0"/>
    <n v="0"/>
    <n v="0"/>
    <n v="0"/>
  </r>
  <r>
    <n v="914"/>
    <s v="แขวงทางหลวงศรีสะเกษที่ 2"/>
    <n v="636"/>
    <n v="2360"/>
    <n v="100"/>
    <s v="หนองบาง - น้ำเกลี้ยง"/>
    <n v="0"/>
    <n v="3330"/>
    <n v="3.33"/>
    <n v="2"/>
    <s v="L1"/>
    <d v="2015-05-14T00:00:00"/>
    <s v="A.C."/>
    <n v="1.2250000000000001"/>
    <n v="1.125"/>
    <n v="0.6"/>
    <n v="0.375"/>
    <n v="3.2971400000000002"/>
    <n v="3.5"/>
    <n v="2.6"/>
    <n v="0.45"/>
    <n v="0.25"/>
    <n v="2.5000000000000001E-2"/>
    <n v="7.88368"/>
    <n v="8"/>
    <n v="0"/>
    <n v="0"/>
    <n v="3.3250000000000002"/>
    <n v="1.17662"/>
    <n v="3.83"/>
    <n v="0"/>
    <n v="3.286E-2"/>
    <x v="106"/>
    <n v="0"/>
    <n v="0"/>
    <n v="76.66"/>
    <n v="0.65774299999999997"/>
    <n v="0"/>
    <n v="0"/>
  </r>
  <r>
    <n v="1496"/>
    <s v="แขวงทางหลวงกรุงเทพ"/>
    <n v="411"/>
    <n v="3902"/>
    <n v="602"/>
    <s v="คู้บอน - ประเวศ"/>
    <s v="47+920"/>
    <s v="47+058"/>
    <n v="0.86199999999999999"/>
    <n v="2"/>
    <s v="R1"/>
    <d v="2015-09-01T00:00:00"/>
    <s v="A.C."/>
    <n v="0.4"/>
    <n v="7.4999999999999997E-2"/>
    <n v="0.1"/>
    <n v="0.25"/>
    <n v="3.8519999999999999"/>
    <n v="4"/>
    <n v="0.82499999999999996"/>
    <n v="0"/>
    <n v="0"/>
    <n v="0"/>
    <n v="4.2249999999999996"/>
    <n v="4"/>
    <n v="0"/>
    <n v="0"/>
    <n v="0.82499999999999996"/>
    <n v="1.0720000000000001"/>
    <n v="0"/>
    <n v="1.98"/>
    <n v="3.2814053695724224E-2"/>
    <x v="106"/>
    <n v="0"/>
    <n v="0"/>
    <n v="28.51"/>
    <n v="0.94497845541929082"/>
    <n v="2"/>
    <n v="6.6291017567119651E-2"/>
  </r>
  <r>
    <n v="718"/>
    <s v="แขวงทางหลวงขอนแก่นที่ 2 (ชุมแพ)"/>
    <n v="627"/>
    <n v="201"/>
    <n v="303"/>
    <s v="โนนหัน  -  ผานกเค้า"/>
    <n v="253485"/>
    <n v="221081"/>
    <n v="32.404000000000003"/>
    <n v="4"/>
    <s v="R1"/>
    <d v="2015-06-23T00:00:00"/>
    <s v="A.C."/>
    <n v="18.350000000000001"/>
    <n v="8.125"/>
    <n v="3.8250000000000002"/>
    <n v="2.0750000000000002"/>
    <n v="2.7273800000000001"/>
    <n v="2.5"/>
    <n v="25.55"/>
    <n v="5.3250000000000002"/>
    <n v="1.05"/>
    <n v="0.45"/>
    <n v="7.6129699999999998"/>
    <n v="7.5"/>
    <n v="0"/>
    <n v="0"/>
    <n v="32.404000000000003"/>
    <n v="1.12368"/>
    <n v="2.02"/>
    <n v="70.36"/>
    <n v="3.2800183398874916E-2"/>
    <x v="106"/>
    <n v="235.41"/>
    <n v="0.207566967041106"/>
    <n v="0"/>
    <n v="0"/>
    <n v="129.49"/>
    <n v="0.11417461689033098"/>
  </r>
  <r>
    <n v="1159"/>
    <s v="แขวงทางหลวงสระบุรี"/>
    <n v="432"/>
    <n v="3224"/>
    <n v="102"/>
    <s v="ท่าคล้อ - แสลงพัน"/>
    <s v="10+000"/>
    <s v="31+011"/>
    <n v="21.010999999999999"/>
    <n v="2"/>
    <s v="L1"/>
    <d v="2015-10-05T00:00:00"/>
    <s v="A.C."/>
    <n v="14.375"/>
    <n v="4.95"/>
    <n v="1.5"/>
    <n v="0.2"/>
    <n v="2.2963100000000001"/>
    <n v="2.5"/>
    <n v="20.6"/>
    <n v="0.42499999999999999"/>
    <n v="0"/>
    <n v="0"/>
    <n v="3.8427799999999999"/>
    <n v="4"/>
    <n v="0"/>
    <n v="0"/>
    <n v="21.024999999999999"/>
    <n v="1.4588300000000001"/>
    <n v="21.6"/>
    <n v="4.42"/>
    <n v="3.2377999999999997E-2"/>
    <x v="106"/>
    <n v="6.31"/>
    <n v="8.5810000000000001E-3"/>
    <n v="0"/>
    <n v="0"/>
    <n v="0"/>
    <n v="0"/>
  </r>
  <r>
    <n v="99"/>
    <s v="แขวงทางหลวงแม่ฮ่องสอน"/>
    <n v="526"/>
    <n v="1285"/>
    <n v="100"/>
    <s v="ทุ่งมะส้าน - ห้วยผึ้ง"/>
    <s v="0+000"/>
    <s v="15+000"/>
    <n v="15"/>
    <n v="2"/>
    <s v="L1"/>
    <d v="2015-08-28T00:00:00"/>
    <s v="A.C."/>
    <n v="1.85"/>
    <n v="5.5"/>
    <n v="5.43"/>
    <n v="2.23"/>
    <n v="3.8341799999999999"/>
    <n v="4"/>
    <n v="12.58"/>
    <n v="1.53"/>
    <n v="0.4"/>
    <n v="0.5"/>
    <n v="6.3949800000000003"/>
    <n v="6.5"/>
    <n v="0"/>
    <n v="0"/>
    <n v="15"/>
    <n v="1.4078200000000001"/>
    <n v="15.62"/>
    <n v="2.4"/>
    <n v="3.2038095238095234E-2"/>
    <x v="106"/>
    <n v="0"/>
    <n v="0"/>
    <n v="6.35"/>
    <n v="1.2095238095238095E-2"/>
    <n v="0"/>
    <n v="0"/>
  </r>
  <r>
    <n v="1892"/>
    <s v="แขวงทางหลวงราชบุรี"/>
    <n v="335"/>
    <n v="3644"/>
    <n v="100"/>
    <s v="ทางเข้าเจ็ดเสมียน"/>
    <n v="0"/>
    <n v="2300"/>
    <n v="2.2999999999999998"/>
    <n v="2"/>
    <s v="L1"/>
    <d v="2015-03-30T00:00:00"/>
    <s v="A.C."/>
    <n v="0.65"/>
    <n v="1.1200000000000001"/>
    <n v="0.41"/>
    <n v="0.12"/>
    <n v="3.0623100000000001"/>
    <n v="3"/>
    <n v="2.2999999999999998"/>
    <n v="0"/>
    <n v="0"/>
    <n v="0"/>
    <n v="1.0919399999999999"/>
    <n v="1"/>
    <n v="0"/>
    <n v="0"/>
    <n v="2.2999999999999998"/>
    <n v="1.25315"/>
    <n v="2.36"/>
    <n v="0.38"/>
    <n v="3.1677018633540374E-2"/>
    <x v="106"/>
    <n v="21.364999999999998"/>
    <n v="0.26540372670807455"/>
    <n v="0"/>
    <n v="0"/>
    <n v="0"/>
    <n v="0"/>
  </r>
  <r>
    <n v="1590"/>
    <s v="แขวงทางหลวงปทุมธานี"/>
    <n v="416"/>
    <n v="306"/>
    <n v="200"/>
    <s v="คลองบ้านใหม่ - บางพูน"/>
    <n v="21940"/>
    <n v="23900"/>
    <n v="0"/>
    <n v="6"/>
    <s v="L2"/>
    <d v="2015-09-02T00:00:00"/>
    <s v="C.C."/>
    <n v="0.32500000000000001"/>
    <n v="0.95"/>
    <n v="0.6"/>
    <n v="0.1"/>
    <n v="3.39"/>
    <n v="3.5"/>
    <n v="0"/>
    <n v="0"/>
    <n v="1.9750000000000001"/>
    <n v="1.1499999999999999"/>
    <n v="0"/>
    <n v="0"/>
    <n v="0"/>
    <n v="0"/>
    <n v="0"/>
    <n v="0"/>
    <n v="0"/>
    <n v="0"/>
    <n v="0"/>
    <x v="106"/>
    <m/>
    <m/>
    <m/>
    <m/>
    <m/>
    <m/>
  </r>
  <r>
    <n v="1591"/>
    <s v="แขวงทางหลวงปทุมธานี"/>
    <n v="416"/>
    <n v="306"/>
    <n v="200"/>
    <s v="คลองบ้านใหม่ - บางพูน"/>
    <n v="23900"/>
    <n v="21940"/>
    <n v="0"/>
    <n v="6"/>
    <s v="R2"/>
    <d v="2015-09-02T00:00:00"/>
    <s v="C.C."/>
    <n v="0.32500000000000001"/>
    <n v="0.52500000000000002"/>
    <n v="0.85"/>
    <n v="0.2"/>
    <n v="3.63"/>
    <n v="3.5"/>
    <n v="0"/>
    <n v="0"/>
    <n v="5.53"/>
    <n v="1.05"/>
    <n v="0"/>
    <n v="0"/>
    <n v="0"/>
    <n v="0"/>
    <n v="0"/>
    <n v="0"/>
    <n v="0"/>
    <n v="0"/>
    <n v="0"/>
    <x v="106"/>
    <m/>
    <m/>
    <m/>
    <m/>
    <m/>
    <m/>
  </r>
  <r>
    <n v="1592"/>
    <s v="แขวงทางหลวงปทุมธานี"/>
    <n v="416"/>
    <n v="306"/>
    <n v="200"/>
    <s v="คลองบ้านใหม่ - บางพูน"/>
    <n v="23900"/>
    <n v="26674"/>
    <n v="0"/>
    <n v="6"/>
    <s v="L2"/>
    <d v="2015-09-02T00:00:00"/>
    <s v="C.C."/>
    <n v="0.27500000000000002"/>
    <n v="1.425"/>
    <n v="0.82499999999999996"/>
    <n v="0.22500000000000001"/>
    <n v="3.48"/>
    <n v="3.5"/>
    <n v="0"/>
    <n v="0"/>
    <n v="2.75"/>
    <n v="0.96"/>
    <n v="0"/>
    <n v="0"/>
    <n v="0"/>
    <n v="0"/>
    <n v="0"/>
    <n v="0"/>
    <n v="0"/>
    <n v="0"/>
    <n v="0"/>
    <x v="106"/>
    <m/>
    <m/>
    <m/>
    <m/>
    <m/>
    <m/>
  </r>
  <r>
    <n v="1593"/>
    <s v="แขวงทางหลวงปทุมธานี"/>
    <n v="416"/>
    <n v="306"/>
    <n v="200"/>
    <s v="คลองบ้านใหม่ - บางพูน"/>
    <n v="26674"/>
    <n v="23900"/>
    <n v="0"/>
    <n v="6"/>
    <s v="R2"/>
    <d v="2015-09-02T00:00:00"/>
    <s v="C.C."/>
    <n v="2.5000000000000001E-2"/>
    <n v="0.6"/>
    <n v="1.625"/>
    <n v="0.47499999999999998"/>
    <n v="4.16"/>
    <n v="4"/>
    <n v="0"/>
    <n v="0"/>
    <n v="2.7250000000000001"/>
    <n v="1.0900000000000001"/>
    <n v="0"/>
    <n v="0"/>
    <n v="0"/>
    <n v="0"/>
    <n v="0"/>
    <n v="0"/>
    <n v="0"/>
    <n v="0"/>
    <n v="0"/>
    <x v="106"/>
    <m/>
    <m/>
    <m/>
    <m/>
    <m/>
    <m/>
  </r>
  <r>
    <n v="302"/>
    <s v="แขวงทางหลวงบึงกาฬ"/>
    <n v="643"/>
    <n v="212"/>
    <n v="202"/>
    <s v="ดงบัง - นาพระชัย"/>
    <n v="209032"/>
    <n v="242550"/>
    <n v="33.518000000000001"/>
    <n v="2"/>
    <s v="R1"/>
    <d v="2015-06-09T00:00:00"/>
    <s v="A.C."/>
    <n v="25.925000000000001"/>
    <n v="4.75"/>
    <n v="1.75"/>
    <n v="1.0249999999999999"/>
    <n v="2.6699199999999998"/>
    <n v="2.5"/>
    <n v="32.25"/>
    <n v="0.95"/>
    <n v="0.125"/>
    <n v="0.125"/>
    <n v="4.6102699999999999"/>
    <n v="4.5"/>
    <n v="0"/>
    <n v="0"/>
    <n v="33.450000000000003"/>
    <n v="1.4025700000000001"/>
    <n v="0"/>
    <n v="74"/>
    <n v="3.1539999999999999E-2"/>
    <x v="106"/>
    <n v="0"/>
    <n v="0"/>
    <n v="0"/>
    <n v="0"/>
    <n v="0"/>
    <n v="0"/>
  </r>
  <r>
    <n v="1788"/>
    <s v="แขวงทางหลวงชลบุรีที่ 2"/>
    <n v="428"/>
    <n v="361"/>
    <n v="200"/>
    <s v="ทางเลี่ยงเมืองชลบุรี"/>
    <n v="9000"/>
    <n v="14216"/>
    <n v="5.2160000000000002"/>
    <n v="6"/>
    <s v="L2"/>
    <d v="2015-08-14T00:00:00"/>
    <s v="A.C."/>
    <n v="2.875"/>
    <n v="1.675"/>
    <n v="0.42499999999999999"/>
    <n v="0.05"/>
    <n v="2.6225800000000001"/>
    <n v="2.5"/>
    <n v="4.3499999999999996"/>
    <n v="0.47499999999999998"/>
    <n v="0.1"/>
    <n v="0.1"/>
    <n v="7.1503899999999998"/>
    <n v="7"/>
    <n v="0"/>
    <n v="0"/>
    <n v="5.0249999999999995"/>
    <n v="1.30298"/>
    <n v="0"/>
    <n v="11.47"/>
    <n v="3.1414329535495181E-2"/>
    <x v="106"/>
    <n v="0"/>
    <n v="0"/>
    <n v="0"/>
    <n v="0"/>
    <n v="0"/>
    <n v="0"/>
  </r>
  <r>
    <n v="337"/>
    <s v="แขวงทางหลวงหนองคาย"/>
    <n v="646"/>
    <n v="2267"/>
    <n v="102"/>
    <s v="โนนต้อง -โซ่พิสัย"/>
    <n v="37763"/>
    <n v="48262"/>
    <n v="10.499000000000001"/>
    <n v="2"/>
    <s v="R1"/>
    <d v="2015-06-09T00:00:00"/>
    <s v="A.C."/>
    <n v="7.125"/>
    <n v="2.2999999999999998"/>
    <n v="0.875"/>
    <n v="0.17499999999999999"/>
    <n v="2.6279499999999998"/>
    <n v="2.5"/>
    <n v="10.074999999999999"/>
    <n v="0.35"/>
    <n v="2.5000000000000001E-2"/>
    <n v="2.5000000000000001E-2"/>
    <n v="4.0752199999999998"/>
    <n v="4"/>
    <n v="0"/>
    <n v="0"/>
    <n v="10.475"/>
    <n v="1.0900300000000001"/>
    <n v="2"/>
    <n v="19"/>
    <n v="3.1300000000000001E-2"/>
    <x v="106"/>
    <n v="0"/>
    <n v="0"/>
    <n v="0"/>
    <n v="0"/>
    <n v="0"/>
    <n v="0"/>
  </r>
  <r>
    <n v="2095"/>
    <s v="แขวงทางหลวงกระบี่"/>
    <n v="323"/>
    <n v="4202"/>
    <n v="100"/>
    <s v="ช่องพลี - หาดนพรัตน์ธารา"/>
    <n v="0"/>
    <n v="5462"/>
    <n v="5.4619999999999997"/>
    <n v="2"/>
    <s v="L1"/>
    <d v="2015-05-08T00:00:00"/>
    <s v="A.C."/>
    <n v="4.4000000000000004"/>
    <n v="0.7"/>
    <n v="0.26"/>
    <n v="0.1"/>
    <n v="2.08548"/>
    <n v="2"/>
    <n v="5.28"/>
    <n v="0.18"/>
    <n v="0"/>
    <n v="0"/>
    <n v="2.4668000000000001"/>
    <n v="2.5"/>
    <n v="0"/>
    <n v="0"/>
    <n v="5.46"/>
    <n v="1.1628700000000001"/>
    <n v="5.98"/>
    <n v="0"/>
    <n v="3.1281058743526713E-2"/>
    <x v="106"/>
    <n v="1.62"/>
    <n v="8.4741329706543942E-3"/>
    <n v="0"/>
    <n v="0"/>
    <n v="0"/>
    <n v="0"/>
  </r>
  <r>
    <n v="1185"/>
    <s v="แขวงทางหลวงสิงห์บุรี"/>
    <n v="433"/>
    <n v="3032"/>
    <n v="100"/>
    <s v="บุ้งกี๋ - ท่าศาล"/>
    <s v="32+362"/>
    <s v="0+000"/>
    <n v="32.362000000000002"/>
    <n v="2"/>
    <s v="R1"/>
    <d v="2015-10-05T00:00:00"/>
    <s v="A.C."/>
    <n v="19.100000000000001"/>
    <n v="10.475"/>
    <n v="2.7"/>
    <n v="1.0249999999999999"/>
    <n v="2.66188"/>
    <n v="2.5"/>
    <n v="29.05"/>
    <n v="2.7749999999999999"/>
    <n v="0.7"/>
    <n v="0.125"/>
    <n v="5.2993100000000002"/>
    <n v="5.5"/>
    <n v="0"/>
    <n v="0"/>
    <n v="32.362000000000002"/>
    <n v="1.264"/>
    <n v="32.979999999999997"/>
    <n v="4.21"/>
    <n v="3.0975482708997314E-2"/>
    <x v="106"/>
    <n v="18.2"/>
    <n v="1.6068228168839994E-2"/>
    <n v="0"/>
    <n v="0"/>
    <n v="0"/>
    <n v="0"/>
  </r>
  <r>
    <n v="1144"/>
    <s v="แขวงทางหลวงสระบุรี"/>
    <n v="432"/>
    <n v="3034"/>
    <n v="100"/>
    <s v="หน้าพระลาน - บ้านครัว"/>
    <s v="20+094"/>
    <s v="0+000"/>
    <n v="20.094000000000001"/>
    <n v="2"/>
    <s v="R1"/>
    <d v="2015-10-05T00:00:00"/>
    <s v="A.C."/>
    <n v="10.275"/>
    <n v="4.625"/>
    <n v="2.1"/>
    <n v="3.1"/>
    <n v="3.3400400000000001"/>
    <n v="3.5"/>
    <n v="18.274999999999999"/>
    <n v="1.0249999999999999"/>
    <n v="0.45"/>
    <n v="0.35"/>
    <n v="4.1506499999999997"/>
    <n v="4"/>
    <n v="0"/>
    <n v="0"/>
    <n v="20.100000000000001"/>
    <n v="1.54312"/>
    <n v="20.309999999999999"/>
    <n v="2.68"/>
    <n v="3.0783999999999999E-2"/>
    <x v="106"/>
    <n v="14.98"/>
    <n v="2.1299999999999999E-2"/>
    <n v="0"/>
    <n v="0"/>
    <n v="1.204"/>
    <n v="1.712E-3"/>
  </r>
  <r>
    <n v="108"/>
    <s v="แขวงทางหลวงเชียงใหม่ที่ 3"/>
    <n v="527"/>
    <n v="107"/>
    <n v="204"/>
    <s v="ล้องอ้อ - เมืองงาม"/>
    <n v="138993"/>
    <n v="205121"/>
    <n v="66.128"/>
    <n v="2"/>
    <s v="L1"/>
    <d v="2015-08-23T00:00:00"/>
    <s v="A.C."/>
    <n v="42.16"/>
    <n v="15.88"/>
    <n v="6.09"/>
    <n v="2"/>
    <n v="2.4116599999999999"/>
    <n v="2.5"/>
    <n v="64.48"/>
    <n v="1.22"/>
    <n v="0.27"/>
    <n v="0.15"/>
    <n v="2.8271600000000001"/>
    <n v="3"/>
    <n v="0"/>
    <n v="0"/>
    <n v="66.13"/>
    <n v="1.06253"/>
    <n v="57.12"/>
    <n v="27.9"/>
    <n v="3.0706681414399774E-2"/>
    <x v="106"/>
    <n v="12.83"/>
    <n v="5.543361791849573E-3"/>
    <n v="10.8"/>
    <n v="4.6662749300058759E-3"/>
    <n v="1.75"/>
    <n v="7.5610936365835954E-4"/>
  </r>
  <r>
    <n v="1880"/>
    <s v="แขวงทางหลวงราชบุรี"/>
    <n v="335"/>
    <n v="3291"/>
    <n v="102"/>
    <s v="แก้วฟ้า  - เขาช่องพราน"/>
    <n v="25032"/>
    <n v="14207"/>
    <n v="10.824999999999999"/>
    <n v="2"/>
    <s v="R1"/>
    <d v="2015-04-01T00:00:00"/>
    <s v="A.C."/>
    <n v="2.0299999999999998"/>
    <n v="5.6"/>
    <n v="2.5299999999999998"/>
    <n v="0.68"/>
    <n v="3.3113199999999998"/>
    <n v="3.5"/>
    <n v="8.23"/>
    <n v="1.8"/>
    <n v="0.48"/>
    <n v="0.33"/>
    <n v="8.3413699999999995"/>
    <n v="8.5"/>
    <n v="0"/>
    <n v="0"/>
    <n v="10.83"/>
    <n v="1.59474"/>
    <n v="9.6"/>
    <n v="4.0599999999999996"/>
    <n v="3.0696139887825803E-2"/>
    <x v="106"/>
    <n v="16.98"/>
    <n v="4.4816892114813607E-2"/>
    <n v="0"/>
    <n v="0"/>
    <n v="1.38"/>
    <n v="3.6423622566809635E-3"/>
  </r>
  <r>
    <n v="1207"/>
    <s v="แขวงทางหลวงลพบุรีที่ 2 (ลำนารายณ์)"/>
    <n v="435"/>
    <n v="2256"/>
    <n v="101"/>
    <s v="ถนนโค้ง - หนองน้ำใส"/>
    <s v="16+905"/>
    <s v="0+000"/>
    <n v="16.905000000000001"/>
    <n v="2"/>
    <s v="R1"/>
    <d v="2015-10-05T00:00:00"/>
    <s v="A.C."/>
    <n v="10.6"/>
    <n v="3.6"/>
    <n v="2.0499999999999998"/>
    <n v="0.65"/>
    <n v="2.5731999999999999"/>
    <n v="2.5"/>
    <n v="14.55"/>
    <n v="1.85"/>
    <n v="0.375"/>
    <n v="0.125"/>
    <n v="5.6355599999999999"/>
    <n v="5.5"/>
    <n v="0"/>
    <n v="0"/>
    <n v="16.905000000000001"/>
    <n v="1.20611"/>
    <n v="14.32"/>
    <n v="7.64"/>
    <n v="3.0658723116575817E-2"/>
    <x v="106"/>
    <n v="8.65"/>
    <n v="1.4619999999999999E-2"/>
    <n v="0"/>
    <n v="0"/>
    <n v="0"/>
    <n v="0"/>
  </r>
  <r>
    <n v="2040"/>
    <s v="แขวงทางหลวงนครศรีธรรมราชที่ 2 (ทุ่งสง)"/>
    <n v="326"/>
    <n v="4194"/>
    <n v="100"/>
    <s v="ควนสงสาร - กระทูน"/>
    <n v="0"/>
    <n v="29821"/>
    <n v="29.821000000000002"/>
    <n v="2"/>
    <s v="L2"/>
    <d v="2015-05-02T00:00:00"/>
    <s v="A.C."/>
    <n v="20.875"/>
    <n v="5.8250000000000002"/>
    <n v="2.0750000000000002"/>
    <n v="1"/>
    <n v="2.3036099999999999"/>
    <n v="2.5"/>
    <n v="29.7"/>
    <n v="7.4999999999999997E-2"/>
    <n v="0"/>
    <n v="0"/>
    <n v="2.5610300000000001"/>
    <n v="2.5"/>
    <n v="0"/>
    <n v="0"/>
    <n v="29.774999999999999"/>
    <n v="1.17079"/>
    <n v="19.98"/>
    <n v="23.75"/>
    <n v="3.0520199092681572E-2"/>
    <x v="106"/>
    <n v="16.395800000000001"/>
    <n v="1.5708776653077648E-2"/>
    <n v="0"/>
    <n v="0"/>
    <n v="0"/>
    <n v="0"/>
  </r>
  <r>
    <n v="788"/>
    <s v="แขวงทางหลวงยโสธร"/>
    <n v="633"/>
    <n v="2086"/>
    <n v="100"/>
    <s v="กู่พระโกนา - บ้านด่าน"/>
    <n v="0"/>
    <n v="26315"/>
    <n v="26.315000000000001"/>
    <n v="2"/>
    <s v="L1"/>
    <d v="2015-05-23T00:00:00"/>
    <s v="A.C."/>
    <n v="19.024999999999999"/>
    <n v="5.875"/>
    <n v="0.95"/>
    <n v="0.32500000000000001"/>
    <n v="2.3175699999999999"/>
    <n v="2.5"/>
    <n v="25.6"/>
    <n v="0.55000000000000004"/>
    <n v="2.5000000000000001E-2"/>
    <n v="0"/>
    <n v="4.8793100000000003"/>
    <n v="5"/>
    <n v="0"/>
    <n v="0"/>
    <n v="26.174999999999997"/>
    <n v="1.3145800000000001"/>
    <n v="1"/>
    <n v="54"/>
    <n v="3.04E-2"/>
    <x v="106"/>
    <n v="0"/>
    <n v="0"/>
    <n v="94"/>
    <n v="0.10206020466328276"/>
    <n v="0"/>
    <n v="0"/>
  </r>
  <r>
    <n v="1809"/>
    <s v="แขวงทางหลวงชลบุรีที่ 2"/>
    <n v="428"/>
    <n v="3701"/>
    <n v="500"/>
    <s v="ทางต่างระดับคีรี - พัทยา"/>
    <s v="107+694"/>
    <s v="108+694"/>
    <n v="1"/>
    <n v="2"/>
    <s v="L1"/>
    <d v="2015-08-15T00:00:00"/>
    <s v="A.C."/>
    <n v="0.8"/>
    <n v="0.1"/>
    <n v="7.4999999999999997E-2"/>
    <n v="0"/>
    <n v="2.0089999999999999"/>
    <n v="2"/>
    <n v="0.97499999999999998"/>
    <n v="0"/>
    <n v="0"/>
    <n v="0"/>
    <n v="3.718"/>
    <n v="3.5"/>
    <n v="0"/>
    <n v="0"/>
    <n v="0.97499999999999998"/>
    <n v="1.167"/>
    <n v="0"/>
    <n v="2.12"/>
    <n v="3.0285714285714284E-2"/>
    <x v="106"/>
    <n v="0"/>
    <n v="0"/>
    <n v="0"/>
    <n v="0"/>
    <n v="0"/>
    <n v="0"/>
  </r>
  <r>
    <n v="1385"/>
    <s v="แขวงทางหลวงสุพรรณบุรีที่ 2 (อู่ทอง)"/>
    <n v="445"/>
    <n v="3505"/>
    <n v="100"/>
    <s v="หางตลาด - ศรีสำราญ"/>
    <n v="0"/>
    <n v="27851"/>
    <n v="27.850999999999999"/>
    <n v="2"/>
    <s v="L1"/>
    <d v="2015-07-22T00:00:00"/>
    <s v="A.C."/>
    <n v="23.274999999999999"/>
    <n v="3.75"/>
    <n v="0.47499999999999998"/>
    <n v="0.35"/>
    <n v="2.0903900000000002"/>
    <n v="2"/>
    <n v="27.425000000000001"/>
    <n v="0.375"/>
    <n v="0.05"/>
    <n v="0"/>
    <n v="3.3561200000000002"/>
    <n v="3.5"/>
    <n v="0"/>
    <n v="0"/>
    <n v="27.85"/>
    <n v="1.02576"/>
    <n v="0"/>
    <n v="59"/>
    <n v="3.0263083654344294E-2"/>
    <x v="106"/>
    <n v="2"/>
    <n v="2.0517344850402909E-3"/>
    <n v="60"/>
    <n v="6.155203455120873E-2"/>
    <n v="0"/>
    <n v="0"/>
  </r>
  <r>
    <n v="2094"/>
    <s v="แขวงทางหลวงกระบี่"/>
    <n v="323"/>
    <n v="4201"/>
    <n v="100"/>
    <s v="ช่องพลี - อ่าวพระนาง"/>
    <n v="3465"/>
    <n v="0"/>
    <n v="3.4649999999999999"/>
    <n v="2"/>
    <s v="R1"/>
    <d v="2015-05-08T00:00:00"/>
    <s v="A.C."/>
    <n v="2.89"/>
    <n v="0.25"/>
    <n v="0.33"/>
    <n v="0"/>
    <n v="1.87225"/>
    <n v="2"/>
    <n v="3.47"/>
    <n v="0"/>
    <n v="0"/>
    <n v="0"/>
    <n v="1.9397500000000001"/>
    <n v="2"/>
    <n v="0"/>
    <n v="0"/>
    <n v="3.47"/>
    <n v="1.0870200000000001"/>
    <n v="3.67"/>
    <n v="0"/>
    <n v="3.0261801690373118E-2"/>
    <x v="106"/>
    <n v="2.2200000000000002"/>
    <n v="1.8305504019789736E-2"/>
    <n v="0"/>
    <n v="0"/>
    <n v="0"/>
    <n v="0"/>
  </r>
  <r>
    <n v="134"/>
    <s v="แขวงทางหลวงลำปางที่ 2"/>
    <n v="528"/>
    <n v="1329"/>
    <n v="100"/>
    <s v="นาป้อใต้ - บ้านเอื้อม"/>
    <s v="0+000"/>
    <s v="14+491"/>
    <n v="14.491"/>
    <n v="2"/>
    <s v="L1"/>
    <d v="2015-08-08T00:00:00"/>
    <s v="A.C."/>
    <n v="9.9749999999999996"/>
    <n v="2.9249999999999998"/>
    <n v="1.05"/>
    <n v="0.52500000000000002"/>
    <n v="2.4413800000000001"/>
    <n v="2.5"/>
    <n v="14.25"/>
    <n v="0.2"/>
    <n v="2.5000000000000001E-2"/>
    <n v="0"/>
    <n v="2.8571300000000002"/>
    <n v="3"/>
    <n v="0"/>
    <n v="0"/>
    <n v="14.475"/>
    <n v="1.51423"/>
    <n v="15.200100000000001"/>
    <n v="0"/>
    <n v="2.9969537742638289E-2"/>
    <x v="106"/>
    <n v="0"/>
    <n v="0"/>
    <n v="0"/>
    <n v="0"/>
    <n v="0"/>
    <n v="0"/>
  </r>
  <r>
    <n v="1445"/>
    <s v="แขวงทางหลวงอ่างทอง"/>
    <n v="448"/>
    <n v="309"/>
    <n v="202"/>
    <s v="แยกที่ดิน - ไชโย"/>
    <s v="73+943"/>
    <s v="56+756"/>
    <n v="17.187000000000001"/>
    <n v="4"/>
    <s v="R2"/>
    <d v="2015-06-26T00:00:00"/>
    <s v="A.C."/>
    <n v="12.824999999999999"/>
    <n v="3.0750000000000002"/>
    <n v="0.7"/>
    <n v="0.25"/>
    <n v="2.1956699999999998"/>
    <n v="2"/>
    <n v="16.25"/>
    <n v="0.47499999999999998"/>
    <n v="7.4999999999999997E-2"/>
    <n v="0.05"/>
    <n v="2.76491"/>
    <n v="3"/>
    <n v="0"/>
    <n v="0"/>
    <n v="16.849999999999998"/>
    <n v="1.0904100000000001"/>
    <n v="0"/>
    <n v="36"/>
    <n v="2.9922948407849786E-2"/>
    <x v="106"/>
    <n v="2"/>
    <n v="3.3247720453166425E-3"/>
    <n v="0"/>
    <n v="0"/>
    <n v="0"/>
    <n v="0"/>
  </r>
  <r>
    <n v="2207"/>
    <s v="แขวงทางหลวงพัทลุง"/>
    <n v="314"/>
    <n v="4340"/>
    <n v="100"/>
    <s v="ไสยวน  - ควนขนุน"/>
    <n v="0"/>
    <n v="5125"/>
    <n v="5.125"/>
    <n v="2"/>
    <s v="L1"/>
    <d v="2015-05-20T00:00:00"/>
    <s v="A.C."/>
    <n v="2.9249999999999998"/>
    <n v="1.0249999999999999"/>
    <n v="0.27500000000000002"/>
    <n v="2.5000000000000001E-2"/>
    <n v="2.37541"/>
    <n v="2.5"/>
    <n v="4.2249999999999996"/>
    <n v="2.5000000000000001E-2"/>
    <n v="0"/>
    <n v="0"/>
    <n v="2.1090499999999999"/>
    <n v="2"/>
    <n v="0"/>
    <n v="0"/>
    <n v="4.25"/>
    <n v="1.04535"/>
    <n v="5.33"/>
    <n v="0"/>
    <n v="2.9714285714285714E-2"/>
    <x v="106"/>
    <n v="0"/>
    <n v="0"/>
    <n v="0"/>
    <n v="0"/>
    <n v="0"/>
    <n v="0"/>
  </r>
  <r>
    <n v="1364"/>
    <s v="แขวงทางหลวงสุพรรณบุรีที่ 2 (อู่ทอง)"/>
    <n v="445"/>
    <n v="3306"/>
    <n v="100"/>
    <s v="หนองปรือ - สระกระโจม"/>
    <n v="0"/>
    <n v="56045"/>
    <n v="56.045000000000002"/>
    <n v="2"/>
    <s v="L1"/>
    <d v="2015-07-23T00:00:00"/>
    <s v="A.C."/>
    <n v="40.725000000000001"/>
    <n v="10.675000000000001"/>
    <n v="3.8"/>
    <n v="0.95"/>
    <n v="2.1634699999999998"/>
    <n v="2"/>
    <n v="53.85"/>
    <n v="1.95"/>
    <n v="0.27500000000000002"/>
    <n v="7.4999999999999997E-2"/>
    <n v="3.44075"/>
    <n v="3.5"/>
    <n v="0"/>
    <n v="0"/>
    <n v="56.150000000000006"/>
    <n v="1.2270000000000001"/>
    <n v="57"/>
    <n v="2"/>
    <n v="2.9568076673081582E-2"/>
    <x v="106"/>
    <n v="2"/>
    <n v="1.0195888507959167E-3"/>
    <n v="37"/>
    <n v="1.8862393739724457E-2"/>
    <n v="0"/>
    <n v="0"/>
  </r>
  <r>
    <n v="1434"/>
    <s v="แขวงทางหลวงอ่างทอง"/>
    <n v="448"/>
    <n v="32"/>
    <n v="201"/>
    <s v="นครหลวง - อ่างทอง"/>
    <n v="26000"/>
    <n v="49087"/>
    <n v="23.087"/>
    <n v="8"/>
    <s v="L4"/>
    <d v="2015-06-27T00:00:00"/>
    <s v="A.C."/>
    <n v="19.625"/>
    <n v="2.2749999999999999"/>
    <n v="0.7"/>
    <n v="0.125"/>
    <n v="1.823"/>
    <n v="2"/>
    <n v="21.95"/>
    <n v="0.45"/>
    <n v="0.32500000000000001"/>
    <n v="0"/>
    <n v="3.1819999999999999"/>
    <n v="3"/>
    <n v="0"/>
    <n v="0"/>
    <n v="22.724999999999998"/>
    <n v="1.123"/>
    <n v="12"/>
    <n v="23.75"/>
    <n v="2.9546621784677835E-2"/>
    <x v="106"/>
    <n v="28.48"/>
    <n v="3.5245561818958104E-2"/>
    <n v="0"/>
    <n v="0"/>
    <n v="0"/>
    <n v="0"/>
  </r>
  <r>
    <n v="847"/>
    <s v="แขวงทางหลวงสุรินทร์"/>
    <n v="615"/>
    <n v="226"/>
    <n v="302"/>
    <s v="สุรินทร์ - ศีขรภูมิ"/>
    <n v="171182"/>
    <n v="203646"/>
    <n v="32.463999999999999"/>
    <n v="4"/>
    <s v="L2"/>
    <d v="2015-05-11T00:00:00"/>
    <s v="A.C."/>
    <n v="17.2"/>
    <n v="8.9499999999999993"/>
    <n v="4.4000000000000004"/>
    <n v="1.925"/>
    <n v="2.927"/>
    <n v="3"/>
    <n v="24.55"/>
    <n v="4.45"/>
    <n v="1.7"/>
    <n v="1.7749999999999999"/>
    <n v="9.5640000000000001"/>
    <n v="9.5"/>
    <n v="0"/>
    <n v="0"/>
    <n v="32.474999999999994"/>
    <n v="1.2190000000000001"/>
    <n v="31.79"/>
    <n v="3.05"/>
    <n v="2.9319999999999999E-2"/>
    <x v="106"/>
    <n v="37.57"/>
    <n v="3.3070000000000002E-2"/>
    <n v="10.130000000000001"/>
    <n v="8.9149999999999993E-3"/>
    <n v="20.25"/>
    <n v="1.7819999999999999E-2"/>
  </r>
  <r>
    <n v="911"/>
    <s v="แขวงทางหลวงศรีสะเกษที่ 2"/>
    <n v="636"/>
    <n v="2127"/>
    <n v="100"/>
    <s v="ศิวาลัย - สำโรงเกียรติ"/>
    <n v="0"/>
    <n v="13085"/>
    <n v="13.085000000000001"/>
    <n v="2"/>
    <s v="L1"/>
    <d v="2005-05-13T00:00:00"/>
    <s v="A.C."/>
    <n v="10.85"/>
    <n v="1.55"/>
    <n v="0.375"/>
    <n v="0.25"/>
    <n v="2.0899000000000001"/>
    <n v="2"/>
    <n v="12.95"/>
    <n v="0.05"/>
    <n v="2.5000000000000001E-2"/>
    <n v="0"/>
    <n v="2.9348299999999998"/>
    <n v="3"/>
    <n v="0"/>
    <n v="0"/>
    <n v="13.025"/>
    <n v="1.49658"/>
    <n v="13.33"/>
    <n v="0"/>
    <n v="2.911E-2"/>
    <x v="106"/>
    <n v="0"/>
    <n v="0"/>
    <n v="53.2"/>
    <n v="0.116164"/>
    <n v="0"/>
    <n v="0"/>
  </r>
  <r>
    <n v="790"/>
    <s v="แขวงทางหลวงยโสธร"/>
    <n v="633"/>
    <n v="2259"/>
    <n v="100"/>
    <s v="เสลภูมิ - คำโพนสูง"/>
    <n v="0"/>
    <n v="46191"/>
    <n v="46.191000000000003"/>
    <n v="2"/>
    <s v="L1"/>
    <d v="2015-05-23T00:00:00"/>
    <s v="A.C."/>
    <n v="33.25"/>
    <n v="7.3250000000000002"/>
    <n v="3.5"/>
    <n v="1.9750000000000001"/>
    <n v="2.4960399999999998"/>
    <n v="2.5"/>
    <n v="44.075000000000003"/>
    <n v="1.7250000000000001"/>
    <n v="0.22500000000000001"/>
    <n v="2.5000000000000001E-2"/>
    <n v="3.96916"/>
    <n v="4"/>
    <n v="0"/>
    <n v="0"/>
    <n v="46.050000000000004"/>
    <n v="1.29765"/>
    <n v="38"/>
    <n v="18"/>
    <n v="2.9069999999999999E-2"/>
    <x v="106"/>
    <n v="8"/>
    <n v="4.948397492399571E-3"/>
    <n v="421"/>
    <n v="0.26040941803752743"/>
    <n v="0"/>
    <n v="0"/>
  </r>
  <r>
    <n v="1972"/>
    <s v="แขวงทางหลวงตรัง"/>
    <n v="322"/>
    <n v="403"/>
    <n v="302"/>
    <s v="ห้วยนาง - ต้นม่วง"/>
    <n v="82997"/>
    <n v="93211"/>
    <n v="10.214"/>
    <n v="4"/>
    <s v="L4"/>
    <d v="2015-05-05T00:00:00"/>
    <s v="A.C."/>
    <n v="8.15"/>
    <n v="1.2749999999999999"/>
    <n v="0.375"/>
    <n v="0.25"/>
    <n v="2.1657500000000001"/>
    <n v="2"/>
    <n v="8.35"/>
    <n v="1.175"/>
    <n v="0.5"/>
    <n v="2.5000000000000001E-2"/>
    <n v="6.1905799999999997"/>
    <n v="6"/>
    <n v="0"/>
    <n v="0"/>
    <n v="10.050000000000001"/>
    <n v="1.33534"/>
    <n v="10.36"/>
    <n v="0"/>
    <n v="2.8979831603681221E-2"/>
    <x v="106"/>
    <n v="0"/>
    <n v="0"/>
    <n v="0"/>
    <n v="0"/>
    <n v="0"/>
    <n v="0"/>
  </r>
  <r>
    <n v="1819"/>
    <s v="แขวงทางหลวงชลบุรีที่ 2"/>
    <n v="428"/>
    <n v="3702"/>
    <n v="500"/>
    <s v="ทางต่างระดับคีรี - พัทยา"/>
    <s v="81+504"/>
    <s v="80+294"/>
    <n v="1.21"/>
    <n v="2"/>
    <s v="R1"/>
    <d v="2015-08-16T00:00:00"/>
    <s v="A.C."/>
    <n v="0.42499999999999999"/>
    <n v="0.4"/>
    <n v="0.3"/>
    <n v="7.4999999999999997E-2"/>
    <n v="3.0859999999999999"/>
    <n v="3"/>
    <n v="1.125"/>
    <n v="7.4999999999999997E-2"/>
    <n v="0"/>
    <n v="0"/>
    <n v="6.3710000000000004"/>
    <n v="6.5"/>
    <n v="0"/>
    <n v="0"/>
    <n v="1.2"/>
    <n v="1.232"/>
    <n v="0"/>
    <n v="2.4500000000000002"/>
    <n v="2.8925619834710752E-2"/>
    <x v="106"/>
    <n v="0"/>
    <n v="0"/>
    <n v="0"/>
    <n v="0"/>
    <n v="0"/>
    <n v="0"/>
  </r>
  <r>
    <n v="377"/>
    <s v="แขวงทางหลวงตากที่ 2 (แม่สอด)"/>
    <n v="514"/>
    <n v="1402"/>
    <n v="100"/>
    <s v="ทางเดิมม่อนหินเหล็กไฟ"/>
    <s v="4+003"/>
    <s v="0+000"/>
    <n v="4.0030000000000001"/>
    <n v="2"/>
    <s v="R2"/>
    <d v="2015-09-09T00:00:00"/>
    <s v="A.C."/>
    <n v="1.72"/>
    <n v="1.56"/>
    <n v="0.67"/>
    <n v="0.05"/>
    <n v="2.6942200000000001"/>
    <n v="2.5"/>
    <n v="4"/>
    <n v="0"/>
    <n v="0"/>
    <n v="0"/>
    <n v="1.9996499999999999"/>
    <n v="2"/>
    <n v="0"/>
    <n v="0"/>
    <n v="4"/>
    <n v="1.03332"/>
    <n v="0"/>
    <n v="8.1"/>
    <n v="2.8906891260126334E-2"/>
    <x v="106"/>
    <n v="68.48"/>
    <n v="0.48877627493665465"/>
    <n v="0"/>
    <n v="0"/>
    <n v="0"/>
    <n v="0"/>
  </r>
  <r>
    <n v="627"/>
    <s v="แขวงทางหลวงเลยที่ 2 (ด่านซ้าย)"/>
    <n v="555"/>
    <n v="2399"/>
    <n v="102"/>
    <s v="โคกใหญ่ - วังยาว"/>
    <n v="16909"/>
    <n v="40361"/>
    <n v="23.452000000000002"/>
    <n v="2"/>
    <s v="L1"/>
    <d v="2015-07-02T00:00:00"/>
    <s v="A.C."/>
    <n v="7.9"/>
    <n v="7.7249999999999996"/>
    <n v="5.0250000000000004"/>
    <n v="2.65"/>
    <n v="3.2801900000000002"/>
    <n v="3.5"/>
    <n v="22.225000000000001"/>
    <n v="0.92500000000000004"/>
    <n v="0.125"/>
    <n v="2.5000000000000001E-2"/>
    <n v="4.7134799999999997"/>
    <n v="4.5"/>
    <n v="0"/>
    <n v="0"/>
    <n v="23.299999999999997"/>
    <n v="1.3875999999999999"/>
    <n v="14"/>
    <n v="19.399999999999999"/>
    <n v="2.8873565458931306E-2"/>
    <x v="106"/>
    <n v="13"/>
    <n v="1.5837820715869495E-2"/>
    <n v="71"/>
    <n v="8.6498866986671849E-2"/>
    <n v="2"/>
    <n v="2.4365878024414605E-3"/>
  </r>
  <r>
    <n v="1358"/>
    <s v="แขวงทางหลวงสุพรรณบุรีที่ 2 (อู่ทอง)"/>
    <n v="445"/>
    <n v="346"/>
    <n v="400"/>
    <s v="หนองกระทุ่ม - พนมทวน"/>
    <n v="91506"/>
    <n v="111406"/>
    <n v="19.899999999999999"/>
    <n v="4"/>
    <s v="L2"/>
    <d v="2015-07-03T00:00:00"/>
    <s v="A.C."/>
    <n v="11.324999999999999"/>
    <n v="5.9249999999999998"/>
    <n v="1.95"/>
    <n v="0.6"/>
    <n v="2.6150799999999998"/>
    <n v="2.5"/>
    <n v="16.100000000000001"/>
    <n v="2.65"/>
    <n v="0.77500000000000002"/>
    <n v="0.27500000000000002"/>
    <n v="7.4070799999999997"/>
    <n v="7.5"/>
    <n v="0"/>
    <n v="0"/>
    <n v="19.8"/>
    <n v="1.0157799999999999"/>
    <n v="20"/>
    <n v="0"/>
    <n v="2.8715003589375458E-2"/>
    <x v="106"/>
    <n v="0"/>
    <n v="0"/>
    <n v="0"/>
    <n v="0"/>
    <n v="0"/>
    <n v="0"/>
  </r>
  <r>
    <n v="273"/>
    <s v="แขวงทางหลวงสกลนครที่ 1"/>
    <n v="641"/>
    <n v="2028"/>
    <n v="100"/>
    <s v="กุสุมาลย์ - โพนจาน"/>
    <n v="0"/>
    <n v="14000"/>
    <n v="14"/>
    <n v="2"/>
    <s v="L1"/>
    <d v="2015-06-04T00:00:00"/>
    <s v="A.C."/>
    <n v="11.074999999999999"/>
    <n v="2.35"/>
    <n v="0.47499999999999998"/>
    <n v="0.05"/>
    <n v="2.06996"/>
    <n v="2"/>
    <n v="13.7"/>
    <n v="0.15"/>
    <n v="0.1"/>
    <n v="0"/>
    <n v="2.3799899999999998"/>
    <n v="2.5"/>
    <n v="0"/>
    <n v="0"/>
    <n v="13.95"/>
    <n v="1.26536"/>
    <n v="5"/>
    <n v="18"/>
    <n v="2.8571428571428574E-2"/>
    <x v="106"/>
    <n v="1.22"/>
    <n v="2.489795918367347E-3"/>
    <n v="14.96"/>
    <n v="0"/>
    <n v="0"/>
    <n v="0"/>
  </r>
  <r>
    <n v="613"/>
    <s v="แขวงทางหลวงเลยที่ 1"/>
    <n v="554"/>
    <n v="2473"/>
    <n v="100"/>
    <s v="หนองอีเก้ง - โนนสว่าง"/>
    <n v="0"/>
    <n v="6000"/>
    <n v="6"/>
    <n v="2"/>
    <s v="L2"/>
    <d v="2015-06-25T00:00:00"/>
    <s v="A.C."/>
    <n v="2"/>
    <n v="2.35"/>
    <n v="1.23"/>
    <n v="0.43"/>
    <n v="3.1589999999999998"/>
    <n v="3"/>
    <n v="5.71"/>
    <n v="0.1"/>
    <n v="0"/>
    <n v="0"/>
    <n v="3.8849999999999998"/>
    <n v="4"/>
    <n v="0"/>
    <n v="0"/>
    <n v="6"/>
    <n v="1.0940000000000001"/>
    <n v="6"/>
    <n v="0"/>
    <n v="2.8571428571428574E-2"/>
    <x v="106"/>
    <n v="9"/>
    <n v="4.2857142857142858E-2"/>
    <n v="11"/>
    <n v="5.2380952380952382E-2"/>
    <n v="1"/>
    <n v="4.7619047619047623E-3"/>
  </r>
  <r>
    <n v="1014"/>
    <s v="แขวงทางหลวงบุรีรัมย์"/>
    <n v="617"/>
    <n v="228"/>
    <n v="100"/>
    <s v="ถนนวงแหวนรอบเมืองบุรีรัมย์"/>
    <n v="0"/>
    <n v="15559"/>
    <n v="15.558999999999999"/>
    <n v="4"/>
    <s v="L1"/>
    <d v="2015-05-04T00:00:00"/>
    <s v="A.C."/>
    <n v="10.199999999999999"/>
    <n v="3.4249999999999998"/>
    <n v="1.45"/>
    <n v="0.55000000000000004"/>
    <n v="2.6726800000000002"/>
    <n v="2.5"/>
    <n v="14.8"/>
    <n v="0.77500000000000002"/>
    <n v="0.05"/>
    <n v="0"/>
    <n v="4.66031"/>
    <n v="4.5"/>
    <n v="0"/>
    <n v="0"/>
    <n v="15.625"/>
    <n v="1.14985"/>
    <n v="0"/>
    <n v="30.93"/>
    <n v="2.8398813732061368E-2"/>
    <x v="106"/>
    <n v="3.2"/>
    <n v="5.8762498507983442E-3"/>
    <n v="67.72"/>
    <n v="0.12435613746751994"/>
    <n v="0"/>
    <n v="0"/>
  </r>
  <r>
    <n v="990"/>
    <s v="แขวงทางหลวงนครราชสีมาที่ 3"/>
    <n v="614"/>
    <n v="2166"/>
    <n v="100"/>
    <s v="เสิงสาง - ดอนแขวน"/>
    <n v="17263"/>
    <n v="0"/>
    <n v="17.263000000000002"/>
    <n v="2"/>
    <s v="R1"/>
    <d v="2015-05-01T00:00:00"/>
    <s v="A.C."/>
    <n v="12"/>
    <n v="3.9249999999999998"/>
    <n v="1.05"/>
    <n v="0.27500000000000002"/>
    <n v="2.3268300000000002"/>
    <n v="2.5"/>
    <n v="17.100000000000001"/>
    <n v="0.1"/>
    <n v="0.05"/>
    <n v="0"/>
    <n v="3.22593"/>
    <n v="3"/>
    <n v="0"/>
    <n v="0"/>
    <n v="17.25"/>
    <n v="1.2794300000000001"/>
    <n v="17.149999999999999"/>
    <n v="0"/>
    <n v="2.838440595493251E-2"/>
    <x v="106"/>
    <n v="14.15"/>
    <n v="2.3419203747072598E-2"/>
    <n v="0"/>
    <n v="0"/>
    <n v="0"/>
    <n v="0"/>
  </r>
  <r>
    <n v="775"/>
    <s v="แขวงทางหลวงมหาสารคาม"/>
    <n v="622"/>
    <n v="2367"/>
    <n v="100"/>
    <s v="มหาสารคาม - บ้านม่วง"/>
    <n v="1265"/>
    <n v="18473"/>
    <n v="17.207999999999998"/>
    <n v="2"/>
    <s v="L1"/>
    <d v="2015-05-28T00:00:00"/>
    <s v="A.C."/>
    <n v="9.15"/>
    <n v="5.2249999999999996"/>
    <n v="1.9"/>
    <n v="0.85"/>
    <n v="2.7170700000000001"/>
    <n v="2.5"/>
    <n v="15.12"/>
    <n v="1.66"/>
    <n v="0.28000000000000003"/>
    <n v="0.15"/>
    <n v="5.4422300000000003"/>
    <n v="5.5"/>
    <n v="0"/>
    <n v="0"/>
    <n v="17.21"/>
    <n v="1.18468"/>
    <n v="11"/>
    <n v="12"/>
    <n v="2.8226074251178859E-2"/>
    <x v="106"/>
    <n v="197"/>
    <n v="0.3270903898518962"/>
    <n v="0"/>
    <n v="0"/>
    <n v="20"/>
    <n v="3.3207146177857479E-2"/>
  </r>
  <r>
    <n v="1200"/>
    <s v="แขวงทางหลวงลพบุรีที่ 2 (ลำนารายณ์)"/>
    <n v="435"/>
    <n v="2219"/>
    <n v="200"/>
    <s v="โคกเจริญ - หนองมะค่า"/>
    <s v="46+858"/>
    <s v="60+625"/>
    <n v="13.766999999999999"/>
    <n v="2"/>
    <s v="L1"/>
    <d v="2015-10-05T00:00:00"/>
    <s v="A.C."/>
    <n v="10.4"/>
    <n v="2.5"/>
    <n v="0.95"/>
    <n v="0.05"/>
    <n v="2.0630899999999999"/>
    <n v="2"/>
    <n v="13.35"/>
    <n v="0.4"/>
    <n v="7.4999999999999997E-2"/>
    <n v="7.4999999999999997E-2"/>
    <n v="4.8048400000000004"/>
    <n v="5"/>
    <n v="0"/>
    <n v="0"/>
    <n v="13.766999999999999"/>
    <n v="1.1052900000000001"/>
    <n v="11.06"/>
    <n v="4.9960000000000004"/>
    <n v="2.8137679129180547E-2"/>
    <x v="106"/>
    <n v="4.6500000000000004"/>
    <n v="9.6500000000000006E-3"/>
    <n v="0"/>
    <n v="0"/>
    <n v="0"/>
    <n v="0"/>
  </r>
  <r>
    <n v="135"/>
    <s v="แขวงทางหลวงลำปางที่ 2"/>
    <n v="528"/>
    <n v="1335"/>
    <n v="101"/>
    <s v="ห้วยเดื่อ - หัวทุ่ง"/>
    <s v="16+000"/>
    <s v="0+000"/>
    <n v="16"/>
    <n v="2"/>
    <s v="R1"/>
    <d v="2015-08-08T00:00:00"/>
    <s v="A.C."/>
    <n v="9.0749999999999993"/>
    <n v="4.5999999999999996"/>
    <n v="1.875"/>
    <n v="0.5"/>
    <n v="2.63931"/>
    <n v="2.5"/>
    <n v="15.275"/>
    <n v="0.6"/>
    <n v="0.17499999999999999"/>
    <n v="0"/>
    <n v="3.5501"/>
    <n v="3.5"/>
    <n v="0"/>
    <n v="0"/>
    <n v="16.049999999999997"/>
    <n v="1.2354799999999999"/>
    <n v="12.8"/>
    <n v="5.9"/>
    <n v="2.8124999999999997E-2"/>
    <x v="106"/>
    <n v="18.399999999999999"/>
    <n v="3.2857142857142856E-2"/>
    <n v="2.1"/>
    <n v="3.7500000000000003E-3"/>
    <n v="0"/>
    <n v="0"/>
  </r>
  <r>
    <n v="1427"/>
    <s v="แขวงทางหลวงอุทัยธานี"/>
    <n v="447"/>
    <n v="3456"/>
    <n v="102"/>
    <s v="คลองข่อย -บุ่งกระเซอร์"/>
    <n v="50107"/>
    <n v="67334"/>
    <n v="17.227"/>
    <n v="2"/>
    <s v="L1"/>
    <d v="2015-08-01T00:00:00"/>
    <s v="A.C."/>
    <n v="12.15"/>
    <n v="3.6749999999999998"/>
    <n v="1.4"/>
    <n v="0"/>
    <n v="2.9609999999999999"/>
    <n v="3"/>
    <n v="15.824999999999999"/>
    <n v="1.4"/>
    <n v="0"/>
    <n v="0"/>
    <n v="3.15"/>
    <n v="3"/>
    <n v="0"/>
    <n v="0"/>
    <n v="17.224999999999998"/>
    <n v="1.1319999999999999"/>
    <n v="64.099999999999994"/>
    <n v="32.799999999999997"/>
    <n v="2.8000000000000001E-2"/>
    <x v="106"/>
    <n v="18.8"/>
    <n v="3.1180290076209274E-2"/>
    <n v="23.5"/>
    <n v="3.897536259526159E-2"/>
    <n v="2"/>
    <n v="3.3170521357669441E-3"/>
  </r>
  <r>
    <n v="1912"/>
    <s v="แขวงทางหลวงสมุทรสงคราม"/>
    <n v="337"/>
    <n v="3643"/>
    <n v="100"/>
    <s v="เทศบาลเมืองสมุทรสงคราม - ท่าน้ำสมุทรสงคราม"/>
    <n v="0"/>
    <n v="4066"/>
    <n v="4.0659999999999998"/>
    <n v="8"/>
    <s v="L4"/>
    <d v="2015-03-28T00:00:00"/>
    <s v="A.C."/>
    <n v="1.1599999999999999"/>
    <n v="1.62"/>
    <n v="0.92"/>
    <n v="0.38"/>
    <n v="3.2204600000000001"/>
    <n v="3"/>
    <n v="3.61"/>
    <n v="0.46"/>
    <n v="0"/>
    <n v="0"/>
    <n v="4.46922"/>
    <n v="4.5"/>
    <n v="0"/>
    <n v="0"/>
    <n v="4.07"/>
    <n v="1.3311200000000001"/>
    <n v="0"/>
    <n v="7.91"/>
    <n v="2.779144121987211E-2"/>
    <x v="106"/>
    <n v="56.81"/>
    <n v="0.3991989319092123"/>
    <n v="20.56"/>
    <n v="0.14447333286487243"/>
    <n v="0"/>
    <n v="0"/>
  </r>
  <r>
    <n v="856"/>
    <s v="แขวงทางหลวงสุรินทร์"/>
    <n v="615"/>
    <n v="2283"/>
    <n v="100"/>
    <s v="สังขะ - บ้านด่าน"/>
    <n v="2131"/>
    <n v="29123"/>
    <n v="26.992000000000001"/>
    <n v="2"/>
    <s v="L1"/>
    <d v="2005-05-09T00:00:00"/>
    <s v="A.C."/>
    <n v="14.45"/>
    <n v="3.55"/>
    <n v="4.2"/>
    <n v="4.8"/>
    <n v="3.27596"/>
    <n v="3.5"/>
    <n v="25.7"/>
    <n v="0.97499999999999998"/>
    <n v="0.27500000000000002"/>
    <n v="0.05"/>
    <n v="4.9436400000000003"/>
    <n v="5"/>
    <n v="0"/>
    <n v="0"/>
    <n v="27"/>
    <n v="1.46522"/>
    <n v="24.83"/>
    <n v="2.84"/>
    <n v="2.7789999999999999E-2"/>
    <x v="106"/>
    <n v="770.98"/>
    <n v="0.81608999999999998"/>
    <n v="44.57"/>
    <n v="4.7177999999999998E-2"/>
    <n v="0.28000000000000003"/>
    <n v="2.9999999999999997E-4"/>
  </r>
  <r>
    <n v="993"/>
    <s v="แขวงทางหลวงนครราชสีมาที่ 3"/>
    <n v="614"/>
    <n v="2365"/>
    <n v="100"/>
    <s v="โคกแขวน - ดอนแขวน"/>
    <n v="0"/>
    <n v="22632"/>
    <n v="22.632000000000001"/>
    <n v="2"/>
    <s v="L1"/>
    <d v="2015-05-01T00:00:00"/>
    <s v="A.C."/>
    <n v="19.175000000000001"/>
    <n v="2.4249999999999998"/>
    <n v="0.67500000000000004"/>
    <n v="0.22500000000000001"/>
    <n v="1.96719"/>
    <n v="2"/>
    <n v="22.425000000000001"/>
    <n v="0.05"/>
    <n v="2.5000000000000001E-2"/>
    <n v="0"/>
    <n v="2.66581"/>
    <n v="2.5"/>
    <n v="0"/>
    <n v="0"/>
    <n v="22.500000000000004"/>
    <n v="1.1956"/>
    <n v="21.94"/>
    <n v="0"/>
    <n v="2.7697823562086554E-2"/>
    <x v="106"/>
    <n v="3.62"/>
    <n v="4.5700146442458215E-3"/>
    <n v="0"/>
    <n v="0"/>
    <n v="0"/>
    <n v="0"/>
  </r>
  <r>
    <n v="542"/>
    <s v="แขวงทางหลวงอุตรดิตถ์ที่ 2"/>
    <n v="558"/>
    <n v="1268"/>
    <n v="200"/>
    <s v="นาเจริญ - ปางไฮ"/>
    <s v="133+857"/>
    <s v="40+200"/>
    <n v="93.656999999999996"/>
    <s v="R1"/>
    <n v="2"/>
    <d v="2015-09-26T00:00:00"/>
    <s v="A.C."/>
    <n v="36.28"/>
    <n v="30.5"/>
    <n v="17.53"/>
    <n v="9.0500000000000007"/>
    <n v="3.2129500000000002"/>
    <n v="3"/>
    <n v="85.825000000000003"/>
    <n v="3.25"/>
    <n v="1.4"/>
    <n v="2.875"/>
    <n v="4.9118899999999996"/>
    <n v="5"/>
    <n v="0"/>
    <n v="0"/>
    <n v="93.36"/>
    <n v="1.35951"/>
    <n v="76.41"/>
    <n v="26.24"/>
    <n v="2.7311999999999999E-2"/>
    <x v="106"/>
    <n v="67.185000000000002"/>
    <n v="2.0496E-2"/>
    <n v="0"/>
    <n v="0"/>
    <n v="0"/>
    <n v="0"/>
  </r>
  <r>
    <n v="213"/>
    <s v="แขวงทางหลวงพะเยา"/>
    <n v="535"/>
    <n v="1345"/>
    <n v="100"/>
    <s v="ทุ่งบานเย็น - ผาแดงบน"/>
    <s v="0+750"/>
    <s v="24+918"/>
    <n v="23.492000000000001"/>
    <n v="2"/>
    <s v="L1"/>
    <d v="2015-07-24T00:00:00"/>
    <s v="A.C."/>
    <n v="5.29"/>
    <n v="11.25"/>
    <n v="6.35"/>
    <n v="0.66"/>
    <n v="3.6613699999999998"/>
    <n v="3.5"/>
    <n v="23.56"/>
    <n v="0"/>
    <n v="0"/>
    <n v="0"/>
    <n v="4.2719699999999996"/>
    <n v="4.5"/>
    <n v="0"/>
    <n v="0"/>
    <n v="23.56"/>
    <n v="1.76953"/>
    <n v="0"/>
    <n v="44.81"/>
    <n v="2.7249397971345863E-2"/>
    <x v="106"/>
    <n v="70"/>
    <n v="8.5135365230716825E-2"/>
    <n v="0"/>
    <n v="0"/>
    <n v="30"/>
    <n v="3.6486585098878643E-2"/>
  </r>
  <r>
    <n v="341"/>
    <s v="แขวงทางหลวงมุกดาหาร"/>
    <n v="639"/>
    <n v="2116"/>
    <n v="402"/>
    <s v="เลิงนกทา - ดอนตาล"/>
    <s v="191+700"/>
    <s v="142+075"/>
    <n v="49.625"/>
    <n v="2"/>
    <s v="R1"/>
    <d v="2015-06-02T00:00:00"/>
    <s v="A.C."/>
    <n v="36.35"/>
    <n v="7.25"/>
    <n v="3.25"/>
    <n v="2.6749999999999998"/>
    <n v="2.75461"/>
    <n v="3"/>
    <n v="48.85"/>
    <n v="0.55000000000000004"/>
    <n v="7.4999999999999997E-2"/>
    <n v="0.05"/>
    <n v="3.6758999999999999"/>
    <n v="3.5"/>
    <n v="0"/>
    <n v="0"/>
    <n v="49.524999999999999"/>
    <n v="1.2259899999999999"/>
    <n v="24"/>
    <n v="46"/>
    <n v="2.7060093558834115E-2"/>
    <x v="106"/>
    <n v="57.35"/>
    <n v="3.3019071608492268E-2"/>
    <n v="0"/>
    <n v="0"/>
    <n v="0"/>
    <n v="0"/>
  </r>
  <r>
    <n v="643"/>
    <s v="แขวงทางหลวงขอนแก่นที่ 1"/>
    <n v="621"/>
    <n v="12"/>
    <n v="802"/>
    <s v="ขอนแก่น - พรหมนิมิตร"/>
    <n v="567052"/>
    <n v="561850"/>
    <n v="5.202"/>
    <n v="4"/>
    <s v="R2"/>
    <d v="2015-06-17T00:00:00"/>
    <s v="A.C."/>
    <n v="1.9750000000000001"/>
    <n v="1.825"/>
    <n v="1"/>
    <n v="0.4"/>
    <n v="3.1970200000000002"/>
    <n v="3"/>
    <n v="3.125"/>
    <n v="1.125"/>
    <n v="0.67500000000000004"/>
    <n v="0.27500000000000002"/>
    <n v="7.6021299999999998"/>
    <n v="7.5"/>
    <n v="0"/>
    <n v="0"/>
    <n v="5.2"/>
    <n v="1.02199"/>
    <n v="0"/>
    <n v="9.7200000000000006"/>
    <n v="2.6693030153237769E-2"/>
    <x v="106"/>
    <n v="0"/>
    <n v="0"/>
    <n v="85.54"/>
    <n v="0.46981930026912733"/>
    <n v="2.48"/>
    <n v="1.3621134728401164E-2"/>
  </r>
  <r>
    <n v="1677"/>
    <s v="แขวงทางหลวงฉะเชิงเทรา"/>
    <n v="421"/>
    <n v="304"/>
    <n v="301"/>
    <s v="คลองหลวงแพ่ง - ฉะเชิงเทรา"/>
    <n v="67638"/>
    <n v="49884"/>
    <n v="17.754000000000001"/>
    <n v="4"/>
    <s v="R2"/>
    <d v="2015-08-11T00:00:00"/>
    <s v="A.C."/>
    <n v="10.7"/>
    <n v="4.95"/>
    <n v="2.4"/>
    <n v="2.2749999999999999"/>
    <n v="2.69259"/>
    <n v="2.5"/>
    <n v="17.8"/>
    <n v="2.125"/>
    <n v="0.3"/>
    <n v="0.1"/>
    <n v="6.8055399999999997"/>
    <n v="7"/>
    <n v="0"/>
    <n v="0"/>
    <n v="17.754000000000001"/>
    <n v="1.1511499999999999"/>
    <n v="16.510000000000002"/>
    <n v="0"/>
    <n v="2.656946523117527E-2"/>
    <x v="106"/>
    <n v="0"/>
    <n v="0"/>
    <n v="255"/>
    <n v="0.41037029884613524"/>
    <n v="0"/>
    <n v="0"/>
  </r>
  <r>
    <n v="227"/>
    <s v="แขวงทางหลวงเชียงรายที่ 2"/>
    <n v="537"/>
    <n v="1016"/>
    <n v="200"/>
    <s v="กิ่วพร้าว - เชียงแสน"/>
    <n v="10000"/>
    <n v="30434"/>
    <n v="20.434000000000001"/>
    <n v="4"/>
    <s v="L2"/>
    <d v="2015-07-15T00:00:00"/>
    <s v="A.C."/>
    <n v="15.05"/>
    <n v="3.91"/>
    <n v="1.25"/>
    <n v="0.23"/>
    <n v="2.2716500000000002"/>
    <n v="2.5"/>
    <n v="18.399999999999999"/>
    <n v="1.81"/>
    <n v="0.2"/>
    <n v="0.03"/>
    <n v="6.1727800000000004"/>
    <n v="6"/>
    <n v="0"/>
    <n v="0"/>
    <n v="20.43"/>
    <n v="1.1561300000000001"/>
    <n v="19"/>
    <n v="0"/>
    <n v="2.6566366979404073E-2"/>
    <x v="106"/>
    <n v="0"/>
    <n v="0"/>
    <n v="0"/>
    <n v="0"/>
    <n v="0"/>
    <n v="0"/>
  </r>
  <r>
    <n v="2149"/>
    <s v="แขวงทางหลวงพังงา"/>
    <n v="327"/>
    <n v="4284"/>
    <n v="100"/>
    <s v="ทางเข้ากระโสม"/>
    <n v="0"/>
    <n v="1080"/>
    <n v="1.08"/>
    <n v="4"/>
    <s v="L2"/>
    <d v="2015-05-11T00:00:00"/>
    <s v="A.C."/>
    <n v="0.72499999999999998"/>
    <n v="0.55000000000000004"/>
    <n v="0.22500000000000001"/>
    <n v="0.125"/>
    <n v="2.91215"/>
    <n v="3"/>
    <n v="1.6"/>
    <n v="2.5000000000000001E-2"/>
    <n v="0"/>
    <n v="0"/>
    <n v="2.3788200000000002"/>
    <n v="2.5"/>
    <n v="0"/>
    <n v="0"/>
    <n v="1.625"/>
    <n v="1.06206"/>
    <n v="0"/>
    <n v="2"/>
    <n v="2.645502645502645E-2"/>
    <x v="106"/>
    <n v="0"/>
    <n v="0"/>
    <n v="0"/>
    <n v="0"/>
    <n v="0"/>
    <n v="0"/>
  </r>
  <r>
    <n v="1263"/>
    <s v="แขวงทางหลวงนครสวรรค์ที่ 2 (ตากฟ้า)"/>
    <n v="438"/>
    <n v="3004"/>
    <n v="203"/>
    <s v="ไดตาล - วังพิกุล"/>
    <s v="91+666"/>
    <s v="54+700"/>
    <n v="36.966000000000001"/>
    <n v="2"/>
    <s v="R1"/>
    <d v="2015-10-05T00:00:00"/>
    <s v="A.C."/>
    <n v="18.274999999999999"/>
    <n v="12.05"/>
    <n v="5.5750000000000002"/>
    <n v="1.925"/>
    <n v="2.8170899999999999"/>
    <n v="3"/>
    <n v="36.35"/>
    <n v="1.3"/>
    <n v="0.17499999999999999"/>
    <n v="0"/>
    <n v="3.7426300000000001"/>
    <n v="3.5"/>
    <n v="0"/>
    <n v="0"/>
    <n v="36.966000000000001"/>
    <n v="1.31437"/>
    <n v="33.667999999999999"/>
    <n v="0.65900000000000003"/>
    <n v="2.6277042224128737E-2"/>
    <x v="106"/>
    <n v="24.89"/>
    <n v="1.9237755157248747E-2"/>
    <n v="0"/>
    <n v="0"/>
    <n v="0"/>
    <n v="0"/>
  </r>
  <r>
    <n v="881"/>
    <s v="แขวงทางหลวงอุบลราชธานีที่ 2 (หนองหาน)"/>
    <n v="632"/>
    <n v="2172"/>
    <n v="101"/>
    <s v="ดอนจิก - อ่างศิลา"/>
    <n v="0"/>
    <n v="22000"/>
    <n v="22"/>
    <n v="2"/>
    <s v="L1"/>
    <d v="2015-05-20T00:00:00"/>
    <s v="A.C."/>
    <n v="12.625"/>
    <n v="5.35"/>
    <n v="2.4750000000000001"/>
    <n v="1.45"/>
    <n v="3.1085400000000001"/>
    <n v="3"/>
    <n v="20.875"/>
    <n v="0.625"/>
    <n v="0.375"/>
    <n v="2.5000000000000001E-2"/>
    <n v="4.2429199999999998"/>
    <n v="4"/>
    <n v="0"/>
    <n v="0"/>
    <n v="21.900000000000002"/>
    <n v="1.4638199999999999"/>
    <n v="20.13"/>
    <n v="0"/>
    <n v="2.6143E-2"/>
    <x v="106"/>
    <n v="6.63"/>
    <n v="8.6099999999999996E-3"/>
    <n v="0"/>
    <n v="0"/>
    <n v="4.1900000000000004"/>
    <n v="5.4419999999999998E-3"/>
  </r>
  <r>
    <n v="728"/>
    <s v="แขวงทางหลวงขอนแก่นที่ 2 (ชุมแพ)"/>
    <n v="627"/>
    <n v="2187"/>
    <n v="101"/>
    <s v="หนองเรือ -  นายม"/>
    <n v="0"/>
    <n v="9340"/>
    <n v="9.34"/>
    <n v="2"/>
    <s v="L1"/>
    <d v="2015-06-22T00:00:00"/>
    <s v="A.C."/>
    <n v="5"/>
    <n v="2.6"/>
    <n v="1.175"/>
    <n v="0.55000000000000004"/>
    <n v="2.7700300000000002"/>
    <n v="3"/>
    <n v="8.6"/>
    <n v="0.7"/>
    <n v="0"/>
    <n v="2.5000000000000001E-2"/>
    <n v="5.1934100000000001"/>
    <n v="5"/>
    <n v="0"/>
    <n v="0"/>
    <n v="9.34"/>
    <n v="1.12483"/>
    <n v="8.51"/>
    <n v="0"/>
    <n v="2.603242581829306E-2"/>
    <x v="106"/>
    <n v="0"/>
    <n v="0"/>
    <n v="0"/>
    <n v="0"/>
    <n v="0"/>
    <n v="0"/>
  </r>
  <r>
    <n v="1749"/>
    <s v="แขวงทางหลวงจันทบุรี"/>
    <n v="423"/>
    <n v="3493"/>
    <n v="100"/>
    <s v="คลองทราย - จันทบุรี"/>
    <n v="8430"/>
    <n v="0"/>
    <n v="8.43"/>
    <n v="4"/>
    <s v="R2"/>
    <d v="2015-08-19T00:00:00"/>
    <s v="A.C."/>
    <n v="5.7"/>
    <n v="1.5249999999999999"/>
    <n v="0.92500000000000004"/>
    <n v="0.3"/>
    <n v="2.282"/>
    <n v="2.5"/>
    <n v="5.0999999999999996"/>
    <n v="2.8250000000000002"/>
    <n v="0.4"/>
    <n v="0.125"/>
    <n v="9.5869999999999997"/>
    <n v="9.5"/>
    <n v="0"/>
    <n v="0"/>
    <n v="8.43"/>
    <n v="1.232"/>
    <n v="0"/>
    <n v="15.34"/>
    <n v="2.5995593967124215E-2"/>
    <x v="106"/>
    <n v="0"/>
    <n v="0"/>
    <n v="0"/>
    <n v="0"/>
    <n v="0"/>
    <n v="0"/>
  </r>
  <r>
    <n v="1857"/>
    <s v="แขวงทางหลวงประจวบคีรีขันธ์ (หัวหิน)"/>
    <n v="333"/>
    <n v="3168"/>
    <n v="100"/>
    <s v="ปราณบุรี - ปากน้ำปราณ"/>
    <n v="11710"/>
    <n v="0"/>
    <n v="11.71"/>
    <n v="4"/>
    <s v="R2"/>
    <d v="2015-04-04T00:00:00"/>
    <s v="A.C."/>
    <n v="7.3250000000000002"/>
    <n v="2.6749999999999998"/>
    <n v="0.97499999999999998"/>
    <n v="0.6"/>
    <n v="2.5710999999999999"/>
    <n v="2.5"/>
    <n v="11.425000000000001"/>
    <n v="0.125"/>
    <n v="2.5000000000000001E-2"/>
    <n v="0"/>
    <n v="3.2745700000000002"/>
    <n v="3.5"/>
    <n v="0"/>
    <n v="0"/>
    <n v="11.574999999999999"/>
    <n v="1.28942"/>
    <n v="10.65"/>
    <n v="0"/>
    <n v="2.5985116506038797E-2"/>
    <x v="106"/>
    <n v="5.97"/>
    <n v="1.4566304745638648E-2"/>
    <n v="0"/>
    <n v="0"/>
    <n v="0"/>
    <n v="0"/>
  </r>
  <r>
    <n v="1101"/>
    <s v="แขวงทางหลวงลพบุรีที่ 1"/>
    <n v="431"/>
    <n v="366"/>
    <n v="100"/>
    <s v="ทางเลี่ยงเมืองลพบุรี"/>
    <s v="0+000"/>
    <s v="19+310"/>
    <n v="19.309999999999999"/>
    <n v="2"/>
    <s v="L1"/>
    <d v="2015-10-05T00:00:00"/>
    <s v="A.C."/>
    <n v="6.3"/>
    <n v="2.95"/>
    <n v="1.2"/>
    <n v="0.7"/>
    <n v="2.92361"/>
    <n v="3"/>
    <n v="8.75"/>
    <n v="1.575"/>
    <n v="0.57499999999999996"/>
    <n v="0.25"/>
    <n v="7.2831999999999999"/>
    <n v="7.5"/>
    <n v="0"/>
    <n v="0"/>
    <n v="19.725000000000001"/>
    <n v="1.1677999999999999"/>
    <n v="16.206"/>
    <n v="2.1"/>
    <n v="2.5532292668491531E-2"/>
    <x v="106"/>
    <n v="185.69"/>
    <n v="0.27475031441887993"/>
    <n v="0"/>
    <n v="0"/>
    <n v="0"/>
    <n v="0"/>
  </r>
  <r>
    <n v="1218"/>
    <s v="แขวงทางหลวงลพบุรีที่ 2 (ลำนารายณ์)"/>
    <n v="435"/>
    <n v="2340"/>
    <n v="100"/>
    <s v="ศิลาทิพย์ - โคกแสมสาร"/>
    <s v="36+363"/>
    <s v="0+000"/>
    <n v="36.363"/>
    <n v="2"/>
    <s v="R1"/>
    <d v="2015-10-05T00:00:00"/>
    <s v="A.C."/>
    <n v="14.324999999999999"/>
    <n v="13.324999999999999"/>
    <n v="5.2"/>
    <n v="3.125"/>
    <n v="3.06033"/>
    <n v="3"/>
    <n v="33.85"/>
    <n v="1.625"/>
    <n v="0.4"/>
    <n v="0.1"/>
    <n v="3.6874600000000002"/>
    <n v="3.5"/>
    <n v="0"/>
    <n v="0"/>
    <n v="36.363"/>
    <n v="1.36303"/>
    <n v="22.38"/>
    <n v="20.14"/>
    <n v="2.5496874766736993E-2"/>
    <x v="106"/>
    <n v="235.6"/>
    <n v="0.185118"/>
    <n v="0"/>
    <n v="0"/>
    <n v="0"/>
    <n v="0"/>
  </r>
  <r>
    <n v="765"/>
    <s v="แขวงทางหลวงมหาสารคาม"/>
    <n v="622"/>
    <n v="219"/>
    <n v="101"/>
    <s v="ยางสีสุราช - พยัคฆภูมิพิสัย"/>
    <s v="79+889"/>
    <s v="49+202"/>
    <n v="30.687000000000001"/>
    <n v="2"/>
    <s v="L1"/>
    <d v="2015-05-27T00:00:00"/>
    <s v="A.C."/>
    <n v="15.85"/>
    <n v="10.1"/>
    <n v="3.4"/>
    <n v="1.2250000000000001"/>
    <n v="2.7726600000000001"/>
    <n v="3"/>
    <n v="26.79"/>
    <n v="3.45"/>
    <n v="0.28000000000000003"/>
    <n v="0.18"/>
    <n v="6.7703499999999996"/>
    <n v="7"/>
    <n v="0"/>
    <n v="0"/>
    <n v="30.69"/>
    <n v="1.2809200000000001"/>
    <n v="10.26"/>
    <n v="34.15"/>
    <n v="2.5450516505360579E-2"/>
    <x v="106"/>
    <n v="148.34"/>
    <n v="0.13811339375910694"/>
    <n v="22.17"/>
    <n v="2.0641593229333968E-2"/>
    <n v="0"/>
    <n v="0"/>
  </r>
  <r>
    <n v="149"/>
    <s v="แขวงทางหลวงแพร่"/>
    <n v="531"/>
    <n v="1101"/>
    <n v="100"/>
    <s v="ทุ่งโฮ้ง - ป่าแดง"/>
    <s v="0+000"/>
    <s v="9+789"/>
    <n v="9.7889999999999997"/>
    <n v="2"/>
    <s v="L1"/>
    <d v="2015-08-06T00:00:00"/>
    <s v="A.C."/>
    <n v="6.89"/>
    <n v="1.73"/>
    <n v="0.68"/>
    <n v="0.5"/>
    <n v="2.3860000000000001"/>
    <n v="2.5"/>
    <n v="3.25"/>
    <n v="0.8"/>
    <n v="1.4"/>
    <n v="4.34"/>
    <n v="16.888999999999999"/>
    <n v="17"/>
    <n v="0"/>
    <n v="0"/>
    <n v="9.7899999999999991"/>
    <n v="1.091"/>
    <n v="0"/>
    <n v="17.32"/>
    <n v="2.5276184638734437E-2"/>
    <x v="106"/>
    <n v="0"/>
    <n v="0"/>
    <n v="0"/>
    <n v="0"/>
    <n v="0"/>
    <n v="0"/>
  </r>
  <r>
    <n v="1210"/>
    <s v="แขวงทางหลวงลพบุรีที่ 2 (ลำนารายณ์)"/>
    <n v="435"/>
    <n v="2260"/>
    <n v="100"/>
    <s v="ลำสนธิ - ซับลังกา"/>
    <s v="0+000"/>
    <s v="36+798"/>
    <n v="36.798000000000002"/>
    <n v="2"/>
    <s v="L1"/>
    <d v="2015-10-05T00:00:00"/>
    <s v="A.C."/>
    <n v="24.425000000000001"/>
    <n v="7.9"/>
    <n v="2.65"/>
    <n v="1.5"/>
    <n v="2.4762900000000001"/>
    <n v="2.5"/>
    <n v="35.6"/>
    <n v="0.75"/>
    <n v="0.125"/>
    <n v="0"/>
    <n v="3.1885599999999998"/>
    <n v="3"/>
    <n v="0"/>
    <n v="0"/>
    <n v="36.798000000000002"/>
    <n v="1.31212"/>
    <n v="26.35"/>
    <n v="12.36"/>
    <n v="2.5257583874900031E-2"/>
    <x v="106"/>
    <n v="18.995999999999999"/>
    <n v="1.4749E-2"/>
    <n v="0"/>
    <n v="0"/>
    <n v="0"/>
    <n v="0"/>
  </r>
  <r>
    <n v="995"/>
    <s v="แขวงทางหลวงนครราชสีมาที่ 3"/>
    <n v="614"/>
    <n v="2421"/>
    <n v="102"/>
    <s v="สี่แยกลำพระเพลิง - กระโทก"/>
    <n v="28250"/>
    <n v="49239"/>
    <n v="20.989000000000001"/>
    <n v="2"/>
    <s v="L1"/>
    <d v="2015-05-01T00:00:00"/>
    <s v="A.C."/>
    <n v="15.2"/>
    <n v="4.0250000000000004"/>
    <n v="1.325"/>
    <n v="0.42499999999999999"/>
    <n v="2.22472"/>
    <n v="2"/>
    <n v="20"/>
    <n v="0.625"/>
    <n v="0.32500000000000001"/>
    <n v="2.5000000000000001E-2"/>
    <n v="2.8984299999999998"/>
    <n v="3"/>
    <n v="0"/>
    <n v="0"/>
    <n v="20.975000000000001"/>
    <n v="1.3329599999999999"/>
    <n v="18.47"/>
    <n v="0"/>
    <n v="2.5142421540534837E-2"/>
    <x v="106"/>
    <n v="31.69"/>
    <n v="4.3138242480755228E-2"/>
    <n v="0"/>
    <n v="0"/>
    <n v="0"/>
    <n v="0"/>
  </r>
  <r>
    <n v="1789"/>
    <s v="แขวงทางหลวงชลบุรีที่ 2"/>
    <n v="428"/>
    <n v="361"/>
    <n v="200"/>
    <s v="ทางเลี่ยงเมืองชลบุรี"/>
    <s v="14+216"/>
    <s v="9+000"/>
    <n v="5.2160000000000002"/>
    <n v="6"/>
    <s v="R2"/>
    <d v="2015-08-14T00:00:00"/>
    <s v="A.C."/>
    <n v="2.5"/>
    <n v="1.95"/>
    <n v="0.625"/>
    <n v="0.25"/>
    <n v="2.8747500000000001"/>
    <n v="3"/>
    <n v="4.7"/>
    <n v="0.625"/>
    <n v="0"/>
    <n v="0"/>
    <n v="6.5503099999999996"/>
    <n v="6.5"/>
    <n v="0"/>
    <n v="0"/>
    <n v="5.3250000000000002"/>
    <n v="1.40863"/>
    <n v="0"/>
    <n v="9.16"/>
    <n v="2.5087642418930762E-2"/>
    <x v="106"/>
    <n v="0"/>
    <n v="0"/>
    <n v="0"/>
    <n v="0"/>
    <n v="0"/>
    <n v="0"/>
  </r>
  <r>
    <n v="411"/>
    <s v="แขวงทางหลวงพิษณุโลกที่ 1"/>
    <n v="511"/>
    <n v="1293"/>
    <n v="200"/>
    <s v="ท่าฉนวน - บางระกำ"/>
    <s v="25+025"/>
    <s v="57+087"/>
    <n v="32.061999999999998"/>
    <s v="L1"/>
    <n v="2"/>
    <d v="2015-09-18T00:00:00"/>
    <s v="A.C."/>
    <n v="17.260000000000002"/>
    <n v="8.86"/>
    <n v="4.09"/>
    <n v="1.86"/>
    <n v="2.72255"/>
    <n v="2.5"/>
    <n v="29.88"/>
    <n v="1.56"/>
    <n v="0.43"/>
    <n v="0.2"/>
    <n v="3.8296000000000001"/>
    <n v="4"/>
    <n v="0"/>
    <n v="0"/>
    <n v="32.06"/>
    <n v="1.0657399999999999"/>
    <n v="26.96"/>
    <n v="2.35"/>
    <n v="2.5072000000000001E-2"/>
    <x v="106"/>
    <n v="75.686999999999998"/>
    <n v="6.7446999999999993E-2"/>
    <n v="0"/>
    <n v="0"/>
    <n v="0"/>
    <n v="0"/>
  </r>
  <r>
    <n v="57"/>
    <s v="แขวงทางหลวงลำปางที่ 1"/>
    <n v="523"/>
    <n v="1348"/>
    <n v="100"/>
    <s v="ทางเข้าโรงไฟฟ้าแม่เมาะ"/>
    <s v="0+000"/>
    <s v="17+213"/>
    <n v="17.213000000000001"/>
    <n v="4"/>
    <s v="L1"/>
    <d v="2015-08-06T00:00:00"/>
    <s v="A.C."/>
    <n v="12.324999999999999"/>
    <n v="2.85"/>
    <n v="1.45"/>
    <n v="0.625"/>
    <n v="2.3765399999999999"/>
    <n v="2.5"/>
    <n v="16.875"/>
    <n v="0.3"/>
    <n v="7.4999999999999997E-2"/>
    <n v="0"/>
    <n v="4.3838600000000003"/>
    <n v="4.5"/>
    <n v="0"/>
    <n v="0"/>
    <n v="17.25"/>
    <n v="1.25369"/>
    <n v="0.79"/>
    <n v="27.94"/>
    <n v="2.4499755168435819E-2"/>
    <x v="106"/>
    <n v="1.82"/>
    <n v="3.0209725207691858E-3"/>
    <n v="9"/>
    <n v="1.4938875102704766E-2"/>
    <n v="0"/>
    <n v="0"/>
  </r>
  <r>
    <n v="2097"/>
    <s v="แขวงทางหลวงกระบี่"/>
    <n v="323"/>
    <n v="4204"/>
    <n v="100"/>
    <s v="ไสไทย - สุสานหอย 75 ล้านปี"/>
    <n v="0"/>
    <n v="8180"/>
    <n v="8.18"/>
    <n v="2"/>
    <s v="L1"/>
    <d v="2015-05-08T00:00:00"/>
    <s v="A.C."/>
    <n v="6.52"/>
    <n v="1.18"/>
    <n v="0.43"/>
    <n v="0.05"/>
    <n v="2.0257100000000001"/>
    <n v="2"/>
    <n v="8.0500000000000007"/>
    <n v="0.08"/>
    <n v="0.05"/>
    <n v="0"/>
    <n v="2.6213299999999999"/>
    <n v="2.5"/>
    <n v="0"/>
    <n v="0"/>
    <n v="8.18"/>
    <n v="1.20787"/>
    <n v="7"/>
    <n v="0"/>
    <n v="2.4449877750611245E-2"/>
    <x v="106"/>
    <n v="0"/>
    <n v="0"/>
    <n v="20"/>
    <n v="6.9856793573174994E-2"/>
    <n v="0"/>
    <n v="0"/>
  </r>
  <r>
    <n v="52"/>
    <s v="แขวงทางหลวงลำปางที่ 1"/>
    <n v="523"/>
    <n v="1102"/>
    <n v="100"/>
    <s v="พระบาท - บ้านเหล่า"/>
    <s v="0+000"/>
    <s v="27+221"/>
    <n v="27.221"/>
    <n v="2"/>
    <s v="L1"/>
    <d v="2015-08-05T00:00:00"/>
    <s v="A.C."/>
    <n v="9.4250000000000007"/>
    <n v="7.1749999999999998"/>
    <n v="5"/>
    <n v="5.7249999999999996"/>
    <n v="3.5996199999999998"/>
    <n v="3.5"/>
    <n v="25.5"/>
    <n v="1.3"/>
    <n v="0.375"/>
    <n v="0.15"/>
    <n v="3.6269100000000001"/>
    <n v="3.5"/>
    <n v="0"/>
    <n v="0"/>
    <n v="27.325000000000003"/>
    <n v="1.2281500000000001"/>
    <n v="19.760000000000002"/>
    <n v="6.72"/>
    <n v="2.4266978750649447E-2"/>
    <x v="106"/>
    <n v="4.04"/>
    <n v="4.2404236225183287E-3"/>
    <n v="0"/>
    <n v="0"/>
    <n v="0"/>
    <n v="0"/>
  </r>
  <r>
    <n v="634"/>
    <s v="แขวงทางหลวงหนองบัวลำภู"/>
    <n v="629"/>
    <n v="2133"/>
    <n v="100"/>
    <s v="ศรีบุญเรือง - ภูเวียง"/>
    <n v="0"/>
    <n v="36030"/>
    <n v="36.03"/>
    <n v="2"/>
    <s v="L1"/>
    <d v="2015-06-24T00:00:00"/>
    <s v="A.C."/>
    <n v="27.45"/>
    <n v="6.3"/>
    <n v="1.9"/>
    <n v="0.3"/>
    <n v="2.5430000000000001"/>
    <n v="2.5"/>
    <n v="33.9"/>
    <n v="1.575"/>
    <n v="0.35"/>
    <n v="0.125"/>
    <n v="5.016"/>
    <n v="5"/>
    <n v="0"/>
    <n v="0"/>
    <n v="35.950000000000003"/>
    <n v="1.1220000000000001"/>
    <n v="27.45"/>
    <n v="6.3"/>
    <n v="2.4265493041513021E-2"/>
    <x v="106"/>
    <n v="0.3"/>
    <n v="2.3789699060306887E-4"/>
    <n v="33.9"/>
    <n v="2.6882359938146781E-2"/>
    <n v="0.35"/>
    <n v="2.7754648903691365E-4"/>
  </r>
  <r>
    <n v="56"/>
    <s v="แขวงทางหลวงลำปางที่ 1"/>
    <n v="523"/>
    <n v="1274"/>
    <n v="202"/>
    <s v="นาบอน - นาแก้ว"/>
    <s v="53+687"/>
    <s v="65+780"/>
    <n v="12.093"/>
    <n v="2"/>
    <s v="L1"/>
    <d v="2015-08-07T00:00:00"/>
    <s v="A.C."/>
    <n v="6.2"/>
    <n v="4"/>
    <n v="1.5"/>
    <n v="0.42499999999999999"/>
    <n v="2.7064300000000001"/>
    <n v="2.5"/>
    <n v="11.775"/>
    <n v="0.35"/>
    <n v="0"/>
    <n v="0"/>
    <n v="3.6631499999999999"/>
    <n v="3.5"/>
    <n v="0"/>
    <n v="0"/>
    <n v="12.125"/>
    <n v="1.13043"/>
    <n v="10.199999999999999"/>
    <n v="0"/>
    <n v="2.4098947443030795E-2"/>
    <x v="106"/>
    <n v="0"/>
    <n v="0"/>
    <n v="0"/>
    <n v="0"/>
    <n v="0"/>
    <n v="0"/>
  </r>
  <r>
    <n v="588"/>
    <s v="แขวงทางหลวงเพชรบูรณ์ที่ 2 (บึงสามพัน)"/>
    <n v="552"/>
    <n v="2320"/>
    <n v="100"/>
    <s v="เนินสง่า - น้ำร้อน"/>
    <n v="10728"/>
    <n v="0"/>
    <n v="10.728"/>
    <n v="2"/>
    <s v="R1"/>
    <d v="2015-07-10T00:00:00"/>
    <s v="A.C."/>
    <n v="7.625"/>
    <n v="1.65"/>
    <n v="0.85"/>
    <n v="0.57499999999999996"/>
    <n v="2.3740000000000001"/>
    <n v="2.5"/>
    <n v="9.375"/>
    <n v="0.8"/>
    <n v="0.3"/>
    <n v="0.22500000000000001"/>
    <n v="5.9139999999999997"/>
    <n v="6"/>
    <n v="0"/>
    <n v="0"/>
    <n v="10.7"/>
    <n v="1.2789999999999999"/>
    <n v="9"/>
    <n v="0"/>
    <n v="2.3969319271332692E-2"/>
    <x v="106"/>
    <n v="0"/>
    <n v="0"/>
    <n v="0"/>
    <n v="0"/>
    <n v="0"/>
    <n v="0"/>
  </r>
  <r>
    <n v="630"/>
    <s v="แขวงทางหลวงเลยที่ 2 (ด่านซ้าย)"/>
    <n v="555"/>
    <n v="2479"/>
    <n v="102"/>
    <s v="น้ำแคม - ปากคาน"/>
    <s v="25+836"/>
    <s v="7+950"/>
    <n v="17.885999999999999"/>
    <n v="2"/>
    <s v="R1"/>
    <d v="2015-07-01T00:00:00"/>
    <s v="A.C."/>
    <n v="7.375"/>
    <n v="5.375"/>
    <n v="2.8250000000000002"/>
    <n v="1.2250000000000001"/>
    <n v="3.3021099999999999"/>
    <n v="3.5"/>
    <n v="15.3"/>
    <n v="0.95"/>
    <n v="0.22500000000000001"/>
    <n v="0.32500000000000001"/>
    <n v="2.9883000000000002"/>
    <n v="3"/>
    <n v="0"/>
    <n v="0"/>
    <n v="16.8"/>
    <n v="1.3669"/>
    <n v="15"/>
    <n v="0"/>
    <n v="2.3961278573824702E-2"/>
    <x v="106"/>
    <n v="261"/>
    <n v="0.41692624718454974"/>
    <n v="0"/>
    <n v="0"/>
    <n v="0"/>
    <n v="0"/>
  </r>
  <r>
    <n v="13"/>
    <s v="แขวงทางหลวงเชียงใหม่ที่ 1"/>
    <n v="521"/>
    <n v="1013"/>
    <n v="100"/>
    <s v="สันป่าตอง - บ้านกาด"/>
    <n v="0"/>
    <n v="8330"/>
    <n v="8.33"/>
    <n v="2"/>
    <s v="L1"/>
    <d v="2015-08-15T00:00:00"/>
    <s v="A.C."/>
    <n v="4.45"/>
    <n v="2.4500000000000002"/>
    <n v="1.1000000000000001"/>
    <n v="0.375"/>
    <n v="2.7425999999999999"/>
    <n v="2.5"/>
    <n v="8.35"/>
    <n v="2.5000000000000001E-2"/>
    <n v="0"/>
    <n v="0"/>
    <n v="1.09198"/>
    <n v="1"/>
    <n v="0"/>
    <n v="0"/>
    <n v="8.375"/>
    <n v="1.09961"/>
    <n v="0"/>
    <n v="13.8"/>
    <n v="2.3666609500943236E-2"/>
    <x v="106"/>
    <n v="0"/>
    <n v="0"/>
    <n v="0"/>
    <n v="0"/>
    <n v="0"/>
    <n v="0"/>
  </r>
  <r>
    <n v="212"/>
    <s v="แขวงทางหลวงพะเยา"/>
    <n v="535"/>
    <n v="1298"/>
    <n v="100"/>
    <s v="บ้านใหม่ - หนองลาว"/>
    <s v="0+000"/>
    <s v="3+971"/>
    <n v="3.9710000000000001"/>
    <n v="2"/>
    <s v="L1"/>
    <d v="2015-07-24T00:00:00"/>
    <s v="A.C."/>
    <n v="2.2400000000000002"/>
    <n v="1.0900000000000001"/>
    <n v="0.38"/>
    <n v="0.28000000000000003"/>
    <n v="2.6773419999999999"/>
    <n v="2.5"/>
    <n v="3.07"/>
    <n v="0.63"/>
    <n v="0.2"/>
    <n v="0.08"/>
    <n v="7.5592090000000001"/>
    <n v="7.5"/>
    <n v="0"/>
    <n v="0"/>
    <n v="3.98"/>
    <n v="1.410658"/>
    <n v="0"/>
    <n v="6.55"/>
    <n v="2.3563693923804727E-2"/>
    <x v="106"/>
    <n v="0"/>
    <n v="0"/>
    <n v="0"/>
    <n v="0"/>
    <n v="0"/>
    <n v="0"/>
  </r>
  <r>
    <n v="808"/>
    <s v="แขวงทางหลวงร้อยเอ็ด"/>
    <n v="635"/>
    <n v="2418"/>
    <n v="100"/>
    <s v="โพนทอง -  หนองพอก"/>
    <n v="0"/>
    <n v="37083"/>
    <n v="37.082999999999998"/>
    <n v="2"/>
    <s v="L1"/>
    <s v="26 พ.ค 58"/>
    <s v="A.C."/>
    <n v="28.8"/>
    <n v="6"/>
    <n v="1.7250000000000001"/>
    <n v="0.77500000000000002"/>
    <n v="2.3319999999999999"/>
    <n v="2.5"/>
    <n v="37.075000000000003"/>
    <n v="0.17499999999999999"/>
    <n v="2.5000000000000001E-2"/>
    <n v="2.5000000000000001E-2"/>
    <n v="3.0430000000000001"/>
    <n v="3"/>
    <n v="0"/>
    <n v="0"/>
    <n v="37.082999999999998"/>
    <n v="1.17"/>
    <n v="20.34"/>
    <n v="20.46"/>
    <n v="2.3550000000000001E-2"/>
    <x v="106"/>
    <n v="0"/>
    <n v="0"/>
    <n v="0"/>
    <n v="0"/>
    <n v="0"/>
    <n v="0"/>
  </r>
  <r>
    <n v="1928"/>
    <s v="แขวงทางหลวงเพชรบุรี"/>
    <n v="338"/>
    <n v="3313"/>
    <n v="100"/>
    <s v="เขาอ่างแก้ว - วังกุ่ม"/>
    <n v="0"/>
    <n v="8742"/>
    <n v="8.7420000000000009"/>
    <n v="2"/>
    <s v="L1"/>
    <d v="2015-04-02T00:00:00"/>
    <s v="A.C."/>
    <n v="6.41"/>
    <n v="1.71"/>
    <n v="0.4"/>
    <n v="0.23"/>
    <n v="2.2224699999999999"/>
    <n v="2"/>
    <n v="8.74"/>
    <n v="0"/>
    <n v="0"/>
    <n v="0"/>
    <n v="1.8600300000000001"/>
    <n v="2"/>
    <n v="0"/>
    <n v="0"/>
    <n v="8.74"/>
    <n v="1.46092"/>
    <n v="3"/>
    <n v="8.39"/>
    <n v="2.3515377324574305E-2"/>
    <x v="106"/>
    <n v="0"/>
    <n v="0"/>
    <n v="0"/>
    <n v="0"/>
    <n v="0"/>
    <n v="0"/>
  </r>
  <r>
    <n v="1991"/>
    <s v="แขวงทางหลวงตรัง"/>
    <n v="322"/>
    <n v="4258"/>
    <n v="100"/>
    <s v="ห้วยนาง - บ้านซา"/>
    <n v="0"/>
    <n v="10500"/>
    <n v="10.5"/>
    <n v="2"/>
    <s v="L2"/>
    <d v="2015-05-05T00:00:00"/>
    <s v="A.C."/>
    <n v="7.375"/>
    <n v="1.7749999999999999"/>
    <n v="0.7"/>
    <n v="0.52500000000000002"/>
    <n v="2.3748"/>
    <n v="2.5"/>
    <n v="10.050000000000001"/>
    <n v="0.27500000000000002"/>
    <n v="0"/>
    <n v="0"/>
    <n v="3.4859800000000001"/>
    <n v="3.5"/>
    <n v="0"/>
    <n v="0"/>
    <n v="10.375"/>
    <n v="1.1735"/>
    <n v="0"/>
    <n v="17"/>
    <n v="2.3129251700680274E-2"/>
    <x v="106"/>
    <n v="0.52"/>
    <n v="1.4149659863945578E-3"/>
    <n v="10"/>
    <n v="2.7210884353741496E-2"/>
    <n v="0"/>
    <n v="0"/>
  </r>
  <r>
    <n v="1362"/>
    <s v="แขวงทางหลวงสุพรรณบุรีที่ 2 (อู่ทอง)"/>
    <n v="445"/>
    <n v="3086"/>
    <n v="202"/>
    <s v="ปลักประดู่ - ด่านช้าง"/>
    <n v="81557"/>
    <n v="108278"/>
    <n v="26.721"/>
    <n v="2"/>
    <s v="L1"/>
    <d v="2015-07-23T00:00:00"/>
    <s v="A.C."/>
    <n v="20.9"/>
    <n v="4.2249999999999996"/>
    <n v="1.4"/>
    <n v="0.22500000000000001"/>
    <n v="2.04799"/>
    <n v="2"/>
    <n v="26.574999999999999"/>
    <n v="0.17499999999999999"/>
    <n v="0"/>
    <n v="0"/>
    <n v="3.29691"/>
    <n v="3.5"/>
    <n v="0"/>
    <n v="0"/>
    <n v="26.75"/>
    <n v="1.06447"/>
    <n v="5"/>
    <n v="33"/>
    <n v="2.2988874454014232E-2"/>
    <x v="106"/>
    <n v="0"/>
    <n v="0"/>
    <n v="29"/>
    <n v="3.1008249263554079E-2"/>
    <n v="1"/>
    <n v="1.0692499746053131E-3"/>
  </r>
  <r>
    <n v="2227"/>
    <s v="แขวงทางหลวงสตูล"/>
    <n v="318"/>
    <n v="4184"/>
    <n v="100"/>
    <s v="ควนสตอ - วังประจัน"/>
    <n v="0"/>
    <n v="21850"/>
    <n v="21.85"/>
    <n v="2"/>
    <s v="L1"/>
    <d v="2015-05-26T00:00:00"/>
    <s v="A.C."/>
    <n v="19.25"/>
    <n v="2.1749999999999998"/>
    <n v="0.32500000000000001"/>
    <n v="0.05"/>
    <n v="1.82481"/>
    <n v="2"/>
    <n v="21.7"/>
    <n v="0.1"/>
    <n v="0"/>
    <n v="0"/>
    <n v="1.95163"/>
    <n v="2"/>
    <n v="0"/>
    <n v="0"/>
    <n v="21.8"/>
    <n v="1.1593199999999999"/>
    <n v="13.07"/>
    <n v="9"/>
    <n v="2.2974828375286038E-2"/>
    <x v="106"/>
    <n v="0"/>
    <n v="0"/>
    <n v="0"/>
    <n v="0"/>
    <n v="1"/>
    <n v="1.3076168682576003E-3"/>
  </r>
  <r>
    <n v="1139"/>
    <s v="แขวงทางหลวงสระบุรี"/>
    <n v="432"/>
    <n v="2224"/>
    <n v="100"/>
    <s v="มวกเหล็ก - กลุ่มพระบาท"/>
    <s v="0+000"/>
    <s v="19+187"/>
    <n v="19.187000000000001"/>
    <n v="4"/>
    <s v="L1"/>
    <d v="2015-10-05T00:00:00"/>
    <s v="A.C."/>
    <n v="11.55"/>
    <n v="5.45"/>
    <n v="1.8"/>
    <n v="0.42499999999999999"/>
    <n v="2.5855299999999999"/>
    <n v="2.5"/>
    <n v="18.975000000000001"/>
    <n v="0.15"/>
    <n v="7.4999999999999997E-2"/>
    <n v="2.5000000000000001E-2"/>
    <n v="2.9905400000000002"/>
    <n v="3"/>
    <n v="0"/>
    <n v="0"/>
    <n v="19.225000000000001"/>
    <n v="1.3356399999999999"/>
    <n v="6.3250000000000002"/>
    <n v="18.202999999999999"/>
    <n v="2.2971999999999999E-2"/>
    <x v="106"/>
    <n v="4.62"/>
    <n v="6.8799999999999998E-3"/>
    <n v="0"/>
    <n v="0"/>
    <n v="0"/>
    <n v="0"/>
  </r>
  <r>
    <n v="229"/>
    <s v="แขวงทางหลวงเชียงรายที่ 2"/>
    <n v="537"/>
    <n v="1020"/>
    <n v="202"/>
    <s v="บ้านปล้อง - ขุนตาล"/>
    <n v="52550"/>
    <n v="95700"/>
    <n v="43.15"/>
    <n v="2"/>
    <s v="L1"/>
    <d v="2015-07-13T00:00:00"/>
    <s v="A.C."/>
    <n v="34.57"/>
    <n v="6.52"/>
    <n v="1.64"/>
    <n v="0.44"/>
    <n v="2.4877500000000001"/>
    <n v="2.5"/>
    <n v="41.39"/>
    <n v="1.46"/>
    <n v="0.27"/>
    <n v="0.04"/>
    <n v="4.9930099999999999"/>
    <n v="5"/>
    <n v="0"/>
    <n v="0"/>
    <n v="43.16"/>
    <n v="1.1199300000000001"/>
    <n v="22"/>
    <n v="8.44"/>
    <n v="2.2965752824735047E-2"/>
    <x v="106"/>
    <n v="35"/>
    <n v="3.0656039239730232E-2"/>
    <n v="6"/>
    <n v="5.2553210125251826E-3"/>
    <n v="2"/>
    <n v="1.7517736708417275E-3"/>
  </r>
  <r>
    <n v="382"/>
    <s v="แขวงทางหลวงกำแพงเพชร"/>
    <n v="517"/>
    <n v="1074"/>
    <n v="101"/>
    <s v="สลกบาตร - ทุ่งสนุ่น"/>
    <s v="0+000"/>
    <s v="23+094"/>
    <n v="23.094000000000001"/>
    <n v="2"/>
    <s v="L2"/>
    <d v="2015-09-15T00:00:00"/>
    <s v="A.C."/>
    <n v="13.06"/>
    <n v="6.42"/>
    <n v="2.67"/>
    <n v="0.95"/>
    <n v="2.6777299999999999"/>
    <n v="2.5"/>
    <n v="21.25"/>
    <n v="1.6"/>
    <n v="0.17"/>
    <n v="7.0000000000000007E-2"/>
    <n v="4.9298599999999997"/>
    <n v="5"/>
    <n v="0"/>
    <n v="0"/>
    <n v="23.09"/>
    <n v="1.1061799999999999"/>
    <n v="14.7"/>
    <n v="7.67"/>
    <n v="2.2931126204703754E-2"/>
    <x v="106"/>
    <n v="387.24200000000002"/>
    <n v="0.47908795110665725"/>
    <n v="0"/>
    <n v="0"/>
    <n v="0"/>
    <n v="0"/>
  </r>
  <r>
    <n v="636"/>
    <s v="แขวงทางหลวงหนองบัวลำภู"/>
    <n v="629"/>
    <n v="2263"/>
    <n v="202"/>
    <s v="ทุ่งตาลเลียน - หนองแวง"/>
    <n v="38500"/>
    <n v="48348"/>
    <n v="9.8480000000000008"/>
    <n v="2"/>
    <s v="L1"/>
    <d v="2015-06-25T00:00:00"/>
    <s v="A.C."/>
    <n v="6.875"/>
    <n v="2.0499999999999998"/>
    <n v="1.05"/>
    <n v="0.45"/>
    <n v="2.40618"/>
    <n v="2.5"/>
    <n v="10.3"/>
    <n v="0.1"/>
    <n v="2.5000000000000001E-2"/>
    <n v="0"/>
    <n v="2.6586400000000001"/>
    <n v="2.5"/>
    <n v="0"/>
    <n v="0"/>
    <n v="10.425000000000001"/>
    <n v="1.2336800000000001"/>
    <n v="6.875"/>
    <n v="2.0499999999999998"/>
    <n v="2.2919809678542416E-2"/>
    <x v="106"/>
    <n v="0.45"/>
    <n v="1.3055587791574795E-3"/>
    <n v="10.3"/>
    <n v="2.9882789834048976E-2"/>
    <n v="2.5000000000000001E-2"/>
    <n v="7.253104328652664E-5"/>
  </r>
  <r>
    <n v="1544"/>
    <s v="แขวงทางหลวงสมุทรสาคร"/>
    <n v="415"/>
    <n v="338"/>
    <n v="201"/>
    <s v="พุทธมณฑลสาย 4 - นครชัยศรี"/>
    <s v="15+111"/>
    <s v="31+419"/>
    <n v="16.308"/>
    <n v="12"/>
    <s v="L2"/>
    <d v="2015-08-26T00:00:00"/>
    <s v="A.C."/>
    <n v="12.3"/>
    <n v="3.05"/>
    <n v="1.175"/>
    <n v="0.375"/>
    <n v="2.2564500000000001"/>
    <n v="2.5"/>
    <n v="16.600000000000001"/>
    <n v="0.3"/>
    <n v="0"/>
    <n v="0"/>
    <n v="4.2220700000000004"/>
    <n v="4"/>
    <n v="0"/>
    <n v="0"/>
    <n v="16.900000000000002"/>
    <n v="1.3488"/>
    <n v="0"/>
    <n v="25.99"/>
    <n v="2.2767090647885346E-2"/>
    <x v="106"/>
    <n v="0"/>
    <n v="0"/>
    <n v="3.05"/>
    <n v="5.3435649462139521E-3"/>
    <n v="0"/>
    <n v="0"/>
  </r>
  <r>
    <n v="1039"/>
    <s v="แขวงทางหลวงบุรีรัมย์"/>
    <n v="617"/>
    <n v="2226"/>
    <n v="202"/>
    <s v="หนองขมาร - สตึก"/>
    <n v="63656"/>
    <n v="95835"/>
    <n v="32.179000000000002"/>
    <n v="2"/>
    <s v="L1"/>
    <d v="2015-05-05T00:00:00"/>
    <s v="A.C."/>
    <n v="22.385999999999999"/>
    <n v="7.0540000000000003"/>
    <n v="2.2029999999999998"/>
    <n v="0.53600000000000003"/>
    <n v="2.45262"/>
    <n v="2.5"/>
    <n v="30.95"/>
    <n v="0.72499999999999998"/>
    <n v="0.125"/>
    <n v="2.5000000000000001E-2"/>
    <n v="4.2396000000000003"/>
    <n v="4"/>
    <n v="0"/>
    <n v="0"/>
    <n v="32.178999999999995"/>
    <n v="1.2118899999999999"/>
    <n v="22.89"/>
    <n v="5.44"/>
    <n v="2.2738875841831183E-2"/>
    <x v="106"/>
    <n v="32.58"/>
    <n v="2.8927472664071065E-2"/>
    <n v="22.11"/>
    <n v="1.96312590731311E-2"/>
    <n v="0"/>
    <n v="0"/>
  </r>
  <r>
    <n v="1121"/>
    <s v="แขวงทางหลวงลพบุรีที่ 1"/>
    <n v="431"/>
    <n v="3326"/>
    <n v="102"/>
    <s v="สระโบสถ์ - ยางโทน"/>
    <s v="15+685"/>
    <s v="31+104"/>
    <n v="15.419"/>
    <n v="2"/>
    <s v="R1"/>
    <d v="2015-10-05T00:00:00"/>
    <s v="A.C."/>
    <n v="15.4"/>
    <n v="0"/>
    <n v="0"/>
    <n v="0"/>
    <n v="2.1269999999999998"/>
    <n v="2"/>
    <n v="15.4"/>
    <n v="0"/>
    <n v="0"/>
    <n v="0"/>
    <n v="2.9809999999999999"/>
    <n v="3"/>
    <n v="0"/>
    <n v="0"/>
    <n v="15.4"/>
    <n v="1.1850000000000001"/>
    <n v="12.26"/>
    <n v="0"/>
    <n v="2.271779715193685E-2"/>
    <x v="106"/>
    <n v="0"/>
    <n v="0"/>
    <n v="0"/>
    <n v="0"/>
    <n v="0"/>
    <n v="0"/>
  </r>
  <r>
    <n v="1112"/>
    <s v="แขวงทางหลวงลพบุรีที่ 1"/>
    <n v="431"/>
    <n v="3017"/>
    <n v="102"/>
    <s v="แยกพัฒนานิคม - วังม่วง"/>
    <s v="13+500"/>
    <s v="53+139"/>
    <n v="39.639000000000003"/>
    <n v="4"/>
    <s v="L1"/>
    <d v="2015-10-05T00:00:00"/>
    <s v="A.C."/>
    <n v="23.824999999999999"/>
    <n v="8.7750000000000004"/>
    <n v="5.2"/>
    <n v="2.1749999999999998"/>
    <n v="2.7223600000000001"/>
    <n v="2.5"/>
    <n v="34.299999999999997"/>
    <n v="4.375"/>
    <n v="1.075"/>
    <n v="0.22500000000000001"/>
    <n v="5.3558500000000002"/>
    <n v="5.5"/>
    <n v="0"/>
    <n v="0"/>
    <n v="39.975000000000001"/>
    <n v="1.17347"/>
    <n v="29.335999999999999"/>
    <n v="3.68"/>
    <n v="2.2471375593300969E-2"/>
    <x v="106"/>
    <n v="1.32"/>
    <n v="9.5144392427371318E-4"/>
    <n v="1.02"/>
    <n v="7.3520666875696015E-4"/>
    <n v="0"/>
    <n v="0"/>
  </r>
  <r>
    <n v="733"/>
    <s v="แขวงทางหลวงขอนแก่นที่ 3 (บ้านไผ่)"/>
    <n v="628"/>
    <n v="208"/>
    <n v="100"/>
    <s v="ท่าพระ  -  หนองสะพัง"/>
    <n v="9950"/>
    <n v="0"/>
    <n v="9.9499999999999993"/>
    <n v="4"/>
    <s v="R2"/>
    <d v="2015-06-18T00:00:00"/>
    <s v="A.C."/>
    <n v="5.9"/>
    <n v="2.7250000000000001"/>
    <n v="0.875"/>
    <n v="0.45"/>
    <n v="2.5465300000000002"/>
    <n v="2.5"/>
    <n v="5.8"/>
    <n v="2.9249999999999998"/>
    <n v="0.47499999999999998"/>
    <n v="0.75"/>
    <n v="10.211399999999999"/>
    <n v="10"/>
    <n v="0"/>
    <n v="0"/>
    <n v="9.9499999999999993"/>
    <n v="1.05477"/>
    <n v="7.79"/>
    <n v="0"/>
    <n v="2.2370000000000001E-2"/>
    <x v="106"/>
    <n v="0"/>
    <n v="0"/>
    <n v="0"/>
    <n v="0"/>
    <n v="0"/>
    <n v="0"/>
  </r>
  <r>
    <n v="1675"/>
    <s v="แขวงทางหลวงธนบุรี"/>
    <n v="419"/>
    <n v="3902"/>
    <n v="101"/>
    <s v="พระประแดง - บางแค"/>
    <s v="19+972"/>
    <s v="0+000"/>
    <n v="0"/>
    <n v="2"/>
    <s v="R1"/>
    <d v="2015-08-30T00:00:00"/>
    <s v="A.C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6"/>
    <n v="0"/>
    <n v="0"/>
    <n v="0"/>
    <n v="0"/>
    <n v="0"/>
    <n v="0"/>
  </r>
  <r>
    <n v="734"/>
    <s v="แขวงทางหลวงขอนแก่นที่ 3 (บ้านไผ่)"/>
    <n v="628"/>
    <n v="208"/>
    <n v="100"/>
    <s v="ท่าพระ  -  หนองสะพัง"/>
    <n v="0"/>
    <n v="9950"/>
    <n v="9.9499999999999993"/>
    <n v="4"/>
    <s v="L2"/>
    <d v="2015-06-18T00:00:00"/>
    <s v="A.C."/>
    <n v="6.6749999999999998"/>
    <n v="2.6"/>
    <n v="0.45"/>
    <n v="0.25"/>
    <n v="2.3593600000000001"/>
    <n v="2.5"/>
    <n v="5.0250000000000004"/>
    <n v="3.3250000000000002"/>
    <n v="1.0249999999999999"/>
    <n v="0.6"/>
    <n v="10.5899"/>
    <n v="10.5"/>
    <n v="0"/>
    <n v="0"/>
    <n v="9.9749999999999996"/>
    <n v="1.1279999999999999"/>
    <n v="7.79"/>
    <n v="0"/>
    <n v="2.236898779612348E-2"/>
    <x v="106"/>
    <n v="0"/>
    <n v="0"/>
    <n v="0"/>
    <n v="0"/>
    <n v="0"/>
    <n v="0"/>
  </r>
  <r>
    <n v="742"/>
    <s v="แขวงทางหลวงขอนแก่นที่ 3 (บ้านไผ่)"/>
    <n v="628"/>
    <n v="2440"/>
    <n v="201"/>
    <s v="ทางพาด - หนองสองห้อง"/>
    <n v="9150"/>
    <n v="21500"/>
    <n v="12.35"/>
    <n v="2"/>
    <s v="L1"/>
    <d v="2015-06-18T00:00:00"/>
    <s v="A.C."/>
    <n v="8.75"/>
    <n v="3.0750000000000002"/>
    <n v="0.42499999999999999"/>
    <n v="0.22500000000000001"/>
    <n v="2.4468899999999998"/>
    <n v="2.5"/>
    <n v="11.775"/>
    <n v="0.625"/>
    <n v="7.4999999999999997E-2"/>
    <n v="0"/>
    <n v="4.6322299999999998"/>
    <n v="4.5"/>
    <n v="0"/>
    <n v="0"/>
    <n v="12.475"/>
    <n v="1.1712499999999999"/>
    <n v="9.65"/>
    <n v="0"/>
    <n v="2.232E-2"/>
    <x v="106"/>
    <n v="0"/>
    <n v="0"/>
    <n v="11.46"/>
    <n v="2.6519999999999998E-2"/>
    <n v="0"/>
    <n v="0"/>
  </r>
  <r>
    <n v="55"/>
    <s v="แขวงทางหลวงลำปางที่ 1"/>
    <n v="523"/>
    <n v="1274"/>
    <n v="201"/>
    <s v="แม่บอน - สบเสริม"/>
    <s v="29+225"/>
    <s v="50+267"/>
    <n v="21.042000000000002"/>
    <n v="2"/>
    <s v="L1"/>
    <d v="2015-08-07T00:00:00"/>
    <s v="A.C."/>
    <n v="8.7249999999999996"/>
    <n v="6.7750000000000004"/>
    <n v="3.8"/>
    <n v="1.7250000000000001"/>
    <n v="3.0402999999999998"/>
    <n v="3"/>
    <n v="18.649999999999999"/>
    <n v="1.425"/>
    <n v="0.67500000000000004"/>
    <n v="0.27500000000000002"/>
    <n v="4.2241799999999996"/>
    <n v="4"/>
    <n v="0"/>
    <n v="0"/>
    <n v="21.025000000000002"/>
    <n v="2.0699999999999998"/>
    <n v="0"/>
    <n v="32.79"/>
    <n v="2.2261599250478634E-2"/>
    <x v="106"/>
    <n v="0.81"/>
    <n v="1.0998411340584137E-3"/>
    <n v="0"/>
    <n v="0"/>
    <n v="0"/>
    <n v="0"/>
  </r>
  <r>
    <n v="2163"/>
    <s v="แขวงทางหลวงสงขลาที่ 1"/>
    <n v="311"/>
    <n v="408"/>
    <n v="102"/>
    <s v="สทิงพระ - เกาะยอ"/>
    <s v="125+011"/>
    <s v="155+141"/>
    <n v="30.13"/>
    <n v="2"/>
    <s v="L2"/>
    <d v="2015-05-23T00:00:00"/>
    <s v="A.C."/>
    <n v="24.175000000000001"/>
    <n v="4.5250000000000004"/>
    <n v="1.075"/>
    <n v="0.47499999999999998"/>
    <n v="2.1221399999999999"/>
    <n v="2"/>
    <n v="28.9"/>
    <n v="1.325"/>
    <n v="2.5000000000000001E-2"/>
    <n v="0"/>
    <n v="5.0123100000000003"/>
    <n v="5"/>
    <n v="0"/>
    <n v="0"/>
    <n v="30.250000000000004"/>
    <n v="1.1813100000000001"/>
    <n v="22.22"/>
    <n v="2.02"/>
    <n v="2.202835332606325E-2"/>
    <x v="106"/>
    <n v="9.5"/>
    <n v="9.0085818595609501E-3"/>
    <n v="0"/>
    <n v="0"/>
    <n v="0"/>
    <n v="0"/>
  </r>
  <r>
    <n v="1662"/>
    <s v="แขวงทางหลวงนนทบุรี"/>
    <n v="418"/>
    <n v="3215"/>
    <n v="102"/>
    <s v="บางบัวทอง  -  ไทรน้อย"/>
    <s v="14+850"/>
    <s v="26+323"/>
    <n v="11.473000000000001"/>
    <n v="4"/>
    <s v="L2"/>
    <d v="2015-08-28T00:00:00"/>
    <s v="A.C."/>
    <n v="7.4"/>
    <n v="2.875"/>
    <n v="0.97499999999999998"/>
    <n v="0.3"/>
    <n v="2.4268200000000002"/>
    <n v="2.5"/>
    <n v="10.75"/>
    <n v="0.65"/>
    <n v="0.1"/>
    <n v="0.05"/>
    <n v="4.22872"/>
    <n v="4"/>
    <n v="0"/>
    <n v="0"/>
    <n v="11.55"/>
    <n v="0.87315399999999999"/>
    <n v="2.4500000000000002"/>
    <n v="12.78"/>
    <n v="2.2014418946346079E-2"/>
    <x v="106"/>
    <n v="0"/>
    <n v="0"/>
    <n v="0"/>
    <n v="0"/>
    <n v="0"/>
    <n v="0"/>
  </r>
  <r>
    <n v="812"/>
    <s v="แขวงทางหลวงกาฬสินธุ์"/>
    <n v="647"/>
    <n v="12"/>
    <n v="902"/>
    <s v="ปากทางเขื่อนลำปาว - หนองผ้าอ้อม"/>
    <n v="662897"/>
    <n v="620712"/>
    <n v="42.185000000000002"/>
    <n v="4"/>
    <s v="R1"/>
    <d v="2015-05-29T00:00:00"/>
    <s v="A.C."/>
    <n v="28.450000000000003"/>
    <n v="10.425000000000001"/>
    <n v="2.4500000000000002"/>
    <n v="1"/>
    <n v="2.5314999999999999"/>
    <n v="2.5"/>
    <n v="37.424999999999997"/>
    <n v="3.9"/>
    <n v="0.7"/>
    <n v="0.3"/>
    <n v="5.96"/>
    <n v="6"/>
    <n v="0"/>
    <n v="0"/>
    <n v="42.325000000000003"/>
    <n v="1.1435999999999999"/>
    <n v="14"/>
    <n v="37"/>
    <n v="2.2011886418666079E-2"/>
    <x v="106"/>
    <n v="0"/>
    <n v="0"/>
    <n v="73"/>
    <n v="4.9442083340388431E-2"/>
    <n v="0"/>
    <n v="0"/>
  </r>
  <r>
    <n v="2216"/>
    <s v="แขวงทางหลวงสตูล"/>
    <n v="318"/>
    <n v="416"/>
    <n v="101"/>
    <s v="ฉลุง - ละงู"/>
    <n v="0"/>
    <n v="37039"/>
    <n v="37.039000000000001"/>
    <n v="4"/>
    <s v="L1"/>
    <d v="2015-05-26T00:00:00"/>
    <s v="A.C."/>
    <n v="20.675000000000001"/>
    <n v="10.45"/>
    <n v="4.6749999999999998"/>
    <n v="1.3"/>
    <n v="2.6375899999999999"/>
    <n v="2.5"/>
    <n v="34.5"/>
    <n v="2.0750000000000002"/>
    <n v="0.42499999999999999"/>
    <n v="0.1"/>
    <n v="4.5005300000000004"/>
    <n v="4.5"/>
    <n v="0"/>
    <n v="0"/>
    <n v="37.099999999999994"/>
    <n v="1.1319699999999999"/>
    <n v="0"/>
    <n v="57"/>
    <n v="2.1984549104611738E-2"/>
    <x v="106"/>
    <n v="0"/>
    <n v="0"/>
    <n v="0"/>
    <n v="0"/>
    <n v="0"/>
    <n v="0"/>
  </r>
  <r>
    <n v="357"/>
    <s v="แขวงทางหลวงตากที่ 1"/>
    <n v="512"/>
    <n v="1331"/>
    <n v="100"/>
    <s v="พรานกระต่าย - ลานไผ่"/>
    <s v="0+000"/>
    <s v="26+723"/>
    <n v="26.722999999999999"/>
    <n v="4"/>
    <s v="L1"/>
    <d v="2015-09-12T00:00:00"/>
    <s v="A.C."/>
    <n v="18.55"/>
    <n v="3.15"/>
    <n v="3.6"/>
    <n v="1.35"/>
    <n v="2.3892199999999999"/>
    <n v="2.5"/>
    <n v="26.175000000000001"/>
    <n v="0.4"/>
    <n v="0.05"/>
    <n v="2.5000000000000001E-2"/>
    <n v="1.8840699999999999"/>
    <n v="2"/>
    <n v="0"/>
    <n v="0"/>
    <n v="26.650000000000002"/>
    <n v="1.2694300000000001"/>
    <n v="12.236000000000001"/>
    <n v="16.32"/>
    <n v="2.1806790298351877E-2"/>
    <x v="106"/>
    <n v="134.59"/>
    <n v="0.14389958355830454"/>
    <n v="0"/>
    <n v="0"/>
    <n v="0"/>
    <n v="0"/>
  </r>
  <r>
    <n v="1676"/>
    <s v="แขวงทางหลวงธนบุรี"/>
    <n v="419"/>
    <n v="3902"/>
    <n v="102"/>
    <s v="บางแค - คลองมหาสวัสดิ์"/>
    <s v="31+872"/>
    <s v="19+972"/>
    <n v="11.9"/>
    <n v="2"/>
    <s v="R1"/>
    <d v="2015-08-30T00:00:00"/>
    <s v="A.C."/>
    <n v="2.6336065573770497"/>
    <n v="5.8036885245901644"/>
    <n v="1.6581967213114754"/>
    <n v="1.8045081967213117"/>
    <n v="3.2719999999999998"/>
    <n v="3.5"/>
    <n v="11.802459016393442"/>
    <n v="4.8770491803278693E-2"/>
    <n v="4.8770491803278693E-2"/>
    <n v="0"/>
    <n v="3.665"/>
    <n v="3.5"/>
    <n v="0"/>
    <n v="0"/>
    <n v="11.9"/>
    <n v="1.1739999999999999"/>
    <n v="0"/>
    <n v="18.13"/>
    <n v="2.1764705882352939E-2"/>
    <x v="106"/>
    <n v="0"/>
    <n v="0"/>
    <n v="0"/>
    <n v="0"/>
    <n v="0"/>
    <n v="0"/>
  </r>
  <r>
    <n v="1869"/>
    <s v="แขวงทางหลวงราชบุรี"/>
    <n v="335"/>
    <n v="3090"/>
    <n v="101"/>
    <s v="บ้านเลือก - หนองตากยา"/>
    <s v="43+086"/>
    <s v="18+515"/>
    <n v="24.571000000000002"/>
    <n v="2"/>
    <s v="R1"/>
    <d v="2015-04-01T00:00:00"/>
    <s v="A.C."/>
    <n v="21.15"/>
    <n v="3.42"/>
    <n v="0"/>
    <n v="0"/>
    <n v="2.4123899999999998"/>
    <n v="2.5"/>
    <n v="24.57"/>
    <n v="0"/>
    <n v="0"/>
    <n v="0"/>
    <n v="1.8412299999999999"/>
    <n v="2"/>
    <n v="0"/>
    <n v="0"/>
    <n v="24.57"/>
    <n v="1.1324399999999999"/>
    <n v="18.66"/>
    <n v="0"/>
    <n v="2.1698052873015228E-2"/>
    <x v="106"/>
    <n v="58.98"/>
    <n v="6.858259155682947E-2"/>
    <n v="0"/>
    <n v="0"/>
    <n v="0"/>
    <n v="0"/>
  </r>
  <r>
    <n v="1000"/>
    <s v="แขวงทางหลวงบุรีรัมย์"/>
    <n v="617"/>
    <n v="219"/>
    <n v="301"/>
    <s v="สตึก - หัวถนน"/>
    <n v="128082"/>
    <n v="97604"/>
    <n v="30.478000000000002"/>
    <n v="4"/>
    <s v="R1"/>
    <d v="2015-05-05T00:00:00"/>
    <s v="A.C."/>
    <n v="12.78"/>
    <n v="8.3000000000000007"/>
    <n v="7.25"/>
    <n v="2.7250000000000001"/>
    <n v="3.3398400000000001"/>
    <n v="3.5"/>
    <n v="25.475000000000001"/>
    <n v="3.4"/>
    <n v="0.9"/>
    <n v="1.2749999999999999"/>
    <n v="9.9896999999999991"/>
    <n v="10"/>
    <n v="0"/>
    <n v="0"/>
    <n v="31.055"/>
    <n v="1.2140299999999999"/>
    <n v="0"/>
    <n v="46.27"/>
    <n v="2.1687774788371941E-2"/>
    <x v="106"/>
    <n v="0"/>
    <n v="0"/>
    <n v="0.74"/>
    <n v="6.9370881103934454E-4"/>
    <n v="0"/>
    <n v="0"/>
  </r>
  <r>
    <n v="2032"/>
    <s v="แขวงทางหลวงนครศรีธรรมราชที่ 2 (ทุ่งสง)"/>
    <n v="326"/>
    <n v="4015"/>
    <n v="201"/>
    <s v="เขาธง - ฉวาง"/>
    <s v="60+300"/>
    <s v="24+070"/>
    <n v="36.229999999999997"/>
    <n v="4"/>
    <s v="R2"/>
    <d v="2015-05-01T00:00:00"/>
    <s v="A.C."/>
    <n v="30.9"/>
    <n v="3.65"/>
    <n v="1.3"/>
    <n v="0.52500000000000002"/>
    <n v="1.88236"/>
    <n v="2"/>
    <n v="36.299999999999997"/>
    <n v="7.4999999999999997E-2"/>
    <n v="0"/>
    <n v="0"/>
    <n v="2.9120599999999999"/>
    <n v="3"/>
    <n v="0"/>
    <n v="0"/>
    <n v="36.374999999999993"/>
    <n v="1.3465199999999999"/>
    <n v="25.63"/>
    <n v="3.48"/>
    <n v="2.1584322384764008E-2"/>
    <x v="106"/>
    <n v="129.63"/>
    <n v="0.15425715475694601"/>
    <n v="0.25"/>
    <n v="-2.97495091330993E-4"/>
    <n v="0"/>
    <n v="0"/>
  </r>
  <r>
    <n v="736"/>
    <s v="แขวงทางหลวงขอนแก่นที่ 3 (บ้านไผ่)"/>
    <n v="628"/>
    <n v="2131"/>
    <n v="200"/>
    <s v="บ้านสะอาด - เหล่านางาม"/>
    <n v="4138"/>
    <n v="12863"/>
    <n v="8.7249999999999996"/>
    <n v="2"/>
    <s v="L1"/>
    <d v="2015-06-18T00:00:00"/>
    <s v="A.C."/>
    <n v="5.95"/>
    <n v="1.675"/>
    <n v="0.75"/>
    <n v="0.3"/>
    <n v="2.4937299999999998"/>
    <n v="2.5"/>
    <n v="8.0250000000000004"/>
    <n v="0.55000000000000004"/>
    <n v="7.4999999999999997E-2"/>
    <n v="2.5000000000000001E-2"/>
    <n v="6.3875400000000004"/>
    <n v="6.5"/>
    <n v="0"/>
    <n v="0"/>
    <n v="8.6750000000000007"/>
    <n v="1.0321400000000001"/>
    <n v="6.43"/>
    <n v="0"/>
    <n v="2.146E-2"/>
    <x v="106"/>
    <n v="0"/>
    <n v="0"/>
    <n v="7.64"/>
    <n v="2.5499999999999998E-2"/>
    <n v="0"/>
    <n v="0"/>
  </r>
  <r>
    <n v="1685"/>
    <s v="แขวงทางหลวงฉะเชิงเทรา"/>
    <n v="421"/>
    <n v="319"/>
    <n v="200"/>
    <s v="โคกไทย - พนมสารคาม"/>
    <n v="38238"/>
    <n v="48064"/>
    <n v="9.8260000000000005"/>
    <n v="2"/>
    <s v="R1"/>
    <d v="2015-08-10T00:00:00"/>
    <s v="A.C."/>
    <n v="8.2249999999999996"/>
    <n v="1.2"/>
    <n v="0.2"/>
    <n v="0.2"/>
    <n v="1.9795400000000001"/>
    <n v="2"/>
    <n v="7.875"/>
    <n v="1.05"/>
    <n v="0.65"/>
    <n v="0.25"/>
    <n v="7.71671"/>
    <n v="7.5"/>
    <n v="0"/>
    <n v="0"/>
    <n v="9.8260000000000005"/>
    <n v="1.13117"/>
    <n v="4.84"/>
    <n v="5.08"/>
    <n v="2.1459102672210746E-2"/>
    <x v="106"/>
    <n v="0.28000000000000003"/>
    <n v="8.1416649704864634E-4"/>
    <n v="81"/>
    <n v="0.23552673664621551"/>
    <n v="0"/>
    <n v="0"/>
  </r>
  <r>
    <n v="1757"/>
    <s v="แขวงทางหลวงตราด"/>
    <n v="425"/>
    <n v="3159"/>
    <n v="100"/>
    <s v="เขาสมิง - นนทรีย์"/>
    <n v="0"/>
    <n v="26690"/>
    <n v="26.69"/>
    <n v="2"/>
    <s v="L1"/>
    <d v="2015-08-20T00:00:00"/>
    <s v="A.C."/>
    <n v="13.75"/>
    <n v="6.5"/>
    <n v="3.8250000000000002"/>
    <n v="2.7"/>
    <n v="3.3845499999999999"/>
    <n v="3.5"/>
    <n v="25.8"/>
    <n v="0.75"/>
    <n v="0.17499999999999999"/>
    <n v="0.05"/>
    <n v="4.9573700000000001"/>
    <n v="5"/>
    <n v="0"/>
    <n v="0"/>
    <n v="26.775000000000002"/>
    <n v="1.3145100000000001"/>
    <n v="19.8"/>
    <n v="0"/>
    <n v="2.1195739442273726E-2"/>
    <x v="106"/>
    <n v="57.17"/>
    <n v="6.1200021409837824E-2"/>
    <n v="0"/>
    <n v="0"/>
    <n v="29.13"/>
    <n v="3.1183428785526948E-2"/>
  </r>
  <r>
    <n v="301"/>
    <s v="แขวงทางหลวงบึงกาฬ"/>
    <n v="643"/>
    <n v="212"/>
    <n v="201"/>
    <s v="ห้วยก้านเหลือง - ดงบัง"/>
    <s v="209+032"/>
    <s v="96+885"/>
    <n v="112.14700000000001"/>
    <n v="2"/>
    <s v="R1"/>
    <d v="2015-06-09T00:00:00"/>
    <s v="A.C."/>
    <n v="73.05"/>
    <n v="25.175000000000001"/>
    <n v="9.6"/>
    <n v="4.4749999999999996"/>
    <n v="2.7897400000000001"/>
    <n v="3"/>
    <n v="106.15"/>
    <n v="4.4249999999999998"/>
    <n v="1.25"/>
    <n v="0.47499999999999998"/>
    <n v="5.2402800000000003"/>
    <n v="5"/>
    <n v="0"/>
    <n v="0"/>
    <n v="112.3"/>
    <n v="1.21156"/>
    <n v="2"/>
    <n v="162"/>
    <n v="2.1149999999999999E-2"/>
    <x v="106"/>
    <n v="0"/>
    <n v="0"/>
    <n v="0"/>
    <n v="0"/>
    <n v="0"/>
    <n v="0"/>
  </r>
  <r>
    <n v="641"/>
    <s v="แขวงทางหลวงหนองบัวลำภู"/>
    <n v="629"/>
    <n v="2470"/>
    <n v="100"/>
    <s v="ทางเข้าโนนสัง"/>
    <n v="0"/>
    <n v="136"/>
    <n v="0.13600000000000001"/>
    <n v="2"/>
    <s v="L1"/>
    <d v="2015-06-25T00:00:00"/>
    <s v="A.C."/>
    <n v="0.05"/>
    <n v="0.1"/>
    <n v="2.5000000000000001E-2"/>
    <n v="0"/>
    <n v="2.7928600000000001"/>
    <n v="3"/>
    <n v="0.17499999999999999"/>
    <n v="0"/>
    <n v="0"/>
    <n v="0"/>
    <n v="3.25414"/>
    <n v="3.5"/>
    <n v="0"/>
    <n v="0"/>
    <n v="0.17499999999999999"/>
    <n v="1.0888599999999999"/>
    <n v="0.05"/>
    <n v="0.1"/>
    <n v="2.1008403361344536E-2"/>
    <x v="106"/>
    <n v="0"/>
    <n v="0"/>
    <n v="0.17499999999999999"/>
    <n v="3.6764705882352935E-2"/>
    <n v="0"/>
    <n v="0"/>
  </r>
  <r>
    <n v="577"/>
    <s v="แขวงทางหลวงเพชรบูรณ์ที่ 2 (บึงสามพัน)"/>
    <n v="552"/>
    <n v="1069"/>
    <n v="200"/>
    <s v="ตลิ่งชัน - ดงขุย"/>
    <n v="39004"/>
    <n v="52009"/>
    <n v="13.005000000000001"/>
    <n v="2"/>
    <s v="L1"/>
    <d v="2015-07-10T00:00:00"/>
    <s v="A.C."/>
    <n v="9.5500000000000007"/>
    <n v="2.4500000000000002"/>
    <n v="0.72499999999999998"/>
    <n v="0.25"/>
    <n v="2.22559"/>
    <n v="2"/>
    <n v="12.25"/>
    <n v="0.65"/>
    <n v="7.4999999999999997E-2"/>
    <n v="0"/>
    <n v="5.1767799999999999"/>
    <n v="5"/>
    <n v="0"/>
    <n v="0"/>
    <n v="12.975"/>
    <n v="1.32907"/>
    <n v="6"/>
    <n v="7.12"/>
    <n v="2.1002910968308891E-2"/>
    <x v="106"/>
    <n v="0"/>
    <n v="0"/>
    <n v="0"/>
    <n v="0"/>
    <n v="17"/>
    <n v="3.7348272642390282E-2"/>
  </r>
  <r>
    <n v="1976"/>
    <s v="แขวงทางหลวงตรัง"/>
    <n v="322"/>
    <n v="404"/>
    <n v="100"/>
    <s v="ตรัง - บ้านนา"/>
    <n v="0"/>
    <n v="30000"/>
    <n v="30"/>
    <n v="2"/>
    <s v="L4"/>
    <d v="2015-05-07T00:00:00"/>
    <s v="A.C."/>
    <n v="19.524999999999999"/>
    <n v="6.55"/>
    <n v="2.5"/>
    <n v="1.35"/>
    <n v="2.4274800000000001"/>
    <n v="2.5"/>
    <n v="28.375"/>
    <n v="1.0249999999999999"/>
    <n v="0.27500000000000002"/>
    <n v="0.125"/>
    <n v="4.39222"/>
    <n v="4.5"/>
    <n v="0"/>
    <n v="0"/>
    <n v="30"/>
    <n v="1.1954800000000001"/>
    <n v="0"/>
    <n v="44"/>
    <n v="2.0952380952380951E-2"/>
    <x v="106"/>
    <n v="0"/>
    <n v="0"/>
    <n v="0"/>
    <n v="0"/>
    <n v="0"/>
    <n v="0"/>
  </r>
  <r>
    <n v="737"/>
    <s v="แขวงทางหลวงขอนแก่นที่ 3 (บ้านไผ่)"/>
    <n v="628"/>
    <n v="2199"/>
    <n v="100"/>
    <s v="ชนบท - กุดรู"/>
    <n v="0"/>
    <n v="37076"/>
    <n v="37.076000000000001"/>
    <n v="2"/>
    <s v="L1"/>
    <d v="2015-06-18T00:00:00"/>
    <s v="A.C."/>
    <n v="24.85"/>
    <n v="8.25"/>
    <n v="3.0750000000000002"/>
    <n v="0.75"/>
    <n v="2.3615400000000002"/>
    <n v="2.5"/>
    <n v="35.15"/>
    <n v="1.3"/>
    <n v="0.42499999999999999"/>
    <n v="0.05"/>
    <n v="4.2889099999999996"/>
    <n v="4.5"/>
    <n v="0"/>
    <n v="0"/>
    <n v="36.925000000000004"/>
    <n v="1.2324299999999999"/>
    <n v="26.8"/>
    <n v="0"/>
    <n v="2.0652559221984189E-2"/>
    <x v="106"/>
    <n v="0"/>
    <n v="0"/>
    <n v="31.84"/>
    <n v="2.4536473344327483E-2"/>
    <n v="0"/>
    <n v="0"/>
  </r>
  <r>
    <n v="1982"/>
    <s v="แขวงทางหลวงตรัง"/>
    <n v="322"/>
    <n v="4046"/>
    <n v="101"/>
    <s v="ตรัง - สิเกา"/>
    <n v="0"/>
    <n v="30029"/>
    <n v="30.029"/>
    <n v="2"/>
    <s v="L4"/>
    <d v="2015-05-06T00:00:00"/>
    <s v="A.C."/>
    <n v="21.074999999999999"/>
    <n v="5.25"/>
    <n v="2.0249999999999999"/>
    <n v="1.2250000000000001"/>
    <n v="2.2580900000000002"/>
    <n v="2.5"/>
    <n v="29"/>
    <n v="0.52500000000000002"/>
    <n v="0.05"/>
    <n v="0"/>
    <n v="3.20967"/>
    <n v="3"/>
    <n v="0"/>
    <n v="0"/>
    <n v="29.574999999999999"/>
    <n v="1.24719"/>
    <n v="3.13"/>
    <n v="37"/>
    <n v="2.0580105897632289E-2"/>
    <x v="106"/>
    <n v="1.62"/>
    <n v="1.5413671546076887E-3"/>
    <n v="0"/>
    <n v="0"/>
    <n v="0"/>
    <n v="0"/>
  </r>
  <r>
    <n v="1663"/>
    <s v="แขวงทางหลวงนนทบุรี"/>
    <n v="418"/>
    <n v="3215"/>
    <n v="102"/>
    <s v="บางบัวทอง  -  ไทรน้อย"/>
    <s v="26+323"/>
    <s v="14+850"/>
    <n v="11.473000000000001"/>
    <n v="4"/>
    <s v="R2"/>
    <d v="2015-08-28T00:00:00"/>
    <s v="A.C."/>
    <n v="5.5750000000000002"/>
    <n v="3.5750000000000002"/>
    <n v="1.675"/>
    <n v="0.55000000000000004"/>
    <n v="2.7792500000000002"/>
    <n v="3"/>
    <n v="5.625"/>
    <n v="2.9249999999999998"/>
    <n v="1.875"/>
    <n v="0.95"/>
    <n v="10.776899999999999"/>
    <n v="11"/>
    <n v="0"/>
    <n v="0"/>
    <n v="11.375000000000002"/>
    <n v="0.94515199999999999"/>
    <n v="3.21"/>
    <n v="10.07"/>
    <n v="2.0532679209572788E-2"/>
    <x v="106"/>
    <n v="0"/>
    <n v="0"/>
    <n v="0"/>
    <n v="0"/>
    <n v="0"/>
    <n v="0"/>
  </r>
  <r>
    <n v="638"/>
    <s v="แขวงทางหลวงหนองบัวลำภู"/>
    <n v="629"/>
    <n v="2315"/>
    <n v="100"/>
    <s v="หนองวัวซอ - อูบมุง"/>
    <n v="0"/>
    <n v="19000"/>
    <n v="19"/>
    <n v="2"/>
    <s v="L1"/>
    <d v="2015-06-25T00:00:00"/>
    <s v="A.C."/>
    <n v="10.975"/>
    <n v="5.35"/>
    <n v="2.0750000000000002"/>
    <n v="0.57499999999999996"/>
    <n v="2.6720000000000002"/>
    <n v="2.5"/>
    <n v="18.88"/>
    <n v="0.1"/>
    <n v="0"/>
    <n v="0"/>
    <n v="3.246"/>
    <n v="3"/>
    <n v="0"/>
    <n v="0"/>
    <n v="18.98"/>
    <n v="1.0189999999999999"/>
    <n v="10.975"/>
    <n v="5.35"/>
    <n v="2.0526315789473684E-2"/>
    <x v="106"/>
    <n v="0.57499999999999996"/>
    <n v="8.6466165413533831E-4"/>
    <n v="18.875"/>
    <n v="2.8383458646616542E-2"/>
    <n v="0"/>
    <n v="0"/>
  </r>
  <r>
    <n v="899"/>
    <s v="แขวงทางหลวงอำนาจเจริญ"/>
    <n v="634"/>
    <n v="2134"/>
    <n v="101"/>
    <s v="ลืออำนาจ - พนา"/>
    <n v="24821"/>
    <n v="0"/>
    <n v="24.821000000000002"/>
    <n v="2"/>
    <s v="R1"/>
    <d v="2015-05-22T00:00:00"/>
    <s v="A.C."/>
    <n v="10.050000000000001"/>
    <n v="7.8250000000000002"/>
    <n v="3.8250000000000002"/>
    <n v="3.15"/>
    <n v="4.5759999999999996"/>
    <n v="4.5"/>
    <n v="21.425000000000001"/>
    <n v="2.375"/>
    <n v="0.8"/>
    <n v="0.25"/>
    <n v="7.851"/>
    <n v="8"/>
    <n v="0"/>
    <n v="0"/>
    <n v="24.849999999999998"/>
    <n v="1.5247999999999999"/>
    <n v="0"/>
    <n v="51.2"/>
    <n v="2.044E-2"/>
    <x v="106"/>
    <n v="0"/>
    <n v="0"/>
    <n v="0"/>
    <n v="0"/>
    <n v="0"/>
    <n v="0"/>
  </r>
  <r>
    <n v="633"/>
    <s v="แขวงทางหลวงหนองบัวลำภู"/>
    <n v="629"/>
    <n v="228"/>
    <n v="201"/>
    <s v="ห้วยสายหนัง - ศรีบุญเรือง"/>
    <n v="38759"/>
    <n v="56884"/>
    <n v="18.125"/>
    <n v="2"/>
    <s v="L1"/>
    <d v="2015-06-24T00:00:00"/>
    <s v="A.C."/>
    <n v="9.625"/>
    <n v="6.35"/>
    <n v="1.85"/>
    <n v="0.52500000000000002"/>
    <n v="2.3450000000000002"/>
    <n v="2.5"/>
    <n v="16.625"/>
    <n v="1.4"/>
    <n v="0.22500000000000001"/>
    <n v="0.1"/>
    <n v="3.3079999999999998"/>
    <n v="3.5"/>
    <n v="0"/>
    <n v="0"/>
    <n v="18.350000000000001"/>
    <n v="0.96399999999999997"/>
    <n v="9.625"/>
    <n v="6.35"/>
    <n v="2.0177339901477832E-2"/>
    <x v="106"/>
    <n v="0.52500000000000002"/>
    <n v="8.2758620689655181E-4"/>
    <n v="16.625"/>
    <n v="2.6206896551724135E-2"/>
    <n v="0.22500000000000001"/>
    <n v="3.5467980295566501E-4"/>
  </r>
  <r>
    <n v="328"/>
    <s v="แขวงทางหลวงหนองคาย"/>
    <n v="646"/>
    <n v="212"/>
    <n v="101"/>
    <s v="หนองคาย - ปากสวย"/>
    <n v="0"/>
    <n v="32600"/>
    <n v="32.6"/>
    <n v="4"/>
    <s v="R2"/>
    <d v="2015-06-10T00:00:00"/>
    <s v="A.C."/>
    <n v="24.9"/>
    <n v="5.4249999999999998"/>
    <n v="1.4750000000000001"/>
    <n v="0.65"/>
    <n v="2.2968099999999998"/>
    <n v="2.5"/>
    <n v="24.375"/>
    <n v="5.65"/>
    <n v="1.675"/>
    <n v="0.75"/>
    <n v="8.3544999999999998"/>
    <n v="8.5"/>
    <n v="0"/>
    <n v="0"/>
    <n v="32.450000000000003"/>
    <n v="1.14062"/>
    <n v="23"/>
    <n v="0"/>
    <n v="2.0157756354075372E-2"/>
    <x v="106"/>
    <n v="0"/>
    <n v="0"/>
    <n v="9.89"/>
    <n v="8.6678352322524105E-3"/>
    <n v="0"/>
    <n v="0"/>
  </r>
  <r>
    <n v="637"/>
    <s v="แขวงทางหลวงหนองบัวลำภู"/>
    <n v="629"/>
    <n v="2314"/>
    <n v="100"/>
    <s v="หนองวัวซอ - กุดจับ"/>
    <n v="0"/>
    <n v="24753"/>
    <n v="24.753"/>
    <n v="2"/>
    <s v="L1"/>
    <d v="2015-06-25T00:00:00"/>
    <s v="A.C."/>
    <n v="14.45"/>
    <n v="6.0250000000000004"/>
    <n v="3.2749999999999999"/>
    <n v="0.95"/>
    <n v="2.7677900000000002"/>
    <n v="3"/>
    <n v="24.125"/>
    <n v="0.55000000000000004"/>
    <n v="2.5000000000000001E-2"/>
    <n v="0"/>
    <n v="4.2792399999999997"/>
    <n v="4.5"/>
    <n v="0"/>
    <n v="0"/>
    <n v="24.7"/>
    <n v="1.1118600000000001"/>
    <n v="14.45"/>
    <n v="6.0250000000000004"/>
    <n v="2.0156286972430465E-2"/>
    <x v="106"/>
    <n v="0.95"/>
    <n v="1.0965481817499752E-3"/>
    <n v="24.125"/>
    <n v="2.7846552510229636E-2"/>
    <n v="2.5000000000000001E-2"/>
    <n v="2.8856531098683562E-5"/>
  </r>
  <r>
    <n v="1990"/>
    <s v="แขวงทางหลวงตรัง"/>
    <n v="322"/>
    <n v="4235"/>
    <n v="100"/>
    <s v="บ้านนา - ปากปรน - บกหัก"/>
    <n v="0"/>
    <n v="31188"/>
    <n v="31.187999999999999"/>
    <n v="2"/>
    <s v="L2"/>
    <d v="2015-05-07T00:00:00"/>
    <s v="A.C."/>
    <n v="26.9"/>
    <n v="3"/>
    <n v="0.5"/>
    <n v="0.32500000000000001"/>
    <n v="1.9500200000000001"/>
    <n v="2"/>
    <n v="30.7"/>
    <n v="2.5000000000000001E-2"/>
    <n v="0"/>
    <n v="0"/>
    <n v="2.8820100000000002"/>
    <n v="3"/>
    <n v="0"/>
    <n v="0"/>
    <n v="30.724999999999998"/>
    <n v="1.1509499999999999"/>
    <n v="0"/>
    <n v="43.93"/>
    <n v="2.0122208175305519E-2"/>
    <x v="106"/>
    <n v="0"/>
    <n v="0"/>
    <n v="0"/>
    <n v="0"/>
    <n v="0"/>
    <n v="0"/>
  </r>
  <r>
    <n v="2014"/>
    <s v="แขวงทางหลวงสุราษฎร์ธานี ที่ 1 (พุนพิน)"/>
    <n v="325"/>
    <n v="4153"/>
    <n v="100"/>
    <s v="หนองขรี - เทศบาลเมืองท่าข้าม"/>
    <n v="8354"/>
    <n v="0"/>
    <n v="8.3539999999999992"/>
    <n v="6"/>
    <s v="R3"/>
    <d v="2015-04-23T00:00:00"/>
    <s v="A.C."/>
    <n v="4.84"/>
    <n v="2.0299999999999998"/>
    <n v="1.06"/>
    <n v="0.43"/>
    <n v="2.5956100000000002"/>
    <n v="2.5"/>
    <n v="8"/>
    <n v="0.35"/>
    <n v="0"/>
    <n v="0"/>
    <n v="3.8329800000000001"/>
    <n v="4"/>
    <n v="0"/>
    <n v="0"/>
    <n v="8.35"/>
    <n v="1.2747200000000001"/>
    <n v="4.0599999999999996"/>
    <n v="3.61"/>
    <n v="2.0058825541229178E-2"/>
    <x v="106"/>
    <n v="8"/>
    <n v="2.7360716850781494E-2"/>
    <n v="53.92"/>
    <n v="0.18441123157426725"/>
    <n v="0"/>
    <n v="0"/>
  </r>
  <r>
    <n v="811"/>
    <s v="แขวงทางหลวงกาฬสินธุ์"/>
    <n v="647"/>
    <n v="12"/>
    <n v="902"/>
    <s v="ปากทางเขื่อนลำปาว - หนองผ้าอ้อม"/>
    <n v="620712"/>
    <n v="662897"/>
    <n v="42.185000000000002"/>
    <n v="4"/>
    <s v="L1"/>
    <d v="2015-05-29T00:00:00"/>
    <s v="A.C."/>
    <n v="26"/>
    <n v="12.625"/>
    <n v="2.5750000000000002"/>
    <n v="1.125"/>
    <n v="2.5794999999999999"/>
    <n v="2.5"/>
    <n v="37.650000000000006"/>
    <n v="3.25"/>
    <n v="0.9"/>
    <n v="0.5"/>
    <n v="6.2489999999999997"/>
    <n v="6"/>
    <n v="0"/>
    <n v="0"/>
    <n v="42.325000000000003"/>
    <n v="1.2169000000000001"/>
    <n v="16"/>
    <n v="27"/>
    <n v="1.998001998001998E-2"/>
    <x v="106"/>
    <n v="83"/>
    <n v="5.6214971469208758E-2"/>
    <n v="185"/>
    <n v="0.12529843038317615"/>
    <n v="0"/>
    <n v="0"/>
  </r>
  <r>
    <n v="635"/>
    <s v="แขวงทางหลวงหนองบัวลำภู"/>
    <n v="629"/>
    <n v="2263"/>
    <n v="201"/>
    <s v="บ้านเพีย - ทุ่งตาลเลียน"/>
    <n v="21412"/>
    <n v="38500"/>
    <n v="17.088000000000001"/>
    <n v="2"/>
    <s v="L1"/>
    <d v="2015-06-25T00:00:00"/>
    <s v="A.C."/>
    <n v="9.4"/>
    <n v="5.0750000000000002"/>
    <n v="2.25"/>
    <n v="0.35"/>
    <n v="2.6301100000000002"/>
    <n v="2.5"/>
    <n v="16.975000000000001"/>
    <n v="0.1"/>
    <n v="0"/>
    <n v="0"/>
    <n v="3.5662199999999999"/>
    <n v="3.5"/>
    <n v="0"/>
    <n v="0"/>
    <n v="17.075000000000003"/>
    <n v="1.0480700000000001"/>
    <n v="9.4"/>
    <n v="5.0750000000000002"/>
    <n v="1.9959704387372927E-2"/>
    <x v="106"/>
    <n v="0.35"/>
    <n v="5.852059925093631E-4"/>
    <n v="16.975000000000001"/>
    <n v="2.8382490636704116E-2"/>
    <n v="0"/>
    <n v="0"/>
  </r>
  <r>
    <n v="581"/>
    <s v="แขวงทางหลวงเพชรบูรณ์ที่ 2 (บึงสามพัน)"/>
    <n v="552"/>
    <n v="2012"/>
    <n v="100"/>
    <s v="บ้านสามแยก - วิเชียรบุรี"/>
    <n v="0"/>
    <n v="7200"/>
    <n v="7.2"/>
    <n v="6"/>
    <s v="L2"/>
    <d v="2015-07-09T00:00:00"/>
    <s v="A.C."/>
    <n v="4.3499999999999996"/>
    <n v="1.175"/>
    <n v="0.82499999999999996"/>
    <n v="0.875"/>
    <n v="3.056"/>
    <n v="3"/>
    <n v="6.6"/>
    <n v="0.55000000000000004"/>
    <n v="7.4999999999999997E-2"/>
    <n v="0"/>
    <n v="6.1070000000000002"/>
    <n v="6"/>
    <n v="0"/>
    <n v="0"/>
    <n v="7.2249999999999996"/>
    <n v="1.4570000000000001"/>
    <n v="0"/>
    <n v="9.98"/>
    <n v="1.9801587301587303E-2"/>
    <x v="106"/>
    <n v="0"/>
    <n v="0"/>
    <n v="14"/>
    <n v="5.5555555555555552E-2"/>
    <n v="1.9"/>
    <n v="7.5396825396825398E-3"/>
  </r>
  <r>
    <n v="705"/>
    <s v="แขวงทางหลวงชัยภูมิ"/>
    <n v="626"/>
    <n v="2065"/>
    <n v="200"/>
    <s v="ลำชี - คอนสวรรค์"/>
    <n v="34507"/>
    <n v="45292"/>
    <n v="10.785"/>
    <n v="2"/>
    <s v="L1"/>
    <d v="2015-06-22T00:00:00"/>
    <s v="A.C."/>
    <n v="4.95"/>
    <n v="3.7749999999999999"/>
    <n v="1.5"/>
    <n v="0.5"/>
    <n v="2.8553799999999998"/>
    <n v="3"/>
    <n v="10.625"/>
    <n v="7.4999999999999997E-2"/>
    <n v="0"/>
    <n v="0"/>
    <n v="2.0923400000000001"/>
    <n v="2"/>
    <n v="0"/>
    <n v="0"/>
    <n v="10.725"/>
    <n v="1.2457"/>
    <n v="5.69"/>
    <n v="3.24"/>
    <n v="1.9365520895423538E-2"/>
    <x v="106"/>
    <n v="0"/>
    <n v="0"/>
    <n v="0"/>
    <n v="0"/>
    <n v="0"/>
    <n v="0"/>
  </r>
  <r>
    <n v="1709"/>
    <s v="แขวงทางหลวงชลบุรีที่ 1"/>
    <n v="422"/>
    <n v="315"/>
    <n v="200"/>
    <s v="หัวไผ่ - ชลบุรี"/>
    <s v="23+190"/>
    <n v="19440"/>
    <n v="3.75"/>
    <n v="4"/>
    <s v="R2"/>
    <d v="2015-08-13T00:00:00"/>
    <s v="A.C."/>
    <n v="0"/>
    <n v="0"/>
    <n v="0"/>
    <n v="0"/>
    <n v="0"/>
    <n v="0"/>
    <n v="0"/>
    <n v="0"/>
    <n v="0"/>
    <n v="0"/>
    <n v="0"/>
    <n v="0"/>
    <n v="0"/>
    <n v="0"/>
    <n v="3.75"/>
    <n v="0"/>
    <n v="0"/>
    <n v="0"/>
    <n v="0"/>
    <x v="106"/>
    <n v="0"/>
    <n v="0"/>
    <n v="0"/>
    <n v="0"/>
    <n v="0"/>
    <n v="0"/>
  </r>
  <r>
    <n v="753"/>
    <s v="แขวงทางหลวงชัยภูมิ"/>
    <n v="626"/>
    <n v="2065"/>
    <n v="200"/>
    <s v="ลำชี - คอนสวรรค์"/>
    <n v="34507"/>
    <n v="45292"/>
    <n v="10.785"/>
    <n v="2"/>
    <s v="L1"/>
    <d v="2015-06-22T00:00:00"/>
    <s v="A.C."/>
    <n v="4.95"/>
    <n v="3.7749999999999999"/>
    <n v="1.5"/>
    <n v="0.5"/>
    <n v="2.8553799999999998"/>
    <n v="3"/>
    <n v="10.625"/>
    <n v="7.4999999999999997E-2"/>
    <n v="0"/>
    <n v="0"/>
    <n v="2.0923400000000001"/>
    <n v="2"/>
    <n v="0"/>
    <n v="0"/>
    <n v="10.725"/>
    <n v="1.2457"/>
    <n v="5.69"/>
    <n v="3.24"/>
    <n v="1.9365520895423538E-2"/>
    <x v="106"/>
    <n v="0"/>
    <n v="0"/>
    <n v="0"/>
    <n v="0"/>
    <n v="0"/>
    <n v="0"/>
  </r>
  <r>
    <n v="887"/>
    <s v="แขวงทางหลวงอุบลราชธานีที่ 2 (หนองหาน)"/>
    <n v="632"/>
    <n v="2248"/>
    <n v="200"/>
    <s v="ซำหวาย - บุญฑริก"/>
    <n v="41015"/>
    <n v="106262"/>
    <n v="65.247"/>
    <n v="2"/>
    <s v="R1"/>
    <d v="2015-05-19T00:00:00"/>
    <s v="A.C."/>
    <n v="53.774999999999999"/>
    <n v="7.8250000000000002"/>
    <n v="1.55"/>
    <n v="1.7749999999999999"/>
    <n v="1.94126"/>
    <n v="2"/>
    <n v="63.6"/>
    <n v="1.0249999999999999"/>
    <n v="0.22500000000000001"/>
    <n v="7.4999999999999997E-2"/>
    <n v="2.8105600000000002"/>
    <n v="3"/>
    <n v="0"/>
    <n v="0"/>
    <n v="64.924999999999997"/>
    <n v="1.35737"/>
    <n v="38.86"/>
    <n v="10.67"/>
    <n v="1.9352999999999999E-2"/>
    <x v="106"/>
    <n v="593.75"/>
    <n v="0.26000099999999998"/>
    <n v="2.1"/>
    <n v="9.2000000000000003E-4"/>
    <n v="1122.17"/>
    <n v="0.491394"/>
  </r>
  <r>
    <n v="963"/>
    <s v="แขวงทางหลวงนครราชสีมาที่ 2"/>
    <n v="612"/>
    <n v="2068"/>
    <n v="100"/>
    <s v="โคกกรวด - หนองสรวง"/>
    <n v="0"/>
    <n v="21253"/>
    <n v="21.253"/>
    <n v="4"/>
    <s v="L2"/>
    <d v="2015-04-21T00:00:00"/>
    <s v="A.C."/>
    <n v="14.675000000000001"/>
    <n v="3.7"/>
    <n v="1.9"/>
    <n v="0.92500000000000004"/>
    <n v="2.1726000000000001"/>
    <n v="2"/>
    <n v="14.725"/>
    <n v="4.7249999999999996"/>
    <n v="1.425"/>
    <n v="0.32500000000000001"/>
    <n v="4.8514999999999997"/>
    <n v="5"/>
    <n v="0"/>
    <n v="0"/>
    <n v="21.2"/>
    <n v="1.2503599999999999"/>
    <n v="14.35"/>
    <n v="0"/>
    <n v="1.9290000000000002E-2"/>
    <x v="106"/>
    <n v="404"/>
    <n v="0.54312000000000005"/>
    <n v="0"/>
    <n v="0"/>
    <n v="19"/>
    <n v="2.554E-2"/>
  </r>
  <r>
    <n v="640"/>
    <s v="แขวงทางหลวงหนองบัวลำภู"/>
    <n v="629"/>
    <n v="2420"/>
    <n v="100"/>
    <s v="ศรีบุญเรือง - นากลาง"/>
    <n v="0"/>
    <n v="45530"/>
    <n v="45.03"/>
    <n v="2"/>
    <s v="L1"/>
    <d v="2015-06-24T00:00:00"/>
    <s v="A.C."/>
    <n v="22.9"/>
    <n v="13.525"/>
    <n v="5.5250000000000004"/>
    <n v="2.4"/>
    <n v="2.8013300000000001"/>
    <n v="3"/>
    <n v="39.975000000000001"/>
    <n v="3.15"/>
    <n v="0.72499999999999998"/>
    <n v="0.5"/>
    <n v="5.2889299999999997"/>
    <n v="5.5"/>
    <n v="0"/>
    <n v="0"/>
    <n v="44.35"/>
    <n v="1.20685"/>
    <n v="22.9"/>
    <n v="13.525"/>
    <n v="1.861410059301559E-2"/>
    <x v="106"/>
    <n v="2.4"/>
    <n v="1.5060713501302123E-3"/>
    <n v="39.975000000000001"/>
    <n v="2.5085500925606349E-2"/>
    <n v="0.72499999999999998"/>
    <n v="4.6001078645982035E-4"/>
  </r>
  <r>
    <n v="2050"/>
    <s v="แขวงทางหลวงสุราษฎร์ธานีที่ 2 (กาญจนดิษฐ์)"/>
    <n v="328"/>
    <n v="401"/>
    <n v="402"/>
    <s v="บางกุ้ง - เขาหัวช้าง"/>
    <n v="209704"/>
    <n v="162379"/>
    <n v="47.325000000000003"/>
    <n v="4"/>
    <s v="R2"/>
    <d v="2015-04-26T00:00:00"/>
    <s v="A.C."/>
    <n v="35.65"/>
    <n v="6.7750000000000004"/>
    <n v="2.9750000000000001"/>
    <n v="1.7250000000000001"/>
    <n v="2.2130000000000001"/>
    <n v="2"/>
    <n v="44.674999999999997"/>
    <n v="2.2250000000000001"/>
    <n v="0.22500000000000001"/>
    <n v="0"/>
    <n v="4.6210199999999997"/>
    <n v="4.5"/>
    <n v="0"/>
    <n v="0"/>
    <n v="47.125"/>
    <n v="1.3240099999999999"/>
    <n v="21.06"/>
    <n v="18.52"/>
    <n v="1.8305033582371139E-2"/>
    <x v="106"/>
    <n v="0"/>
    <n v="0"/>
    <n v="23.55"/>
    <n v="1.4217794883405023E-2"/>
    <n v="0"/>
    <n v="0"/>
  </r>
  <r>
    <n v="1504"/>
    <s v="แขวงทางหลวงอยุธยา"/>
    <n v="413"/>
    <n v="309"/>
    <n v="103"/>
    <s v="อยุธยา - บางเสด็จ"/>
    <n v="37600"/>
    <n v="24637"/>
    <n v="12.962999999999999"/>
    <n v="4"/>
    <s v="R1"/>
    <d v="2015-09-18T00:00:00"/>
    <s v="A.C."/>
    <n v="8.5250000000000004"/>
    <n v="1.7250000000000001"/>
    <n v="1.2"/>
    <n v="1.575"/>
    <n v="3.72336"/>
    <n v="3.5"/>
    <n v="9.65"/>
    <n v="2.5249999999999999"/>
    <n v="0.47499999999999998"/>
    <n v="0.375"/>
    <n v="7.4774099999999999"/>
    <n v="7.5"/>
    <n v="0"/>
    <n v="0"/>
    <n v="12.962999999999999"/>
    <n v="0.85931299999999999"/>
    <n v="0"/>
    <n v="16.260000000000002"/>
    <n v="1.7919132475948032E-2"/>
    <x v="106"/>
    <n v="0"/>
    <n v="0"/>
    <n v="0"/>
    <n v="0"/>
    <n v="0"/>
    <n v="0"/>
  </r>
  <r>
    <n v="1696"/>
    <s v="แขวงทางหลวงฉะเชิงเทรา"/>
    <n v="421"/>
    <n v="3551"/>
    <n v="100"/>
    <s v="หนองปลาตะเพียน - หัวสำโรง"/>
    <n v="0"/>
    <n v="10947"/>
    <n v="10.946999999999999"/>
    <n v="4"/>
    <s v="L1"/>
    <d v="2015-08-10T00:00:00"/>
    <s v="A.C."/>
    <n v="8.5250000000000004"/>
    <n v="0.97499999999999998"/>
    <n v="0.8"/>
    <n v="0.27500000000000002"/>
    <n v="2.1801699999999999"/>
    <n v="2"/>
    <n v="6.7249999999999996"/>
    <n v="2.5249999999999999"/>
    <n v="0.72499999999999998"/>
    <n v="0.6"/>
    <n v="8.6203500000000002"/>
    <n v="8.5"/>
    <n v="0"/>
    <n v="0"/>
    <n v="10.946999999999999"/>
    <n v="1.3366199999999999"/>
    <n v="0"/>
    <n v="13.67"/>
    <n v="1.7839199258766265E-2"/>
    <x v="106"/>
    <n v="0"/>
    <n v="0"/>
    <n v="0"/>
    <n v="0"/>
    <n v="0"/>
    <n v="0"/>
  </r>
  <r>
    <n v="835"/>
    <s v="แขวงทางหลวงสุรินทร์"/>
    <n v="615"/>
    <n v="24"/>
    <n v="401"/>
    <s v="จรอกใหญ่ - ปราสาท"/>
    <n v="171872"/>
    <n v="191746"/>
    <n v="19.873999999999999"/>
    <n v="4"/>
    <s v="L1"/>
    <d v="2015-05-10T00:00:00"/>
    <s v="A.C."/>
    <n v="12.85"/>
    <n v="4.3250000000000002"/>
    <n v="1.925"/>
    <n v="0.7"/>
    <n v="2.4638300000000002"/>
    <n v="2.5"/>
    <n v="17.175000000000001"/>
    <n v="2.25"/>
    <n v="0.35"/>
    <n v="2.5000000000000001E-2"/>
    <n v="5.8877800000000002"/>
    <n v="6"/>
    <n v="0"/>
    <n v="0"/>
    <n v="19.8"/>
    <n v="1.0014000000000001"/>
    <n v="10.38"/>
    <n v="3.9"/>
    <n v="1.7729999999999999E-2"/>
    <x v="106"/>
    <n v="326.19"/>
    <n v="0.46894000000000002"/>
    <n v="0"/>
    <n v="0"/>
    <n v="0.26"/>
    <n v="3.6999999999999999E-4"/>
  </r>
  <r>
    <n v="1188"/>
    <s v="แขวงทางหลวงสิงห์บุรี"/>
    <n v="433"/>
    <n v="3252"/>
    <n v="100"/>
    <s v="พักทัน - บ้านจ่า"/>
    <s v="0+000"/>
    <s v="10+000"/>
    <n v="10"/>
    <n v="2"/>
    <s v="L1"/>
    <d v="2015-10-05T00:00:00"/>
    <s v="A.C."/>
    <n v="8.375"/>
    <n v="1.2"/>
    <n v="0.375"/>
    <n v="0.125"/>
    <n v="2.0759300000000001"/>
    <n v="2"/>
    <n v="9.7750000000000004"/>
    <n v="0.22500000000000001"/>
    <n v="7.4999999999999997E-2"/>
    <n v="0"/>
    <n v="2.3841800000000002"/>
    <n v="2.5"/>
    <n v="0"/>
    <n v="0"/>
    <n v="10"/>
    <n v="1.29741"/>
    <n v="2.2050000000000001"/>
    <n v="7.95"/>
    <n v="1.7657142857142854E-2"/>
    <x v="106"/>
    <n v="0"/>
    <n v="0"/>
    <n v="0"/>
    <n v="0"/>
    <n v="0"/>
    <n v="0"/>
  </r>
  <r>
    <n v="296"/>
    <s v="แขวงทางหลวงสกลนครที่ 2 (สว่างแดนดิน)"/>
    <n v="642"/>
    <n v="2307"/>
    <n v="100"/>
    <s v="วานรนิวาส - บ้านเซือม"/>
    <n v="0"/>
    <n v="26094"/>
    <n v="26.094000000000001"/>
    <n v="2"/>
    <s v="L1"/>
    <d v="2015-06-06T00:00:00"/>
    <s v="A.C."/>
    <n v="15.05"/>
    <n v="7.15"/>
    <n v="2.6749999999999998"/>
    <n v="1.1499999999999999"/>
    <n v="2.5960899999999998"/>
    <n v="2.5"/>
    <n v="22.85"/>
    <n v="1.825"/>
    <n v="0.9"/>
    <n v="0.45"/>
    <n v="5.2803899999999997"/>
    <n v="5.5"/>
    <n v="0"/>
    <n v="0"/>
    <n v="26.024999999999999"/>
    <n v="1.3869499999999999"/>
    <n v="14"/>
    <n v="4"/>
    <n v="1.7519079372378982E-2"/>
    <x v="106"/>
    <n v="21.44"/>
    <n v="2.3475566358987832E-2"/>
    <n v="0"/>
    <n v="0"/>
    <n v="0"/>
    <n v="0"/>
  </r>
  <r>
    <n v="2043"/>
    <s v="แขวงทางหลวงนครศรีธรรมราชที่ 2 (ทุ่งสง)"/>
    <n v="326"/>
    <n v="4230"/>
    <n v="100"/>
    <s v="ควนไม้แดง - มะนาวหวาน"/>
    <n v="0"/>
    <n v="15193"/>
    <n v="15.193"/>
    <n v="2"/>
    <s v="L1"/>
    <d v="2015-05-02T00:00:00"/>
    <s v="A.C."/>
    <n v="11.225"/>
    <n v="2.4500000000000002"/>
    <n v="0.95"/>
    <n v="0.55000000000000004"/>
    <n v="2.21909"/>
    <n v="2"/>
    <n v="14.574999999999999"/>
    <n v="0.45"/>
    <n v="0.1"/>
    <n v="0.05"/>
    <n v="3.2265000000000001"/>
    <n v="3"/>
    <n v="0"/>
    <n v="0"/>
    <n v="15.175000000000001"/>
    <n v="1.11561"/>
    <n v="8.68"/>
    <n v="1.22"/>
    <n v="1.7470451617756295E-2"/>
    <x v="106"/>
    <n v="0"/>
    <n v="0"/>
    <n v="0"/>
    <n v="0"/>
    <n v="5.96"/>
    <n v="1.1208169175654202E-2"/>
  </r>
  <r>
    <n v="891"/>
    <s v="แขวงทางหลวงอุบลราชธานีที่ 2 (หนองหาน)"/>
    <n v="632"/>
    <n v="2461"/>
    <n v="100"/>
    <s v="ทางออกผาแต้ม"/>
    <n v="0"/>
    <n v="1174"/>
    <n v="1.1739999999999999"/>
    <n v="2"/>
    <s v="L1"/>
    <d v="2015-05-19T00:00:00"/>
    <s v="A.C."/>
    <n v="7.4999999999999997E-2"/>
    <n v="0.45"/>
    <n v="0.45"/>
    <n v="0.17499999999999999"/>
    <n v="4.23217"/>
    <n v="4"/>
    <n v="1.1499999999999999"/>
    <n v="0"/>
    <n v="0"/>
    <n v="0"/>
    <n v="3.87296"/>
    <n v="4"/>
    <n v="0"/>
    <n v="0"/>
    <n v="1.1500000000000001"/>
    <n v="1.2904599999999999"/>
    <n v="0"/>
    <n v="1.43"/>
    <n v="1.7401E-2"/>
    <x v="106"/>
    <n v="18.21"/>
    <n v="0.44317400000000001"/>
    <n v="0"/>
    <n v="0"/>
    <n v="0"/>
    <n v="0"/>
  </r>
  <r>
    <n v="776"/>
    <s v="แขวงทางหลวงมหาสารคาม"/>
    <n v="622"/>
    <n v="2380"/>
    <n v="100"/>
    <s v="หนองปลิง - บ้านสนาม"/>
    <n v="0"/>
    <n v="28739"/>
    <n v="28.739000000000001"/>
    <n v="2"/>
    <s v="L1"/>
    <d v="2015-05-28T00:00:00"/>
    <s v="A.C."/>
    <n v="19.899999999999999"/>
    <n v="6.9749999999999996"/>
    <n v="1.425"/>
    <n v="0.3"/>
    <n v="2.5249999999999999"/>
    <n v="2.5"/>
    <n v="28.27"/>
    <n v="0.43"/>
    <n v="0.05"/>
    <n v="0"/>
    <n v="3.5339999999999998"/>
    <n v="3.5"/>
    <n v="0"/>
    <n v="0"/>
    <n v="28.74"/>
    <n v="1.3919999999999999"/>
    <n v="17"/>
    <n v="1"/>
    <n v="1.7397960958975608E-2"/>
    <x v="106"/>
    <n v="90"/>
    <n v="8.9475227789017411E-2"/>
    <n v="8"/>
    <n v="7.9533535812459921E-3"/>
    <n v="2"/>
    <n v="1.988338395311498E-3"/>
  </r>
  <r>
    <n v="1764"/>
    <s v="แขวงทางหลวงตราด"/>
    <n v="425"/>
    <n v="3494"/>
    <n v="100"/>
    <s v="ท่าประดู่ - ฉางเกลือ"/>
    <s v="0+000"/>
    <s v="21+500"/>
    <n v="21.5"/>
    <n v="2"/>
    <s v="L1"/>
    <d v="2015-08-20T00:00:00"/>
    <s v="A.C."/>
    <n v="18.524999999999999"/>
    <n v="1.5"/>
    <n v="0.82499999999999996"/>
    <n v="0.5"/>
    <n v="1.8919999999999999"/>
    <n v="2"/>
    <n v="20.95"/>
    <n v="0.375"/>
    <n v="2.5000000000000001E-2"/>
    <n v="0"/>
    <n v="3.9550000000000001"/>
    <n v="4"/>
    <n v="0"/>
    <n v="0"/>
    <n v="21.349999999999998"/>
    <n v="1.2230000000000001"/>
    <n v="0"/>
    <n v="26.18"/>
    <n v="1.7395348837209303E-2"/>
    <x v="106"/>
    <n v="4.21"/>
    <n v="5.5946843853820595E-3"/>
    <n v="0"/>
    <n v="0"/>
    <n v="10.220000000000001"/>
    <n v="1.3581395348837209E-2"/>
  </r>
  <r>
    <n v="1318"/>
    <s v="แขวงทางหลวงกาญจนบุรี"/>
    <n v="444"/>
    <n v="367"/>
    <n v="100"/>
    <s v="ทางเลี่ยงเมืองกาญจนบุรี"/>
    <n v="0"/>
    <n v="13154"/>
    <n v="13.154"/>
    <n v="4"/>
    <s v="L1"/>
    <d v="2015-07-26T00:00:00"/>
    <s v="A.C."/>
    <n v="8.1750000000000007"/>
    <n v="3.15"/>
    <n v="1.3"/>
    <n v="0.55000000000000004"/>
    <n v="2.6842299999999999"/>
    <n v="2.5"/>
    <n v="12.925000000000001"/>
    <n v="0.22500000000000001"/>
    <n v="2.5000000000000001E-2"/>
    <n v="0"/>
    <n v="3.4190800000000001"/>
    <n v="3.5"/>
    <n v="0"/>
    <n v="0"/>
    <n v="13.175000000000002"/>
    <n v="0.99652700000000005"/>
    <n v="8"/>
    <n v="0"/>
    <n v="1.7376572036751449E-2"/>
    <x v="106"/>
    <n v="17"/>
    <n v="3.6925215578096832E-2"/>
    <n v="83"/>
    <n v="0.18028193488129629"/>
    <n v="1"/>
    <n v="2.1720715045939311E-3"/>
  </r>
  <r>
    <n v="1227"/>
    <s v="แขวงทางหลวงนครสวรรค์ที่ 1"/>
    <n v="437"/>
    <n v="1073"/>
    <n v="100"/>
    <s v="หนองสังข์ - คลองชะแวด"/>
    <s v="40+680"/>
    <s v="0+000"/>
    <n v="40.68"/>
    <n v="2"/>
    <s v="R1"/>
    <d v="2015-10-05T00:00:00"/>
    <s v="A.C."/>
    <n v="26.975000000000001"/>
    <n v="9.8249999999999993"/>
    <n v="3"/>
    <n v="1.0249999999999999"/>
    <n v="2.4221699999999999"/>
    <n v="2.5"/>
    <n v="38.174999999999997"/>
    <n v="2.2749999999999999"/>
    <n v="0.3"/>
    <n v="7.4999999999999997E-2"/>
    <n v="4.3403400000000003"/>
    <n v="4.5"/>
    <n v="0"/>
    <n v="0"/>
    <n v="40.68"/>
    <n v="1.2635700000000001"/>
    <n v="15.2"/>
    <n v="18.96"/>
    <n v="1.7333895210001404E-2"/>
    <x v="106"/>
    <n v="9.35"/>
    <n v="6.5669335580839996E-3"/>
    <n v="0"/>
    <n v="0"/>
    <n v="0"/>
    <n v="0"/>
  </r>
  <r>
    <n v="228"/>
    <s v="แขวงทางหลวงเชียงรายที่ 2"/>
    <n v="537"/>
    <n v="1016"/>
    <n v="200"/>
    <s v="กิ่วพร้าว - เชียงแสน"/>
    <s v="30+434"/>
    <s v="10+000"/>
    <n v="20.434000000000001"/>
    <n v="4"/>
    <s v="R1"/>
    <d v="2015-07-15T00:00:00"/>
    <s v="A.C."/>
    <n v="14.34"/>
    <n v="4.92"/>
    <n v="0.89"/>
    <n v="0.28000000000000003"/>
    <n v="2.2145700000000001"/>
    <n v="2"/>
    <n v="19.02"/>
    <n v="1.32"/>
    <n v="0.1"/>
    <n v="0"/>
    <n v="5.5171400000000004"/>
    <n v="5.5"/>
    <n v="0"/>
    <n v="0"/>
    <n v="20.440000000000001"/>
    <n v="1.0775999999999999"/>
    <n v="12.36"/>
    <n v="0"/>
    <n v="1.7282120835022858E-2"/>
    <x v="106"/>
    <n v="0"/>
    <n v="0"/>
    <n v="0"/>
    <n v="0"/>
    <n v="0"/>
    <n v="0"/>
  </r>
  <r>
    <n v="1889"/>
    <s v="แขวงทางหลวงราชบุรี"/>
    <n v="335"/>
    <n v="3526"/>
    <n v="100"/>
    <s v="กำแพงใต้ - บ้านเลือก"/>
    <s v="4+218"/>
    <s v="0+000"/>
    <n v="4.218"/>
    <n v="2"/>
    <s v="R1"/>
    <d v="2015-03-30T00:00:00"/>
    <s v="A.C."/>
    <n v="1.62"/>
    <n v="1.77"/>
    <n v="0.56999999999999995"/>
    <n v="0.25"/>
    <n v="3.0341399999999998"/>
    <n v="3"/>
    <n v="4.22"/>
    <n v="0"/>
    <n v="0"/>
    <n v="0"/>
    <n v="2.0115799999999999"/>
    <n v="2"/>
    <n v="0"/>
    <n v="0"/>
    <n v="4.22"/>
    <n v="1.27301"/>
    <n v="2.36"/>
    <n v="0.38"/>
    <n v="1.7272912009754116E-2"/>
    <x v="106"/>
    <n v="21.364999999999998"/>
    <n v="0.14471990787780262"/>
    <n v="0"/>
    <n v="0"/>
    <n v="0"/>
    <n v="0"/>
  </r>
  <r>
    <n v="764"/>
    <s v="แขวงทางหลวงมหาสารคาม"/>
    <n v="622"/>
    <n v="219"/>
    <n v="101"/>
    <s v="บรบือ -  ยางสีสุราช"/>
    <s v="49+262"/>
    <s v="1+412"/>
    <n v="47.4"/>
    <n v="2"/>
    <s v="R1"/>
    <d v="2015-05-27T00:00:00"/>
    <s v="A.C."/>
    <n v="24.571999999999999"/>
    <n v="15.657999999999999"/>
    <n v="5.2709999999999999"/>
    <n v="1.899"/>
    <n v="2.7726600000000001"/>
    <n v="3"/>
    <n v="32.93"/>
    <n v="12.09"/>
    <n v="2.86"/>
    <n v="0.08"/>
    <n v="6.7703499999999996"/>
    <n v="7"/>
    <n v="0"/>
    <n v="0"/>
    <n v="47.86"/>
    <n v="1.2809200000000001"/>
    <n v="1"/>
    <n v="55"/>
    <n v="1.7179023508137433E-2"/>
    <x v="106"/>
    <n v="306"/>
    <n v="0.18444846292947559"/>
    <n v="0"/>
    <n v="0"/>
    <n v="3"/>
    <n v="1.8083182640144667E-3"/>
  </r>
  <r>
    <n v="1881"/>
    <s v="แขวงทางหลวงราชบุรี"/>
    <n v="335"/>
    <n v="3291"/>
    <n v="103"/>
    <s v="เขาช่องพราน - เบิกไพร"/>
    <s v="45+605"/>
    <s v="25+032"/>
    <n v="20.573"/>
    <n v="2"/>
    <s v="R1"/>
    <d v="2015-03-30T00:00:00"/>
    <s v="A.C."/>
    <n v="12.25"/>
    <n v="5.0999999999999996"/>
    <n v="2.13"/>
    <n v="1.0900000000000001"/>
    <n v="2.66073"/>
    <n v="2.5"/>
    <n v="19.850000000000001"/>
    <n v="0.56000000000000005"/>
    <n v="0.16"/>
    <n v="0"/>
    <n v="3.7154199999999999"/>
    <n v="3.5"/>
    <n v="0"/>
    <n v="0"/>
    <n v="20.57"/>
    <n v="1.33782"/>
    <n v="12.366"/>
    <n v="0"/>
    <n v="1.7173688121046308E-2"/>
    <x v="106"/>
    <n v="18.989999999999998"/>
    <n v="2.6372985396948843E-2"/>
    <n v="0"/>
    <n v="0"/>
    <n v="0"/>
    <n v="0"/>
  </r>
  <r>
    <n v="2196"/>
    <s v="แขวงทางหลวงพัทลุง"/>
    <n v="314"/>
    <n v="4122"/>
    <n v="101"/>
    <s v="ป่าบอนเหนือ - โหล๊ะจังกระ"/>
    <n v="0"/>
    <n v="32323"/>
    <n v="32.323"/>
    <n v="2"/>
    <s v="R1"/>
    <d v="2015-05-21T00:00:00"/>
    <s v="A.C."/>
    <n v="20.2"/>
    <n v="7.2750000000000004"/>
    <n v="3.15"/>
    <n v="1.65"/>
    <n v="2.5486900000000001"/>
    <n v="2.5"/>
    <n v="31.85"/>
    <n v="0.4"/>
    <n v="2.5000000000000001E-2"/>
    <n v="0"/>
    <n v="3.0063499999999999"/>
    <n v="3"/>
    <n v="0"/>
    <n v="0"/>
    <n v="32.274999999999999"/>
    <n v="1.4236200000000001"/>
    <n v="6.17"/>
    <n v="26.38"/>
    <n v="1.7112980142401917E-2"/>
    <x v="106"/>
    <n v="1.91"/>
    <n v="1.6883157061977096E-3"/>
    <n v="0"/>
    <n v="0"/>
    <n v="0"/>
    <n v="0"/>
  </r>
  <r>
    <n v="549"/>
    <s v="แขวงทางหลวงเพชรบูรณ์ที่ 1"/>
    <n v="551"/>
    <n v="234"/>
    <n v="100"/>
    <s v="ทางเลี่ยงเมืองเพชรบูรณ์"/>
    <n v="0"/>
    <n v="18367"/>
    <n v="18.367000000000001"/>
    <n v="4"/>
    <s v="L2"/>
    <d v="2015-07-07T00:00:00"/>
    <s v="A.C."/>
    <n v="13.99"/>
    <n v="2.2999999999999998"/>
    <n v="1.18"/>
    <n v="0.9"/>
    <n v="2.1603300000000001"/>
    <n v="2"/>
    <n v="17.170000000000002"/>
    <n v="1"/>
    <n v="0.18"/>
    <n v="0.03"/>
    <n v="5.9043900000000002"/>
    <n v="6"/>
    <n v="0"/>
    <n v="0"/>
    <n v="18.380000000000003"/>
    <n v="1.2371700000000001"/>
    <n v="11"/>
    <n v="0"/>
    <n v="1.7111434327092844E-2"/>
    <x v="106"/>
    <n v="0"/>
    <n v="0"/>
    <n v="19"/>
    <n v="2.955611383770582E-2"/>
    <n v="0"/>
    <n v="0"/>
  </r>
  <r>
    <n v="219"/>
    <s v="แขวงทางหลวงน่านที่ 1"/>
    <n v="536"/>
    <n v="1168"/>
    <n v="101"/>
    <s v="น่าน - น้ำใส"/>
    <n v="0"/>
    <n v="14000"/>
    <n v="14"/>
    <n v="2"/>
    <s v="L1"/>
    <d v="2015-08-04T00:00:00"/>
    <s v="A.C."/>
    <n v="10.17"/>
    <n v="2.82"/>
    <n v="0.71"/>
    <n v="0.3"/>
    <n v="2.2168700000000001"/>
    <n v="2"/>
    <n v="8.99"/>
    <n v="2.4500000000000002"/>
    <n v="0.89"/>
    <n v="1.69"/>
    <n v="12.369"/>
    <n v="12.5"/>
    <n v="0"/>
    <n v="0"/>
    <n v="14"/>
    <n v="1.0424899999999999"/>
    <n v="3"/>
    <n v="10.76"/>
    <n v="1.710204081632653E-2"/>
    <x v="106"/>
    <n v="0"/>
    <n v="0"/>
    <n v="0"/>
    <n v="0"/>
    <n v="0"/>
    <n v="0"/>
  </r>
  <r>
    <n v="1981"/>
    <s v="แขวงทางหลวงตรัง"/>
    <n v="322"/>
    <n v="4045"/>
    <n v="100"/>
    <s v="บางรัก - ควนขัน"/>
    <n v="5294"/>
    <n v="0"/>
    <n v="5.2939999999999996"/>
    <n v="4"/>
    <s v="R4"/>
    <d v="2015-05-07T00:00:00"/>
    <s v="A.C."/>
    <n v="2.8"/>
    <n v="1.2"/>
    <n v="0.77500000000000002"/>
    <n v="0.5"/>
    <n v="2.9853999999999998"/>
    <n v="3"/>
    <n v="5.0250000000000004"/>
    <n v="0.22500000000000001"/>
    <n v="2.5000000000000001E-2"/>
    <n v="0"/>
    <n v="3.8998200000000001"/>
    <n v="4"/>
    <n v="0"/>
    <n v="0"/>
    <n v="5.2750000000000004"/>
    <n v="1.19428"/>
    <n v="0"/>
    <n v="6.3"/>
    <n v="1.7000377786173023E-2"/>
    <x v="106"/>
    <n v="0"/>
    <n v="0"/>
    <n v="0"/>
    <n v="0"/>
    <n v="0"/>
    <n v="0"/>
  </r>
  <r>
    <n v="21"/>
    <s v="แขวงทางหลวงเชียงใหม่ที่ 1"/>
    <n v="521"/>
    <n v="1263"/>
    <n v="200"/>
    <s v="ปางอุ๋ง  -  แม่นาจร"/>
    <n v="35000"/>
    <n v="66725"/>
    <n v="31.725000000000001"/>
    <n v="2"/>
    <s v="R1"/>
    <d v="2015-08-13T00:00:00"/>
    <s v="A.C."/>
    <n v="5.9"/>
    <n v="12.5"/>
    <n v="7.9249999999999998"/>
    <n v="5.4"/>
    <n v="3.8351899999999999"/>
    <n v="4"/>
    <n v="13.475"/>
    <n v="0.85"/>
    <n v="1.925"/>
    <n v="15.475"/>
    <n v="21.949300000000001"/>
    <n v="22"/>
    <n v="0"/>
    <n v="0"/>
    <n v="31.725000000000001"/>
    <n v="2.0469400000000002"/>
    <n v="18.72"/>
    <n v="0"/>
    <n v="1.6859169199594726E-2"/>
    <x v="106"/>
    <n v="40.89"/>
    <n v="3.6825396825396817E-2"/>
    <n v="0"/>
    <n v="0"/>
    <n v="0.59"/>
    <n v="5.3135202071372275E-4"/>
  </r>
  <r>
    <n v="1710"/>
    <s v="แขวงทางหลวงชลบุรีที่ 1"/>
    <n v="422"/>
    <n v="315"/>
    <n v="200"/>
    <s v="หัวไผ่ - ชลบุรี"/>
    <s v="23+190"/>
    <n v="44551"/>
    <n v="20.437999999999999"/>
    <n v="4"/>
    <s v="L2"/>
    <d v="2015-08-13T00:00:00"/>
    <s v="A.C."/>
    <n v="1.23"/>
    <n v="4.1399999999999997"/>
    <n v="11.28"/>
    <n v="3.79"/>
    <n v="3.2909299999999999"/>
    <n v="3.5"/>
    <n v="18.71"/>
    <n v="1.41"/>
    <n v="0.2"/>
    <n v="0.13"/>
    <n v="7.9422600000000001"/>
    <n v="8"/>
    <n v="0"/>
    <n v="0"/>
    <n v="20.437999999999999"/>
    <n v="1.1484399999999999"/>
    <n v="10.02"/>
    <n v="3.7210000000000001"/>
    <n v="1.6608418492164455E-2"/>
    <x v="106"/>
    <n v="0"/>
    <n v="0"/>
    <n v="78.94"/>
    <n v="0.11035466148490906"/>
    <n v="0"/>
    <n v="0"/>
  </r>
  <r>
    <n v="1821"/>
    <s v="แขวงทางหลวงชลบุรีที่ 2"/>
    <n v="428"/>
    <n v="3702"/>
    <n v="500"/>
    <s v="ทางต่างระดับคีรี - พัทยา"/>
    <s v="87+519"/>
    <s v="86+369"/>
    <n v="1.1499999999999999"/>
    <n v="2"/>
    <s v="R1"/>
    <d v="2015-08-16T00:00:00"/>
    <s v="A.C."/>
    <n v="0.65"/>
    <n v="0.3"/>
    <n v="0.17499999999999999"/>
    <n v="0"/>
    <n v="2.3940000000000001"/>
    <n v="2.5"/>
    <n v="1.075"/>
    <n v="0.05"/>
    <n v="0"/>
    <n v="0"/>
    <n v="5.1970000000000001"/>
    <n v="5"/>
    <n v="0"/>
    <n v="0"/>
    <n v="1.125"/>
    <n v="1.163"/>
    <n v="0"/>
    <n v="1.32"/>
    <n v="1.6397515527950313E-2"/>
    <x v="106"/>
    <n v="0"/>
    <n v="0"/>
    <n v="0"/>
    <n v="0"/>
    <n v="0"/>
    <n v="0"/>
  </r>
  <r>
    <n v="1718"/>
    <s v="แขวงทางหลวงชลบุรีที่ 1"/>
    <n v="422"/>
    <n v="3246"/>
    <n v="100"/>
    <s v="พนัสนิคม - เกาะโพธิ์"/>
    <n v="0"/>
    <n v="12135"/>
    <n v="12.135"/>
    <n v="2"/>
    <s v="L1"/>
    <d v="2015-08-13T00:00:00"/>
    <s v="A.C."/>
    <n v="5.19"/>
    <n v="3.6"/>
    <n v="1.99"/>
    <n v="1.36"/>
    <n v="2.7050700000000001"/>
    <n v="2.5"/>
    <n v="11.69"/>
    <n v="0.43"/>
    <n v="0.03"/>
    <n v="0"/>
    <n v="5.2687099999999996"/>
    <n v="5.5"/>
    <n v="0"/>
    <n v="0"/>
    <n v="12.135"/>
    <n v="1.3705400000000001"/>
    <n v="6.78"/>
    <n v="0"/>
    <n v="1.5959999999999998E-2"/>
    <x v="106"/>
    <n v="0"/>
    <n v="0"/>
    <n v="0"/>
    <n v="0"/>
    <n v="0"/>
    <n v="0"/>
  </r>
  <r>
    <n v="921"/>
    <s v="แขวงทางหลวงศรีสะเกษที่ 1"/>
    <n v="638"/>
    <n v="2083"/>
    <n v="102"/>
    <s v="หัวช้าง - สะเดา"/>
    <n v="9782"/>
    <n v="33699"/>
    <n v="23.917000000000002"/>
    <n v="2"/>
    <s v="L1"/>
    <d v="2015-05-14T00:00:00"/>
    <s v="A.C."/>
    <n v="17.225000000000001"/>
    <n v="5.25"/>
    <n v="0.82499999999999996"/>
    <n v="0.52500000000000002"/>
    <n v="2.2932399999999999"/>
    <n v="2.5"/>
    <n v="23.574999999999999"/>
    <n v="0.25"/>
    <n v="0"/>
    <n v="0"/>
    <n v="4.1877300000000002"/>
    <n v="4"/>
    <n v="0"/>
    <n v="0"/>
    <n v="23.824999999999999"/>
    <n v="1.2423599999999999"/>
    <n v="13.31"/>
    <n v="0"/>
    <n v="1.5900000000000001E-2"/>
    <x v="106"/>
    <n v="0"/>
    <n v="0"/>
    <n v="30.71"/>
    <n v="3.6686000000000003E-2"/>
    <n v="0"/>
    <n v="0"/>
  </r>
  <r>
    <n v="1945"/>
    <s v="แขวงทางหลวงนครศรีธรรมราชที่ 1"/>
    <n v="321"/>
    <n v="408"/>
    <n v="101"/>
    <s v="หัวถนน - เฉลิมพระเกียรติ"/>
    <n v="284"/>
    <n v="28721"/>
    <n v="28.437000000000001"/>
    <n v="4"/>
    <s v="L2"/>
    <d v="2015-04-29T00:00:00"/>
    <s v="A.C."/>
    <n v="23.225000000000001"/>
    <n v="3.8"/>
    <n v="1.05"/>
    <n v="0.27500000000000002"/>
    <n v="1.99004"/>
    <n v="2"/>
    <n v="28.3"/>
    <n v="0.05"/>
    <n v="0"/>
    <n v="0"/>
    <n v="2.63429"/>
    <n v="2.5"/>
    <n v="0"/>
    <n v="0"/>
    <n v="28.35"/>
    <n v="1.0689"/>
    <n v="15.12"/>
    <n v="1.1000000000000001"/>
    <n v="1.5744075877001291E-2"/>
    <x v="106"/>
    <n v="0"/>
    <n v="0"/>
    <n v="0"/>
    <n v="0"/>
    <n v="0"/>
    <n v="0"/>
  </r>
  <r>
    <n v="639"/>
    <s v="แขวงทางหลวงหนองบัวลำภู"/>
    <n v="629"/>
    <n v="2352"/>
    <n v="100"/>
    <s v="นาด่าน - สุวรรณคูหา"/>
    <n v="0"/>
    <n v="19700"/>
    <n v="19.7"/>
    <n v="2"/>
    <s v="L1"/>
    <d v="2015-06-25T00:00:00"/>
    <s v="A.C."/>
    <n v="7.0250000000000004"/>
    <n v="7.25"/>
    <n v="4.5999999999999996"/>
    <n v="0.77500000000000002"/>
    <n v="3.0122"/>
    <n v="3"/>
    <n v="19.074999999999999"/>
    <n v="0.55000000000000004"/>
    <n v="2.5000000000000001E-2"/>
    <n v="0"/>
    <n v="3.1013099999999998"/>
    <n v="3"/>
    <n v="0"/>
    <n v="0"/>
    <n v="19.649999999999999"/>
    <n v="1.1236699999999999"/>
    <n v="7.0250000000000004"/>
    <n v="7.25"/>
    <n v="1.5445975344452502E-2"/>
    <x v="106"/>
    <n v="0.77500000000000002"/>
    <n v="1.1240029006526469E-3"/>
    <n v="19.074999999999999"/>
    <n v="2.766497461928934E-2"/>
    <n v="2.5000000000000001E-2"/>
    <n v="3.6258158085569257E-5"/>
  </r>
  <r>
    <n v="386"/>
    <s v="แขวงทางหลวงกำแพงเพชร"/>
    <n v="517"/>
    <n v="1109"/>
    <n v="100"/>
    <s v="วังเจ้า - โละโคะ"/>
    <s v="27+500"/>
    <s v="0+000"/>
    <n v="27.5"/>
    <n v="2"/>
    <s v="R1"/>
    <d v="2015-09-14T00:00:00"/>
    <s v="A.C."/>
    <n v="14.09"/>
    <n v="8"/>
    <n v="4.04"/>
    <n v="1.38"/>
    <n v="2.78349"/>
    <n v="3"/>
    <n v="26.47"/>
    <n v="0.93"/>
    <n v="0.1"/>
    <n v="0"/>
    <n v="3.3127800000000001"/>
    <n v="3.5"/>
    <n v="0"/>
    <n v="0"/>
    <n v="27.5"/>
    <n v="1.30837"/>
    <n v="0"/>
    <n v="29.58"/>
    <n v="1.5366233766233764E-2"/>
    <x v="106"/>
    <n v="65.97"/>
    <n v="6.8540259740259749E-2"/>
    <n v="0"/>
    <n v="0"/>
    <n v="0"/>
    <n v="0"/>
  </r>
  <r>
    <n v="84"/>
    <s v="แขวงทางหลวงแม่ฮ่องสอน"/>
    <n v="526"/>
    <n v="105"/>
    <n v="200"/>
    <s v="แม่เงา - แม่สะเรียง"/>
    <s v="230+497"/>
    <s v="190+318"/>
    <n v="40.179000000000002"/>
    <n v="2"/>
    <s v="R1"/>
    <d v="2015-08-29T00:00:00"/>
    <s v="A.C."/>
    <n v="6.88"/>
    <n v="12.64"/>
    <n v="11.34"/>
    <n v="9.32"/>
    <n v="4.0300200000000004"/>
    <n v="4"/>
    <n v="36.44"/>
    <n v="2.84"/>
    <n v="0.52"/>
    <n v="0.37"/>
    <n v="4.8903400000000001"/>
    <n v="5"/>
    <n v="0"/>
    <n v="0"/>
    <n v="40.18"/>
    <n v="1.2547299999999999"/>
    <n v="21.3"/>
    <n v="0"/>
    <n v="1.5146505103945555E-2"/>
    <x v="106"/>
    <n v="22.36"/>
    <n v="1.5900274841512799E-2"/>
    <n v="3.6"/>
    <n v="2.5599726936246007E-3"/>
    <n v="0"/>
    <n v="0"/>
  </r>
  <r>
    <n v="900"/>
    <s v="แขวงทางหลวงอำนาจเจริญ"/>
    <n v="634"/>
    <n v="2135"/>
    <n v="100"/>
    <s v="ดอนใหญ่ - หนามแท่ง"/>
    <n v="37491"/>
    <n v="0"/>
    <n v="37.491"/>
    <n v="2"/>
    <s v="R1"/>
    <d v="2015-05-21T00:00:00"/>
    <s v="A.C."/>
    <n v="25.8"/>
    <n v="6.7"/>
    <n v="2.4"/>
    <n v="2.4750000000000001"/>
    <n v="3.835"/>
    <n v="4"/>
    <n v="36.35"/>
    <n v="0.82499999999999996"/>
    <n v="0.17499999999999999"/>
    <n v="2.5000000000000001E-2"/>
    <n v="5.3650000000000002"/>
    <n v="5.5"/>
    <n v="0"/>
    <n v="0"/>
    <n v="37.375"/>
    <n v="1.4490000000000001"/>
    <n v="0"/>
    <n v="39.479999999999997"/>
    <n v="1.5049999999999999E-2"/>
    <x v="106"/>
    <n v="0.23"/>
    <n v="1.8000000000000001E-4"/>
    <n v="692.51"/>
    <n v="0.52802099999999996"/>
    <n v="0.51"/>
    <n v="3.8999999999999999E-4"/>
  </r>
  <r>
    <n v="2132"/>
    <s v="แขวงทางหลวงภูเก็ต"/>
    <n v="324"/>
    <n v="4147"/>
    <n v="100"/>
    <s v="ลำแก่น - ทับละมุ"/>
    <n v="0"/>
    <n v="4570"/>
    <n v="4.57"/>
    <n v="2"/>
    <s v="L1"/>
    <d v="2015-05-12T00:00:00"/>
    <s v="A.C."/>
    <n v="1.9750000000000001"/>
    <n v="1.5249999999999999"/>
    <n v="0.875"/>
    <n v="0.125"/>
    <n v="2.83372"/>
    <n v="3"/>
    <n v="4.4749999999999996"/>
    <n v="0"/>
    <n v="0"/>
    <n v="2.5000000000000001E-2"/>
    <n v="1.7545200000000001"/>
    <n v="2"/>
    <n v="0"/>
    <n v="0"/>
    <n v="4.5"/>
    <n v="1.20129"/>
    <n v="2.4"/>
    <n v="0"/>
    <n v="1.5004688965301655E-2"/>
    <x v="106"/>
    <n v="17.95"/>
    <n v="0.11222256955298528"/>
    <n v="0"/>
    <n v="0"/>
    <n v="0"/>
    <n v="0"/>
  </r>
  <r>
    <n v="1535"/>
    <s v="แขวงทางหลวงนครนายก"/>
    <n v="414"/>
    <n v="3222"/>
    <n v="200"/>
    <s v="เขาเพิ่ม - บ้านนา"/>
    <n v="26219"/>
    <n v="38947"/>
    <n v="12.613"/>
    <n v="2"/>
    <s v="R1"/>
    <d v="2015-09-19T00:00:00"/>
    <s v="A.C."/>
    <n v="9.4250000000000007"/>
    <n v="2.1749999999999998"/>
    <n v="0.77500000000000002"/>
    <n v="0.375"/>
    <n v="2.5934200000000001"/>
    <n v="2.5"/>
    <n v="12.175000000000001"/>
    <n v="0.5"/>
    <n v="7.4999999999999997E-2"/>
    <n v="0"/>
    <n v="6.15"/>
    <n v="6"/>
    <n v="0"/>
    <n v="0"/>
    <n v="12.613"/>
    <n v="1.1949399999999999"/>
    <n v="5"/>
    <n v="3.16"/>
    <n v="1.490525648140807E-2"/>
    <x v="106"/>
    <n v="42"/>
    <n v="9.5139934987711089E-2"/>
    <n v="323.17"/>
    <n v="0.73205649499949033"/>
    <n v="89"/>
    <n v="0.20160605271205448"/>
  </r>
  <r>
    <n v="260"/>
    <s v="แขวงทางหลวงน่านที่ 2"/>
    <n v="539"/>
    <n v="1148"/>
    <n v="102"/>
    <s v="สะเกิน - สบทุ"/>
    <s v="65+177"/>
    <s v="98+495"/>
    <n v="33.317999999999998"/>
    <n v="2"/>
    <s v="F1"/>
    <d v="2015-07-27T00:00:00"/>
    <s v="A.C."/>
    <n v="24.05"/>
    <n v="6.19"/>
    <n v="2.0099999999999998"/>
    <n v="1.06"/>
    <n v="2.2561499999999999"/>
    <n v="2.5"/>
    <n v="31.83"/>
    <n v="1.1100000000000001"/>
    <n v="0.25"/>
    <n v="0.13"/>
    <n v="5.3023800000000003"/>
    <n v="5.5"/>
    <n v="0.13"/>
    <n v="0.2"/>
    <n v="33"/>
    <n v="1.4937499999999999"/>
    <n v="13"/>
    <n v="8.42"/>
    <n v="1.4758217351410219E-2"/>
    <x v="106"/>
    <n v="2"/>
    <n v="1.7150746486240813E-3"/>
    <n v="56"/>
    <n v="4.8022090161474275E-2"/>
    <n v="0"/>
    <n v="0"/>
  </r>
  <r>
    <n v="669"/>
    <s v="แขวงทางหลวงอุดรธานีที่ 1"/>
    <n v="623"/>
    <n v="2316"/>
    <n v="102"/>
    <s v="ท่ายม - บ้านเหล่า"/>
    <n v="58405"/>
    <n v="18025"/>
    <n v="40.380000000000003"/>
    <n v="2"/>
    <s v="R1"/>
    <d v="2015-05-11T00:00:00"/>
    <s v="A.C."/>
    <n v="23.12"/>
    <n v="12.67"/>
    <n v="3.79"/>
    <n v="0.81"/>
    <n v="2.54644"/>
    <n v="2.5"/>
    <n v="40.159999999999997"/>
    <n v="0.23"/>
    <n v="0"/>
    <n v="0"/>
    <n v="3.0459399999999999"/>
    <n v="3"/>
    <n v="0"/>
    <n v="0"/>
    <n v="40.380000000000003"/>
    <n v="1.2658199999999999"/>
    <n v="0"/>
    <n v="41.685000000000002"/>
    <n v="1.4749999999999999E-2"/>
    <x v="106"/>
    <n v="0"/>
    <n v="0"/>
    <n v="44.555"/>
    <n v="3.1530000000000002E-2"/>
    <n v="0"/>
    <n v="0"/>
  </r>
  <r>
    <n v="1182"/>
    <s v="แขวงทางหลวงสิงห์บุรี"/>
    <n v="433"/>
    <n v="3028"/>
    <n v="100"/>
    <s v="บางงา - บ้านหมี่"/>
    <s v="0+000"/>
    <s v="24+806"/>
    <n v="24.806000000000001"/>
    <n v="2"/>
    <s v="L1"/>
    <d v="2015-10-05T00:00:00"/>
    <s v="A.C."/>
    <n v="16.75"/>
    <n v="4.8499999999999996"/>
    <n v="2.25"/>
    <n v="1.2250000000000001"/>
    <n v="2.4453499999999999"/>
    <n v="2.5"/>
    <n v="24.475000000000001"/>
    <n v="0.55000000000000004"/>
    <n v="0.05"/>
    <n v="0"/>
    <n v="3.3302100000000001"/>
    <n v="3.5"/>
    <n v="0"/>
    <n v="0"/>
    <n v="24.806000000000001"/>
    <n v="1.3492999999999999"/>
    <n v="2.1059999999999999"/>
    <n v="21.36"/>
    <n v="1.4726851798528007E-2"/>
    <x v="106"/>
    <n v="0.23"/>
    <n v="2.6491286670275624E-4"/>
    <n v="0"/>
    <n v="0"/>
    <n v="1.47"/>
    <n v="0"/>
  </r>
  <r>
    <n v="1753"/>
    <s v="แขวงทางหลวงตราด"/>
    <n v="425"/>
    <n v="3156"/>
    <n v="100"/>
    <s v="แหลมงอบ - แสนตุ้ง"/>
    <n v="0"/>
    <n v="35257"/>
    <n v="35.256999999999998"/>
    <n v="2"/>
    <s v="R1"/>
    <d v="2015-08-20T00:00:00"/>
    <s v="A.C."/>
    <n v="24.73"/>
    <n v="8"/>
    <n v="1.875"/>
    <n v="0.72499999999999998"/>
    <n v="2.5904199999999999"/>
    <n v="2.5"/>
    <n v="30.2"/>
    <n v="4"/>
    <n v="1"/>
    <n v="0.125"/>
    <n v="7.7058999999999997"/>
    <n v="7.5"/>
    <n v="0"/>
    <n v="0"/>
    <n v="35.325000000000003"/>
    <n v="1.1963299999999999"/>
    <n v="0"/>
    <n v="36.04"/>
    <n v="1.4602976511250048E-2"/>
    <x v="106"/>
    <n v="0"/>
    <n v="0"/>
    <n v="0"/>
    <n v="0"/>
    <n v="0"/>
    <n v="0"/>
  </r>
  <r>
    <n v="75"/>
    <s v="แขวงทางหลวงลำพูน"/>
    <n v="524"/>
    <n v="1087"/>
    <n v="100"/>
    <s v="ลี้ - ก้อทุ่ง"/>
    <s v="0+000"/>
    <s v="37+100"/>
    <n v="37.1"/>
    <n v="2"/>
    <s v="L1"/>
    <d v="2015-08-10T00:00:00"/>
    <s v="A.C."/>
    <n v="8.7249999999999996"/>
    <n v="12.9"/>
    <n v="10.45"/>
    <n v="5.0750000000000002"/>
    <n v="3.5487099999999998"/>
    <n v="3.5"/>
    <n v="35.1"/>
    <n v="1.7250000000000001"/>
    <n v="0.25"/>
    <n v="7.4999999999999997E-2"/>
    <n v="4.4442500000000003"/>
    <n v="4.5"/>
    <n v="0"/>
    <n v="0"/>
    <n v="37.150000000000006"/>
    <n v="1.4936"/>
    <n v="18.95"/>
    <n v="0"/>
    <n v="1.4593762033115132E-2"/>
    <x v="106"/>
    <n v="63.125"/>
    <n v="4.8613785136696189E-2"/>
    <n v="0"/>
    <n v="0"/>
    <n v="0"/>
    <n v="0"/>
  </r>
  <r>
    <n v="1667"/>
    <s v="แขวงทางหลวงธนบุรี"/>
    <n v="419"/>
    <n v="9"/>
    <n v="101"/>
    <s v="พระประแดง - บางแค"/>
    <s v="19+972"/>
    <s v="0+000"/>
    <n v="19.972000000000001"/>
    <n v="8"/>
    <s v="R2"/>
    <d v="2015-08-27T00:00:00"/>
    <s v="A.C."/>
    <n v="5.125"/>
    <n v="11.3"/>
    <n v="1.95"/>
    <n v="1.675"/>
    <n v="3.1623100000000002"/>
    <n v="3"/>
    <n v="19.225000000000001"/>
    <n v="0.7"/>
    <n v="0.1"/>
    <n v="2.5000000000000001E-2"/>
    <n v="5.2274900000000004"/>
    <n v="5"/>
    <n v="0"/>
    <n v="0"/>
    <n v="20.05"/>
    <n v="1.2269099999999999"/>
    <n v="2"/>
    <n v="16.27"/>
    <n v="1.4498869846356328E-2"/>
    <x v="106"/>
    <n v="0"/>
    <n v="0"/>
    <n v="18.23"/>
    <n v="2.6079368258418931E-2"/>
    <n v="0"/>
    <n v="0"/>
  </r>
  <r>
    <n v="800"/>
    <s v="แขวงทางหลวงร้อยเอ็ด"/>
    <n v="635"/>
    <n v="2044"/>
    <n v="101"/>
    <s v="ร้อยเอ็ด - หนองดง"/>
    <n v="184"/>
    <n v="31800"/>
    <n v="31.616"/>
    <n v="4"/>
    <s v="R2"/>
    <d v="2015-05-26T00:00:00"/>
    <s v="A.C."/>
    <n v="19.899999999999999"/>
    <n v="7.85"/>
    <n v="2.8"/>
    <n v="1.1000000000000001"/>
    <n v="2.8002799999999999"/>
    <n v="3"/>
    <n v="25.75"/>
    <n v="3.75"/>
    <n v="1.35"/>
    <n v="0.8"/>
    <n v="5.3555000000000001"/>
    <n v="5.5"/>
    <n v="0"/>
    <n v="0"/>
    <n v="31.616"/>
    <n v="1.1419999999999999"/>
    <n v="16"/>
    <n v="0"/>
    <n v="1.447E-2"/>
    <x v="106"/>
    <n v="0"/>
    <n v="0"/>
    <n v="27"/>
    <n v="2.4417999999999999E-2"/>
    <n v="0"/>
    <n v="0"/>
  </r>
  <r>
    <n v="1740"/>
    <s v="แขวงทางหลวงจันทบุรี"/>
    <n v="423"/>
    <n v="3322"/>
    <n v="101"/>
    <s v="เนินสูง - เขาสุกิม"/>
    <n v="15000"/>
    <n v="0"/>
    <n v="15"/>
    <n v="2"/>
    <s v="R1"/>
    <d v="2015-08-19T00:00:00"/>
    <s v="A.C."/>
    <n v="10.85"/>
    <n v="3.25"/>
    <n v="0.47499999999999998"/>
    <n v="0.42499999999999999"/>
    <n v="2.29677"/>
    <n v="2.5"/>
    <n v="14.725"/>
    <n v="0.22500000000000001"/>
    <n v="2.5000000000000001E-2"/>
    <n v="2.5000000000000001E-2"/>
    <n v="3.6086499999999999"/>
    <n v="3.5"/>
    <n v="0"/>
    <n v="0"/>
    <n v="15"/>
    <n v="1.19702"/>
    <n v="4.0599999999999996"/>
    <n v="6.81"/>
    <n v="1.422E-2"/>
    <x v="106"/>
    <n v="0"/>
    <n v="0"/>
    <n v="0"/>
    <n v="0"/>
    <n v="0"/>
    <n v="0"/>
  </r>
  <r>
    <n v="1023"/>
    <s v="แขวงทางหลวงบุรีรัมย์"/>
    <n v="617"/>
    <n v="2074"/>
    <n v="101"/>
    <s v="บุรีรัมย์ - คูเมือง"/>
    <n v="35580"/>
    <n v="282"/>
    <n v="35.298000000000002"/>
    <n v="4"/>
    <s v="R1"/>
    <d v="2015-05-04T00:00:00"/>
    <s v="A.C."/>
    <n v="19.88"/>
    <n v="10.63"/>
    <n v="3.6"/>
    <n v="1.05"/>
    <n v="2.8667899999999999"/>
    <n v="3"/>
    <n v="30.05"/>
    <n v="3.1"/>
    <n v="1.1000000000000001"/>
    <n v="0.9"/>
    <n v="6.9776499999999997"/>
    <n v="7"/>
    <n v="0"/>
    <n v="0"/>
    <n v="35.159999999999997"/>
    <n v="1.13157"/>
    <n v="9.9600000000000009"/>
    <n v="15.21"/>
    <n v="1.4217721764891576E-2"/>
    <x v="106"/>
    <n v="27.22"/>
    <n v="2.2032814485644675E-2"/>
    <n v="5.85"/>
    <n v="4.7351934144386973E-3"/>
    <n v="0"/>
    <n v="0"/>
  </r>
  <r>
    <n v="32"/>
    <s v="แขวงทางหลวงเชียงใหม่ที่ 2"/>
    <n v="522"/>
    <n v="1014"/>
    <n v="100"/>
    <s v="ดอยสะเก็ด - สันป่าค่า"/>
    <n v="16208"/>
    <n v="0"/>
    <n v="16.207999999999998"/>
    <n v="2"/>
    <s v="R1"/>
    <d v="2015-08-21T00:00:00"/>
    <s v="A.C."/>
    <n v="11.75"/>
    <n v="3.05"/>
    <n v="1.2"/>
    <n v="0.32500000000000001"/>
    <n v="2.2218399999999998"/>
    <n v="2"/>
    <n v="16.3"/>
    <n v="2.5000000000000001E-2"/>
    <n v="0"/>
    <n v="0"/>
    <n v="2.3443100000000001"/>
    <n v="2.5"/>
    <n v="0"/>
    <n v="0"/>
    <n v="16.324999999999999"/>
    <n v="0.98237099999999999"/>
    <n v="4.3"/>
    <n v="7.43"/>
    <n v="1.4128825271470883E-2"/>
    <x v="106"/>
    <n v="3.08"/>
    <n v="5.4294175715695961E-3"/>
    <n v="81"/>
    <n v="0.14278663094062899"/>
    <n v="0"/>
    <n v="0"/>
  </r>
  <r>
    <n v="1024"/>
    <s v="แขวงทางหลวงบุรีรัมย์"/>
    <n v="617"/>
    <n v="2074"/>
    <n v="102"/>
    <s v="คูเมือง - ลำน้ำมูล"/>
    <n v="35580"/>
    <n v="52000"/>
    <n v="16.420000000000002"/>
    <n v="4"/>
    <s v="L1"/>
    <d v="2015-05-04T00:00:00"/>
    <s v="A.C."/>
    <n v="10.106249999999999"/>
    <n v="4.2787499999999996"/>
    <n v="1.9950000000000001"/>
    <n v="0.78749999999999998"/>
    <n v="2.5099999999999998"/>
    <n v="2.5"/>
    <n v="14.62125"/>
    <n v="2.0212500000000002"/>
    <n v="0.44624999999999998"/>
    <n v="7.8750000000000001E-2"/>
    <n v="7.1246700000000001"/>
    <n v="7"/>
    <n v="0"/>
    <n v="0"/>
    <n v="17.1675"/>
    <n v="1.29464"/>
    <n v="0"/>
    <n v="15.61"/>
    <n v="1.3580998781973202E-2"/>
    <x v="106"/>
    <n v="96.44"/>
    <n v="0.16780929180441967"/>
    <n v="30.66"/>
    <n v="5.334957369062119E-2"/>
    <n v="0"/>
    <n v="0"/>
  </r>
  <r>
    <n v="1711"/>
    <s v="แขวงทางหลวงชลบุรีที่ 1"/>
    <n v="422"/>
    <n v="315"/>
    <n v="200"/>
    <s v="หัวไผ่ - ชลบุรี"/>
    <n v="44551"/>
    <s v="23+190"/>
    <n v="20.437999999999999"/>
    <n v="4"/>
    <s v="R2"/>
    <d v="2015-08-13T00:00:00"/>
    <s v="A.C."/>
    <n v="10.7"/>
    <n v="5.46"/>
    <n v="3.01"/>
    <n v="1.27"/>
    <n v="3.7509999999999999"/>
    <n v="4"/>
    <n v="18.95"/>
    <n v="1.1000000000000001"/>
    <n v="0.38"/>
    <n v="0.03"/>
    <n v="6.2069999999999999"/>
    <n v="6"/>
    <n v="0"/>
    <n v="0"/>
    <n v="20.437999999999999"/>
    <n v="1.1639999999999999"/>
    <n v="8.14"/>
    <n v="2.8460000000000001"/>
    <n v="1.3368655026351477E-2"/>
    <x v="106"/>
    <n v="0"/>
    <n v="0"/>
    <n v="80.265000000000001"/>
    <n v="0.11220695343407937"/>
    <n v="0"/>
    <n v="0"/>
  </r>
  <r>
    <n v="1419"/>
    <s v="แขวงทางหลวงอุทัยธานี"/>
    <n v="447"/>
    <n v="3265"/>
    <n v="100"/>
    <s v="แยกโคกหม้อ - ท่าซุง"/>
    <n v="11812"/>
    <n v="0"/>
    <n v="11.811999999999999"/>
    <n v="2"/>
    <s v="R1"/>
    <d v="2015-07-31T00:00:00"/>
    <s v="A.C."/>
    <n v="8.6999999999999993"/>
    <n v="1.9"/>
    <n v="0.72499999999999998"/>
    <n v="0.47499999999999998"/>
    <n v="2.6614200000000001"/>
    <n v="2.5"/>
    <n v="11.5"/>
    <n v="0.3"/>
    <n v="0"/>
    <n v="0"/>
    <n v="2.9265599999999998"/>
    <n v="3"/>
    <n v="0"/>
    <n v="0"/>
    <n v="11.799999999999999"/>
    <n v="1.27254"/>
    <n v="0"/>
    <n v="11"/>
    <n v="1.3303662135358716E-2"/>
    <x v="106"/>
    <n v="0"/>
    <n v="0"/>
    <n v="0"/>
    <n v="0"/>
    <n v="0"/>
    <n v="0"/>
  </r>
  <r>
    <n v="94"/>
    <s v="แขวงทางหลวงแม่ฮ่องสอน"/>
    <n v="526"/>
    <n v="1095"/>
    <n v="203"/>
    <s v="ท่าไคร้ - แม่ฮ่องสอน"/>
    <s v="148+873"/>
    <s v="204+023"/>
    <n v="55.15"/>
    <n v="2"/>
    <s v="L1"/>
    <d v="2015-08-27T00:00:00"/>
    <s v="A.C."/>
    <n v="12.03"/>
    <n v="17.11"/>
    <n v="15.09"/>
    <n v="10.92"/>
    <n v="3.8606500000000001"/>
    <n v="4"/>
    <n v="49.49"/>
    <n v="3.97"/>
    <n v="1.1100000000000001"/>
    <n v="0.57999999999999996"/>
    <n v="4.5766799999999996"/>
    <n v="4.5"/>
    <n v="0"/>
    <n v="0"/>
    <n v="55.15"/>
    <n v="1.41753"/>
    <n v="25.62"/>
    <n v="0"/>
    <n v="1.327289211242067E-2"/>
    <x v="106"/>
    <n v="16.32"/>
    <n v="8.4548633596684374E-3"/>
    <n v="0"/>
    <n v="0"/>
    <n v="0"/>
    <n v="0"/>
  </r>
  <r>
    <n v="840"/>
    <s v="แขวงทางหลวงสุรินทร์"/>
    <n v="615"/>
    <n v="24"/>
    <n v="403"/>
    <s v="สังขะ - ห้วยสำราญ"/>
    <n v="262609"/>
    <n v="240719"/>
    <n v="21.89"/>
    <n v="4"/>
    <s v="R1"/>
    <d v="2015-05-10T00:00:00"/>
    <s v="A.C."/>
    <n v="15.225"/>
    <n v="2.9"/>
    <n v="2.4249999999999998"/>
    <n v="1.2749999999999999"/>
    <n v="2.2186900000000001"/>
    <n v="2"/>
    <n v="20.024999999999999"/>
    <n v="1.4"/>
    <n v="0.27500000000000002"/>
    <n v="0.125"/>
    <n v="4.5000200000000001"/>
    <n v="4.5"/>
    <n v="0"/>
    <n v="0"/>
    <n v="21.824999999999999"/>
    <n v="1.13839"/>
    <n v="9.74"/>
    <n v="0.82"/>
    <n v="1.325E-2"/>
    <x v="106"/>
    <n v="34.69"/>
    <n v="4.5280000000000001E-2"/>
    <n v="0"/>
    <n v="0"/>
    <n v="0"/>
    <n v="0"/>
  </r>
  <r>
    <n v="1957"/>
    <s v="แขวงทางหลวงนครศรีธรรมราชที่ 1"/>
    <n v="321"/>
    <n v="4103"/>
    <n v="101"/>
    <s v="ปากพูน - เบญจม"/>
    <n v="13699"/>
    <n v="0"/>
    <n v="13.699"/>
    <n v="4"/>
    <s v="R1"/>
    <d v="2015-04-30T00:00:00"/>
    <s v="A.C."/>
    <n v="8.6750000000000007"/>
    <n v="3.375"/>
    <n v="1.4"/>
    <n v="0.15"/>
    <n v="2.3628100000000001"/>
    <n v="2.5"/>
    <n v="13.2"/>
    <n v="0.35"/>
    <n v="0.05"/>
    <n v="0"/>
    <n v="3.3313799999999998"/>
    <n v="3.5"/>
    <n v="0"/>
    <n v="0"/>
    <n v="13.6"/>
    <n v="1.0727199999999999"/>
    <n v="6.35"/>
    <n v="0"/>
    <n v="1.3243928128226253E-2"/>
    <x v="106"/>
    <n v="23.98"/>
    <n v="5.001407819131741E-2"/>
    <n v="2.37"/>
    <n v="4.9430093958891686E-3"/>
    <n v="0"/>
    <n v="0"/>
  </r>
  <r>
    <n v="1888"/>
    <s v="แขวงทางหลวงราชบุรี"/>
    <n v="335"/>
    <n v="3526"/>
    <n v="100"/>
    <s v="กำแพงใต้ - บ้านเลือก"/>
    <n v="0"/>
    <n v="3245"/>
    <n v="3.2450000000000001"/>
    <n v="2"/>
    <s v="L1"/>
    <d v="2015-03-30T00:00:00"/>
    <s v="A.C."/>
    <n v="3.01"/>
    <n v="0.21"/>
    <n v="0.02"/>
    <n v="0"/>
    <n v="1.81647"/>
    <n v="2"/>
    <n v="3.24"/>
    <n v="0"/>
    <n v="0"/>
    <n v="0"/>
    <n v="0.90361499999999995"/>
    <n v="1"/>
    <n v="0"/>
    <n v="0"/>
    <n v="3.25"/>
    <n v="1.0708800000000001"/>
    <n v="0.35"/>
    <n v="2.2999999999999998"/>
    <n v="1.3207131851199648E-2"/>
    <x v="106"/>
    <n v="0"/>
    <n v="0"/>
    <n v="0"/>
    <n v="0"/>
    <n v="0"/>
    <n v="0"/>
  </r>
  <r>
    <n v="1435"/>
    <s v="แขวงทางหลวงอ่างทอง"/>
    <n v="448"/>
    <n v="32"/>
    <n v="201"/>
    <s v="นครหลวง - อ่างทอง"/>
    <n v="49087"/>
    <n v="26000"/>
    <n v="23.087"/>
    <n v="8"/>
    <s v="R4"/>
    <d v="2015-06-27T00:00:00"/>
    <s v="A.C."/>
    <n v="19.375"/>
    <n v="3.15"/>
    <n v="0.92500000000000004"/>
    <n v="0.27500000000000002"/>
    <n v="2.0150000000000001"/>
    <n v="2"/>
    <n v="21.024999999999999"/>
    <n v="1.7749999999999999"/>
    <n v="0.92500000000000004"/>
    <n v="0"/>
    <n v="5.1829999999999998"/>
    <n v="5"/>
    <n v="0"/>
    <n v="0"/>
    <n v="23.724999999999998"/>
    <n v="1.169"/>
    <n v="0"/>
    <n v="21.32"/>
    <n v="1.3192334585326312E-2"/>
    <x v="106"/>
    <n v="36.32"/>
    <n v="4.4947991757884775E-2"/>
    <n v="15.6"/>
    <n v="1.9305855490721432E-2"/>
    <n v="0"/>
    <n v="0"/>
  </r>
  <r>
    <n v="1330"/>
    <s v="แขวงทางหลวงกาญจนบุรี"/>
    <n v="444"/>
    <n v="3229"/>
    <n v="102"/>
    <s v="ลำทราย - ด่านแม่ธะมี่(เขตแดนไทย/พม่า)"/>
    <n v="18572"/>
    <n v="52388"/>
    <n v="33.816000000000003"/>
    <n v="2"/>
    <s v="L1"/>
    <d v="2015-07-28T00:00:00"/>
    <s v="A.C."/>
    <n v="23.65"/>
    <n v="6.2249999999999996"/>
    <n v="1.7749999999999999"/>
    <n v="2.2250000000000001"/>
    <n v="2.89838"/>
    <n v="3"/>
    <n v="33.4"/>
    <n v="0.375"/>
    <n v="0.1"/>
    <n v="0"/>
    <n v="2.2758099999999999"/>
    <n v="2.5"/>
    <n v="0"/>
    <n v="0"/>
    <n v="33.875"/>
    <n v="1.24821"/>
    <n v="13"/>
    <n v="5"/>
    <n v="1.3096083003818985E-2"/>
    <x v="106"/>
    <n v="0"/>
    <n v="0"/>
    <n v="0"/>
    <n v="0"/>
    <n v="0"/>
    <n v="0"/>
  </r>
  <r>
    <n v="1495"/>
    <s v="แขวงทางหลวงกรุงเทพ"/>
    <n v="411"/>
    <n v="3902"/>
    <n v="602"/>
    <s v="คู้บอน - ประเวศ"/>
    <s v="46+720"/>
    <s v="43+102"/>
    <n v="3.6179999999999999"/>
    <n v="2"/>
    <s v="R1"/>
    <d v="2015-09-01T00:00:00"/>
    <s v="A.C."/>
    <n v="1.325"/>
    <n v="1.05"/>
    <n v="1.0249999999999999"/>
    <n v="0.45"/>
    <n v="3.2829999999999999"/>
    <n v="3.5"/>
    <n v="3.7"/>
    <n v="0.15"/>
    <n v="0"/>
    <n v="0"/>
    <n v="5.22"/>
    <n v="5"/>
    <n v="0"/>
    <n v="0"/>
    <n v="3.85"/>
    <n v="1.1359999999999999"/>
    <n v="0"/>
    <n v="3.3"/>
    <n v="1.303008765695333E-2"/>
    <x v="106"/>
    <n v="125"/>
    <n v="0.98712785279949455"/>
    <n v="167.58"/>
    <n v="1.3233830845771146"/>
    <n v="6"/>
    <n v="4.7382136934375742E-2"/>
  </r>
  <r>
    <n v="1671"/>
    <s v="แขวงทางหลวงธนบุรี"/>
    <n v="419"/>
    <n v="338"/>
    <n v="101"/>
    <s v="อรุณอมรินทร์ - พุทธมณฑลสาย 4"/>
    <n v="0"/>
    <n v="15111"/>
    <n v="15.111000000000001"/>
    <n v="10"/>
    <s v="L2"/>
    <d v="2015-08-27T00:00:00"/>
    <s v="A.C."/>
    <n v="4.5250000000000004"/>
    <n v="6.6"/>
    <n v="3.1"/>
    <n v="0.875"/>
    <n v="3.02"/>
    <n v="3"/>
    <n v="14.574999999999999"/>
    <n v="0.47499999999999998"/>
    <n v="0.05"/>
    <n v="0"/>
    <n v="4.7880000000000003"/>
    <n v="5"/>
    <n v="0"/>
    <n v="0"/>
    <n v="15.1"/>
    <n v="1.1890000000000001"/>
    <n v="0"/>
    <n v="13.7"/>
    <n v="1.2951775905915274E-2"/>
    <x v="106"/>
    <n v="0"/>
    <n v="0"/>
    <n v="3.41"/>
    <n v="6.4475263998789905E-3"/>
    <n v="0"/>
    <n v="0"/>
  </r>
  <r>
    <n v="1688"/>
    <s v="แขวงทางหลวงฉะเชิงเทรา"/>
    <n v="421"/>
    <n v="3076"/>
    <n v="302"/>
    <s v="พนมสารคาม - อ่างฤาไน"/>
    <s v="59+382"/>
    <s v="154+143"/>
    <n v="94.760999999999996"/>
    <n v="2"/>
    <s v="L1"/>
    <d v="2015-08-10T00:00:00"/>
    <s v="A.C."/>
    <n v="49.774999999999999"/>
    <n v="24.4"/>
    <n v="12.6"/>
    <n v="7.75"/>
    <n v="2.6779999999999999"/>
    <n v="2.5"/>
    <n v="74.825000000000003"/>
    <n v="8.5749999999999993"/>
    <n v="2.8250000000000002"/>
    <n v="8.3000000000000007"/>
    <n v="25.817"/>
    <n v="26"/>
    <n v="0"/>
    <n v="0"/>
    <n v="94.760999999999996"/>
    <n v="1.0820000000000001"/>
    <n v="41.84"/>
    <n v="1.1100000000000001"/>
    <n v="1.2782534104596979E-2"/>
    <x v="106"/>
    <n v="0"/>
    <n v="0"/>
    <n v="389"/>
    <n v="0.11728755199170242"/>
    <n v="0"/>
    <n v="0"/>
  </r>
  <r>
    <n v="1886"/>
    <s v="แขวงทางหลวงราชบุรี"/>
    <n v="335"/>
    <n v="3525"/>
    <n v="100"/>
    <s v="สามแยกกระจับ - หนองโพ"/>
    <n v="6519"/>
    <n v="0"/>
    <n v="6.5190000000000001"/>
    <n v="4"/>
    <s v="R2"/>
    <d v="2015-03-30T00:00:00"/>
    <s v="A.C."/>
    <n v="6.44"/>
    <n v="0.08"/>
    <n v="0"/>
    <n v="0"/>
    <n v="1.6248800000000001"/>
    <n v="1.5"/>
    <n v="6.47"/>
    <n v="0.05"/>
    <n v="0"/>
    <n v="0"/>
    <n v="2.9319999999999999"/>
    <n v="3"/>
    <n v="0"/>
    <n v="0"/>
    <n v="6.52"/>
    <n v="1.1156299999999999"/>
    <n v="2.36"/>
    <n v="1.06"/>
    <n v="1.2666272215282798E-2"/>
    <x v="106"/>
    <n v="3.87"/>
    <n v="1.6961409506278353E-2"/>
    <n v="0"/>
    <n v="0"/>
    <n v="1.0900000000000001"/>
    <n v="4.7772445379440321E-3"/>
  </r>
  <r>
    <n v="127"/>
    <s v="แขวงทางหลวงลำปางที่ 2"/>
    <n v="528"/>
    <n v="120"/>
    <n v="200"/>
    <s v="ปากบอก - แม่เฮียว"/>
    <s v="20+200"/>
    <s v="55+950"/>
    <n v="35.75"/>
    <n v="2"/>
    <s v="L1"/>
    <d v="2015-08-08T00:00:00"/>
    <s v="A.C."/>
    <n v="22.324999999999999"/>
    <n v="9.3249999999999993"/>
    <n v="3.0249999999999999"/>
    <n v="1.2749999999999999"/>
    <n v="2.50969"/>
    <n v="2.5"/>
    <n v="35.274999999999999"/>
    <n v="0.52500000000000002"/>
    <n v="0.15"/>
    <n v="0"/>
    <n v="2.9803199999999999"/>
    <n v="3"/>
    <n v="0"/>
    <n v="0"/>
    <n v="35.949999999999996"/>
    <n v="1.35727"/>
    <n v="15.63"/>
    <n v="0"/>
    <n v="1.2491508491508492E-2"/>
    <x v="106"/>
    <n v="3.6890000000000001"/>
    <n v="2.9482517482517481E-3"/>
    <n v="0"/>
    <n v="0"/>
    <n v="0"/>
    <n v="0"/>
  </r>
  <r>
    <n v="1697"/>
    <s v="แขวงทางหลวงฉะเชิงเทรา"/>
    <n v="421"/>
    <n v="3551"/>
    <n v="100"/>
    <s v="หนองปลาตะเพียน - หัวสำโรง"/>
    <n v="10947"/>
    <n v="0"/>
    <n v="10.946999999999999"/>
    <n v="4"/>
    <s v="R1"/>
    <d v="2015-08-10T00:00:00"/>
    <s v="A.C."/>
    <n v="7.1749999999999998"/>
    <n v="2.15"/>
    <n v="1.4"/>
    <n v="0.15"/>
    <n v="2.5140099999999999"/>
    <n v="2.5"/>
    <n v="3.1"/>
    <n v="1.625"/>
    <n v="1.3"/>
    <n v="4.8499999999999996"/>
    <n v="19.591899999999999"/>
    <n v="19.5"/>
    <n v="0"/>
    <n v="0"/>
    <n v="10.946999999999999"/>
    <n v="1.2772399999999999"/>
    <n v="0"/>
    <n v="9.57"/>
    <n v="1.2488744470109232E-2"/>
    <x v="106"/>
    <n v="0"/>
    <n v="0"/>
    <n v="0"/>
    <n v="0"/>
    <n v="0"/>
    <n v="0"/>
  </r>
  <r>
    <n v="879"/>
    <s v="แขวงทางหลวงอุบลราชธานีที่ 2 (หนองหาน)"/>
    <n v="632"/>
    <n v="2112"/>
    <n v="200"/>
    <s v="หนามแท่ง - โขงเจียม"/>
    <n v="76174"/>
    <n v="110040"/>
    <n v="33.866"/>
    <n v="2"/>
    <s v="L1"/>
    <d v="2015-05-19T00:00:00"/>
    <s v="A.C."/>
    <n v="19.175000000000001"/>
    <n v="8.4749999999999996"/>
    <n v="3.6"/>
    <n v="2.5"/>
    <n v="3.3211200000000001"/>
    <n v="3.5"/>
    <n v="33.5"/>
    <n v="0.22500000000000001"/>
    <n v="2.5000000000000001E-2"/>
    <n v="0"/>
    <n v="3.5794800000000002"/>
    <n v="3.5"/>
    <n v="0"/>
    <n v="0"/>
    <n v="33.75"/>
    <n v="1.8952599999999999"/>
    <n v="0"/>
    <n v="29.36"/>
    <n v="1.2385E-2"/>
    <x v="106"/>
    <n v="6939.63"/>
    <n v="5.8546959999999997"/>
    <n v="0"/>
    <n v="0"/>
    <n v="9.2100000000000009"/>
    <n v="7.77E-3"/>
  </r>
  <r>
    <n v="1977"/>
    <s v="แขวงทางหลวงตรัง"/>
    <n v="322"/>
    <n v="404"/>
    <n v="100"/>
    <s v="ตรัง - บ้านนา"/>
    <n v="30000"/>
    <n v="0"/>
    <n v="30"/>
    <n v="2"/>
    <s v="R2"/>
    <d v="2015-05-07T00:00:00"/>
    <s v="A.C."/>
    <n v="19.399999999999999"/>
    <n v="7.5"/>
    <n v="2.2999999999999998"/>
    <n v="0.7"/>
    <n v="2.3904899999999998"/>
    <n v="2.5"/>
    <n v="28.95"/>
    <n v="0.77500000000000002"/>
    <n v="0.1"/>
    <n v="0"/>
    <n v="4.1183899999999998"/>
    <n v="4"/>
    <n v="0"/>
    <n v="0"/>
    <n v="30"/>
    <n v="1.2072000000000001"/>
    <n v="0"/>
    <n v="26"/>
    <n v="1.2380952380952381E-2"/>
    <x v="106"/>
    <n v="0"/>
    <n v="0"/>
    <n v="0"/>
    <n v="0"/>
    <n v="0"/>
    <n v="0"/>
  </r>
  <r>
    <n v="2054"/>
    <s v="แขวงทางหลวงสุราษฎร์ธานีที่ 2 (กาญจนดิษฐ์)"/>
    <n v="328"/>
    <n v="4142"/>
    <n v="100"/>
    <s v="บ้านใน - บ้านโฉ"/>
    <n v="0"/>
    <n v="34825"/>
    <n v="34.825000000000003"/>
    <n v="4"/>
    <s v="L2"/>
    <d v="2015-04-25T00:00:00"/>
    <s v="A.C."/>
    <n v="32.9"/>
    <n v="1.425"/>
    <n v="0.27500000000000002"/>
    <n v="7.4999999999999997E-2"/>
    <n v="1.48081"/>
    <n v="1.5"/>
    <n v="34.35"/>
    <n v="0.3"/>
    <n v="2.5000000000000001E-2"/>
    <n v="0"/>
    <n v="3.1249199999999999"/>
    <n v="3"/>
    <n v="0"/>
    <n v="0"/>
    <n v="34.674999999999997"/>
    <n v="1.2327600000000001"/>
    <n v="0"/>
    <n v="29.35"/>
    <n v="1.2039790790688135E-2"/>
    <x v="106"/>
    <n v="0"/>
    <n v="0"/>
    <n v="0"/>
    <n v="0"/>
    <n v="0"/>
    <n v="0"/>
  </r>
  <r>
    <n v="1943"/>
    <s v="แขวงทางหลวงนครศรีธรรมราชที่ 1"/>
    <n v="321"/>
    <n v="403"/>
    <n v="100"/>
    <s v="นครศรีธรรมราช - เสาธง"/>
    <n v="250"/>
    <n v="14276"/>
    <n v="14.026"/>
    <n v="4"/>
    <s v="L2"/>
    <d v="2015-04-30T00:00:00"/>
    <s v="A.C."/>
    <n v="10.725"/>
    <n v="1.825"/>
    <n v="1"/>
    <n v="0.625"/>
    <n v="2.1788500000000002"/>
    <n v="2"/>
    <n v="13.75"/>
    <n v="0.35"/>
    <n v="7.4999999999999997E-2"/>
    <n v="0"/>
    <n v="4.1316300000000004"/>
    <n v="4"/>
    <n v="0"/>
    <n v="0"/>
    <n v="14.174999999999999"/>
    <n v="1.1170199999999999"/>
    <n v="3"/>
    <n v="5.59"/>
    <n v="1.1804607769244873E-2"/>
    <x v="106"/>
    <n v="283.23"/>
    <n v="0.57694893157605276"/>
    <n v="43.35"/>
    <n v="8.8305392027051802E-2"/>
    <n v="0"/>
    <n v="0"/>
  </r>
  <r>
    <n v="1708"/>
    <s v="แขวงทางหลวงชลบุรีที่ 1"/>
    <n v="422"/>
    <n v="315"/>
    <n v="200"/>
    <s v="หัวไผ่ - ชลบุรี"/>
    <n v="19440"/>
    <s v="23+190"/>
    <n v="3.75"/>
    <n v="4"/>
    <s v="L1"/>
    <d v="2015-08-13T00:00:00"/>
    <s v="A.C."/>
    <n v="1.8340000000000001"/>
    <n v="1.024"/>
    <n v="0.5"/>
    <n v="0.39300000000000002"/>
    <n v="2.98"/>
    <n v="3"/>
    <n v="3.2170000000000001"/>
    <n v="0.432"/>
    <n v="6.0999999999999999E-2"/>
    <n v="0.04"/>
    <n v="7.0579999999999998"/>
    <n v="7"/>
    <n v="0"/>
    <n v="0"/>
    <n v="3.75"/>
    <n v="1.173"/>
    <n v="0.65"/>
    <n v="1.76"/>
    <n v="1.1657142857142857E-2"/>
    <x v="106"/>
    <n v="34.26"/>
    <n v="0.26102857142857144"/>
    <n v="87.96"/>
    <n v="0.67017142857142853"/>
    <n v="0"/>
    <n v="0"/>
  </r>
  <r>
    <n v="2159"/>
    <s v="แขวงทางหลวงสงขลาที่ 1"/>
    <n v="311"/>
    <n v="407"/>
    <n v="102"/>
    <s v="ควนหิน - สงขลา"/>
    <n v="17266"/>
    <n v="28230"/>
    <n v="10.964"/>
    <n v="4"/>
    <s v="L2"/>
    <d v="2015-05-22T00:00:00"/>
    <s v="A.C."/>
    <n v="6.0250000000000004"/>
    <n v="3.3"/>
    <n v="1.075"/>
    <n v="0.625"/>
    <n v="2.7350300000000001"/>
    <n v="2.5"/>
    <n v="10.775"/>
    <n v="0.25"/>
    <n v="0"/>
    <n v="0"/>
    <n v="3.6804100000000002"/>
    <n v="3.5"/>
    <n v="0"/>
    <n v="0"/>
    <n v="11.024999999999999"/>
    <n v="1.1684399999999999"/>
    <n v="0"/>
    <n v="8.84"/>
    <n v="1.1518215458383281E-2"/>
    <x v="106"/>
    <n v="0"/>
    <n v="0"/>
    <n v="0"/>
    <n v="0"/>
    <n v="0"/>
    <n v="0"/>
  </r>
  <r>
    <n v="554"/>
    <s v="แขวงทางหลวงเพชรบูรณ์ที่ 1"/>
    <n v="551"/>
    <n v="2196"/>
    <n v="101"/>
    <s v="นางั่ว - ทุ่งสมอ"/>
    <s v="0+000"/>
    <s v="37+707"/>
    <n v="37.707000000000001"/>
    <n v="2"/>
    <s v="L1"/>
    <d v="2015-07-07T00:00:00"/>
    <s v="A.C."/>
    <n v="25.43"/>
    <n v="8.61"/>
    <n v="3.91"/>
    <n v="1.76"/>
    <n v="2.7202500000000001"/>
    <n v="2.5"/>
    <n v="38.14"/>
    <n v="1.3"/>
    <n v="0.2"/>
    <n v="0.08"/>
    <n v="4.1108700000000002"/>
    <n v="4"/>
    <n v="0.05"/>
    <n v="7.4999999999999997E-2"/>
    <n v="37.69"/>
    <n v="1.1823600000000001"/>
    <n v="15"/>
    <n v="0"/>
    <n v="1.1365832035734175E-2"/>
    <x v="106"/>
    <n v="0"/>
    <n v="0"/>
    <n v="0"/>
    <n v="0"/>
    <n v="0"/>
    <n v="0"/>
  </r>
  <r>
    <n v="1545"/>
    <s v="แขวงทางหลวงสมุทรสาคร"/>
    <n v="415"/>
    <n v="338"/>
    <n v="201"/>
    <s v="พุทธมณฑลสาย 4 - นครชัยศรี"/>
    <s v="31+419"/>
    <s v="15+111"/>
    <n v="16.308"/>
    <n v="12"/>
    <s v="R2"/>
    <d v="2015-08-26T00:00:00"/>
    <s v="A.C."/>
    <n v="10.7"/>
    <n v="3.6"/>
    <n v="1.375"/>
    <n v="0.875"/>
    <n v="2.74627"/>
    <n v="2.5"/>
    <n v="15.475"/>
    <n v="0.9"/>
    <n v="0.125"/>
    <n v="0.05"/>
    <n v="5.3677099999999998"/>
    <n v="5.5"/>
    <n v="0"/>
    <n v="0"/>
    <n v="16.549999999999997"/>
    <n v="1.20573"/>
    <n v="0"/>
    <n v="12.69"/>
    <n v="1.112E-2"/>
    <x v="106"/>
    <n v="0"/>
    <n v="0"/>
    <n v="18.79"/>
    <n v="3.2919999999999998E-2"/>
    <n v="0"/>
    <n v="0"/>
  </r>
  <r>
    <n v="2098"/>
    <s v="แขวงทางหลวงกระบี่"/>
    <n v="323"/>
    <n v="4206"/>
    <n v="100"/>
    <s v="ห้วยน้ำขาว - เกาะกลาง"/>
    <n v="0"/>
    <n v="27094"/>
    <n v="27.094000000000001"/>
    <n v="2"/>
    <s v="L1"/>
    <d v="2015-05-09T00:00:00"/>
    <s v="A.C."/>
    <n v="21.36"/>
    <n v="4.2300000000000004"/>
    <n v="1.26"/>
    <n v="0.25"/>
    <n v="2.13436"/>
    <n v="2"/>
    <n v="26.39"/>
    <n v="0.53"/>
    <n v="0.13"/>
    <n v="0.05"/>
    <n v="3.5419299999999998"/>
    <n v="3.5"/>
    <n v="0"/>
    <n v="0"/>
    <n v="27.09"/>
    <n v="1.3003899999999999"/>
    <n v="8"/>
    <n v="5"/>
    <n v="1.1072562190890971E-2"/>
    <x v="106"/>
    <n v="0"/>
    <n v="0"/>
    <n v="0"/>
    <n v="0"/>
    <n v="0"/>
    <n v="0"/>
  </r>
  <r>
    <n v="743"/>
    <s v="แขวงทางหลวงขอนแก่นที่ 3 (บ้านไผ่)"/>
    <n v="628"/>
    <n v="2440"/>
    <n v="202"/>
    <s v="หนองสองห้อง - พล"/>
    <n v="21500"/>
    <n v="43700"/>
    <n v="22.2"/>
    <n v="2"/>
    <s v="L1"/>
    <d v="2015-06-18T00:00:00"/>
    <s v="A.C."/>
    <n v="14.7"/>
    <n v="4.55"/>
    <n v="1.45"/>
    <n v="0.52500000000000002"/>
    <n v="2.37534"/>
    <n v="2.5"/>
    <n v="19.899999999999999"/>
    <n v="1.175"/>
    <n v="0.125"/>
    <n v="2.5000000000000001E-2"/>
    <n v="5.8251299999999997"/>
    <n v="6"/>
    <n v="0"/>
    <n v="0"/>
    <n v="21.224999999999998"/>
    <n v="1.2562800000000001"/>
    <n v="8.58"/>
    <n v="0"/>
    <n v="1.1039999999999999E-2"/>
    <x v="106"/>
    <n v="0"/>
    <n v="0"/>
    <n v="10.19"/>
    <n v="1.311E-2"/>
    <n v="0"/>
    <n v="0"/>
  </r>
  <r>
    <n v="725"/>
    <s v="แขวงทางหลวงขอนแก่นที่ 2 (ชุมแพ)"/>
    <n v="627"/>
    <n v="2055"/>
    <n v="100"/>
    <s v="โคกสะอาด - หนองสองห้อง"/>
    <n v="14086"/>
    <n v="0"/>
    <n v="14.086"/>
    <n v="2"/>
    <s v="R1"/>
    <d v="2015-06-22T00:00:00"/>
    <s v="A.C."/>
    <n v="5.25"/>
    <n v="5.2249999999999996"/>
    <n v="2.4500000000000002"/>
    <n v="1.125"/>
    <n v="3.1509299999999998"/>
    <n v="3"/>
    <n v="13.275"/>
    <n v="0.72499999999999998"/>
    <n v="0.05"/>
    <n v="0"/>
    <n v="4.5120699999999996"/>
    <n v="4.5"/>
    <n v="0"/>
    <n v="0"/>
    <n v="14.086"/>
    <n v="1.0806100000000001"/>
    <n v="5.41"/>
    <n v="0"/>
    <n v="1.0973408247297216E-2"/>
    <x v="106"/>
    <n v="0"/>
    <n v="0"/>
    <n v="0"/>
    <n v="0"/>
    <n v="0"/>
    <n v="0"/>
  </r>
  <r>
    <n v="346"/>
    <s v="แขวงทางหลวงมุกดาหาร"/>
    <n v="639"/>
    <n v="2370"/>
    <n v="100"/>
    <s v="นิคมคำสร้อย - หนองสูง"/>
    <n v="0"/>
    <n v="35870"/>
    <n v="35.869999999999997"/>
    <n v="2"/>
    <s v="L1"/>
    <d v="2015-06-02T00:00:00"/>
    <s v="A.C."/>
    <n v="19.05"/>
    <n v="9.5"/>
    <n v="4.45"/>
    <n v="2.7"/>
    <n v="2.5409999999999999"/>
    <n v="2.5"/>
    <n v="34.975000000000001"/>
    <n v="0.67500000000000004"/>
    <n v="0.05"/>
    <n v="0"/>
    <n v="4.0380000000000003"/>
    <n v="4"/>
    <n v="0"/>
    <n v="0"/>
    <n v="35.700000000000003"/>
    <n v="1.3089999999999999"/>
    <n v="0"/>
    <n v="27.49"/>
    <n v="1.0948265562149031E-2"/>
    <x v="106"/>
    <n v="21.43"/>
    <n v="1.706957664582421E-2"/>
    <n v="0.75"/>
    <n v="0"/>
    <n v="0"/>
    <n v="0"/>
  </r>
  <r>
    <n v="1672"/>
    <s v="แขวงทางหลวงธนบุรี"/>
    <n v="419"/>
    <n v="338"/>
    <n v="102"/>
    <s v="ทางยกระดับบางกอกน้อย - นครชัยศรี"/>
    <s v="0+000"/>
    <s v="8+944"/>
    <n v="8.9440000000000008"/>
    <n v="4"/>
    <s v="L2"/>
    <d v="2015-08-27T00:00:00"/>
    <s v="A.C."/>
    <n v="4.55"/>
    <n v="3.9"/>
    <n v="0.47499999999999998"/>
    <n v="2.5000000000000001E-2"/>
    <n v="2.5631300000000001"/>
    <n v="2.5"/>
    <n v="8.9499999999999993"/>
    <n v="0"/>
    <n v="0"/>
    <n v="0"/>
    <n v="4.5901300000000003"/>
    <n v="4.5"/>
    <n v="0"/>
    <n v="0"/>
    <n v="8.9499999999999993"/>
    <n v="1.37039"/>
    <n v="0"/>
    <n v="6.75"/>
    <n v="1.0781369792997699E-2"/>
    <x v="106"/>
    <n v="0"/>
    <n v="0"/>
    <n v="0"/>
    <n v="0"/>
    <n v="0"/>
    <n v="0"/>
  </r>
  <r>
    <n v="720"/>
    <s v="แขวงทางหลวงขอนแก่นที่ 2 (ชุมแพ)"/>
    <n v="627"/>
    <n v="228"/>
    <n v="100"/>
    <s v="ชุมแพ - ห้วยสายหนัง"/>
    <n v="0"/>
    <n v="37729"/>
    <n v="37.728999999999999"/>
    <n v="2"/>
    <s v="L1"/>
    <d v="2015-06-24T00:00:00"/>
    <s v="A.C."/>
    <n v="14.95"/>
    <n v="14.3"/>
    <n v="6.3250000000000002"/>
    <n v="1.5"/>
    <n v="2.9756900000000002"/>
    <n v="3"/>
    <n v="33.924999999999997"/>
    <n v="2.375"/>
    <n v="0.7"/>
    <n v="7.4999999999999997E-2"/>
    <n v="4.1824399999999997"/>
    <n v="4"/>
    <n v="0"/>
    <n v="0"/>
    <n v="37.728999999999999"/>
    <n v="1.07612"/>
    <n v="11.01"/>
    <n v="7.14"/>
    <n v="1.0756059505058964E-2"/>
    <x v="106"/>
    <n v="0"/>
    <n v="0"/>
    <n v="48.66"/>
    <n v="3.5897795302892256E-2"/>
    <n v="2.73"/>
    <n v="2.0673752286039918E-3"/>
  </r>
  <r>
    <n v="1961"/>
    <s v="แขวงทางหลวงนครศรีธรรมราชที่ 1"/>
    <n v="321"/>
    <n v="4151"/>
    <n v="100"/>
    <s v="บ่อล้อ - กุมแป"/>
    <n v="0"/>
    <n v="9880"/>
    <n v="9.8800000000000008"/>
    <n v="2"/>
    <s v="L2"/>
    <d v="2015-04-29T00:00:00"/>
    <s v="A.C."/>
    <n v="6.0250000000000004"/>
    <n v="2.85"/>
    <n v="0.72499999999999998"/>
    <n v="0.27500000000000002"/>
    <n v="2.5059999999999998"/>
    <n v="2.5"/>
    <n v="9.8249999999999993"/>
    <n v="0.05"/>
    <n v="0"/>
    <n v="0"/>
    <n v="3.117"/>
    <n v="3"/>
    <n v="0"/>
    <n v="0"/>
    <n v="9.875"/>
    <n v="1.1910000000000001"/>
    <n v="3.1166499999999999"/>
    <n v="1.1908700000000001"/>
    <n v="1.0734774436090224E-2"/>
    <x v="106"/>
    <n v="539"/>
    <n v="1.5587044534412953"/>
    <n v="0"/>
    <n v="0"/>
    <n v="0"/>
    <n v="0"/>
  </r>
  <r>
    <n v="132"/>
    <s v="แขวงทางหลวงลำปางที่ 2"/>
    <n v="528"/>
    <n v="1252"/>
    <n v="200"/>
    <s v="แม่ตอนหลวง  - ข่วงกอม"/>
    <s v="61+701"/>
    <s v="23+532"/>
    <n v="38.168999999999997"/>
    <n v="2"/>
    <s v="R1"/>
    <d v="2015-08-08T00:00:00"/>
    <s v="A.C."/>
    <n v="6.3"/>
    <n v="11.55"/>
    <n v="12.9"/>
    <n v="7.8"/>
    <n v="3.94719"/>
    <n v="4"/>
    <n v="32.924999999999997"/>
    <n v="2.9249999999999998"/>
    <n v="1.0249999999999999"/>
    <n v="1.675"/>
    <n v="6.4666300000000003"/>
    <n v="6.5"/>
    <n v="0"/>
    <n v="0"/>
    <n v="38.549999999999997"/>
    <n v="1.6404099999999999"/>
    <n v="14.225"/>
    <n v="0"/>
    <n v="1.0648132553343589E-2"/>
    <x v="106"/>
    <n v="0"/>
    <n v="0"/>
    <n v="0"/>
    <n v="0"/>
    <n v="0"/>
    <n v="0"/>
  </r>
  <r>
    <n v="348"/>
    <s v="แขวงทางหลวงตากที่ 1"/>
    <n v="512"/>
    <n v="104"/>
    <n v="100"/>
    <s v="ตาก - สะพานวุฒิกุล"/>
    <s v="0+000"/>
    <s v="26+015"/>
    <n v="26.015000000000001"/>
    <n v="2"/>
    <s v="L1"/>
    <d v="2015-09-10T00:00:00"/>
    <s v="A.C."/>
    <n v="17.399999999999999"/>
    <n v="6.65"/>
    <n v="1.6"/>
    <n v="0.55000000000000004"/>
    <n v="2.4083999999999999"/>
    <n v="2.5"/>
    <n v="26.125"/>
    <n v="7.4999999999999997E-2"/>
    <n v="0"/>
    <n v="0"/>
    <n v="3.1505000000000001"/>
    <n v="3"/>
    <n v="0"/>
    <n v="0"/>
    <n v="26.2"/>
    <n v="1.1938800000000001"/>
    <n v="0"/>
    <n v="19.245000000000001"/>
    <n v="1.0568078855605281E-2"/>
    <x v="106"/>
    <n v="64.653999999999996"/>
    <n v="7.1007385848823462E-2"/>
    <n v="0"/>
    <n v="0"/>
    <n v="0"/>
    <n v="0"/>
  </r>
  <r>
    <n v="796"/>
    <s v="แขวงทางหลวงร้อยเอ็ด"/>
    <n v="635"/>
    <n v="214"/>
    <n v="203"/>
    <s v="จตุรพักตรพิมาน - ห้วยพลับพลา"/>
    <n v="96379"/>
    <n v="119391"/>
    <n v="23.012"/>
    <n v="2"/>
    <s v="L1"/>
    <d v="2015-05-26T00:00:00"/>
    <s v="A.C."/>
    <n v="17.774999999999999"/>
    <n v="3.7"/>
    <n v="1.075"/>
    <n v="0.5"/>
    <n v="2.2467199999999998"/>
    <n v="2"/>
    <n v="22.55"/>
    <n v="0.5"/>
    <n v="0"/>
    <n v="0"/>
    <n v="3.3983500000000002"/>
    <n v="3.5"/>
    <n v="0"/>
    <n v="0"/>
    <n v="23.012"/>
    <n v="1.2313499999999999"/>
    <n v="0"/>
    <n v="17"/>
    <n v="1.055E-2"/>
    <x v="106"/>
    <n v="0"/>
    <n v="0"/>
    <n v="96"/>
    <n v="0.11919200000000001"/>
    <n v="0"/>
    <n v="0"/>
  </r>
  <r>
    <n v="369"/>
    <s v="แขวงทางหลวงตากที่ 2 (แม่สอด)"/>
    <n v="514"/>
    <n v="1167"/>
    <n v="100"/>
    <s v="แม่กลองใหม่ - เขตแดนไทย/พม่า"/>
    <n v="0"/>
    <n v="17625"/>
    <n v="17.625"/>
    <n v="2"/>
    <s v="L1"/>
    <d v="2015-09-08T00:00:00"/>
    <s v="A.C."/>
    <n v="5.2750000000000004"/>
    <n v="6.45"/>
    <n v="3.7749999999999999"/>
    <n v="2.08"/>
    <n v="3.5349400000000002"/>
    <n v="3.5"/>
    <n v="15.7"/>
    <n v="1.425"/>
    <n v="0.3"/>
    <n v="0.15"/>
    <n v="4.9683599999999997"/>
    <n v="5"/>
    <n v="0"/>
    <n v="0"/>
    <n v="17.580000000000002"/>
    <n v="1.35825"/>
    <n v="0"/>
    <n v="12.987"/>
    <n v="1.0526443768996962E-2"/>
    <x v="106"/>
    <n v="113.54"/>
    <n v="0.18405673758865251"/>
    <n v="0"/>
    <n v="0"/>
    <n v="0"/>
    <n v="0"/>
  </r>
  <r>
    <n v="1292"/>
    <s v="แขวงทางหลวงสุพรรณบุรีที่ 1"/>
    <n v="441"/>
    <n v="3460"/>
    <n v="100"/>
    <s v="สระแก้ว - หนองโดก"/>
    <n v="0"/>
    <n v="12776"/>
    <n v="12.776"/>
    <n v="2"/>
    <s v="L1"/>
    <d v="2015-07-01T00:00:00"/>
    <s v="A.C."/>
    <n v="10.725"/>
    <n v="1.5"/>
    <n v="0.42499999999999999"/>
    <n v="0.05"/>
    <n v="1.87134"/>
    <n v="2"/>
    <n v="12.625"/>
    <n v="0.05"/>
    <n v="2.5000000000000001E-2"/>
    <n v="0"/>
    <n v="2.9172699999999998"/>
    <n v="3"/>
    <n v="0"/>
    <n v="0"/>
    <n v="12.700000000000001"/>
    <n v="1.03287"/>
    <n v="3"/>
    <n v="3"/>
    <n v="1.0063511942034172E-2"/>
    <x v="106"/>
    <n v="0"/>
    <n v="0"/>
    <n v="0"/>
    <n v="0"/>
    <n v="0"/>
    <n v="0"/>
  </r>
  <r>
    <n v="804"/>
    <s v="แขวงทางหลวงร้อยเอ็ด"/>
    <n v="635"/>
    <n v="2046"/>
    <n v="102"/>
    <s v="บ้านงิ้ว - ลำน้ำยัง"/>
    <n v="16100"/>
    <n v="47299"/>
    <n v="31.199000000000002"/>
    <n v="2"/>
    <s v="L1"/>
    <d v="2015-05-27T00:00:00"/>
    <s v="A.C."/>
    <n v="21.65"/>
    <n v="6.25"/>
    <n v="2.15"/>
    <n v="1.05"/>
    <n v="3.16628"/>
    <n v="3"/>
    <n v="28.6"/>
    <n v="1.625"/>
    <n v="0.6"/>
    <n v="0.27500000000000002"/>
    <n v="5.9240000000000004"/>
    <n v="6"/>
    <n v="0"/>
    <n v="0"/>
    <n v="31.199000000000002"/>
    <n v="1.2829999999999999"/>
    <n v="2.35"/>
    <n v="17.14"/>
    <n v="0.01"/>
    <x v="106"/>
    <n v="0"/>
    <n v="0"/>
    <n v="43.67"/>
    <n v="3.9989999999999998E-2"/>
    <n v="0"/>
    <n v="0"/>
  </r>
  <r>
    <n v="314"/>
    <s v="แขวงทางหลวงนครพนม"/>
    <n v="644"/>
    <n v="2031"/>
    <n v="100"/>
    <s v="ธาตุน้อย - นาเหนือ"/>
    <n v="0"/>
    <n v="22959"/>
    <n v="22.959"/>
    <n v="2"/>
    <s v="L1"/>
    <d v="2015-06-03T00:00:00"/>
    <s v="A.C."/>
    <n v="19.98"/>
    <n v="1.99"/>
    <n v="0.8"/>
    <n v="0.2"/>
    <n v="1.8736999999999999"/>
    <n v="2"/>
    <n v="22.79"/>
    <n v="0.1"/>
    <n v="0.08"/>
    <n v="0"/>
    <n v="2.8279999999999998"/>
    <n v="3"/>
    <n v="0"/>
    <n v="0"/>
    <n v="22.96"/>
    <n v="1.1698999999999999"/>
    <n v="0"/>
    <n v="16"/>
    <n v="9.9600000000000001E-3"/>
    <x v="106"/>
    <n v="0"/>
    <n v="0"/>
    <n v="0"/>
    <n v="0"/>
    <n v="0"/>
    <n v="0"/>
  </r>
  <r>
    <n v="932"/>
    <s v="แขวงทางหลวงศรีสะเกษที่ 1"/>
    <n v="638"/>
    <n v="2373"/>
    <n v="100"/>
    <s v="โนนสำนัก - ดอนไม้งาม"/>
    <n v="0"/>
    <n v="20396"/>
    <n v="20.396000000000001"/>
    <n v="2"/>
    <s v="L1"/>
    <d v="2015-05-12T00:00:00"/>
    <s v="A.C."/>
    <n v="5.7"/>
    <n v="6.65"/>
    <n v="4.7"/>
    <n v="3.3250000000000002"/>
    <n v="3.726"/>
    <n v="3.5"/>
    <n v="18.7"/>
    <n v="1.35"/>
    <n v="0.3"/>
    <n v="2.5000000000000001E-2"/>
    <n v="4.7859999999999996"/>
    <n v="5"/>
    <n v="0"/>
    <n v="0"/>
    <n v="20.375"/>
    <n v="1.246"/>
    <n v="6.93"/>
    <n v="0"/>
    <n v="9.7099999999999999E-3"/>
    <x v="106"/>
    <n v="0"/>
    <n v="0"/>
    <n v="1462.61"/>
    <n v="2.0488749999999998"/>
    <n v="0"/>
    <n v="0"/>
  </r>
  <r>
    <n v="340"/>
    <s v="แขวงทางหลวงมุกดาหาร"/>
    <n v="639"/>
    <n v="2116"/>
    <n v="401"/>
    <s v="ห้วยคล้อ - เลิงนกทา"/>
    <s v="141+878"/>
    <s v="115+078"/>
    <n v="26.8"/>
    <n v="2"/>
    <s v="R1"/>
    <d v="2015-06-02T00:00:00"/>
    <s v="A.C."/>
    <n v="16.425000000000001"/>
    <n v="6.7249999999999996"/>
    <n v="2.5499999999999998"/>
    <n v="1.0249999999999999"/>
    <n v="2.6688200000000002"/>
    <n v="2.5"/>
    <n v="25.25"/>
    <n v="0.67500000000000004"/>
    <n v="0.15"/>
    <n v="0.65"/>
    <n v="7.4077799999999998"/>
    <n v="7.5"/>
    <n v="0"/>
    <n v="0"/>
    <n v="26.724999999999998"/>
    <n v="1.22149"/>
    <n v="5"/>
    <n v="8"/>
    <n v="9.5948827292110864E-3"/>
    <x v="106"/>
    <n v="19.420000000000002"/>
    <n v="2.0703624733475482E-2"/>
    <n v="0"/>
    <n v="0"/>
    <n v="0"/>
    <n v="0"/>
  </r>
  <r>
    <n v="1997"/>
    <s v="แขวงทางหลวงตรัง"/>
    <n v="322"/>
    <n v="4269"/>
    <n v="101"/>
    <s v="ห้วยยอด - คลองมวน"/>
    <n v="9720"/>
    <n v="0"/>
    <n v="9.7200000000000006"/>
    <n v="2"/>
    <s v="R2"/>
    <d v="2015-05-02T00:00:00"/>
    <s v="A.C."/>
    <n v="7"/>
    <n v="2.1"/>
    <n v="0.67500000000000004"/>
    <n v="0.52500000000000002"/>
    <n v="2.43723"/>
    <n v="2.5"/>
    <n v="10.25"/>
    <n v="0"/>
    <n v="0"/>
    <n v="0.05"/>
    <n v="2.6071599999999999"/>
    <n v="2.5"/>
    <n v="0"/>
    <n v="0"/>
    <n v="10.3"/>
    <n v="1.0622199999999999"/>
    <n v="3.26"/>
    <n v="0"/>
    <n v="9.582598471487359E-3"/>
    <x v="106"/>
    <n v="0.35"/>
    <n v="1.0288065843621398E-3"/>
    <n v="0"/>
    <n v="0"/>
    <n v="0"/>
    <n v="0"/>
  </r>
  <r>
    <n v="36"/>
    <s v="แขวงทางหลวงเชียงใหม่ที่ 2"/>
    <n v="522"/>
    <n v="1229"/>
    <n v="100"/>
    <s v="บ้านใหม่ - เปาสามขา"/>
    <s v="0+000"/>
    <s v="11+000"/>
    <n v="11"/>
    <n v="2"/>
    <s v="L1"/>
    <d v="2015-08-22T00:00:00"/>
    <s v="A.C."/>
    <n v="5.0750000000000002"/>
    <n v="3.7"/>
    <n v="1.4"/>
    <n v="0.47499999999999998"/>
    <n v="2.798"/>
    <n v="3"/>
    <n v="10.45"/>
    <n v="7.4999999999999997E-2"/>
    <n v="0"/>
    <n v="0.125"/>
    <n v="2.67083"/>
    <n v="2.5"/>
    <n v="0"/>
    <n v="0"/>
    <n v="10.65"/>
    <n v="1.2706900000000001"/>
    <n v="0"/>
    <n v="7.26"/>
    <n v="9.4285714285714285E-3"/>
    <x v="106"/>
    <n v="0"/>
    <n v="0"/>
    <n v="28"/>
    <n v="7.2727272727272724E-2"/>
    <n v="0"/>
    <n v="0"/>
  </r>
  <r>
    <n v="1969"/>
    <s v="แขวงทางหลวงนครศรีธรรมราชที่ 1"/>
    <n v="321"/>
    <n v="4317"/>
    <n v="100"/>
    <s v="หัวถนนชายทะเล - เนินตาขำ"/>
    <n v="3123"/>
    <n v="0"/>
    <n v="3.1230000000000002"/>
    <n v="2"/>
    <s v="R1"/>
    <d v="2015-04-29T00:00:00"/>
    <s v="A.C."/>
    <n v="2.9750000000000001"/>
    <n v="2.5000000000000001E-2"/>
    <n v="0"/>
    <n v="0.05"/>
    <n v="1.3063899999999999"/>
    <n v="1.5"/>
    <n v="3.05"/>
    <n v="0"/>
    <n v="0"/>
    <n v="0"/>
    <n v="3.3219500000000002"/>
    <n v="3.5"/>
    <n v="0"/>
    <n v="0"/>
    <n v="3.05"/>
    <n v="1.26597"/>
    <n v="0"/>
    <n v="2"/>
    <n v="9.1487123187411375E-3"/>
    <x v="106"/>
    <n v="0"/>
    <n v="0"/>
    <n v="0"/>
    <n v="0"/>
    <n v="0"/>
    <n v="0"/>
  </r>
  <r>
    <n v="211"/>
    <s v="แขวงทางหลวงพะเยา"/>
    <n v="535"/>
    <n v="1292"/>
    <n v="100"/>
    <s v="ห้วยข้าวก่ำ - น้ำจุน"/>
    <s v="0+867"/>
    <s v="13+658"/>
    <n v="12.791"/>
    <n v="2"/>
    <s v="L1"/>
    <d v="2015-07-24T00:00:00"/>
    <s v="A.C."/>
    <n v="6.21"/>
    <n v="3.4"/>
    <n v="1.65"/>
    <n v="1.53"/>
    <n v="3.177"/>
    <n v="3"/>
    <n v="11.81"/>
    <n v="0.73"/>
    <n v="0.23"/>
    <n v="0.02"/>
    <n v="5.5350000000000001"/>
    <n v="5.5"/>
    <n v="0"/>
    <n v="0"/>
    <n v="12.79"/>
    <n v="1.3260000000000001"/>
    <n v="0.83"/>
    <n v="6.44"/>
    <n v="9.0465394194578774E-3"/>
    <x v="106"/>
    <n v="701.01"/>
    <n v="1.5658554564034981"/>
    <n v="0"/>
    <n v="0"/>
    <n v="1733.2"/>
    <n v="3.8714721288405909"/>
  </r>
  <r>
    <n v="297"/>
    <s v="แขวงทางหลวงสกลนครที่ 2 (สว่างแดนดิน)"/>
    <n v="642"/>
    <n v="2308"/>
    <n v="100"/>
    <s v="บ้านขาม - บ้านเซือม"/>
    <n v="18962"/>
    <n v="0"/>
    <n v="18.962"/>
    <n v="2"/>
    <s v="R1"/>
    <d v="2015-06-06T00:00:00"/>
    <s v="A.C."/>
    <n v="13.324999999999999"/>
    <n v="3.65"/>
    <n v="1.375"/>
    <n v="0.55000000000000004"/>
    <n v="2.7049500000000002"/>
    <n v="2.5"/>
    <n v="18.774999999999999"/>
    <n v="0.1"/>
    <n v="2.5000000000000001E-2"/>
    <n v="0"/>
    <n v="3.6936300000000002"/>
    <n v="3.5"/>
    <n v="0"/>
    <n v="0"/>
    <n v="18.899999999999999"/>
    <n v="1.26183"/>
    <n v="0"/>
    <n v="12"/>
    <n v="9.0406376663100634E-3"/>
    <x v="106"/>
    <n v="0"/>
    <n v="0"/>
    <n v="0"/>
    <n v="0"/>
    <n v="0"/>
    <n v="0"/>
  </r>
  <r>
    <n v="727"/>
    <s v="แขวงทางหลวงขอนแก่นที่ 2 (ชุมแพ)"/>
    <n v="627"/>
    <n v="2159"/>
    <n v="202"/>
    <s v="เกษตรสมบูรณ์ - คอนสาร"/>
    <n v="77516"/>
    <n v="118985"/>
    <n v="41.469000000000001"/>
    <n v="2"/>
    <s v="L1"/>
    <d v="2015-06-24T00:00:00"/>
    <s v="A.C."/>
    <n v="26.98"/>
    <n v="10.039999999999999"/>
    <n v="3.875"/>
    <n v="1.95"/>
    <n v="2.5542899999999999"/>
    <n v="2.5"/>
    <n v="39.380000000000003"/>
    <n v="2.2000000000000002"/>
    <n v="0.6"/>
    <n v="0.42499999999999999"/>
    <n v="4.7218600000000004"/>
    <n v="4.5"/>
    <n v="0"/>
    <n v="0"/>
    <n v="42.469000000000001"/>
    <n v="1.1934800000000001"/>
    <n v="10.75"/>
    <n v="5.37"/>
    <n v="9.0385255800028933E-3"/>
    <x v="106"/>
    <n v="0"/>
    <n v="0"/>
    <n v="0"/>
    <n v="0"/>
    <n v="13.72"/>
    <n v="9.4528442933275465E-3"/>
  </r>
  <r>
    <n v="133"/>
    <s v="แขวงทางหลวงลำปางที่ 2"/>
    <n v="528"/>
    <n v="1287"/>
    <n v="100"/>
    <s v="สันมะเกลือ - เมืองปาน"/>
    <s v="10+623"/>
    <s v="0+000"/>
    <n v="10.622999999999999"/>
    <n v="2"/>
    <s v="R1"/>
    <d v="2015-08-08T00:00:00"/>
    <s v="A.C."/>
    <n v="4.1500000000000004"/>
    <n v="3.9750000000000001"/>
    <n v="1.75"/>
    <n v="0.57499999999999996"/>
    <n v="2.9944500000000001"/>
    <n v="3"/>
    <n v="10.45"/>
    <n v="0"/>
    <n v="0"/>
    <n v="0"/>
    <n v="2.19496"/>
    <n v="2"/>
    <n v="0"/>
    <n v="0"/>
    <n v="10.45"/>
    <n v="1.13201"/>
    <n v="3.36"/>
    <n v="0"/>
    <n v="9.036995199096301E-3"/>
    <x v="106"/>
    <n v="232.02"/>
    <n v="0.6240367934804536"/>
    <n v="0"/>
    <n v="0"/>
    <n v="0"/>
    <n v="0"/>
  </r>
  <r>
    <n v="274"/>
    <s v="แขวงทางหลวงสกลนครที่ 1"/>
    <n v="641"/>
    <n v="2046"/>
    <n v="200"/>
    <s v="ลำน้ำยัง - กุฉินารายณ์"/>
    <s v="47+299"/>
    <s v="58+457"/>
    <n v="11.157999999999999"/>
    <n v="2"/>
    <s v="L1"/>
    <d v="2015-06-05T00:00:00"/>
    <s v="A.C."/>
    <n v="8.4"/>
    <n v="2.0499999999999998"/>
    <n v="0.47499999999999998"/>
    <n v="0.2"/>
    <n v="2.9961500000000001"/>
    <n v="3"/>
    <n v="10.5"/>
    <n v="0.625"/>
    <n v="0"/>
    <n v="0"/>
    <n v="5.4170699999999998"/>
    <n v="5.5"/>
    <n v="0"/>
    <n v="0"/>
    <n v="11.125"/>
    <n v="1.23654"/>
    <n v="0"/>
    <n v="7"/>
    <n v="8.9621796020792257E-3"/>
    <x v="106"/>
    <n v="0"/>
    <n v="0"/>
    <n v="4.45"/>
    <n v="0"/>
    <n v="0"/>
    <n v="0"/>
  </r>
  <r>
    <n v="1986"/>
    <s v="แขวงทางหลวงตรัง"/>
    <n v="322"/>
    <n v="4151"/>
    <n v="300"/>
    <s v="น้ำตก - กะปาง"/>
    <n v="49493"/>
    <n v="62443"/>
    <n v="12.95"/>
    <n v="2"/>
    <s v="L2"/>
    <d v="2015-05-02T00:00:00"/>
    <s v="A.C."/>
    <n v="9.4749999999999996"/>
    <n v="2.6749999999999998"/>
    <n v="0.65"/>
    <n v="0.22500000000000001"/>
    <n v="2.2972399999999999"/>
    <n v="2.5"/>
    <n v="12.85"/>
    <n v="0.15"/>
    <n v="2.5000000000000001E-2"/>
    <n v="0"/>
    <n v="2.1243799999999999"/>
    <n v="2"/>
    <n v="0"/>
    <n v="0"/>
    <n v="13.024999999999999"/>
    <n v="1.14256"/>
    <n v="0"/>
    <n v="8"/>
    <n v="8.8251516822945401E-3"/>
    <x v="106"/>
    <n v="0"/>
    <n v="0"/>
    <n v="12.56"/>
    <n v="2.7710976282404862E-2"/>
    <n v="1"/>
    <n v="2.206287920573635E-3"/>
  </r>
  <r>
    <n v="373"/>
    <s v="แขวงทางหลวงตากที่ 2 (แม่สอด)"/>
    <n v="514"/>
    <n v="1215"/>
    <n v="100"/>
    <s v="ห้วยบง - วังผา"/>
    <n v="0"/>
    <n v="7685"/>
    <n v="7.6849999999999996"/>
    <n v="2"/>
    <s v="L1"/>
    <d v="2015-09-07T00:00:00"/>
    <s v="A.C."/>
    <n v="1.45"/>
    <n v="1.65"/>
    <n v="2.2999999999999998"/>
    <n v="2.25"/>
    <n v="4.2918000000000003"/>
    <n v="4.5"/>
    <n v="7.15"/>
    <n v="0.375"/>
    <n v="0.05"/>
    <n v="7.4999999999999997E-2"/>
    <n v="4.7686200000000003"/>
    <n v="5"/>
    <n v="0"/>
    <n v="0"/>
    <n v="7.6499999999999995"/>
    <n v="1.24776"/>
    <n v="0"/>
    <n v="4.67"/>
    <n v="8.6811041918393918E-3"/>
    <x v="106"/>
    <n v="145.68"/>
    <n v="0.54161167394739296"/>
    <n v="0"/>
    <n v="0"/>
    <n v="0"/>
    <n v="0"/>
  </r>
  <r>
    <n v="1046"/>
    <s v="แขวงทางหลวงบุรีรัมย์"/>
    <n v="617"/>
    <n v="2445"/>
    <n v="103"/>
    <s v="ห้วยเสว - นิคมบ้านกรวด"/>
    <n v="59401"/>
    <n v="69732"/>
    <n v="10.331"/>
    <n v="4"/>
    <s v="R2"/>
    <d v="2015-05-07T00:00:00"/>
    <s v="A.C."/>
    <n v="7.1749999999999998"/>
    <n v="2.6"/>
    <n v="0.5"/>
    <n v="7.4999999999999997E-2"/>
    <n v="2.6521300000000001"/>
    <n v="2.5"/>
    <n v="10.074999999999999"/>
    <n v="0.27500000000000002"/>
    <n v="0"/>
    <n v="0"/>
    <n v="3.8505199999999999"/>
    <n v="4"/>
    <n v="0"/>
    <n v="0"/>
    <n v="10.35"/>
    <n v="1.44191"/>
    <n v="0"/>
    <n v="6.24"/>
    <n v="8.6286765214264975E-3"/>
    <x v="106"/>
    <n v="0"/>
    <n v="0"/>
    <n v="22.42"/>
    <n v="6.200478449050708E-2"/>
    <n v="0"/>
    <n v="0"/>
  </r>
  <r>
    <n v="2084"/>
    <s v="แขวงทางหลวงสุราษฎร์ธานีที่ 3 (เวียงสระ)"/>
    <n v="329"/>
    <n v="4343"/>
    <n v="100"/>
    <s v="ควนกลิ้ง - ในปราบ"/>
    <n v="0"/>
    <n v="6100"/>
    <n v="6.1"/>
    <n v="2"/>
    <s v="L1"/>
    <d v="2015-04-27T00:00:00"/>
    <s v="A.C."/>
    <n v="1.9"/>
    <n v="2.5249999999999999"/>
    <n v="1.325"/>
    <n v="0.3"/>
    <n v="3.1064099999999999"/>
    <n v="3"/>
    <n v="5.7"/>
    <n v="0.2"/>
    <n v="0.125"/>
    <n v="2.5000000000000001E-2"/>
    <n v="3.1431499999999999"/>
    <n v="3"/>
    <n v="0"/>
    <n v="0"/>
    <n v="6.05"/>
    <n v="1.2376"/>
    <n v="0"/>
    <n v="3.68"/>
    <n v="8.6182669789227184E-3"/>
    <x v="106"/>
    <n v="0"/>
    <n v="0"/>
    <n v="0"/>
    <n v="0"/>
    <n v="0"/>
    <n v="0"/>
  </r>
  <r>
    <n v="351"/>
    <s v="แขวงทางหลวงตากที่ 1"/>
    <n v="512"/>
    <n v="1108"/>
    <n v="100"/>
    <s v="ค่ายพระเจ้าตาก - นาโบสถ์"/>
    <s v="0+000"/>
    <s v="18+628"/>
    <n v="18.628"/>
    <n v="2"/>
    <s v="L1"/>
    <d v="2015-09-10T00:00:00"/>
    <s v="A.C."/>
    <n v="12.5"/>
    <n v="4.45"/>
    <n v="1.05"/>
    <n v="0.57999999999999996"/>
    <n v="2.42116"/>
    <n v="2.5"/>
    <n v="18.375"/>
    <n v="0.17499999999999999"/>
    <n v="2.5000000000000001E-2"/>
    <n v="0"/>
    <n v="2.21265"/>
    <n v="2"/>
    <n v="0"/>
    <n v="0"/>
    <n v="18.579999999999998"/>
    <n v="1.2001500000000001"/>
    <n v="0"/>
    <n v="11.15"/>
    <n v="8.5508757937360035E-3"/>
    <x v="106"/>
    <n v="84.56"/>
    <n v="0.12969722997637961"/>
    <n v="0"/>
    <n v="0"/>
    <n v="0"/>
    <n v="0"/>
  </r>
  <r>
    <n v="726"/>
    <s v="แขวงทางหลวงขอนแก่นที่ 2 (ชุมแพ)"/>
    <n v="627"/>
    <n v="2159"/>
    <n v="201"/>
    <s v="ห้วยยางคำ  -  เกษตรสมบูรณ์"/>
    <n v="48149"/>
    <n v="77516"/>
    <n v="29.367000000000001"/>
    <n v="2"/>
    <s v="L1"/>
    <d v="2015-06-24T00:00:00"/>
    <s v="A.C."/>
    <n v="14.324999999999999"/>
    <n v="9.4499999999999993"/>
    <n v="4.0250000000000004"/>
    <n v="1.375"/>
    <n v="2.7870599999999999"/>
    <n v="3"/>
    <n v="27.95"/>
    <n v="0.97499999999999998"/>
    <n v="0.15"/>
    <n v="0.1"/>
    <n v="4.4734600000000002"/>
    <n v="4.5"/>
    <n v="0"/>
    <n v="0"/>
    <n v="29.367000000000001"/>
    <n v="1.53043"/>
    <n v="6.02"/>
    <n v="3.01"/>
    <n v="8.5299999999999994E-3"/>
    <x v="106"/>
    <n v="0"/>
    <n v="0"/>
    <n v="0"/>
    <n v="0"/>
    <n v="7.68"/>
    <n v="7.4719437269238059E-3"/>
  </r>
  <r>
    <n v="604"/>
    <s v="แขวงทางหลวงเลยที่ 1"/>
    <n v="554"/>
    <n v="2019"/>
    <n v="100"/>
    <s v="โป่งวัว - อุทยานแห่งชาติภูกระดึง"/>
    <n v="0"/>
    <n v="7550"/>
    <n v="7.55"/>
    <n v="2"/>
    <s v="L2"/>
    <d v="2015-06-27T00:00:00"/>
    <s v="A.C."/>
    <n v="3.17"/>
    <n v="3.09"/>
    <n v="0.98"/>
    <n v="0.33"/>
    <n v="2.7510300000000001"/>
    <n v="3"/>
    <n v="7.12"/>
    <n v="0.33"/>
    <n v="0.05"/>
    <n v="0.05"/>
    <n v="3.8259300000000001"/>
    <n v="4"/>
    <n v="0"/>
    <n v="0"/>
    <n v="7.55"/>
    <n v="1.1741900000000001"/>
    <n v="0"/>
    <n v="4.4000000000000004"/>
    <n v="8.3254493850520341E-3"/>
    <x v="106"/>
    <n v="0"/>
    <n v="0"/>
    <n v="0"/>
    <n v="0"/>
    <n v="0"/>
    <n v="0"/>
  </r>
  <r>
    <n v="707"/>
    <s v="แขวงทางหลวงชัยภูมิ"/>
    <n v="626"/>
    <n v="2170"/>
    <n v="100"/>
    <s v="หนองบัวใหญ่ - หนองจาน"/>
    <n v="30714"/>
    <n v="0"/>
    <n v="30.713999999999999"/>
    <n v="2"/>
    <s v="R1"/>
    <d v="2015-06-19T00:00:00"/>
    <s v="A.C."/>
    <n v="16.024999999999999"/>
    <n v="8.625"/>
    <n v="4.1749999999999998"/>
    <n v="1.7250000000000001"/>
    <n v="3.4630000000000001"/>
    <n v="3.5"/>
    <n v="28.8"/>
    <n v="1.45"/>
    <n v="0.3"/>
    <n v="0"/>
    <n v="4.3392799999999996"/>
    <n v="4.5"/>
    <n v="0"/>
    <n v="0"/>
    <n v="30.55"/>
    <n v="1.0455099999999999"/>
    <n v="8.52"/>
    <n v="0"/>
    <n v="7.9256551223732315E-3"/>
    <x v="106"/>
    <n v="0"/>
    <n v="0"/>
    <n v="0"/>
    <n v="0"/>
    <n v="0"/>
    <n v="0"/>
  </r>
  <r>
    <n v="755"/>
    <s v="แขวงทางหลวงชัยภูมิ"/>
    <n v="626"/>
    <n v="2170"/>
    <n v="100"/>
    <s v="หนองบัวใหญ่ - หนองจาน"/>
    <n v="30714"/>
    <n v="0"/>
    <n v="30.713999999999999"/>
    <n v="2"/>
    <s v="R1"/>
    <d v="2015-06-19T00:00:00"/>
    <s v="A.C."/>
    <n v="16.024999999999999"/>
    <n v="8.625"/>
    <n v="4.1749999999999998"/>
    <n v="1.7250000000000001"/>
    <n v="3.4630000000000001"/>
    <n v="3.5"/>
    <n v="28.8"/>
    <n v="1.45"/>
    <n v="0.3"/>
    <n v="0"/>
    <n v="4.3392799999999996"/>
    <n v="4.5"/>
    <n v="0"/>
    <n v="0"/>
    <n v="30.55"/>
    <n v="1.0455099999999999"/>
    <n v="8.52"/>
    <n v="0"/>
    <n v="7.9256551223732315E-3"/>
    <x v="106"/>
    <n v="0"/>
    <n v="0"/>
    <n v="0"/>
    <n v="0"/>
    <n v="0"/>
    <n v="0"/>
  </r>
  <r>
    <n v="1525"/>
    <s v="แขวงทางหลวงอยุธยา"/>
    <n v="413"/>
    <n v="34770"/>
    <n v="100"/>
    <s v="บางปะอิน - อยุธยา"/>
    <n v="0"/>
    <n v="14510"/>
    <n v="14.51"/>
    <n v="4"/>
    <s v="R2"/>
    <d v="2015-09-18T00:00:00"/>
    <s v="A.C."/>
    <n v="12.2"/>
    <n v="2.25"/>
    <n v="0.85"/>
    <n v="0.47499999999999998"/>
    <n v="2.7258200000000001"/>
    <n v="2.5"/>
    <n v="15.625"/>
    <n v="0.125"/>
    <n v="2.5000000000000001E-2"/>
    <n v="0"/>
    <n v="4.7974199999999998"/>
    <n v="5"/>
    <n v="0"/>
    <n v="0"/>
    <n v="14.51"/>
    <n v="1.0735699999999999"/>
    <n v="0"/>
    <n v="8.01"/>
    <n v="7.8861868662006493E-3"/>
    <x v="106"/>
    <n v="0"/>
    <n v="0"/>
    <n v="0"/>
    <n v="0"/>
    <n v="0"/>
    <n v="0"/>
  </r>
  <r>
    <n v="1205"/>
    <s v="แขวงทางหลวงลพบุรีที่ 2 (ลำนารายณ์)"/>
    <n v="435"/>
    <n v="2247"/>
    <n v="102"/>
    <s v="ลำสมพุง - ป่าไผ่"/>
    <s v="47+126"/>
    <s v="25+688"/>
    <n v="21.437999999999999"/>
    <n v="2"/>
    <s v="R1"/>
    <d v="2015-10-05T00:00:00"/>
    <s v="A.C."/>
    <n v="10.75"/>
    <n v="6.6749999999999998"/>
    <n v="2.7250000000000001"/>
    <n v="1.325"/>
    <n v="2.7803300000000002"/>
    <n v="3"/>
    <n v="18.7"/>
    <n v="2.0499999999999998"/>
    <n v="0.47499999999999998"/>
    <n v="0.25"/>
    <n v="5.42638"/>
    <n v="5.5"/>
    <n v="0"/>
    <n v="0"/>
    <n v="21.437999999999999"/>
    <n v="1.34883"/>
    <n v="1.6"/>
    <n v="8.6310000000000002"/>
    <n v="7.8838644329828206E-3"/>
    <x v="106"/>
    <n v="0.23"/>
    <n v="3.0699999999999998E-4"/>
    <n v="0"/>
    <n v="0"/>
    <n v="0"/>
    <n v="0"/>
  </r>
  <r>
    <n v="590"/>
    <s v="แขวงทางหลวงเพชรบูรณ์ที่ 2 (บึงสามพัน)"/>
    <n v="552"/>
    <n v="2398"/>
    <n v="102"/>
    <s v="ซับพุทรา - ชนแดน"/>
    <n v="18000"/>
    <n v="39871"/>
    <n v="21.870999999999999"/>
    <n v="2"/>
    <s v="L1"/>
    <d v="2015-07-10T00:00:00"/>
    <s v="A.C."/>
    <n v="15.9"/>
    <n v="3.55"/>
    <n v="1.65"/>
    <n v="0.625"/>
    <n v="2.2714699999999999"/>
    <n v="2.5"/>
    <n v="19.925000000000001"/>
    <n v="1.4750000000000001"/>
    <n v="0.27500000000000002"/>
    <n v="0.05"/>
    <n v="5.24918"/>
    <n v="5"/>
    <n v="0"/>
    <n v="2.5000000000000001E-2"/>
    <n v="21.724999999999998"/>
    <n v="1.3717600000000001"/>
    <n v="6"/>
    <n v="0"/>
    <n v="7.8381679588757462E-3"/>
    <x v="106"/>
    <n v="0"/>
    <n v="0"/>
    <n v="0"/>
    <n v="0"/>
    <n v="1"/>
    <n v="1.3063613264792911E-3"/>
  </r>
  <r>
    <n v="2018"/>
    <s v="แขวงทางหลวงสุราษฎร์ธานี ที่ 1 (พุนพิน)"/>
    <n v="325"/>
    <n v="4223"/>
    <n v="100"/>
    <s v="ห้วยพุน - พุมเรียง"/>
    <n v="18173"/>
    <n v="0"/>
    <n v="18.172999999999998"/>
    <n v="2"/>
    <s v="R1"/>
    <d v="2015-04-22T00:00:00"/>
    <s v="A.C."/>
    <n v="7.69"/>
    <n v="5.59"/>
    <n v="1.4"/>
    <n v="3.49"/>
    <n v="3.4417900000000001"/>
    <n v="3.5"/>
    <n v="13.51"/>
    <n v="3.96"/>
    <n v="0.47"/>
    <n v="0.23"/>
    <n v="7.1572899999999997"/>
    <n v="7"/>
    <n v="0"/>
    <n v="0"/>
    <n v="18.170000000000002"/>
    <n v="1.10883"/>
    <n v="4.96"/>
    <n v="0"/>
    <n v="7.7980677771576365E-3"/>
    <x v="106"/>
    <n v="86.35"/>
    <n v="0.13575870011241165"/>
    <n v="0"/>
    <n v="0"/>
    <n v="0"/>
    <n v="0"/>
  </r>
  <r>
    <n v="359"/>
    <s v="แขวงทางหลวงตากที่ 1"/>
    <n v="512"/>
    <n v="1357"/>
    <n v="100"/>
    <s v="ทางเข้าเขื่อนภูมิพล"/>
    <s v="0+000"/>
    <s v="15+015"/>
    <n v="15.015000000000001"/>
    <n v="2"/>
    <s v="L1"/>
    <d v="2015-09-12T00:00:00"/>
    <s v="A.C."/>
    <n v="11"/>
    <n v="2.2749999999999999"/>
    <n v="1.425"/>
    <n v="0.2"/>
    <n v="2.2500800000000001"/>
    <n v="2.5"/>
    <n v="14.9"/>
    <n v="0"/>
    <n v="0"/>
    <n v="0"/>
    <n v="2.19896"/>
    <n v="2"/>
    <n v="0"/>
    <n v="0"/>
    <n v="14.9"/>
    <n v="1.5302199999999999"/>
    <n v="0"/>
    <n v="8.14"/>
    <n v="7.7446363160648879E-3"/>
    <x v="106"/>
    <n v="88.39"/>
    <n v="0.1681937110508539"/>
    <n v="0"/>
    <n v="0"/>
    <n v="0"/>
    <n v="0"/>
  </r>
  <r>
    <n v="1960"/>
    <s v="แขวงทางหลวงนครศรีธรรมราชที่ 1"/>
    <n v="321"/>
    <n v="4150"/>
    <n v="100"/>
    <s v="หัวไทร - ปากเหมือง"/>
    <n v="0"/>
    <n v="15800"/>
    <n v="15.8"/>
    <n v="2"/>
    <s v="L1"/>
    <d v="2015-04-29T00:00:00"/>
    <s v="A.C."/>
    <n v="10.3"/>
    <n v="3.6"/>
    <n v="1.175"/>
    <n v="0.75"/>
    <n v="2.605"/>
    <n v="2.5"/>
    <n v="14.625"/>
    <n v="0.65"/>
    <n v="0.4"/>
    <n v="0.15"/>
    <n v="3.62"/>
    <n v="3.5"/>
    <n v="0"/>
    <n v="0"/>
    <n v="15.825000000000001"/>
    <n v="1.194"/>
    <n v="3.6202299999999998"/>
    <n v="1.1937800000000001"/>
    <n v="7.6258951175406861E-3"/>
    <x v="106"/>
    <n v="213"/>
    <n v="0.3851717902350813"/>
    <n v="0"/>
    <n v="0"/>
    <n v="0"/>
    <n v="0"/>
  </r>
  <r>
    <n v="1833"/>
    <s v="แขวงทางหลวงชลบุรีที่ 2"/>
    <n v="428"/>
    <n v="3702"/>
    <n v="500"/>
    <s v="ทางต่างระดับคีรี - พัทยา"/>
    <s v="122+826"/>
    <s v="120+622"/>
    <n v="2.2040000000000002"/>
    <n v="2"/>
    <s v="R1"/>
    <d v="2015-08-16T00:00:00"/>
    <s v="A.C."/>
    <n v="1.175"/>
    <n v="0.3"/>
    <n v="0.52500000000000002"/>
    <n v="0.17499999999999999"/>
    <n v="2.8740000000000001"/>
    <n v="3"/>
    <n v="2.0750000000000002"/>
    <n v="0.05"/>
    <n v="0.05"/>
    <n v="0"/>
    <n v="3.956"/>
    <n v="4"/>
    <n v="0"/>
    <n v="0"/>
    <n v="2.1749999999999998"/>
    <n v="1.2270000000000001"/>
    <n v="0"/>
    <n v="1.17"/>
    <n v="7.5836142079336259E-3"/>
    <x v="106"/>
    <n v="0"/>
    <n v="0"/>
    <n v="0"/>
    <n v="0"/>
    <n v="0"/>
    <n v="0"/>
  </r>
  <r>
    <n v="838"/>
    <s v="แขวงทางหลวงสุรินทร์"/>
    <n v="615"/>
    <n v="24"/>
    <n v="402"/>
    <s v="ปราสาท - สังขะ"/>
    <n v="240719"/>
    <n v="191746"/>
    <n v="48.972999999999999"/>
    <n v="4"/>
    <s v="R1"/>
    <d v="2015-05-10T00:00:00"/>
    <s v="A.C."/>
    <n v="31.1"/>
    <n v="11.074999999999999"/>
    <n v="4.75"/>
    <n v="1.75"/>
    <n v="2.4190700000000001"/>
    <n v="2.5"/>
    <n v="46.125"/>
    <n v="2.2250000000000001"/>
    <n v="0.22500000000000001"/>
    <n v="0.1"/>
    <n v="5.3708"/>
    <n v="5.5"/>
    <n v="0"/>
    <n v="0"/>
    <n v="48.674999999999997"/>
    <n v="1.16882"/>
    <n v="12.87"/>
    <n v="0"/>
    <n v="7.5100000000000002E-3"/>
    <x v="106"/>
    <n v="8.82"/>
    <n v="5.1500000000000001E-3"/>
    <n v="0"/>
    <n v="0"/>
    <n v="0"/>
    <n v="0"/>
  </r>
  <r>
    <n v="650"/>
    <s v="แขวงทางหลวงขอนแก่นที่ 1"/>
    <n v="621"/>
    <n v="2322"/>
    <n v="202"/>
    <s v="หนองกุงใหญ่ - กระนวน"/>
    <n v="77292"/>
    <n v="87292"/>
    <n v="10"/>
    <n v="2"/>
    <s v="L1"/>
    <d v="2015-06-17T00:00:00"/>
    <s v="A.C."/>
    <n v="7.3250000000000002"/>
    <n v="1.875"/>
    <n v="0.5"/>
    <n v="0.15"/>
    <n v="2.246"/>
    <n v="2"/>
    <n v="9.0749999999999993"/>
    <n v="0.52500000000000002"/>
    <n v="0.25"/>
    <n v="0"/>
    <n v="5.3369999999999997"/>
    <n v="5.5"/>
    <n v="0"/>
    <n v="0"/>
    <n v="9.85"/>
    <n v="1.1459999999999999"/>
    <n v="1.33"/>
    <n v="2.42"/>
    <n v="7.257142857142857E-3"/>
    <x v="106"/>
    <n v="0"/>
    <n v="0"/>
    <n v="0"/>
    <n v="0"/>
    <n v="0"/>
    <n v="0"/>
  </r>
  <r>
    <n v="1551"/>
    <s v="แขวงทางหลวงสมุทรสาคร"/>
    <n v="415"/>
    <n v="3423"/>
    <n v="100"/>
    <s v="สมุทรสาคร - โคกขาม"/>
    <s v="0+200"/>
    <s v="7+137"/>
    <n v="6.9370000000000003"/>
    <n v="2"/>
    <s v="L1"/>
    <d v="2015-08-26T00:00:00"/>
    <s v="A.C."/>
    <n v="2.375"/>
    <n v="2.0499999999999998"/>
    <n v="1.425"/>
    <n v="0.82499999999999996"/>
    <n v="3.42869"/>
    <n v="3.5"/>
    <n v="5.1749999999999998"/>
    <n v="1.0249999999999999"/>
    <n v="0.35"/>
    <n v="0.125"/>
    <n v="7.2447499999999998"/>
    <n v="7"/>
    <n v="0"/>
    <n v="0"/>
    <n v="6.6749999999999998"/>
    <n v="1.24956"/>
    <n v="0"/>
    <n v="3.51"/>
    <n v="7.2300000000000003E-3"/>
    <x v="106"/>
    <n v="0"/>
    <n v="0"/>
    <n v="185.42"/>
    <n v="0.76368999999999998"/>
    <n v="0"/>
    <n v="0"/>
  </r>
  <r>
    <n v="935"/>
    <s v="แขวงทางหลวงนครราชสีมาที่ 1"/>
    <n v="611"/>
    <n v="202"/>
    <n v="201"/>
    <s v="แก้งสนามนาง - ดอนตะหนิน"/>
    <n v="25660"/>
    <n v="74394"/>
    <n v="48.734000000000002"/>
    <n v="2"/>
    <s v="L1"/>
    <d v="2015-04-24T00:00:00"/>
    <s v="A.C."/>
    <n v="36.4"/>
    <n v="8.85"/>
    <n v="1.825"/>
    <n v="0.77500000000000002"/>
    <n v="2.23"/>
    <n v="2"/>
    <n v="43.825000000000003"/>
    <n v="3.65"/>
    <n v="0.27500000000000002"/>
    <n v="0.1"/>
    <n v="4.7389999999999999"/>
    <n v="4.5"/>
    <n v="0"/>
    <n v="0"/>
    <n v="48.734000000000002"/>
    <n v="1.198"/>
    <n v="0"/>
    <n v="24.37"/>
    <n v="7.1437365523629726E-3"/>
    <x v="106"/>
    <n v="0"/>
    <n v="0"/>
    <n v="0"/>
    <n v="0"/>
    <n v="0"/>
    <n v="0"/>
  </r>
  <r>
    <n v="1301"/>
    <s v="แขวงทางหลวงสุพรรณบุรีที่ 1"/>
    <n v="441"/>
    <n v="3585"/>
    <n v="100"/>
    <s v="แหลมสะแก - เดิมบาง"/>
    <n v="0"/>
    <n v="2013"/>
    <n v="2.0129999999999999"/>
    <n v="2"/>
    <s v="L1"/>
    <d v="2015-06-30T00:00:00"/>
    <s v="A.C."/>
    <n v="0.95"/>
    <n v="0.67500000000000004"/>
    <n v="0.25"/>
    <n v="0.125"/>
    <n v="2.7973699999999999"/>
    <n v="3"/>
    <n v="2"/>
    <n v="0"/>
    <n v="0"/>
    <n v="0"/>
    <n v="1.77776"/>
    <n v="2"/>
    <n v="0"/>
    <n v="0"/>
    <n v="2"/>
    <n v="1.0972599999999999"/>
    <n v="0"/>
    <n v="1"/>
    <n v="7.096728408203818E-3"/>
    <x v="106"/>
    <n v="0"/>
    <n v="0"/>
    <n v="0"/>
    <n v="0"/>
    <n v="0"/>
    <n v="0"/>
  </r>
  <r>
    <n v="1759"/>
    <s v="แขวงทางหลวงตราด"/>
    <n v="425"/>
    <n v="3277"/>
    <n v="100"/>
    <s v="ขลุง - มะขาม"/>
    <s v="26+893"/>
    <s v="0+000"/>
    <n v="26.893000000000001"/>
    <n v="2"/>
    <s v="R1"/>
    <d v="2015-08-19T00:00:00"/>
    <s v="A.C."/>
    <n v="18.05"/>
    <n v="4.95"/>
    <n v="2.4500000000000002"/>
    <n v="1.425"/>
    <n v="2.3620000000000001"/>
    <n v="2.5"/>
    <n v="24.975000000000001"/>
    <n v="1.5249999999999999"/>
    <n v="0.22500000000000001"/>
    <n v="0.15"/>
    <n v="5.5419999999999998"/>
    <n v="5.5"/>
    <n v="0"/>
    <n v="0"/>
    <n v="26.875"/>
    <n v="1.268"/>
    <n v="0"/>
    <n v="13.07"/>
    <n v="6.942858205268498E-3"/>
    <x v="106"/>
    <n v="47.41"/>
    <n v="5.0368922343042001E-2"/>
    <n v="30.16"/>
    <n v="3.2042326468385292E-2"/>
    <n v="24.04"/>
    <n v="2.5540368975463607E-2"/>
  </r>
  <r>
    <n v="2178"/>
    <s v="แขวงทางหลวงสงขลาที่ 1"/>
    <n v="311"/>
    <n v="414"/>
    <n v="102"/>
    <s v="คลองวง - ท่าท้อน"/>
    <s v="24+315"/>
    <s v="17+350"/>
    <n v="6.9649999999999999"/>
    <n v="8"/>
    <s v="R1"/>
    <d v="2015-05-23T00:00:00"/>
    <s v="A.C."/>
    <n v="3.0249999999999999"/>
    <n v="1.875"/>
    <n v="1.55"/>
    <n v="0.4"/>
    <n v="2.8747400000000001"/>
    <n v="3"/>
    <n v="5"/>
    <n v="0.82499999999999996"/>
    <n v="0.55000000000000004"/>
    <n v="0.47499999999999998"/>
    <n v="7.2087500000000002"/>
    <n v="7"/>
    <n v="0"/>
    <n v="0"/>
    <n v="6.8500000000000005"/>
    <n v="1.07073"/>
    <n v="1.68"/>
    <n v="0"/>
    <n v="6.8916008614501086E-3"/>
    <x v="106"/>
    <n v="0"/>
    <n v="0"/>
    <n v="0"/>
    <n v="0"/>
    <n v="0"/>
    <n v="0"/>
  </r>
  <r>
    <n v="1952"/>
    <s v="แขวงทางหลวงนครศรีธรรมราชที่ 1"/>
    <n v="321"/>
    <n v="4016"/>
    <n v="101"/>
    <s v="นครศรีธรรมราช - พรหมคีรี"/>
    <s v="18+729"/>
    <n v="13500"/>
    <n v="5.2290000000000001"/>
    <n v="4"/>
    <s v="R1"/>
    <d v="2015-04-30T00:00:00"/>
    <s v="A.C."/>
    <n v="3.125"/>
    <n v="1.675"/>
    <n v="0.47499999999999998"/>
    <n v="0"/>
    <n v="2.7120000000000002"/>
    <n v="2.5"/>
    <n v="5.2750000000000004"/>
    <n v="0"/>
    <n v="0"/>
    <n v="0"/>
    <n v="3.214"/>
    <n v="3"/>
    <n v="0"/>
    <n v="0"/>
    <n v="5.2750000000000004"/>
    <n v="1.286"/>
    <n v="0"/>
    <n v="2.5"/>
    <n v="6.8300412534491707E-3"/>
    <x v="106"/>
    <n v="21.5"/>
    <n v="0.11747670955932574"/>
    <n v="0"/>
    <n v="0"/>
    <n v="0"/>
    <n v="0"/>
  </r>
  <r>
    <n v="1004"/>
    <s v="แขวงทางหลวงบุรีรัมย์"/>
    <n v="617"/>
    <n v="224"/>
    <n v="302"/>
    <s v="หนองต้อ - ตาเมียง"/>
    <s v="127+124"/>
    <s v="189+040"/>
    <n v="57.023000000000003"/>
    <n v="2"/>
    <s v="L1"/>
    <d v="2015-05-07T00:00:00"/>
    <s v="A.C."/>
    <n v="38.979999999999997"/>
    <n v="11.83"/>
    <n v="4.375"/>
    <n v="1.75"/>
    <n v="2.42977"/>
    <n v="2.5"/>
    <n v="55.225000000000001"/>
    <n v="1.3"/>
    <n v="0.32500000000000001"/>
    <n v="7.4999999999999997E-2"/>
    <n v="4.6029799999999996"/>
    <n v="4.5"/>
    <n v="0"/>
    <n v="0"/>
    <n v="56.934999999999995"/>
    <n v="1.29904"/>
    <n v="13.58"/>
    <n v="0"/>
    <n v="6.8042719604370161E-3"/>
    <x v="106"/>
    <n v="168.27"/>
    <n v="8.4311844092985033E-2"/>
    <n v="147.75"/>
    <n v="7.4030278509172986E-2"/>
    <n v="0"/>
    <n v="0"/>
  </r>
  <r>
    <n v="385"/>
    <s v="แขวงทางหลวงกำแพงเพชร"/>
    <n v="517"/>
    <n v="1084"/>
    <n v="200"/>
    <s v="หาดชะอม - กำแพงเพชร"/>
    <s v="115+516"/>
    <s v="48+188"/>
    <n v="67.328000000000003"/>
    <n v="2"/>
    <s v="R1"/>
    <d v="2015-09-14T00:00:00"/>
    <s v="A.C."/>
    <n v="44.77"/>
    <n v="15.11"/>
    <n v="5.71"/>
    <n v="1.74"/>
    <n v="2.43161"/>
    <n v="2.5"/>
    <n v="62.78"/>
    <n v="3.82"/>
    <n v="0.65"/>
    <n v="0.08"/>
    <n v="4.4878200000000001"/>
    <n v="4.5"/>
    <n v="0"/>
    <n v="0"/>
    <n v="67.33"/>
    <n v="1.0757099999999999"/>
    <n v="10.271000000000001"/>
    <n v="11.35"/>
    <n v="6.7668726235741439E-3"/>
    <x v="106"/>
    <n v="85.67"/>
    <n v="3.6355071971754478E-2"/>
    <n v="0"/>
    <n v="0"/>
    <n v="0"/>
    <n v="0"/>
  </r>
  <r>
    <n v="112"/>
    <s v="แขวงทางหลวงเชียงใหม่ที่ 3"/>
    <n v="527"/>
    <n v="1095"/>
    <n v="100"/>
    <s v="หนองโค้ง - กิ๋วคอหมา"/>
    <n v="0"/>
    <n v="64684"/>
    <n v="64.683999999999997"/>
    <n v="2"/>
    <s v="L1"/>
    <d v="2015-08-27T00:00:00"/>
    <s v="A.C."/>
    <n v="19.2"/>
    <n v="16.54"/>
    <n v="15.81"/>
    <n v="13.13"/>
    <n v="3.80586"/>
    <n v="4"/>
    <n v="61.72"/>
    <n v="2.5099999999999998"/>
    <n v="0.35"/>
    <n v="0.1"/>
    <n v="3.8814799999999998"/>
    <n v="4"/>
    <n v="0"/>
    <n v="0"/>
    <n v="64.680000000000007"/>
    <n v="1.1840200000000001"/>
    <n v="14.853999999999999"/>
    <n v="0"/>
    <n v="6.5611279450868837E-3"/>
    <x v="106"/>
    <n v="1.32"/>
    <n v="5.8305432122759439E-4"/>
    <n v="2.68"/>
    <n v="1.1837769552196613E-3"/>
    <n v="0"/>
    <n v="0"/>
  </r>
  <r>
    <n v="1746"/>
    <s v="แขวงทางหลวงจันทบุรี"/>
    <n v="423"/>
    <n v="3409"/>
    <n v="100"/>
    <s v="ชากไทย - ทุ่งจันดำ"/>
    <n v="0"/>
    <n v="16175"/>
    <n v="16.175000000000001"/>
    <n v="2"/>
    <s v="L1"/>
    <d v="2015-08-19T00:00:00"/>
    <s v="A.C."/>
    <n v="6.35"/>
    <n v="2.65"/>
    <n v="3.7749999999999999"/>
    <n v="3.375"/>
    <n v="3.2606000000000002"/>
    <n v="3.5"/>
    <n v="12.725"/>
    <n v="2.5750000000000002"/>
    <n v="0.65"/>
    <n v="0.2"/>
    <n v="6.9146299999999998"/>
    <n v="7"/>
    <n v="0"/>
    <n v="0"/>
    <n v="16.175000000000001"/>
    <n v="1.1956899999999999"/>
    <n v="2.2000000000000002"/>
    <n v="3.02"/>
    <n v="6.553323029366306E-3"/>
    <x v="106"/>
    <n v="6.79"/>
    <n v="1.1993817619783615E-2"/>
    <n v="0"/>
    <n v="0"/>
    <n v="25.85"/>
    <n v="4.5659999999999999E-2"/>
  </r>
  <r>
    <n v="381"/>
    <s v="แขวงทางหลวงกำแพงเพชร"/>
    <n v="517"/>
    <n v="1072"/>
    <n v="200"/>
    <s v="เขาชนกัน - คลองลาน"/>
    <s v="97+309"/>
    <s v="65+000"/>
    <n v="32.308999999999997"/>
    <n v="4"/>
    <s v="R1"/>
    <d v="2015-09-15T00:00:00"/>
    <s v="A.C."/>
    <n v="19.329999999999998"/>
    <n v="9.56"/>
    <n v="2.67"/>
    <n v="0.75"/>
    <n v="2.4569200000000002"/>
    <n v="2.5"/>
    <n v="31.76"/>
    <n v="0.5"/>
    <n v="0.05"/>
    <n v="0"/>
    <n v="2.92835"/>
    <n v="3"/>
    <n v="0"/>
    <n v="0"/>
    <n v="32.31"/>
    <n v="1.2127699999999999"/>
    <n v="0"/>
    <n v="14.68"/>
    <n v="6.4908937359338193E-3"/>
    <x v="106"/>
    <n v="77.98"/>
    <n v="6.8959113559689256E-2"/>
    <n v="0"/>
    <n v="0"/>
    <n v="0"/>
    <n v="0"/>
  </r>
  <r>
    <n v="799"/>
    <s v="แขวงทางหลวงร้อยเอ็ด"/>
    <n v="635"/>
    <n v="2044"/>
    <n v="101"/>
    <s v="ร้อยเอ็ด - หนองดง"/>
    <n v="184"/>
    <n v="31800"/>
    <n v="31.616"/>
    <n v="4"/>
    <s v="L2"/>
    <d v="2015-05-26T00:00:00"/>
    <s v="A.C."/>
    <n v="19.175000000000001"/>
    <n v="7.6000000000000005"/>
    <n v="3.65"/>
    <n v="1.175"/>
    <n v="3.4830000000000001"/>
    <n v="3.5"/>
    <n v="25.824999999999999"/>
    <n v="3.5999999999999996"/>
    <n v="1.45"/>
    <n v="0.72499999999999998"/>
    <n v="6.298"/>
    <n v="6.5"/>
    <n v="0"/>
    <n v="0"/>
    <n v="31.616"/>
    <n v="1.2098"/>
    <n v="7"/>
    <n v="0"/>
    <n v="6.3299999999999997E-3"/>
    <x v="106"/>
    <n v="0"/>
    <n v="0"/>
    <n v="80"/>
    <n v="7.2353000000000001E-2"/>
    <n v="0"/>
    <n v="0"/>
  </r>
  <r>
    <n v="259"/>
    <s v="แขวงทางหลวงน่านที่ 2"/>
    <n v="539"/>
    <n v="1148"/>
    <n v="101"/>
    <s v="ท่าวังผา - สะเกิน"/>
    <s v="0+000"/>
    <s v="65+177"/>
    <n v="65.177000000000007"/>
    <n v="2"/>
    <s v="F1"/>
    <d v="2015-07-27T00:00:00"/>
    <s v="A.C."/>
    <n v="29.34"/>
    <n v="19.87"/>
    <n v="10.78"/>
    <n v="5.19"/>
    <n v="2.9863900000000001"/>
    <n v="3"/>
    <n v="58.18"/>
    <n v="5.19"/>
    <n v="1.1399999999999999"/>
    <n v="0.69"/>
    <n v="6.1958299999999999"/>
    <n v="6"/>
    <n v="0.35"/>
    <n v="0.35"/>
    <n v="64.47"/>
    <n v="1.62968"/>
    <n v="0"/>
    <n v="27.77"/>
    <n v="6.0867220908339698E-3"/>
    <x v="106"/>
    <n v="0"/>
    <n v="0"/>
    <n v="13"/>
    <n v="5.6987675319295356E-3"/>
    <n v="0"/>
    <n v="0"/>
  </r>
  <r>
    <n v="873"/>
    <s v="แขวงทางหลวงอุบลราชธานีที่ 1"/>
    <n v="631"/>
    <n v="2383"/>
    <n v="100"/>
    <s v="ม่วงสามสิบ - ดู่น้อย"/>
    <n v="0"/>
    <n v="27723"/>
    <n v="27.722999999999999"/>
    <n v="2"/>
    <s v="L1"/>
    <d v="2015-05-15T00:00:00"/>
    <s v="A.C."/>
    <n v="17.649999999999999"/>
    <n v="6.8250000000000002"/>
    <n v="2.0499999999999998"/>
    <n v="1.1000000000000001"/>
    <n v="2.4794"/>
    <n v="2.5"/>
    <n v="26.824999999999999"/>
    <n v="0.77500000000000002"/>
    <n v="2.5000000000000001E-2"/>
    <n v="0"/>
    <n v="4.8553300000000004"/>
    <n v="5"/>
    <n v="0"/>
    <n v="0"/>
    <n v="27.625"/>
    <n v="1.6266700000000001"/>
    <n v="5.75"/>
    <n v="0"/>
    <n v="5.9300000000000004E-3"/>
    <x v="106"/>
    <n v="0"/>
    <n v="0"/>
    <n v="27.34"/>
    <n v="2.8177000000000001E-2"/>
    <n v="0"/>
    <n v="0"/>
  </r>
  <r>
    <n v="1265"/>
    <s v="แขวงทางหลวงนครสวรรค์ที่ 2 (ตากฟ้า)"/>
    <n v="438"/>
    <n v="3196"/>
    <n v="200"/>
    <s v="ปากคลองห้า - จันเสน"/>
    <s v="2+100"/>
    <s v="30+500"/>
    <n v="28.4"/>
    <n v="2"/>
    <s v="L1"/>
    <d v="2015-10-05T00:00:00"/>
    <s v="A.C."/>
    <n v="11.55"/>
    <n v="6"/>
    <n v="4.9000000000000004"/>
    <n v="6"/>
    <n v="3.5225900000000001"/>
    <n v="3.5"/>
    <n v="25.725000000000001"/>
    <n v="1.575"/>
    <n v="0.67500000000000004"/>
    <n v="0.47499999999999998"/>
    <n v="4.7084700000000002"/>
    <n v="4.5"/>
    <n v="0"/>
    <n v="0"/>
    <n v="28.4"/>
    <n v="1.4288700000000001"/>
    <n v="2.69"/>
    <n v="6.32"/>
    <n v="5.8853118712273644E-3"/>
    <x v="106"/>
    <n v="8.2100000000000009"/>
    <n v="8.2595573440643871E-3"/>
    <n v="0"/>
    <n v="0"/>
    <n v="0"/>
    <n v="0"/>
  </r>
  <r>
    <n v="2204"/>
    <s v="แขวงทางหลวงพัทลุง"/>
    <n v="314"/>
    <n v="4187"/>
    <n v="102"/>
    <s v="ควนขนุน - ทะเลน้อย"/>
    <n v="2770"/>
    <n v="18277"/>
    <n v="15.507"/>
    <n v="2"/>
    <s v="L1"/>
    <d v="2015-05-20T00:00:00"/>
    <s v="A.C."/>
    <n v="12.275"/>
    <n v="2.4"/>
    <n v="0.625"/>
    <n v="0.15"/>
    <n v="2.1383000000000001"/>
    <n v="2"/>
    <n v="15.375"/>
    <n v="2.5000000000000001E-2"/>
    <n v="0.05"/>
    <n v="0"/>
    <n v="2.7395200000000002"/>
    <n v="2.5"/>
    <n v="0"/>
    <n v="0"/>
    <n v="15.450000000000001"/>
    <n v="1.0700400000000001"/>
    <n v="0"/>
    <n v="6.34"/>
    <n v="5.8406802457876168E-3"/>
    <x v="106"/>
    <n v="0"/>
    <n v="0"/>
    <n v="0"/>
    <n v="0"/>
    <n v="0"/>
    <n v="0"/>
  </r>
  <r>
    <n v="392"/>
    <s v="แขวงทางหลวงกำแพงเพชร"/>
    <n v="517"/>
    <n v="1280"/>
    <n v="100"/>
    <s v="ทุ่งมหาชัย-ระหาน"/>
    <s v="42+469"/>
    <s v="0+000"/>
    <n v="42.469000000000001"/>
    <n v="2"/>
    <s v="R1"/>
    <d v="2015-09-14T00:00:00"/>
    <s v="A.C."/>
    <n v="29.99"/>
    <n v="8.0299999999999994"/>
    <n v="3.1"/>
    <n v="1.35"/>
    <n v="2.3158599999999998"/>
    <n v="2.5"/>
    <n v="40.32"/>
    <n v="1.93"/>
    <n v="0.18"/>
    <n v="0.05"/>
    <n v="3.8090099999999998"/>
    <n v="4"/>
    <n v="0"/>
    <n v="0"/>
    <n v="42.47"/>
    <n v="1.1558200000000001"/>
    <n v="0"/>
    <n v="16.940000000000001"/>
    <n v="5.6982740351786011E-3"/>
    <x v="106"/>
    <n v="76.548000000000002"/>
    <n v="5.1498403877786481E-2"/>
    <n v="0"/>
    <n v="0"/>
    <n v="0"/>
    <n v="0"/>
  </r>
  <r>
    <n v="1875"/>
    <s v="แขวงทางหลวงราชบุรี"/>
    <n v="335"/>
    <n v="3273"/>
    <n v="100"/>
    <s v="โคกสูง - หนองเป็ด"/>
    <n v="0"/>
    <n v="16457"/>
    <n v="16.457000000000001"/>
    <n v="2"/>
    <s v="L1"/>
    <d v="2015-03-30T00:00:00"/>
    <s v="A.C."/>
    <n v="8.42"/>
    <n v="4.5599999999999996"/>
    <n v="2.36"/>
    <n v="1.1299999999999999"/>
    <n v="2.8897699999999999"/>
    <n v="3"/>
    <n v="16.399999999999999"/>
    <n v="0.05"/>
    <n v="0"/>
    <n v="0"/>
    <n v="2.3640400000000001"/>
    <n v="2.5"/>
    <n v="0"/>
    <n v="0"/>
    <n v="16.46"/>
    <n v="1.2793000000000001"/>
    <n v="3.25"/>
    <n v="0"/>
    <n v="5.6424100903653676E-3"/>
    <x v="106"/>
    <n v="1.36"/>
    <n v="2.3611316070452E-3"/>
    <n v="0"/>
    <n v="0"/>
    <n v="0"/>
    <n v="0"/>
  </r>
  <r>
    <n v="1782"/>
    <s v="แขวงทางหลวงชลบุรีที่ 2"/>
    <n v="428"/>
    <n v="331"/>
    <n v="101"/>
    <s v="สัตหีบ - ห้วยใหญ่"/>
    <n v="10000"/>
    <n v="0"/>
    <n v="10"/>
    <n v="2"/>
    <s v="L1"/>
    <d v="2015-08-14T00:00:00"/>
    <s v="A.C."/>
    <n v="6.35"/>
    <n v="2.4"/>
    <n v="0.9"/>
    <n v="0.375"/>
    <n v="2.3660000000000001"/>
    <n v="2.5"/>
    <n v="9.6999999999999993"/>
    <n v="0.15"/>
    <n v="2.5000000000000001E-2"/>
    <n v="0.15"/>
    <n v="5.0759999999999996"/>
    <n v="5"/>
    <n v="0"/>
    <n v="0"/>
    <n v="10.025"/>
    <n v="1.345"/>
    <n v="1.97"/>
    <n v="0"/>
    <n v="5.6285714285714281E-3"/>
    <x v="106"/>
    <n v="0"/>
    <n v="0"/>
    <n v="12.27"/>
    <n v="3.5057142857142856E-2"/>
    <n v="0"/>
    <n v="0"/>
  </r>
  <r>
    <n v="871"/>
    <s v="แขวงทางหลวงอุบลราชธานีที่ 1"/>
    <n v="631"/>
    <n v="2049"/>
    <n v="100"/>
    <s v="ม่วงสามสิบ - พนา"/>
    <n v="24500"/>
    <n v="0"/>
    <n v="24.5"/>
    <n v="2"/>
    <s v="R1"/>
    <d v="2015-05-15T00:00:00"/>
    <s v="A.C."/>
    <n v="19.175000000000001"/>
    <n v="4.45"/>
    <n v="0.75"/>
    <n v="0.15"/>
    <n v="2.0385"/>
    <n v="2"/>
    <n v="24.3"/>
    <n v="0.22500000000000001"/>
    <n v="0"/>
    <n v="0"/>
    <n v="4.6641700000000004"/>
    <n v="4.5"/>
    <n v="0"/>
    <n v="0"/>
    <n v="24.524999999999999"/>
    <n v="1.34754"/>
    <n v="0"/>
    <n v="9.48"/>
    <n v="5.5300000000000002E-3"/>
    <x v="106"/>
    <n v="0"/>
    <n v="0"/>
    <n v="0"/>
    <n v="0"/>
    <n v="0"/>
    <n v="0"/>
  </r>
  <r>
    <n v="706"/>
    <s v="แขวงทางหลวงชัยภูมิ"/>
    <n v="626"/>
    <n v="2069"/>
    <n v="100"/>
    <s v="บำเหน็จณรงค์ - ซับใหญ่"/>
    <n v="2542"/>
    <n v="17734"/>
    <n v="15.192"/>
    <n v="2"/>
    <s v="L1"/>
    <d v="2015-06-19T00:00:00"/>
    <s v="A.C."/>
    <n v="6.5"/>
    <n v="5.625"/>
    <n v="2.375"/>
    <n v="0.625"/>
    <n v="2.8610600000000002"/>
    <n v="3"/>
    <n v="15.05"/>
    <n v="0.05"/>
    <n v="2.5000000000000001E-2"/>
    <n v="0"/>
    <n v="2.4710700000000001"/>
    <n v="2.5"/>
    <n v="0"/>
    <n v="0"/>
    <n v="15.125"/>
    <n v="1.40076"/>
    <n v="2.13"/>
    <n v="1.56"/>
    <n v="5.472805235838412E-3"/>
    <x v="106"/>
    <n v="0"/>
    <n v="0"/>
    <n v="0"/>
    <n v="0"/>
    <n v="0"/>
    <n v="0"/>
  </r>
  <r>
    <n v="754"/>
    <s v="แขวงทางหลวงชัยภูมิ"/>
    <n v="626"/>
    <n v="2069"/>
    <n v="100"/>
    <s v="บำเหน็จณรงค์ - ซับใหญ่"/>
    <n v="2542"/>
    <n v="17734"/>
    <n v="15.192"/>
    <n v="2"/>
    <s v="L1"/>
    <d v="2015-06-19T00:00:00"/>
    <s v="A.C."/>
    <n v="6.5"/>
    <n v="5.625"/>
    <n v="2.375"/>
    <n v="0.625"/>
    <n v="2.8610600000000002"/>
    <n v="3"/>
    <n v="15.05"/>
    <n v="0.05"/>
    <n v="2.5000000000000001E-2"/>
    <n v="0"/>
    <n v="2.4710700000000001"/>
    <n v="2.5"/>
    <n v="0"/>
    <n v="0"/>
    <n v="15.125"/>
    <n v="1.40076"/>
    <n v="2.13"/>
    <n v="1.56"/>
    <n v="5.472805235838412E-3"/>
    <x v="106"/>
    <n v="0"/>
    <n v="0"/>
    <n v="0"/>
    <n v="0"/>
    <n v="0"/>
    <n v="0"/>
  </r>
  <r>
    <n v="1784"/>
    <s v="แขวงทางหลวงชลบุรีที่ 2"/>
    <n v="428"/>
    <n v="331"/>
    <n v="102"/>
    <s v="ห้วยใหญ่ - พันเสด็จนอก"/>
    <s v="10+000"/>
    <s v="47+000"/>
    <n v="37"/>
    <n v="4"/>
    <s v="L2"/>
    <d v="2015-08-14T00:00:00"/>
    <s v="A.C."/>
    <n v="28.95"/>
    <n v="5.125"/>
    <n v="1.9"/>
    <n v="0.95"/>
    <n v="2.3860000000000001"/>
    <n v="2.5"/>
    <n v="32.774999999999999"/>
    <n v="3.6749999999999998"/>
    <n v="0.45"/>
    <n v="2.5000000000000001E-2"/>
    <n v="6.1980000000000004"/>
    <n v="6"/>
    <n v="0"/>
    <n v="0"/>
    <n v="36.925000000000004"/>
    <n v="1.407"/>
    <n v="7"/>
    <n v="0"/>
    <n v="5.4054054054054057E-3"/>
    <x v="106"/>
    <n v="0"/>
    <n v="0"/>
    <n v="20.68"/>
    <n v="1.5969111969111969E-2"/>
    <n v="0"/>
    <n v="0"/>
  </r>
  <r>
    <n v="1790"/>
    <s v="แขวงทางหลวงชลบุรีที่ 2"/>
    <n v="428"/>
    <n v="3126"/>
    <n v="100"/>
    <s v="พลูตาหลวง - แสมสาร"/>
    <n v="0"/>
    <n v="11163"/>
    <n v="11.163"/>
    <n v="2"/>
    <s v="L1"/>
    <d v="2015-08-14T00:00:00"/>
    <s v="A.C."/>
    <n v="6.65"/>
    <n v="3.75"/>
    <n v="0.625"/>
    <n v="0.17499999999999999"/>
    <n v="2.4752100000000001"/>
    <n v="2.5"/>
    <n v="9.9250000000000007"/>
    <n v="1.2749999999999999"/>
    <n v="0"/>
    <n v="0"/>
    <n v="6.7085800000000004"/>
    <n v="6.5"/>
    <n v="0"/>
    <n v="0"/>
    <n v="11.200000000000001"/>
    <n v="1.31562"/>
    <n v="2.1"/>
    <n v="0"/>
    <n v="5.3748992206396132E-3"/>
    <x v="106"/>
    <n v="0"/>
    <n v="0"/>
    <n v="0"/>
    <n v="0"/>
    <n v="0"/>
    <n v="0"/>
  </r>
  <r>
    <n v="1673"/>
    <s v="แขวงทางหลวงธนบุรี"/>
    <n v="419"/>
    <n v="338"/>
    <n v="102"/>
    <s v="ทางยกระดับบางกอกน้อย - นครชัยศรี"/>
    <s v="8+944"/>
    <s v="0+000"/>
    <n v="8.9440000000000008"/>
    <n v="4"/>
    <s v="R2"/>
    <d v="2015-08-27T00:00:00"/>
    <s v="A.C."/>
    <n v="5.0750000000000002"/>
    <n v="3.3250000000000002"/>
    <n v="0.5"/>
    <n v="2.5000000000000001E-2"/>
    <n v="2.5019"/>
    <n v="2.5"/>
    <n v="8.9250000000000007"/>
    <n v="0"/>
    <n v="0"/>
    <n v="0"/>
    <n v="4.2478499999999997"/>
    <n v="4"/>
    <n v="0"/>
    <n v="0"/>
    <n v="8.9250000000000007"/>
    <n v="1.3442099999999999"/>
    <n v="0"/>
    <n v="3.36"/>
    <n v="5.3667262969588538E-3"/>
    <x v="106"/>
    <n v="0"/>
    <n v="0"/>
    <n v="0"/>
    <n v="0"/>
    <n v="0"/>
    <n v="0"/>
  </r>
  <r>
    <n v="2177"/>
    <s v="แขวงทางหลวงสงขลาที่ 1"/>
    <n v="311"/>
    <n v="414"/>
    <n v="102"/>
    <s v="คลองวง - ท่าท้อน"/>
    <s v="17+350"/>
    <s v="2+550"/>
    <n v="14.8"/>
    <n v="8"/>
    <s v="R1"/>
    <d v="2015-05-23T00:00:00"/>
    <s v="A.C."/>
    <n v="9.9"/>
    <n v="2.7749999999999999"/>
    <n v="1.2250000000000001"/>
    <n v="0.85"/>
    <n v="2.4414400000000001"/>
    <n v="2.5"/>
    <n v="12.9"/>
    <n v="1.2"/>
    <n v="0.6"/>
    <n v="0.05"/>
    <n v="4.9766899999999996"/>
    <n v="5"/>
    <n v="0"/>
    <n v="0"/>
    <n v="14.75"/>
    <n v="1.1441399999999999"/>
    <n v="0.7"/>
    <n v="4.0999999999999996"/>
    <n v="5.3088803088803087E-3"/>
    <x v="106"/>
    <n v="0.21"/>
    <n v="4.0540540540540538E-4"/>
    <n v="0"/>
    <n v="0"/>
    <n v="0"/>
    <n v="0"/>
  </r>
  <r>
    <n v="548"/>
    <s v="แขวงทางหลวงเพชรบูรณ์ที่ 1"/>
    <n v="551"/>
    <n v="12"/>
    <n v="601"/>
    <s v="เข็กน้อย - แยกอนุสาวรีย์พ่อขุนผาเมือง"/>
    <n v="355989"/>
    <n v="322612"/>
    <n v="33.377000000000002"/>
    <n v="4"/>
    <s v="R2"/>
    <d v="2015-07-07T00:00:00"/>
    <s v="A.C."/>
    <n v="25.58"/>
    <n v="6.36"/>
    <n v="1.96"/>
    <n v="0.49"/>
    <n v="2.2170000000000001"/>
    <n v="2"/>
    <n v="32.58"/>
    <n v="1.57"/>
    <n v="0.24"/>
    <n v="0"/>
    <n v="6.0460000000000003"/>
    <n v="6"/>
    <n v="0"/>
    <n v="0"/>
    <n v="34.39"/>
    <n v="1.3069999999999999"/>
    <n v="0"/>
    <n v="12.02"/>
    <n v="5.144689028800842E-3"/>
    <x v="106"/>
    <n v="1322"/>
    <n v="1.1316603820423816"/>
    <n v="0"/>
    <n v="0"/>
    <n v="272.88"/>
    <n v="0.23359113846575272"/>
  </r>
  <r>
    <n v="352"/>
    <s v="แขวงทางหลวงตากที่ 1"/>
    <n v="512"/>
    <n v="1110"/>
    <n v="100"/>
    <s v="ประดาง - วังเจ้า"/>
    <s v="0+000"/>
    <s v="25+974"/>
    <n v="25.974"/>
    <n v="2"/>
    <s v="L1"/>
    <d v="2015-09-10T00:00:00"/>
    <s v="A.C."/>
    <n v="16.63"/>
    <n v="6.3250000000000002"/>
    <n v="2.2999999999999998"/>
    <n v="1.2"/>
    <n v="2.5783"/>
    <n v="2.5"/>
    <n v="26.25"/>
    <n v="0.2"/>
    <n v="0"/>
    <n v="0"/>
    <n v="2.4380600000000001"/>
    <n v="2.5"/>
    <n v="0"/>
    <n v="0"/>
    <n v="26.454999999999998"/>
    <n v="1.1525399999999999"/>
    <n v="0"/>
    <n v="9.1999999999999993"/>
    <n v="5.0600050600050593E-3"/>
    <x v="106"/>
    <n v="77.650000000000006"/>
    <n v="8.5415085415085426E-2"/>
    <n v="0"/>
    <n v="0"/>
    <n v="0"/>
    <n v="0"/>
  </r>
  <r>
    <n v="890"/>
    <s v="แขวงทางหลวงอุบลราชธานีที่ 2 (หนองหาน)"/>
    <n v="632"/>
    <n v="2396"/>
    <n v="102"/>
    <s v="ป่าไม้ - หนองแสง"/>
    <n v="10000"/>
    <n v="48886"/>
    <n v="38.886000000000003"/>
    <n v="2"/>
    <s v="L1"/>
    <d v="2015-05-19T00:00:00"/>
    <s v="A.C."/>
    <n v="27.8"/>
    <n v="6.3"/>
    <n v="2.4750000000000001"/>
    <n v="2.0750000000000002"/>
    <n v="2.3698999999999999"/>
    <n v="2.5"/>
    <n v="33.475000000000001"/>
    <n v="3"/>
    <n v="1"/>
    <n v="1.175"/>
    <n v="4.0177899999999998"/>
    <n v="4"/>
    <n v="0"/>
    <n v="0"/>
    <n v="38.650000000000006"/>
    <n v="1.4574199999999999"/>
    <n v="0"/>
    <n v="13.66"/>
    <n v="5.0179999999999999E-3"/>
    <x v="106"/>
    <n v="292.39999999999998"/>
    <n v="0.21484"/>
    <n v="0"/>
    <n v="0"/>
    <n v="18.27"/>
    <n v="1.3424E-2"/>
  </r>
  <r>
    <n v="1739"/>
    <s v="แขวงทางหลวงจันทบุรี"/>
    <n v="423"/>
    <n v="3249"/>
    <n v="100"/>
    <s v="เขาไร่ยา - แพร่งขาหยั่ง"/>
    <n v="0"/>
    <n v="59454"/>
    <n v="59.454000000000001"/>
    <n v="2"/>
    <s v="L1"/>
    <d v="2015-08-18T00:00:00"/>
    <s v="A.C."/>
    <n v="31.08"/>
    <n v="17.579999999999998"/>
    <n v="7.4"/>
    <n v="3.2749999999999999"/>
    <n v="2.84138"/>
    <n v="3"/>
    <n v="52.1"/>
    <n v="6.1749999999999998"/>
    <n v="0.75"/>
    <n v="0.3"/>
    <n v="5.1920200000000003"/>
    <n v="5"/>
    <n v="0"/>
    <n v="0"/>
    <n v="59.454000000000001"/>
    <n v="1.30436"/>
    <n v="0.82"/>
    <n v="18.96"/>
    <n v="4.9500000000000004E-3"/>
    <x v="106"/>
    <n v="81.790000000000006"/>
    <n v="3.9309999999999998E-2"/>
    <n v="8"/>
    <n v="3.8445088399675143E-3"/>
    <n v="19.48"/>
    <n v="9.3600000000000003E-3"/>
  </r>
  <r>
    <n v="1511"/>
    <s v="แขวงทางหลวงอยุธยา"/>
    <n v="413"/>
    <n v="356"/>
    <n v="100"/>
    <s v="บ้านหว้า - ปากกราน"/>
    <n v="0"/>
    <n v="9401"/>
    <n v="9.4009999999999998"/>
    <n v="2"/>
    <s v="R1"/>
    <d v="2015-09-18T00:00:00"/>
    <s v="A.C."/>
    <n v="5.4"/>
    <n v="1.7"/>
    <n v="1.575"/>
    <n v="0.77500000000000002"/>
    <n v="2.69103"/>
    <n v="2.5"/>
    <n v="5.95"/>
    <n v="1.75"/>
    <n v="1.375"/>
    <n v="0.375"/>
    <n v="9.1424800000000008"/>
    <n v="9"/>
    <n v="0"/>
    <n v="0"/>
    <n v="9.4009999999999998"/>
    <n v="1.0954600000000001"/>
    <n v="0"/>
    <n v="3.23"/>
    <n v="4.9082924308964096E-3"/>
    <x v="106"/>
    <n v="0"/>
    <n v="0"/>
    <n v="0"/>
    <n v="0"/>
    <n v="0"/>
    <n v="0"/>
  </r>
  <r>
    <n v="1793"/>
    <s v="แขวงทางหลวงชลบุรีที่ 2"/>
    <n v="428"/>
    <n v="3240"/>
    <n v="101"/>
    <s v="หนองปรือ - สำนักตะแบก"/>
    <s v="12+000"/>
    <s v="0+900"/>
    <n v="11.1"/>
    <n v="2"/>
    <s v="R1"/>
    <d v="2015-08-16T00:00:00"/>
    <s v="A.C."/>
    <n v="4.3499999999999996"/>
    <n v="3.9750000000000001"/>
    <n v="2.25"/>
    <n v="0.55000000000000004"/>
    <n v="2.8723399999999999"/>
    <n v="3"/>
    <n v="10.574999999999999"/>
    <n v="0.52500000000000002"/>
    <n v="2.5000000000000001E-2"/>
    <n v="0"/>
    <n v="4.3062699999999996"/>
    <n v="4.5"/>
    <n v="0"/>
    <n v="0"/>
    <n v="11.125"/>
    <n v="1.0995900000000001"/>
    <n v="0"/>
    <n v="3.78"/>
    <n v="4.8648648648648646E-3"/>
    <x v="106"/>
    <n v="0"/>
    <n v="0"/>
    <n v="0"/>
    <n v="0"/>
    <n v="0.31"/>
    <n v="7.9794079794079788E-4"/>
  </r>
  <r>
    <n v="384"/>
    <s v="แขวงทางหลวงกำแพงเพชร"/>
    <n v="517"/>
    <n v="1074"/>
    <n v="102"/>
    <s v="ทุ่งสนุ่น - บึงบ้าน"/>
    <s v="23+094"/>
    <s v="44+515"/>
    <n v="21.420999999999999"/>
    <n v="2"/>
    <s v="L1"/>
    <d v="2015-09-14T00:00:00"/>
    <s v="A.C."/>
    <n v="17.52"/>
    <n v="2.4500000000000002"/>
    <n v="1.1499999999999999"/>
    <n v="0.3"/>
    <n v="2.07301"/>
    <n v="2"/>
    <n v="21.2"/>
    <n v="0.23"/>
    <n v="0"/>
    <n v="0"/>
    <n v="2.9352800000000001"/>
    <n v="3"/>
    <n v="0"/>
    <n v="0"/>
    <n v="21.42"/>
    <n v="1.13192"/>
    <n v="0"/>
    <n v="7.15"/>
    <n v="4.768351484191081E-3"/>
    <x v="106"/>
    <n v="86.697999999999993"/>
    <n v="0.11563819216123029"/>
    <n v="0"/>
    <n v="0"/>
    <n v="0"/>
    <n v="0"/>
  </r>
  <r>
    <n v="723"/>
    <s v="แขวงทางหลวงขอนแก่นที่ 2 (ชุมแพ)"/>
    <n v="627"/>
    <n v="2038"/>
    <n v="100"/>
    <s v="กุดฉิม - ห้วยน้ำเงิน"/>
    <n v="10446"/>
    <n v="0"/>
    <n v="10.446"/>
    <n v="4"/>
    <s v="R1"/>
    <d v="2015-06-22T00:00:00"/>
    <s v="A.C."/>
    <n v="4.1749999999999998"/>
    <n v="2.9750000000000001"/>
    <n v="1.9"/>
    <n v="1.375"/>
    <n v="3.2545799999999998"/>
    <n v="3.5"/>
    <n v="9.0250000000000004"/>
    <n v="0.72499999999999998"/>
    <n v="0.3"/>
    <n v="0.375"/>
    <n v="6.29373"/>
    <n v="6.5"/>
    <n v="0"/>
    <n v="0"/>
    <n v="10.446"/>
    <n v="1.17581"/>
    <n v="0.77"/>
    <n v="1.88"/>
    <n v="4.6771149585624018E-3"/>
    <x v="106"/>
    <n v="0"/>
    <n v="0"/>
    <n v="0"/>
    <n v="0"/>
    <n v="0"/>
    <n v="0"/>
  </r>
  <r>
    <n v="1025"/>
    <s v="แขวงทางหลวงบุรีรัมย์"/>
    <n v="617"/>
    <n v="2074"/>
    <n v="103"/>
    <s v="ลำน้ำมูล - พุทไธสง"/>
    <n v="52000"/>
    <n v="63695"/>
    <n v="11.695"/>
    <n v="4"/>
    <s v="L1"/>
    <d v="2015-05-04T00:00:00"/>
    <s v="A.C."/>
    <n v="6.5750000000000002"/>
    <n v="3.375"/>
    <n v="1.675"/>
    <n v="0.57499999999999996"/>
    <n v="2.7109000000000001"/>
    <n v="2.5"/>
    <n v="10.15"/>
    <n v="1.5"/>
    <n v="0.35"/>
    <n v="0.2"/>
    <n v="6.5676899999999998"/>
    <n v="6.5"/>
    <n v="0"/>
    <n v="0"/>
    <n v="12.2"/>
    <n v="1.40541"/>
    <n v="1.56"/>
    <n v="0.7"/>
    <n v="4.6662187748121899E-3"/>
    <x v="106"/>
    <n v="38.369999999999997"/>
    <n v="9.3739693397666857E-2"/>
    <n v="10.33"/>
    <n v="2.5236670127649175E-2"/>
    <n v="0"/>
    <n v="0"/>
  </r>
  <r>
    <n v="356"/>
    <s v="แขวงทางหลวงตากที่ 1"/>
    <n v="512"/>
    <n v="1327"/>
    <n v="100"/>
    <s v="บ้านด่านลานหอย - ทุ่งเสลี่ยม"/>
    <s v="0+000"/>
    <s v="44+730"/>
    <n v="44.73"/>
    <n v="2"/>
    <s v="L1"/>
    <d v="2015-09-11T00:00:00"/>
    <s v="A.C."/>
    <n v="29.93"/>
    <n v="8.0250000000000004"/>
    <n v="4.4000000000000004"/>
    <n v="2.25"/>
    <n v="2.4459399999999998"/>
    <n v="2.5"/>
    <n v="43.8"/>
    <n v="0.6"/>
    <n v="0.2"/>
    <n v="0"/>
    <n v="2.6099600000000001"/>
    <n v="2.5"/>
    <n v="0"/>
    <n v="0"/>
    <n v="44.604999999999997"/>
    <n v="1.22082"/>
    <n v="0"/>
    <n v="14.52"/>
    <n v="4.6373478969052419E-3"/>
    <x v="106"/>
    <n v="134.58000000000001"/>
    <n v="8.5963399444284772E-2"/>
    <n v="0"/>
    <n v="0"/>
    <n v="1.458"/>
    <n v="9.3130209830411057E-4"/>
  </r>
  <r>
    <n v="1209"/>
    <s v="แขวงทางหลวงลพบุรีที่ 2 (ลำนารายณ์)"/>
    <n v="435"/>
    <n v="2256"/>
    <n v="102"/>
    <s v="หนองน้ำใส - ปางโก"/>
    <s v="39+088"/>
    <s v="16+905"/>
    <n v="22.183"/>
    <n v="2"/>
    <s v="R1"/>
    <d v="2015-10-05T00:00:00"/>
    <s v="A.C."/>
    <n v="18.324999999999999"/>
    <n v="2.6749999999999998"/>
    <n v="1.05"/>
    <n v="0.22500000000000001"/>
    <n v="1.9528799999999999"/>
    <n v="2"/>
    <n v="21.475000000000001"/>
    <n v="0.8"/>
    <n v="0"/>
    <n v="0"/>
    <n v="3.4543599999999999"/>
    <n v="3.5"/>
    <n v="0"/>
    <n v="0"/>
    <n v="22.183"/>
    <n v="1.28156"/>
    <n v="1.335"/>
    <n v="4.21"/>
    <n v="4.430677288270941E-3"/>
    <x v="106"/>
    <n v="0.26"/>
    <n v="3.3500000000000001E-4"/>
    <n v="0"/>
    <n v="0"/>
    <n v="0"/>
    <n v="0"/>
  </r>
  <r>
    <n v="376"/>
    <s v="แขวงทางหลวงตากที่ 2 (แม่สอด)"/>
    <n v="514"/>
    <n v="1402"/>
    <n v="100"/>
    <s v="ทางเดิมม่อนหินเหล็กไฟ"/>
    <s v="0+000"/>
    <s v="4+003"/>
    <n v="4.0030000000000001"/>
    <n v="2"/>
    <s v="L2"/>
    <d v="2015-09-09T00:00:00"/>
    <s v="A.C."/>
    <n v="4"/>
    <n v="0"/>
    <n v="0"/>
    <n v="0"/>
    <n v="1.4650000000000001"/>
    <n v="1.5"/>
    <n v="4"/>
    <n v="0"/>
    <n v="0"/>
    <n v="0"/>
    <n v="2.8115000000000001"/>
    <n v="3"/>
    <n v="0"/>
    <n v="0"/>
    <n v="4"/>
    <n v="1.069"/>
    <n v="0"/>
    <n v="1.24"/>
    <n v="4.4252524892045252E-3"/>
    <x v="106"/>
    <n v="87.68"/>
    <n v="0.62581635202169805"/>
    <n v="0"/>
    <n v="0"/>
    <n v="0"/>
    <n v="0"/>
  </r>
  <r>
    <n v="205"/>
    <s v="แขวงทางหลวงพะเยา"/>
    <n v="535"/>
    <n v="1186"/>
    <n v="100"/>
    <s v="น้ำแวน - ทุ่งหล่ม"/>
    <n v="0"/>
    <n v="6521"/>
    <n v="6.5209999999999999"/>
    <n v="2"/>
    <s v="L1"/>
    <d v="2015-07-24T00:00:00"/>
    <s v="A.C."/>
    <n v="5.4"/>
    <n v="1"/>
    <n v="0.08"/>
    <n v="0.05"/>
    <n v="2.1340400000000002"/>
    <n v="2"/>
    <n v="6.17"/>
    <n v="0.25"/>
    <n v="0.08"/>
    <n v="0.03"/>
    <n v="4.5698400000000001"/>
    <n v="4.5"/>
    <n v="0"/>
    <n v="0"/>
    <n v="6.53"/>
    <n v="1.1818299999999999"/>
    <n v="1"/>
    <n v="0"/>
    <n v="4.3814489451661663E-3"/>
    <x v="106"/>
    <n v="0"/>
    <n v="0"/>
    <n v="0"/>
    <n v="0"/>
    <n v="1"/>
    <n v="4.3814489451661663E-3"/>
  </r>
  <r>
    <n v="912"/>
    <s v="แขวงทางหลวงศรีสะเกษที่ 2"/>
    <n v="636"/>
    <n v="2236"/>
    <n v="100"/>
    <s v="สำโรงเกียรติ - ช่องพระพลัย"/>
    <n v="0"/>
    <n v="15550"/>
    <n v="15.55"/>
    <n v="2"/>
    <s v="L1"/>
    <d v="2015-05-13T00:00:00"/>
    <s v="A.C."/>
    <n v="4.2249999999999996"/>
    <n v="6.4249999999999998"/>
    <n v="3.5750000000000002"/>
    <n v="1.25"/>
    <n v="3.2830699999999999"/>
    <n v="3.5"/>
    <n v="15.074999999999999"/>
    <n v="0.4"/>
    <n v="0"/>
    <n v="0"/>
    <n v="4.2533700000000003"/>
    <n v="4.5"/>
    <n v="0"/>
    <n v="0"/>
    <n v="15.474999999999998"/>
    <n v="1.9884299999999999"/>
    <n v="0"/>
    <n v="4.75"/>
    <n v="4.3600000000000002E-3"/>
    <x v="106"/>
    <n v="1031.1099999999999"/>
    <n v="1.89455"/>
    <n v="3886.54"/>
    <n v="7.1410929999999997"/>
    <n v="54.99"/>
    <n v="0.10104"/>
  </r>
  <r>
    <n v="603"/>
    <s v="แขวงทางหลวงเลยที่ 1"/>
    <n v="554"/>
    <n v="2016"/>
    <n v="100"/>
    <s v="วังสะพุง - ตาวตาด"/>
    <n v="500"/>
    <n v="53800"/>
    <n v="53.3"/>
    <n v="2"/>
    <s v="L2"/>
    <d v="2015-06-25T00:00:00"/>
    <s v="A.C."/>
    <n v="21.25"/>
    <n v="18.29"/>
    <n v="9.49"/>
    <n v="4.2699999999999996"/>
    <n v="3.4580000000000002"/>
    <n v="3.5"/>
    <n v="50.31"/>
    <n v="1.91"/>
    <n v="0.8"/>
    <n v="0.28000000000000003"/>
    <n v="5.0880000000000001"/>
    <n v="5"/>
    <n v="0"/>
    <n v="0"/>
    <n v="53.3"/>
    <n v="1.0920000000000001"/>
    <n v="8"/>
    <n v="0"/>
    <n v="4.2883945322969722E-3"/>
    <x v="106"/>
    <n v="0"/>
    <n v="0"/>
    <n v="140"/>
    <n v="7.5046904315197005E-2"/>
    <n v="0"/>
    <n v="0"/>
  </r>
  <r>
    <n v="2003"/>
    <s v="แขวงทางหลวงสุราษฎร์ธานี ที่ 1 (พุนพิน)"/>
    <n v="325"/>
    <n v="420"/>
    <n v="101"/>
    <s v="วงแหวนรอบเมืองสุราษฎร์ธานี"/>
    <s v="36+270"/>
    <n v="33841"/>
    <n v="2.4289999999999998"/>
    <n v="4"/>
    <s v="R2"/>
    <d v="2015-04-23T00:00:00"/>
    <s v="A.C."/>
    <n v="1.58"/>
    <n v="0.34"/>
    <n v="0.19"/>
    <n v="0.32"/>
    <n v="2.8142"/>
    <n v="3"/>
    <n v="2.4300000000000002"/>
    <n v="0"/>
    <n v="0"/>
    <n v="0"/>
    <n v="3.0486800000000001"/>
    <n v="3"/>
    <n v="0"/>
    <n v="0"/>
    <n v="2.4300000000000002"/>
    <n v="1.31985"/>
    <n v="0.08"/>
    <n v="0.56000000000000005"/>
    <n v="4.2345468446744697E-3"/>
    <x v="106"/>
    <n v="7.12"/>
    <n v="8.3749926483561721E-2"/>
    <n v="1.04"/>
    <n v="1.2233135329059577E-2"/>
    <n v="0"/>
    <n v="0"/>
  </r>
  <r>
    <n v="1959"/>
    <s v="แขวงทางหลวงนครศรีธรรมราชที่ 1"/>
    <n v="321"/>
    <n v="4140"/>
    <n v="100"/>
    <s v="ท่าศาลา - นบพิตำ"/>
    <n v="633"/>
    <n v="21650"/>
    <n v="21.016999999999999"/>
    <n v="2"/>
    <s v="L1"/>
    <d v="2015-04-30T00:00:00"/>
    <s v="A.C."/>
    <n v="15.15"/>
    <n v="4.4749999999999996"/>
    <n v="1"/>
    <n v="0.32500000000000001"/>
    <n v="2.3290000000000002"/>
    <n v="2.5"/>
    <n v="20.824999999999999"/>
    <n v="0.1"/>
    <n v="2.5000000000000001E-2"/>
    <n v="0"/>
    <n v="2.4529999999999998"/>
    <n v="2.5"/>
    <n v="0"/>
    <n v="0"/>
    <n v="20.95"/>
    <n v="1.284"/>
    <n v="2.4533399999999999"/>
    <n v="1.2843899999999999"/>
    <n v="4.2082056022675523E-3"/>
    <x v="106"/>
    <n v="29.78"/>
    <n v="4.048423385150797E-2"/>
    <n v="1.52"/>
    <n v="2.0663544477599769E-3"/>
    <n v="11.16"/>
    <n v="1.5171391866448249E-2"/>
  </r>
  <r>
    <n v="458"/>
    <s v="แขวงทางหลวงพิษณุโลกที่ 2 (วังทอง)"/>
    <n v="515"/>
    <n v="12"/>
    <n v="502"/>
    <s v="วังทอง - เข็กน้อย"/>
    <s v="251+355"/>
    <s v="321+612"/>
    <n v="70.257000000000005"/>
    <s v="L1"/>
    <n v="1"/>
    <d v="2015-09-22T00:00:00"/>
    <s v="A.C."/>
    <n v="50.274999999999999"/>
    <n v="15.75"/>
    <n v="4.25"/>
    <n v="0"/>
    <n v="3.258"/>
    <n v="3.5"/>
    <n v="64.025000000000006"/>
    <n v="6.25"/>
    <n v="0"/>
    <n v="0"/>
    <n v="2.931"/>
    <n v="3"/>
    <n v="0"/>
    <n v="0"/>
    <n v="70.275000000000006"/>
    <n v="1.1200000000000001"/>
    <n v="3.84"/>
    <n v="12.8"/>
    <n v="4.1643028961018619E-3"/>
    <x v="106"/>
    <n v="2.4500000000000002"/>
    <n v="9.9634200150874636E-4"/>
    <n v="5.8"/>
    <n v="2.3586871872451954E-3"/>
    <n v="1"/>
    <n v="4.0667020469744745E-4"/>
  </r>
  <r>
    <n v="1822"/>
    <s v="แขวงทางหลวงชลบุรีที่ 2"/>
    <n v="428"/>
    <n v="3702"/>
    <n v="500"/>
    <s v="ทางต่างระดับคีรี - พัทยา"/>
    <s v="98+644"/>
    <s v="92+144"/>
    <n v="6.5"/>
    <n v="2"/>
    <s v="R1"/>
    <d v="2015-08-16T00:00:00"/>
    <s v="A.C."/>
    <n v="5.7"/>
    <n v="0.67500000000000004"/>
    <n v="0.2"/>
    <n v="0"/>
    <n v="1.899"/>
    <n v="2"/>
    <n v="6.5"/>
    <n v="7.4999999999999997E-2"/>
    <n v="0"/>
    <n v="0"/>
    <n v="4.9349999999999996"/>
    <n v="5"/>
    <n v="0"/>
    <n v="0"/>
    <n v="6.5750000000000002"/>
    <n v="1.0920000000000001"/>
    <n v="0"/>
    <n v="1.84"/>
    <n v="4.0439560439560441E-3"/>
    <x v="106"/>
    <n v="0"/>
    <n v="0"/>
    <n v="0"/>
    <n v="0"/>
    <n v="0"/>
    <n v="0"/>
  </r>
  <r>
    <n v="1659"/>
    <s v="แขวงทางหลวงนนทบุรี"/>
    <n v="418"/>
    <n v="345"/>
    <n v="100"/>
    <s v="บางบัวทอง - บางคูวัด"/>
    <s v="1+047"/>
    <s v="9+607"/>
    <n v="8.56"/>
    <n v="4"/>
    <s v="L2"/>
    <d v="2015-08-28T00:00:00"/>
    <s v="A.C."/>
    <n v="6.3250000000000002"/>
    <n v="1.55"/>
    <n v="0.57499999999999996"/>
    <n v="0.125"/>
    <n v="2.1699099999999998"/>
    <n v="2"/>
    <n v="7.75"/>
    <n v="0.82499999999999996"/>
    <n v="0"/>
    <n v="0"/>
    <n v="6.2169800000000004"/>
    <n v="6"/>
    <n v="0"/>
    <n v="0"/>
    <n v="8.5749999999999993"/>
    <n v="1.0774999999999999"/>
    <n v="0"/>
    <n v="2.38"/>
    <n v="3.9719626168224298E-3"/>
    <x v="106"/>
    <n v="0"/>
    <n v="0"/>
    <n v="0"/>
    <n v="0"/>
    <n v="0"/>
    <n v="0"/>
  </r>
  <r>
    <n v="2071"/>
    <s v="แขวงทางหลวงสุราษฎร์ธานีที่ 3 (เวียงสระ)"/>
    <n v="329"/>
    <n v="4009"/>
    <n v="203"/>
    <s v="บางสวรรค์ - บางหล่อ"/>
    <n v="110352"/>
    <n v="119437"/>
    <n v="9.0850000000000009"/>
    <n v="2"/>
    <s v="L1"/>
    <d v="2015-04-27T00:00:00"/>
    <s v="A.C."/>
    <n v="5.75"/>
    <n v="2.25"/>
    <n v="0.625"/>
    <n v="0.35"/>
    <n v="2.3740100000000002"/>
    <n v="2.5"/>
    <n v="8.6999999999999993"/>
    <n v="0.2"/>
    <n v="7.4999999999999997E-2"/>
    <n v="0"/>
    <n v="4.7862200000000001"/>
    <n v="5"/>
    <n v="0"/>
    <n v="0"/>
    <n v="8.9749999999999996"/>
    <n v="1.21702"/>
    <n v="0"/>
    <n v="2.48"/>
    <n v="3.8996776476138057E-3"/>
    <x v="106"/>
    <n v="1.28"/>
    <n v="4.0254737007626379E-3"/>
    <n v="0"/>
    <n v="0"/>
    <n v="0"/>
    <n v="0"/>
  </r>
  <r>
    <n v="378"/>
    <s v="แขวงทางหลวงกำแพงเพชร"/>
    <n v="517"/>
    <n v="101"/>
    <n v="100"/>
    <s v="นครชุม-น้ำดิบ"/>
    <s v="0+000"/>
    <s v="16+163"/>
    <n v="16.163"/>
    <n v="2"/>
    <s v="L1"/>
    <d v="2015-09-14T00:00:00"/>
    <s v="A.C."/>
    <n v="8.4700000000000006"/>
    <n v="4.8600000000000003"/>
    <n v="1.9"/>
    <n v="0.93"/>
    <n v="2.8337699999999999"/>
    <n v="3"/>
    <n v="15.91"/>
    <n v="0.25"/>
    <n v="0"/>
    <n v="0"/>
    <n v="3.08202"/>
    <n v="3"/>
    <n v="0"/>
    <n v="0"/>
    <n v="16.16"/>
    <n v="1.0728500000000001"/>
    <n v="0"/>
    <n v="4.3680000000000003"/>
    <n v="3.8606694301800406E-3"/>
    <x v="106"/>
    <n v="77.257999999999996"/>
    <n v="0.1365694133868359"/>
    <n v="0"/>
    <n v="0"/>
    <n v="0"/>
    <n v="0"/>
  </r>
  <r>
    <n v="201"/>
    <s v="แขวงทางหลวงพะเยา"/>
    <n v="535"/>
    <n v="1093"/>
    <n v="100"/>
    <s v="สบบง - ขุนห้วยไคร้"/>
    <s v="0+000"/>
    <s v="40+427"/>
    <n v="40.427"/>
    <n v="2"/>
    <s v="R1"/>
    <d v="2015-07-14T00:00:00"/>
    <s v="A.C."/>
    <n v="21.58"/>
    <n v="8.0299999999999994"/>
    <n v="6.17"/>
    <n v="4.6500000000000004"/>
    <n v="3.15"/>
    <n v="3"/>
    <n v="36.36"/>
    <n v="2.71"/>
    <n v="0.74"/>
    <n v="0.64"/>
    <n v="5.5289999999999999"/>
    <n v="5.5"/>
    <n v="0"/>
    <n v="0"/>
    <n v="40.43"/>
    <n v="1.3939999999999999"/>
    <n v="5.28"/>
    <n v="0"/>
    <n v="3.731593807533155E-3"/>
    <x v="106"/>
    <n v="346.59"/>
    <n v="0.2449494503319917"/>
    <n v="58.09"/>
    <n v="4.1054599295378975E-2"/>
    <n v="130.22"/>
    <n v="9.2031845760789294E-2"/>
  </r>
  <r>
    <n v="815"/>
    <s v="แขวงทางหลวงกาฬสินธุ์"/>
    <n v="647"/>
    <n v="214"/>
    <n v="100"/>
    <s v="กาฬสินธุ์ - ลำชี"/>
    <n v="12500"/>
    <n v="1000"/>
    <n v="11.5"/>
    <n v="4"/>
    <s v="R1"/>
    <d v="2015-05-29T00:00:00"/>
    <s v="A.C."/>
    <n v="7.2"/>
    <n v="2.2999999999999998"/>
    <n v="1.2749999999999999"/>
    <n v="0.7"/>
    <n v="2.8239999999999998"/>
    <n v="3"/>
    <n v="9.65"/>
    <n v="1.55"/>
    <n v="0.25"/>
    <n v="2.5000000000000001E-2"/>
    <n v="6.6849999999999996"/>
    <n v="6.5"/>
    <n v="0"/>
    <n v="0"/>
    <n v="11.475"/>
    <n v="1.1020000000000001"/>
    <n v="0"/>
    <n v="3"/>
    <n v="3.7267080745341614E-3"/>
    <x v="106"/>
    <n v="1616"/>
    <n v="4.0149068322981369"/>
    <n v="10"/>
    <n v="2.4844720496894412E-2"/>
    <n v="0"/>
    <n v="0"/>
  </r>
  <r>
    <n v="979"/>
    <s v="แขวงทางหลวงนครราชสีมาที่ 2"/>
    <n v="612"/>
    <n v="2311"/>
    <n v="100"/>
    <s v="หนองสองห้อง - หนองขวาง"/>
    <n v="10212"/>
    <n v="0"/>
    <n v="10.212"/>
    <n v="2"/>
    <s v="R1"/>
    <d v="2015-04-22T00:00:00"/>
    <s v="A.C."/>
    <n v="9.1750000000000007"/>
    <n v="0.625"/>
    <n v="7.4999999999999997E-2"/>
    <n v="0.15"/>
    <n v="0.31391999999999998"/>
    <n v="0.5"/>
    <n v="10"/>
    <n v="2.5000000000000001E-2"/>
    <n v="0"/>
    <n v="0.11891"/>
    <n v="2.5603600000000002"/>
    <n v="2.5"/>
    <n v="0"/>
    <n v="0"/>
    <n v="10.025"/>
    <n v="1.0390200000000001"/>
    <n v="0.78"/>
    <n v="0"/>
    <n v="3.7100000000000002E-3"/>
    <x v="106"/>
    <n v="66"/>
    <n v="0.31391999999999998"/>
    <n v="0"/>
    <n v="0"/>
    <n v="25"/>
    <n v="0.11891"/>
  </r>
  <r>
    <n v="981"/>
    <s v="แขวงทางหลวงนครราชสีมาที่ 2"/>
    <n v="612"/>
    <n v="2434"/>
    <n v="100"/>
    <s v="สีคิ้ว - หนองรี"/>
    <n v="6007"/>
    <n v="0"/>
    <n v="6.0069999999999997"/>
    <n v="4"/>
    <s v="R2"/>
    <d v="2015-04-22T00:00:00"/>
    <s v="A.C."/>
    <n v="5.2"/>
    <n v="0.42499999999999999"/>
    <n v="0.22500000000000001"/>
    <n v="0.15"/>
    <n v="2.0672199999999998"/>
    <n v="2"/>
    <n v="5.9749999999999996"/>
    <n v="2.5000000000000001E-2"/>
    <n v="0"/>
    <n v="0"/>
    <n v="3.51546"/>
    <n v="3.5"/>
    <n v="0"/>
    <n v="0"/>
    <n v="6"/>
    <n v="1.1569700000000001"/>
    <n v="0.78"/>
    <n v="0"/>
    <n v="3.7100000000000002E-3"/>
    <x v="106"/>
    <n v="66"/>
    <n v="0.31391999999999998"/>
    <n v="0"/>
    <n v="0"/>
    <n v="25"/>
    <n v="0.11891"/>
  </r>
  <r>
    <n v="2143"/>
    <s v="แขวงทางหลวงพังงา"/>
    <n v="327"/>
    <n v="4009"/>
    <n v="300"/>
    <s v="บางหล่อ - อ่าวลึก"/>
    <n v="150887"/>
    <n v="119437"/>
    <n v="31.45"/>
    <n v="2"/>
    <s v="R1"/>
    <d v="2015-05-11T00:00:00"/>
    <s v="A.C."/>
    <n v="23.2"/>
    <n v="5.9749999999999996"/>
    <n v="1.6"/>
    <n v="0.47499999999999998"/>
    <n v="2.2408800000000002"/>
    <n v="2"/>
    <n v="29.774999999999999"/>
    <n v="1.2250000000000001"/>
    <n v="0.2"/>
    <n v="0.05"/>
    <n v="4.8422599999999996"/>
    <n v="5"/>
    <n v="0"/>
    <n v="0"/>
    <n v="31.25"/>
    <n v="1.24919"/>
    <n v="0"/>
    <n v="8"/>
    <n v="3.6338859868271633E-3"/>
    <x v="106"/>
    <n v="0"/>
    <n v="0"/>
    <n v="0"/>
    <n v="0"/>
    <n v="0"/>
    <n v="0"/>
  </r>
  <r>
    <n v="299"/>
    <s v="แขวงทางหลวงสกลนครที่ 2 (สว่างแดนดิน)"/>
    <n v="642"/>
    <n v="2355"/>
    <n v="100"/>
    <s v="สูงเนิน - สี่แยก"/>
    <n v="0"/>
    <n v="23934"/>
    <n v="23.934000000000001"/>
    <n v="2"/>
    <s v="L1"/>
    <d v="2015-06-06T00:00:00"/>
    <s v="A.C."/>
    <n v="16.524999999999999"/>
    <n v="5.0750000000000002"/>
    <n v="1.825"/>
    <n v="0.4"/>
    <n v="2.34023"/>
    <n v="2.5"/>
    <n v="23"/>
    <n v="0.625"/>
    <n v="0.17499999999999999"/>
    <n v="2.5000000000000001E-2"/>
    <n v="5.0485100000000003"/>
    <n v="5"/>
    <n v="0"/>
    <n v="0"/>
    <n v="23.824999999999999"/>
    <n v="1.23729"/>
    <n v="0"/>
    <n v="6"/>
    <n v="3.5812770834079428E-3"/>
    <x v="106"/>
    <n v="0"/>
    <n v="0"/>
    <n v="0"/>
    <n v="0"/>
    <n v="0"/>
    <n v="0"/>
  </r>
  <r>
    <n v="355"/>
    <s v="แขวงทางหลวงตากที่ 1"/>
    <n v="512"/>
    <n v="1175"/>
    <n v="200"/>
    <s v="ห้วยส้มป่อย - เจดีย์ยุทธหัตถี"/>
    <s v="83+606"/>
    <s v="23+606"/>
    <n v="60"/>
    <n v="2"/>
    <s v="R1"/>
    <d v="2015-09-11T00:00:00"/>
    <s v="A.C."/>
    <n v="37.023900000000005"/>
    <n v="15.03"/>
    <n v="4.9599000000000002"/>
    <n v="3.03105"/>
    <n v="2.65876"/>
    <n v="2.5"/>
    <n v="58.466700000000003"/>
    <n v="1.02705"/>
    <n v="0.22545000000000001"/>
    <n v="0.32565"/>
    <n v="2.6746099999999999"/>
    <n v="2.5"/>
    <n v="0"/>
    <n v="0"/>
    <n v="60.044850000000004"/>
    <n v="1.3286899999999999"/>
    <n v="0"/>
    <n v="14.954000000000001"/>
    <n v="3.5604761904761903E-3"/>
    <x v="106"/>
    <n v="57.15"/>
    <n v="2.7214285714285715E-2"/>
    <n v="0"/>
    <n v="0"/>
    <n v="0"/>
    <n v="0"/>
  </r>
  <r>
    <n v="389"/>
    <s v="แขวงทางหลวงกำแพงเพชร"/>
    <n v="517"/>
    <n v="1116"/>
    <n v="102"/>
    <s v="มอเจริญ - หนองแดน"/>
    <s v="20+000"/>
    <s v="38+881"/>
    <n v="18.881"/>
    <n v="2"/>
    <s v="L1"/>
    <d v="2015-09-14T00:00:00"/>
    <s v="A.C."/>
    <n v="12.38"/>
    <n v="3.86"/>
    <n v="2.0099999999999998"/>
    <n v="0.63"/>
    <n v="2.4221900000000001"/>
    <n v="2.5"/>
    <n v="18.53"/>
    <n v="0.35"/>
    <n v="0"/>
    <n v="0"/>
    <n v="2.6246399999999999"/>
    <n v="2.5"/>
    <n v="0"/>
    <n v="0"/>
    <n v="18.88"/>
    <n v="1.1827399999999999"/>
    <n v="0"/>
    <n v="4.68"/>
    <n v="3.5409746759781182E-3"/>
    <x v="106"/>
    <n v="153.26"/>
    <n v="0.23191870890615657"/>
    <n v="0"/>
    <n v="0"/>
    <n v="0"/>
    <n v="0"/>
  </r>
  <r>
    <n v="83"/>
    <s v="แขวงทางหลวงลำพูน"/>
    <n v="524"/>
    <n v="1274"/>
    <n v="100"/>
    <s v="ลี้ - แม่บอน"/>
    <s v="29+225"/>
    <s v="0+000"/>
    <n v="29.225000000000001"/>
    <n v="2"/>
    <s v="R1"/>
    <d v="2015-08-10T00:00:00"/>
    <s v="A.C."/>
    <n v="11.1"/>
    <n v="10.5"/>
    <n v="5.4"/>
    <n v="2.25"/>
    <n v="3.0848"/>
    <n v="3"/>
    <n v="26.5"/>
    <n v="2.1"/>
    <n v="0.47499999999999998"/>
    <n v="0.17499999999999999"/>
    <n v="4.7395699999999996"/>
    <n v="4.5"/>
    <n v="0"/>
    <n v="0"/>
    <n v="29.25"/>
    <n v="1.27003"/>
    <n v="3.57"/>
    <n v="0"/>
    <n v="3.490162532078699E-3"/>
    <x v="106"/>
    <n v="5.87"/>
    <n v="5.7387266283759003E-3"/>
    <n v="0"/>
    <n v="0"/>
    <n v="0"/>
    <n v="0"/>
  </r>
  <r>
    <n v="204"/>
    <s v="แขวงทางหลวงพะเยา"/>
    <n v="535"/>
    <n v="1179"/>
    <n v="100"/>
    <s v="ฝายกวาง - ดอนเงิน"/>
    <n v="0"/>
    <n v="31087"/>
    <n v="31.087"/>
    <n v="2"/>
    <s v="L1"/>
    <d v="2015-07-24T00:00:00"/>
    <s v="A.C."/>
    <n v="13.21"/>
    <n v="10.14"/>
    <n v="5.43"/>
    <n v="2.31"/>
    <n v="3.0263399999999998"/>
    <n v="3"/>
    <n v="25.79"/>
    <n v="3.6"/>
    <n v="1.06"/>
    <n v="0.65"/>
    <n v="6.3905200000000004"/>
    <n v="6.5"/>
    <n v="0"/>
    <n v="0"/>
    <n v="31.09"/>
    <n v="1.3783700000000001"/>
    <n v="0"/>
    <n v="7.58"/>
    <n v="3.4833118115519118E-3"/>
    <x v="106"/>
    <n v="119"/>
    <n v="0.10937047640492811"/>
    <n v="0"/>
    <n v="0"/>
    <n v="22"/>
    <n v="2.0219751940406875E-2"/>
  </r>
  <r>
    <n v="708"/>
    <s v="แขวงทางหลวงชัยภูมิ"/>
    <n v="626"/>
    <n v="2179"/>
    <n v="100"/>
    <s v="จัตุรัส - บำเหน็จณรงค์"/>
    <n v="0"/>
    <n v="18423"/>
    <n v="18.422999999999998"/>
    <n v="2"/>
    <s v="L1"/>
    <d v="2015-06-19T00:00:00"/>
    <s v="A.C."/>
    <n v="12.25"/>
    <n v="4.05"/>
    <n v="1.35"/>
    <n v="0.3"/>
    <n v="2.31223"/>
    <n v="2.5"/>
    <n v="17.899999999999999"/>
    <n v="0.05"/>
    <n v="0"/>
    <n v="0"/>
    <n v="3.7770800000000002"/>
    <n v="4"/>
    <n v="0"/>
    <n v="0"/>
    <n v="17.950000000000003"/>
    <n v="1.3775999999999999"/>
    <n v="2.14"/>
    <n v="0"/>
    <n v="3.3188328254278427E-3"/>
    <x v="106"/>
    <n v="0"/>
    <n v="0"/>
    <n v="0"/>
    <n v="0"/>
    <n v="0"/>
    <n v="0"/>
  </r>
  <r>
    <n v="756"/>
    <s v="แขวงทางหลวงชัยภูมิ"/>
    <n v="626"/>
    <n v="2179"/>
    <n v="100"/>
    <s v="จัตุรัส - บำเหน็จณรงค์"/>
    <n v="0"/>
    <n v="18423"/>
    <n v="18.422999999999998"/>
    <n v="2"/>
    <s v="L1"/>
    <d v="2015-06-19T00:00:00"/>
    <s v="A.C."/>
    <n v="12.25"/>
    <n v="4.05"/>
    <n v="1.35"/>
    <n v="0.3"/>
    <n v="2.31223"/>
    <n v="2.5"/>
    <n v="17.899999999999999"/>
    <n v="0.05"/>
    <n v="0"/>
    <n v="0"/>
    <n v="3.7770800000000002"/>
    <n v="4"/>
    <n v="0"/>
    <n v="0"/>
    <n v="17.950000000000003"/>
    <n v="1.3775999999999999"/>
    <n v="2.14"/>
    <n v="0"/>
    <n v="3.3188328254278427E-3"/>
    <x v="106"/>
    <n v="0"/>
    <n v="0"/>
    <n v="0"/>
    <n v="0"/>
    <n v="0"/>
    <n v="0"/>
  </r>
  <r>
    <n v="868"/>
    <s v="แขวงทางหลวงอุบลราชธานีที่ 1"/>
    <n v="631"/>
    <n v="212"/>
    <n v="602"/>
    <s v="หนองยอ - อุบลราชธานี"/>
    <n v="583575"/>
    <n v="563148"/>
    <n v="20.427"/>
    <n v="4"/>
    <s v="R2"/>
    <d v="2015-05-15T00:00:00"/>
    <s v="A.C."/>
    <n v="16.3"/>
    <n v="2.625"/>
    <n v="0.77500000000000002"/>
    <n v="0.7"/>
    <n v="2.2016499999999999"/>
    <n v="2"/>
    <n v="16.45"/>
    <n v="3.7749999999999999"/>
    <n v="0.17499999999999999"/>
    <n v="0"/>
    <n v="7.5600500000000004"/>
    <n v="7.5"/>
    <n v="0"/>
    <n v="0"/>
    <n v="20.399999999999999"/>
    <n v="1.2561"/>
    <n v="0"/>
    <n v="4.71"/>
    <n v="3.29E-3"/>
    <x v="106"/>
    <n v="0"/>
    <n v="0"/>
    <n v="0"/>
    <n v="0"/>
    <n v="0"/>
    <n v="0"/>
  </r>
  <r>
    <n v="966"/>
    <s v="แขวงทางหลวงนครราชสีมาที่ 2"/>
    <n v="612"/>
    <n v="2148"/>
    <n v="101"/>
    <s v="ด่านขุนทด - โคกสะอาด"/>
    <s v="19+300"/>
    <s v="0+000"/>
    <n v="19.3"/>
    <n v="4"/>
    <s v="R2"/>
    <d v="2015-04-21T00:00:00"/>
    <s v="A.C."/>
    <n v="10.9"/>
    <n v="5.25"/>
    <n v="2.4"/>
    <n v="0.67500000000000004"/>
    <n v="2.28416"/>
    <n v="2.5"/>
    <n v="13.65"/>
    <n v="4.1749999999999998"/>
    <n v="1.1499999999999999"/>
    <n v="0.25"/>
    <n v="7.7167399999999997"/>
    <n v="7.5"/>
    <n v="0"/>
    <n v="0"/>
    <n v="19.224999999999998"/>
    <n v="1.1635200000000001"/>
    <n v="2.2000000000000002"/>
    <n v="0"/>
    <n v="3.2599999999999999E-3"/>
    <x v="106"/>
    <n v="46"/>
    <n v="6.8099999999999994E-2"/>
    <n v="0"/>
    <n v="0"/>
    <n v="0"/>
    <n v="0"/>
  </r>
  <r>
    <n v="383"/>
    <s v="แขวงทางหลวงกำแพงเพชร"/>
    <n v="517"/>
    <n v="1074"/>
    <n v="101"/>
    <s v="สลกบาตร - ทุ่งสนุ่น"/>
    <s v="23+094"/>
    <s v="0+000"/>
    <n v="23.094000000000001"/>
    <n v="2"/>
    <s v="R2"/>
    <d v="2015-09-15T00:00:00"/>
    <s v="A.C."/>
    <n v="13.66"/>
    <n v="5.73"/>
    <n v="2.4700000000000002"/>
    <n v="1.23"/>
    <n v="2.5581999999999998"/>
    <n v="2.5"/>
    <n v="21.27"/>
    <n v="1.2"/>
    <n v="0.35"/>
    <n v="0.27"/>
    <n v="4.9070200000000002"/>
    <n v="5"/>
    <n v="0"/>
    <n v="0"/>
    <n v="23.09"/>
    <n v="1.13171"/>
    <n v="0"/>
    <n v="5.2149999999999999"/>
    <n v="3.2259461331947685E-3"/>
    <x v="106"/>
    <n v="82.957999999999998"/>
    <n v="0.10263395563473504"/>
    <n v="0"/>
    <n v="0"/>
    <n v="0"/>
    <n v="0"/>
  </r>
  <r>
    <n v="816"/>
    <s v="แขวงทางหลวงกาฬสินธุ์"/>
    <n v="647"/>
    <n v="214"/>
    <n v="100"/>
    <s v="กาฬสินธุ์ - ลำชี"/>
    <n v="28000"/>
    <n v="14500"/>
    <n v="13.5"/>
    <n v="4"/>
    <s v="R1"/>
    <d v="2015-05-30T00:00:00"/>
    <s v="A.C."/>
    <n v="10.275"/>
    <n v="2.4500000000000002"/>
    <n v="0.55000000000000004"/>
    <n v="0.2"/>
    <n v="2.8410000000000002"/>
    <n v="3"/>
    <n v="13.2"/>
    <n v="0.22500000000000001"/>
    <n v="0"/>
    <n v="0.05"/>
    <n v="5.25"/>
    <n v="5.5"/>
    <n v="0"/>
    <n v="0"/>
    <n v="13.475000000000001"/>
    <n v="1.0920000000000001"/>
    <n v="0"/>
    <n v="3"/>
    <n v="3.1746031746031746E-3"/>
    <x v="106"/>
    <n v="0"/>
    <n v="0"/>
    <n v="14"/>
    <n v="2.9629629629629631E-2"/>
    <n v="0"/>
    <n v="0"/>
  </r>
  <r>
    <n v="867"/>
    <s v="แขวงทางหลวงอุบลราชธานีที่ 1"/>
    <n v="631"/>
    <n v="212"/>
    <n v="602"/>
    <s v="หนองยอ - อุบลราชธานี"/>
    <n v="563148"/>
    <n v="583575"/>
    <n v="20.427"/>
    <n v="4"/>
    <s v="L2"/>
    <d v="2015-05-15T00:00:00"/>
    <s v="A.C."/>
    <n v="16.574999999999999"/>
    <n v="2.5499999999999998"/>
    <n v="0.67500000000000004"/>
    <n v="0.5"/>
    <n v="2.1316299999999999"/>
    <n v="2"/>
    <n v="17.574999999999999"/>
    <n v="2.5249999999999999"/>
    <n v="0.17499999999999999"/>
    <n v="2.5000000000000001E-2"/>
    <n v="7.5402300000000002"/>
    <n v="7.5"/>
    <n v="0"/>
    <n v="0"/>
    <n v="20.3"/>
    <n v="1.2981400000000001"/>
    <n v="0"/>
    <n v="4.47"/>
    <n v="3.13E-3"/>
    <x v="106"/>
    <n v="0"/>
    <n v="0"/>
    <n v="0"/>
    <n v="0"/>
    <n v="0"/>
    <n v="0"/>
  </r>
  <r>
    <n v="651"/>
    <s v="แขวงทางหลวงขอนแก่นที่ 1"/>
    <n v="621"/>
    <n v="2322"/>
    <n v="203"/>
    <s v="กระนวน - กุดจิก"/>
    <n v="87292"/>
    <n v="110692"/>
    <n v="23.4"/>
    <n v="2"/>
    <s v="L1"/>
    <d v="2015-06-17T00:00:00"/>
    <s v="A.C."/>
    <n v="18.579999999999998"/>
    <n v="3.8"/>
    <n v="0.77500000000000002"/>
    <n v="0.45"/>
    <n v="2.0659299999999998"/>
    <n v="2"/>
    <n v="23.25"/>
    <n v="0.35"/>
    <n v="0"/>
    <n v="0"/>
    <n v="4.4053699999999996"/>
    <n v="4.5"/>
    <n v="0"/>
    <n v="0"/>
    <n v="23.6"/>
    <n v="1.0995299999999999"/>
    <n v="2.54"/>
    <n v="0"/>
    <n v="3.1013431013431018E-3"/>
    <x v="106"/>
    <n v="1.06"/>
    <n v="1.2942612942612947E-3"/>
    <n v="0"/>
    <n v="0"/>
    <n v="0"/>
    <n v="0"/>
  </r>
  <r>
    <n v="1681"/>
    <s v="แขวงทางหลวงฉะเชิงเทรา"/>
    <n v="421"/>
    <n v="314"/>
    <n v="102"/>
    <s v="แสนภูดาษ - ฉะเชิงเทรา"/>
    <s v="7+475"/>
    <s v="20+500"/>
    <n v="13.025"/>
    <n v="4"/>
    <s v="L2"/>
    <d v="2015-08-11T00:00:00"/>
    <s v="A.C."/>
    <n v="6.5250000000000004"/>
    <n v="3.3"/>
    <n v="2.85"/>
    <n v="0.375"/>
    <n v="2.4749400000000001"/>
    <n v="2.5"/>
    <n v="12.4"/>
    <n v="0.625"/>
    <n v="2.5000000000000001E-2"/>
    <n v="0"/>
    <n v="5.9853399999999999"/>
    <n v="6"/>
    <n v="0"/>
    <n v="0"/>
    <n v="13.025"/>
    <n v="1.3024800000000001"/>
    <n v="0"/>
    <n v="2.8"/>
    <n v="3.0710172744721686E-3"/>
    <x v="106"/>
    <n v="0"/>
    <n v="0"/>
    <n v="6"/>
    <n v="1.3161502604880722E-2"/>
    <n v="0"/>
    <n v="0"/>
  </r>
  <r>
    <n v="391"/>
    <s v="แขวงทางหลวงกำแพงเพชร"/>
    <n v="517"/>
    <n v="1242"/>
    <n v="100"/>
    <s v="โค้งวิไล - เขาน้ำอุ่น"/>
    <s v="0+000"/>
    <s v="35+693"/>
    <n v="35.692999999999998"/>
    <n v="2"/>
    <s v="L1"/>
    <d v="2015-09-15T00:00:00"/>
    <s v="A.C."/>
    <n v="18.21"/>
    <n v="10.92"/>
    <n v="4.8499999999999996"/>
    <n v="1.71"/>
    <n v="2.7865099999999998"/>
    <n v="3"/>
    <n v="29.16"/>
    <n v="4.38"/>
    <n v="1.51"/>
    <n v="0.64"/>
    <n v="6.01898"/>
    <n v="6"/>
    <n v="0"/>
    <n v="0"/>
    <n v="35.69"/>
    <n v="1.1611199999999999"/>
    <n v="0"/>
    <n v="7.5"/>
    <n v="3.0017890662835051E-3"/>
    <x v="106"/>
    <n v="55.68"/>
    <n v="4.4570564056177479E-2"/>
    <n v="0"/>
    <n v="0"/>
    <n v="0"/>
    <n v="0"/>
  </r>
  <r>
    <n v="658"/>
    <s v="แขวงทางหลวงอุดรธานีที่ 1"/>
    <n v="623"/>
    <n v="216"/>
    <n v="101"/>
    <s v="ถนนวงแหวนรอบเมืองอุดรธานีด้านทิศใต้"/>
    <n v="0"/>
    <n v="8355"/>
    <n v="8.3550000000000004"/>
    <n v="4"/>
    <s v="L2"/>
    <d v="2015-06-11T00:00:00"/>
    <s v="A.C."/>
    <n v="6.86"/>
    <n v="0.73"/>
    <n v="0.6"/>
    <n v="0.18"/>
    <n v="2.0006200000000001"/>
    <n v="2"/>
    <n v="8.36"/>
    <n v="0"/>
    <n v="0"/>
    <n v="0"/>
    <n v="2.6179299999999999"/>
    <n v="2.5"/>
    <n v="0"/>
    <n v="0"/>
    <n v="8.36"/>
    <n v="1.19618"/>
    <n v="0"/>
    <n v="1.74"/>
    <n v="2.98E-3"/>
    <x v="106"/>
    <n v="0"/>
    <n v="0"/>
    <n v="0"/>
    <n v="0"/>
    <n v="0"/>
    <n v="0"/>
  </r>
  <r>
    <n v="994"/>
    <s v="แขวงทางหลวงนครราชสีมาที่ 3"/>
    <n v="614"/>
    <n v="2421"/>
    <n v="101"/>
    <s v="เขื่อนลำพระเพลิง - สี่แยกลำพระเพลิง"/>
    <n v="1000"/>
    <n v="28250"/>
    <n v="27.25"/>
    <n v="2"/>
    <s v="L1"/>
    <d v="2015-05-01T00:00:00"/>
    <s v="A.C."/>
    <n v="23.425000000000001"/>
    <n v="2.0249999999999999"/>
    <n v="0.625"/>
    <n v="0.67500000000000004"/>
    <n v="1.91273"/>
    <n v="2"/>
    <n v="25.625"/>
    <n v="0.72499999999999998"/>
    <n v="0.25"/>
    <n v="0.15"/>
    <n v="3.7478400000000001"/>
    <n v="3.5"/>
    <n v="0"/>
    <n v="0"/>
    <n v="26.75"/>
    <n v="1.42347"/>
    <n v="2.81"/>
    <n v="0"/>
    <n v="2.946264744429882E-3"/>
    <x v="106"/>
    <n v="4.58"/>
    <n v="4.802096985583224E-3"/>
    <n v="0"/>
    <n v="0"/>
    <n v="0"/>
    <n v="0"/>
  </r>
  <r>
    <n v="1524"/>
    <s v="แขวงทางหลวงอยุธยา"/>
    <n v="413"/>
    <n v="34770"/>
    <n v="100"/>
    <s v="บางปะอิน - อยุธยา"/>
    <n v="0"/>
    <n v="14510"/>
    <n v="14.51"/>
    <n v="4"/>
    <s v="L2"/>
    <d v="2015-09-18T00:00:00"/>
    <s v="A.C."/>
    <n v="12.3"/>
    <n v="1.55"/>
    <n v="0.67500000000000004"/>
    <n v="0.27500000000000002"/>
    <n v="2.66866"/>
    <n v="2.5"/>
    <n v="14.55"/>
    <n v="0.25"/>
    <n v="0"/>
    <n v="0"/>
    <n v="5.9361899999999999"/>
    <n v="6"/>
    <n v="0"/>
    <n v="0"/>
    <n v="14.51"/>
    <n v="1.08022"/>
    <n v="0"/>
    <n v="2.81"/>
    <n v="2.7665649305897411E-3"/>
    <x v="106"/>
    <n v="0"/>
    <n v="0"/>
    <n v="0"/>
    <n v="0"/>
    <n v="0"/>
    <n v="0"/>
  </r>
  <r>
    <n v="240"/>
    <s v="แขวงทางหลวงเชียงรายที่ 2"/>
    <n v="537"/>
    <n v="1173"/>
    <n v="100"/>
    <s v="ศรีเวียง - แม่เลียบ"/>
    <s v="47+133"/>
    <s v="0+000"/>
    <n v="47.133000000000003"/>
    <n v="2"/>
    <s v="R1"/>
    <d v="2015-07-15T00:00:00"/>
    <s v="A.C."/>
    <n v="44.19"/>
    <n v="2.04"/>
    <n v="0.75"/>
    <n v="0.15"/>
    <n v="1.6679999999999999"/>
    <n v="1.5"/>
    <n v="46.58"/>
    <n v="0.55000000000000004"/>
    <n v="0"/>
    <n v="0"/>
    <n v="4.0789999999999997"/>
    <n v="4"/>
    <n v="0"/>
    <n v="0.03"/>
    <n v="47.11"/>
    <n v="1.1619999999999999"/>
    <n v="3"/>
    <n v="2.5"/>
    <n v="2.5762962558838055E-3"/>
    <x v="106"/>
    <n v="0"/>
    <n v="0"/>
    <n v="0"/>
    <n v="0"/>
    <n v="0"/>
    <n v="0"/>
  </r>
  <r>
    <n v="704"/>
    <s v="แขวงทางหลวงชัยภูมิ"/>
    <n v="626"/>
    <n v="2054"/>
    <n v="100"/>
    <s v="ลาดใหญ่ - ช่องสามหมอ"/>
    <n v="0"/>
    <n v="33742"/>
    <n v="33.741999999999997"/>
    <n v="2"/>
    <s v="L1"/>
    <d v="2015-06-22T00:00:00"/>
    <s v="A.C."/>
    <n v="19.3"/>
    <n v="10.175000000000001"/>
    <n v="3.0249999999999999"/>
    <n v="1.05"/>
    <n v="2.5562999999999998"/>
    <n v="2.5"/>
    <n v="32.75"/>
    <n v="0.55000000000000004"/>
    <n v="0.125"/>
    <n v="0.125"/>
    <n v="3.3558599999999998"/>
    <n v="3.5"/>
    <n v="0"/>
    <n v="0"/>
    <n v="33.549999999999997"/>
    <n v="1.19675"/>
    <n v="3.04"/>
    <n v="0"/>
    <n v="2.5741551436530988E-3"/>
    <x v="106"/>
    <n v="15.88"/>
    <n v="1.3446573579345793E-2"/>
    <n v="0"/>
    <n v="0"/>
    <n v="0"/>
    <n v="0"/>
  </r>
  <r>
    <n v="752"/>
    <s v="แขวงทางหลวงชัยภูมิ"/>
    <n v="626"/>
    <n v="2054"/>
    <n v="100"/>
    <s v="ลาดใหญ่ - ช่องสามหมอ"/>
    <n v="0"/>
    <n v="33742"/>
    <n v="33.741999999999997"/>
    <n v="2"/>
    <s v="L1"/>
    <d v="2015-06-22T00:00:00"/>
    <s v="A.C."/>
    <n v="19.3"/>
    <n v="10.175000000000001"/>
    <n v="3.0249999999999999"/>
    <n v="1.05"/>
    <n v="2.5562999999999998"/>
    <n v="2.5"/>
    <n v="32.75"/>
    <n v="0.55000000000000004"/>
    <n v="0.125"/>
    <n v="0.125"/>
    <n v="3.3558599999999998"/>
    <n v="3.5"/>
    <n v="0"/>
    <n v="0"/>
    <n v="33.549999999999997"/>
    <n v="1.19675"/>
    <n v="3.04"/>
    <n v="0"/>
    <n v="2.5741551436530988E-3"/>
    <x v="106"/>
    <n v="15.88"/>
    <n v="1.3446573579345793E-2"/>
    <n v="0"/>
    <n v="0"/>
    <n v="0"/>
    <n v="0"/>
  </r>
  <r>
    <n v="951"/>
    <s v="แขวงทางหลวงนครราชสีมาที่ 1"/>
    <n v="611"/>
    <n v="2226"/>
    <n v="100"/>
    <s v="วังหิน - หนองนาดำ"/>
    <n v="0"/>
    <n v="60605"/>
    <n v="60.604999999999997"/>
    <n v="2"/>
    <s v="L1"/>
    <d v="2015-04-25T00:00:00"/>
    <s v="A.C."/>
    <n v="40.274999999999999"/>
    <n v="14.975"/>
    <n v="4.125"/>
    <n v="0.92500000000000004"/>
    <n v="2.1541800000000002"/>
    <n v="2"/>
    <n v="57.225000000000001"/>
    <n v="2.4750000000000001"/>
    <n v="0.57499999999999996"/>
    <n v="2.5000000000000001E-2"/>
    <n v="4.6234099999999998"/>
    <n v="4.5"/>
    <n v="0"/>
    <n v="0"/>
    <n v="60.604999999999997"/>
    <n v="1.3347"/>
    <n v="5.43"/>
    <n v="0"/>
    <n v="2.5599019411411132E-3"/>
    <x v="106"/>
    <n v="7.04"/>
    <n v="3.3189152238735612E-3"/>
    <n v="0"/>
    <n v="0"/>
    <n v="0"/>
    <n v="0"/>
  </r>
  <r>
    <n v="1040"/>
    <s v="แขวงทางหลวงบุรีรัมย์"/>
    <n v="617"/>
    <n v="2378"/>
    <n v="200"/>
    <s v="สะพานบุรีรินทร์ - ไทรงาม"/>
    <n v="20040"/>
    <n v="43425"/>
    <n v="21.83"/>
    <n v="2"/>
    <s v="L1"/>
    <d v="2015-05-05T00:00:00"/>
    <s v="A.C."/>
    <n v="14.2"/>
    <n v="7.3250000000000002"/>
    <n v="1.5"/>
    <n v="0.25"/>
    <n v="2.41811"/>
    <n v="2.5"/>
    <n v="20.675000000000001"/>
    <n v="2.1"/>
    <n v="0.47499999999999998"/>
    <n v="2.5000000000000001E-2"/>
    <n v="5.0559399999999997"/>
    <n v="5"/>
    <n v="0"/>
    <n v="0"/>
    <n v="23.274999999999999"/>
    <n v="1.32721"/>
    <n v="0"/>
    <n v="3.75"/>
    <n v="2.4540278777566912E-3"/>
    <x v="106"/>
    <n v="9.5399999999999991"/>
    <n v="1.2486093842026045E-2"/>
    <n v="57.92"/>
    <n v="7.580655716248938E-2"/>
    <n v="0"/>
    <n v="0"/>
  </r>
  <r>
    <n v="1726"/>
    <s v="แขวงทางหลวงชลบุรีที่ 1"/>
    <n v="422"/>
    <n v="3702"/>
    <n v="401"/>
    <s v="เขาดิน - ดอนหัวฬ่อ"/>
    <s v="65+300"/>
    <s v="52+000"/>
    <n v="13"/>
    <n v="2"/>
    <s v="L1"/>
    <d v="2015-08-15T00:00:00"/>
    <s v="A.C."/>
    <n v="4.7300000000000004"/>
    <n v="3.15"/>
    <n v="2.12"/>
    <n v="3"/>
    <n v="4.2933000000000003"/>
    <n v="4.5"/>
    <n v="10.130000000000001"/>
    <n v="1.22"/>
    <n v="0.55000000000000004"/>
    <n v="1.1200000000000001"/>
    <n v="10.759"/>
    <n v="11"/>
    <n v="0"/>
    <n v="0"/>
    <n v="13"/>
    <n v="1.78881"/>
    <n v="1.03"/>
    <n v="0"/>
    <n v="2.32E-3"/>
    <x v="106"/>
    <n v="83.56"/>
    <n v="0.18798999999999999"/>
    <n v="253"/>
    <n v="0.56917899999999999"/>
    <n v="60.38"/>
    <n v="0.13583999999999999"/>
  </r>
  <r>
    <n v="350"/>
    <s v="แขวงทางหลวงตากที่ 1"/>
    <n v="512"/>
    <n v="1107"/>
    <n v="102"/>
    <s v="หนองบัวเหนือ - ท่าปุย"/>
    <s v="12+000"/>
    <s v="54+277"/>
    <n v="42.277000000000001"/>
    <n v="2"/>
    <s v="L1"/>
    <d v="2015-09-11T00:00:00"/>
    <s v="A.C."/>
    <n v="17.724405149999999"/>
    <n v="9.3001873499999999"/>
    <n v="14.296292585170331"/>
    <n v="0.96915780000000007"/>
    <n v="2.5915699999999999"/>
    <n v="2.5"/>
    <n v="41.791249999999998"/>
    <n v="0.42414999999999997"/>
    <n v="2.495E-2"/>
    <n v="0"/>
    <n v="2.5569299999999999"/>
    <n v="2.5"/>
    <n v="0"/>
    <n v="0"/>
    <n v="42.29004288517033"/>
    <n v="1.2710600000000001"/>
    <n v="0"/>
    <n v="6.47"/>
    <n v="2.1862613579149755E-3"/>
    <x v="106"/>
    <n v="76.325000000000003"/>
    <n v="5.1581575932878057E-2"/>
    <n v="0"/>
    <n v="0"/>
    <n v="0"/>
    <n v="0"/>
  </r>
  <r>
    <n v="245"/>
    <s v="แขวงทางหลวงเชียงรายที่ 2"/>
    <n v="537"/>
    <n v="1290"/>
    <n v="101"/>
    <s v="แม่สาย - กิ่วกาญน์"/>
    <n v="0"/>
    <n v="74167"/>
    <n v="74.167000000000002"/>
    <n v="2"/>
    <s v="R1"/>
    <d v="2015-07-15T00:00:00"/>
    <s v="A.C."/>
    <n v="52.75"/>
    <n v="14.83"/>
    <n v="6.13"/>
    <n v="0.56000000000000005"/>
    <n v="2.31548"/>
    <n v="2.5"/>
    <n v="71.38"/>
    <n v="2.79"/>
    <n v="0"/>
    <n v="0"/>
    <n v="4.7741400000000001"/>
    <n v="5"/>
    <n v="6.95"/>
    <n v="58.61"/>
    <n v="8.6999999999999993"/>
    <n v="1.1701299999999999"/>
    <n v="0"/>
    <n v="11.31"/>
    <n v="2.1784813808220444E-3"/>
    <x v="106"/>
    <n v="0"/>
    <n v="0"/>
    <n v="0"/>
    <n v="0"/>
    <n v="0"/>
    <n v="0"/>
  </r>
  <r>
    <n v="696"/>
    <s v="แขวงทางหลวงชัยภูมิ"/>
    <n v="626"/>
    <n v="202"/>
    <n v="100"/>
    <s v="สี่แยกโรงต้ม  - แก้งสนามนาง"/>
    <n v="2250"/>
    <n v="25660"/>
    <n v="23.41"/>
    <n v="2"/>
    <s v="L1"/>
    <d v="2015-06-22T00:00:00"/>
    <s v="A.C."/>
    <n v="17.625"/>
    <n v="3.6"/>
    <n v="1.2"/>
    <n v="0.82499999999999996"/>
    <n v="2.5653800000000002"/>
    <n v="2.5"/>
    <n v="22.975000000000001"/>
    <n v="0.27500000000000002"/>
    <n v="0"/>
    <n v="0"/>
    <n v="4.32111"/>
    <n v="4.5"/>
    <n v="0"/>
    <n v="0"/>
    <n v="23.25"/>
    <n v="1.2440800000000001"/>
    <n v="0"/>
    <n v="3.49"/>
    <n v="2.1297369866357481E-3"/>
    <x v="106"/>
    <n v="0"/>
    <n v="0"/>
    <n v="0"/>
    <n v="0"/>
    <n v="0"/>
    <n v="0"/>
  </r>
  <r>
    <n v="744"/>
    <s v="แขวงทางหลวงชัยภูมิ"/>
    <n v="626"/>
    <n v="202"/>
    <n v="100"/>
    <s v="สี่แยกโรงต้ม  - แก้งสนามนาง"/>
    <n v="2250"/>
    <n v="25660"/>
    <n v="23.41"/>
    <n v="2"/>
    <s v="L1"/>
    <d v="2015-06-22T00:00:00"/>
    <s v="A.C."/>
    <n v="17.625"/>
    <n v="3.6"/>
    <n v="1.2"/>
    <n v="0.82499999999999996"/>
    <n v="2.5653800000000002"/>
    <n v="2.5"/>
    <n v="22.975000000000001"/>
    <n v="0.27500000000000002"/>
    <n v="0"/>
    <n v="0"/>
    <n v="4.32111"/>
    <n v="4.5"/>
    <n v="0"/>
    <n v="0"/>
    <n v="23.25"/>
    <n v="1.2440800000000001"/>
    <n v="0"/>
    <n v="3.49"/>
    <n v="2.1297369866357481E-3"/>
    <x v="106"/>
    <n v="0"/>
    <n v="0"/>
    <n v="0"/>
    <n v="0"/>
    <n v="0"/>
    <n v="0"/>
  </r>
  <r>
    <n v="649"/>
    <s v="แขวงทางหลวงขอนแก่นที่ 1"/>
    <n v="621"/>
    <n v="2322"/>
    <n v="201"/>
    <s v="โคกสูง -  หนองกุงใหญ่"/>
    <n v="42396"/>
    <n v="77292"/>
    <n v="33.450000000000003"/>
    <n v="2"/>
    <s v="L1"/>
    <d v="2015-06-17T00:00:00"/>
    <s v="A.C."/>
    <n v="26.45"/>
    <n v="5.875"/>
    <n v="1.85"/>
    <n v="0.72499999999999998"/>
    <n v="2.6589999999999998"/>
    <n v="2.5"/>
    <n v="34.375"/>
    <n v="0.47499999999999998"/>
    <n v="0.05"/>
    <n v="0"/>
    <n v="3.5880000000000001"/>
    <n v="3.5"/>
    <n v="2.5000000000000001E-2"/>
    <n v="0"/>
    <n v="34.875"/>
    <n v="1.1020000000000001"/>
    <n v="2.54"/>
    <n v="0"/>
    <n v="2.0796489159625336E-3"/>
    <x v="106"/>
    <n v="1.06"/>
    <n v="8.6788498067727786E-4"/>
    <n v="0"/>
    <n v="0"/>
    <n v="0"/>
    <n v="0"/>
  </r>
  <r>
    <n v="2092"/>
    <s v="แขวงทางหลวงกระบี่"/>
    <n v="323"/>
    <n v="4151"/>
    <n v="400"/>
    <s v="บางขัน - ลำทับ"/>
    <s v="75+693"/>
    <s v="103+692"/>
    <n v="28"/>
    <n v="2"/>
    <s v="L1"/>
    <d v="2015-05-07T00:00:00"/>
    <s v="A.C."/>
    <n v="23.95"/>
    <n v="2.17"/>
    <n v="1.25"/>
    <n v="0.64"/>
    <n v="1.95414"/>
    <n v="2"/>
    <n v="26.11"/>
    <n v="1.3"/>
    <n v="0.41"/>
    <n v="0.18"/>
    <n v="4.8673099999999998"/>
    <n v="5"/>
    <n v="0"/>
    <n v="0"/>
    <n v="28"/>
    <n v="1.2776099999999999"/>
    <n v="1.63"/>
    <n v="0.59"/>
    <n v="1.964285714285714E-3"/>
    <x v="106"/>
    <n v="2.6"/>
    <n v="2.6530612244897961E-3"/>
    <n v="0"/>
    <n v="0"/>
    <n v="0"/>
    <n v="0"/>
  </r>
  <r>
    <n v="1064"/>
    <s v="แขวงทางหลวงสระแก้ว "/>
    <n v="619"/>
    <n v="348"/>
    <n v="101"/>
    <s v="อรัญประเทศ - แก้วเพชรพลอย"/>
    <s v="45+870"/>
    <s v="0+000"/>
    <n v="45.87"/>
    <n v="2"/>
    <s v="R1"/>
    <d v="2015-03-30T00:00:00"/>
    <s v="A.C."/>
    <n v="39.32"/>
    <n v="4.3899999999999997"/>
    <n v="1.48"/>
    <n v="0.7"/>
    <n v="2.3432400000000002"/>
    <n v="2.5"/>
    <n v="43.13"/>
    <n v="2.69"/>
    <n v="0.03"/>
    <n v="0.03"/>
    <n v="5.3079400000000003"/>
    <n v="5.5"/>
    <n v="0"/>
    <n v="0"/>
    <n v="45.87"/>
    <n v="1.13974"/>
    <n v="3.07"/>
    <n v="0"/>
    <n v="1.9122364446105453E-3"/>
    <x v="106"/>
    <n v="0"/>
    <n v="0"/>
    <n v="0"/>
    <n v="0"/>
    <n v="0"/>
    <n v="0"/>
  </r>
  <r>
    <n v="913"/>
    <s v="แขวงทางหลวงศรีสะเกษที่ 2"/>
    <n v="636"/>
    <n v="2335"/>
    <n v="100"/>
    <s v="ภูมิซรอล  - สำโรงเกียรติ"/>
    <n v="29720"/>
    <n v="0"/>
    <n v="29.72"/>
    <n v="2"/>
    <s v="R1"/>
    <d v="2015-05-13T00:00:00"/>
    <s v="A.C."/>
    <n v="17.804733944954126"/>
    <n v="8.6433394495412834"/>
    <n v="2.344880733944954"/>
    <n v="0.92704587155963292"/>
    <n v="2.2200000000000002"/>
    <n v="2"/>
    <n v="29.22921100917431"/>
    <n v="0.49078899082568805"/>
    <n v="0"/>
    <n v="0"/>
    <n v="2.8050000000000002"/>
    <n v="3"/>
    <n v="0"/>
    <n v="0"/>
    <n v="29.72"/>
    <n v="1.4139999999999999"/>
    <n v="1.79"/>
    <n v="0"/>
    <n v="1.8699999999999999E-3"/>
    <x v="106"/>
    <n v="122.31"/>
    <n v="0.12757199999999999"/>
    <n v="1335.96"/>
    <n v="1.3934299999999999"/>
    <n v="0"/>
    <n v="0"/>
  </r>
  <r>
    <n v="922"/>
    <s v="แขวงทางหลวงศรีสะเกษที่ 1"/>
    <n v="638"/>
    <n v="2086"/>
    <n v="201"/>
    <s v="บ้านด่าน - เมืองน้อย"/>
    <n v="26315"/>
    <n v="95475"/>
    <n v="69.16"/>
    <n v="2"/>
    <s v="L1"/>
    <d v="2015-05-14T00:00:00"/>
    <s v="A.C."/>
    <n v="51.825000000000003"/>
    <n v="11.925000000000001"/>
    <n v="4"/>
    <n v="1.5249999999999999"/>
    <n v="2.2719299999999998"/>
    <n v="2.5"/>
    <n v="66.224999999999994"/>
    <n v="2.35"/>
    <n v="0.55000000000000004"/>
    <n v="0.15"/>
    <n v="4.9559100000000003"/>
    <n v="5"/>
    <n v="0"/>
    <n v="0"/>
    <n v="69.275000000000006"/>
    <n v="1.3201400000000001"/>
    <n v="4.51"/>
    <n v="0"/>
    <n v="1.8600000000000001E-3"/>
    <x v="106"/>
    <n v="0"/>
    <n v="0"/>
    <n v="0"/>
    <n v="0"/>
    <n v="0"/>
    <n v="0"/>
  </r>
  <r>
    <n v="766"/>
    <s v="แขวงทางหลวงมหาสารคาม"/>
    <n v="622"/>
    <n v="2040"/>
    <n v="101"/>
    <s v="มหาสารคาม - วาปีปทุม"/>
    <n v="39686"/>
    <n v="1372"/>
    <n v="38.314"/>
    <n v="2"/>
    <s v="R1"/>
    <d v="2015-05-27T00:00:00"/>
    <s v="A.C."/>
    <n v="32.225000000000001"/>
    <n v="3.7250000000000001"/>
    <n v="1.3"/>
    <n v="0.95"/>
    <n v="2.573"/>
    <n v="2.5"/>
    <n v="27.02"/>
    <n v="8.2100000000000009"/>
    <n v="2.21"/>
    <n v="0.88"/>
    <n v="7.4160000000000004"/>
    <n v="7.5"/>
    <n v="0"/>
    <n v="0"/>
    <n v="38.31"/>
    <n v="1.17"/>
    <n v="0"/>
    <n v="4.9000000000000004"/>
    <n v="1.8270084042386594E-3"/>
    <x v="106"/>
    <n v="4946"/>
    <n v="3.6883198234140449"/>
    <n v="1323"/>
    <n v="0.98658453828887605"/>
    <n v="135"/>
    <n v="0.10067189166213023"/>
  </r>
  <r>
    <n v="923"/>
    <s v="แขวงทางหลวงศรีสะเกษที่ 1"/>
    <n v="638"/>
    <n v="2086"/>
    <n v="202"/>
    <s v="เมืองน้อย - กันทรารมย์"/>
    <n v="95475"/>
    <n v="110006"/>
    <n v="14.531000000000001"/>
    <n v="2"/>
    <s v="L1"/>
    <d v="2015-05-14T00:00:00"/>
    <s v="A.C."/>
    <n v="8.9"/>
    <n v="2.9"/>
    <n v="1.2250000000000001"/>
    <n v="0.875"/>
    <n v="2.5486"/>
    <n v="2.5"/>
    <n v="13.4"/>
    <n v="0.47499999999999998"/>
    <n v="2.5000000000000001E-2"/>
    <n v="0"/>
    <n v="5.0164799999999996"/>
    <n v="5"/>
    <n v="0"/>
    <n v="0"/>
    <n v="13.9"/>
    <n v="1.66639"/>
    <n v="0.92"/>
    <n v="0"/>
    <n v="1.81E-3"/>
    <x v="106"/>
    <n v="0"/>
    <n v="0"/>
    <n v="0"/>
    <n v="0"/>
    <n v="0"/>
    <n v="0"/>
  </r>
  <r>
    <n v="767"/>
    <s v="แขวงทางหลวงมหาสารคาม"/>
    <n v="622"/>
    <n v="2040"/>
    <n v="101"/>
    <s v="วาปีปทุม - พยัคฆภูมิพิสัย"/>
    <n v="79462"/>
    <n v="39686"/>
    <n v="39.776000000000003"/>
    <n v="2"/>
    <s v="R1"/>
    <d v="2015-05-27T00:00:00"/>
    <s v="A.C."/>
    <n v="27.3"/>
    <n v="7.2750000000000004"/>
    <n v="2.95"/>
    <n v="0.72499999999999998"/>
    <n v="2.8279999999999998"/>
    <n v="3"/>
    <n v="35.72"/>
    <n v="2.27"/>
    <n v="1.0900000000000001"/>
    <n v="0.71"/>
    <n v="7.8449999999999998"/>
    <n v="8"/>
    <n v="0"/>
    <n v="0"/>
    <n v="39.78"/>
    <n v="1.1499999999999999"/>
    <n v="0"/>
    <n v="5"/>
    <n v="1.7957706010803356E-3"/>
    <x v="106"/>
    <n v="5047"/>
    <n v="3.6253016894609815"/>
    <n v="1350"/>
    <n v="0.9697161245833813"/>
    <n v="138"/>
    <n v="9.912653717963453E-2"/>
  </r>
  <r>
    <n v="837"/>
    <s v="แขวงทางหลวงสุรินทร์"/>
    <n v="615"/>
    <n v="24"/>
    <n v="402"/>
    <s v="ปราสาท - สังขะ"/>
    <n v="191746"/>
    <n v="240719"/>
    <n v="48.972999999999999"/>
    <n v="4"/>
    <s v="L1"/>
    <d v="2015-05-10T00:00:00"/>
    <s v="A.C."/>
    <n v="31.5"/>
    <n v="10.15"/>
    <n v="5.1749999999999998"/>
    <n v="1.8"/>
    <n v="2.4157799999999998"/>
    <n v="2.5"/>
    <n v="46.975000000000001"/>
    <n v="1.55"/>
    <n v="7.4999999999999997E-2"/>
    <n v="2.5000000000000001E-2"/>
    <n v="4.6844099999999997"/>
    <n v="4.5"/>
    <n v="0"/>
    <n v="0"/>
    <n v="48.624999999999993"/>
    <n v="1.14639"/>
    <n v="2.89"/>
    <n v="0"/>
    <n v="1.6900000000000001E-3"/>
    <x v="106"/>
    <n v="153.94"/>
    <n v="8.9810000000000001E-2"/>
    <n v="0"/>
    <n v="0"/>
    <n v="0"/>
    <n v="0"/>
  </r>
  <r>
    <n v="644"/>
    <s v="แขวงทางหลวงขอนแก่นที่ 1"/>
    <n v="621"/>
    <n v="2039"/>
    <n v="100"/>
    <s v="น้ำพอง - น้ำอ้อม"/>
    <n v="0"/>
    <n v="40634"/>
    <n v="40.634"/>
    <n v="2"/>
    <s v="L1"/>
    <d v="2015-06-17T00:00:00"/>
    <s v="A.C."/>
    <n v="22.95"/>
    <n v="10.525"/>
    <n v="5.4749999999999996"/>
    <n v="1.85"/>
    <n v="2.7035499999999999"/>
    <n v="2.5"/>
    <n v="37.524999999999999"/>
    <n v="2.2999999999999998"/>
    <n v="0.67500000000000004"/>
    <n v="0.3"/>
    <n v="4.6771799999999999"/>
    <n v="4.5"/>
    <n v="0"/>
    <n v="0"/>
    <n v="40.79999999999999"/>
    <n v="1.02159"/>
    <n v="0"/>
    <n v="4.51"/>
    <n v="1.5855827983602751E-3"/>
    <x v="106"/>
    <n v="11.32"/>
    <n v="7.95955533367553E-3"/>
    <n v="0"/>
    <n v="0"/>
    <n v="12.47"/>
    <n v="8.7681674037927426E-3"/>
  </r>
  <r>
    <n v="732"/>
    <s v="แขวงทางหลวงขอนแก่นที่ 2 (ชุมแพ)"/>
    <n v="627"/>
    <n v="2389"/>
    <n v="100"/>
    <s v="แก้งคร้อ - สระพัง"/>
    <n v="0"/>
    <n v="38519"/>
    <n v="38.518999999999998"/>
    <n v="2"/>
    <s v="L1"/>
    <d v="2015-06-22T00:00:00"/>
    <s v="A.C."/>
    <n v="23.55"/>
    <n v="9.2249999999999996"/>
    <n v="3.5"/>
    <n v="2.375"/>
    <n v="2.6617000000000002"/>
    <n v="2.5"/>
    <n v="35.950000000000003"/>
    <n v="2.125"/>
    <n v="0.5"/>
    <n v="7.4999999999999997E-2"/>
    <n v="5.0158300000000002"/>
    <n v="5"/>
    <n v="0"/>
    <n v="0"/>
    <n v="38.518999999999998"/>
    <n v="1.17116"/>
    <n v="0"/>
    <n v="4.04"/>
    <n v="1.4983329191901585E-3"/>
    <x v="106"/>
    <n v="0"/>
    <n v="0"/>
    <n v="0"/>
    <n v="0"/>
    <n v="0.61"/>
    <n v="4.5246687163663201E-4"/>
  </r>
  <r>
    <n v="51"/>
    <s v="แขวงทางหลวงลำปางที่ 1"/>
    <n v="523"/>
    <n v="1048"/>
    <n v="100"/>
    <s v="ดอนไชย - หอรบ"/>
    <s v="0+000"/>
    <s v="53+217"/>
    <n v="53.216999999999999"/>
    <n v="2"/>
    <s v="L1"/>
    <d v="2015-08-07T00:00:00"/>
    <s v="A.C."/>
    <n v="20.625"/>
    <n v="16.675000000000001"/>
    <n v="9.5749999999999993"/>
    <n v="5.8250000000000002"/>
    <n v="3.1660900000000001"/>
    <n v="3"/>
    <n v="49.95"/>
    <n v="2.4"/>
    <n v="0.32500000000000001"/>
    <n v="2.5000000000000001E-2"/>
    <n v="4.0938299999999996"/>
    <n v="4"/>
    <n v="0"/>
    <n v="0"/>
    <n v="52.7"/>
    <n v="1.30525"/>
    <n v="2.63"/>
    <n v="0"/>
    <n v="1.4120085150019193E-3"/>
    <x v="106"/>
    <n v="68.144999999999996"/>
    <n v="3.6586053328823497E-2"/>
    <n v="0"/>
    <n v="0"/>
    <n v="1.3"/>
    <n v="6.9795097699714651E-4"/>
  </r>
  <r>
    <n v="1966"/>
    <s v="แขวงทางหลวงนครศรีธรรมราชที่ 1"/>
    <n v="321"/>
    <n v="4238"/>
    <n v="100"/>
    <s v="ไม้หลา - ลานสกา"/>
    <n v="0"/>
    <n v="20511"/>
    <n v="20.510999999999999"/>
    <n v="2"/>
    <s v="L1"/>
    <d v="2015-04-29T00:00:00"/>
    <s v="A.C."/>
    <n v="15.425000000000001"/>
    <n v="3.35"/>
    <n v="1.2250000000000001"/>
    <n v="0.42499999999999999"/>
    <n v="2.1815199999999999"/>
    <n v="2"/>
    <n v="20.175000000000001"/>
    <n v="0.22500000000000001"/>
    <n v="2.5000000000000001E-2"/>
    <n v="0"/>
    <n v="2.9082300000000001"/>
    <n v="3"/>
    <n v="0"/>
    <n v="0"/>
    <n v="20.425000000000001"/>
    <n v="1.44808"/>
    <n v="0"/>
    <n v="2"/>
    <n v="1.3929807699004715E-3"/>
    <x v="106"/>
    <n v="0"/>
    <n v="0"/>
    <n v="0"/>
    <n v="0"/>
    <n v="0"/>
    <n v="0"/>
  </r>
  <r>
    <n v="325"/>
    <s v="แขวงทางหลวงหนองคาย"/>
    <n v="646"/>
    <n v="211"/>
    <n v="101"/>
    <s v="หนองสองห้อง - ศรีเชียงใหม่"/>
    <n v="44000"/>
    <n v="0"/>
    <n v="44"/>
    <n v="4"/>
    <s v="L1"/>
    <d v="2015-06-10T00:00:00"/>
    <s v="A.C."/>
    <n v="28.4"/>
    <n v="7.7249999999999996"/>
    <n v="4.8499999999999996"/>
    <n v="2.8250000000000002"/>
    <n v="3.6635800000000001"/>
    <n v="3.5"/>
    <n v="40.799999999999997"/>
    <n v="2.125"/>
    <n v="0.82499999999999996"/>
    <n v="0.05"/>
    <n v="5.0673700000000004"/>
    <n v="5"/>
    <n v="0"/>
    <n v="0"/>
    <n v="43.8"/>
    <n v="1.1786099999999999"/>
    <n v="2"/>
    <n v="0"/>
    <n v="1.2987012987012987E-3"/>
    <x v="106"/>
    <n v="0"/>
    <n v="0"/>
    <n v="1201.0899999999999"/>
    <n v="0.7799285714285713"/>
    <n v="0"/>
    <n v="0"/>
  </r>
  <r>
    <n v="326"/>
    <s v="แขวงทางหลวงหนองคาย"/>
    <n v="646"/>
    <n v="211"/>
    <n v="102"/>
    <s v="ศรีเชียงใหม่ - ห้วยเชียงดา"/>
    <s v="44+000"/>
    <s v="112+000"/>
    <n v="68"/>
    <n v="2"/>
    <s v="L1"/>
    <d v="2015-06-10T00:00:00"/>
    <s v="A.C."/>
    <n v="37"/>
    <n v="20.524999999999999"/>
    <n v="7.1749999999999998"/>
    <n v="3.0249999999999999"/>
    <n v="3.0722399999999999"/>
    <n v="3"/>
    <n v="65.849999999999994"/>
    <n v="1.35"/>
    <n v="0.32500000000000001"/>
    <n v="0.2"/>
    <n v="4.7411899999999996"/>
    <n v="4.5"/>
    <n v="0"/>
    <n v="0"/>
    <n v="67.724999999999994"/>
    <n v="1.18869"/>
    <n v="1.34"/>
    <n v="2.87"/>
    <n v="1.1659663865546219E-3"/>
    <x v="106"/>
    <n v="0"/>
    <n v="0"/>
    <n v="804.73"/>
    <n v="0.3381218487394958"/>
    <n v="0"/>
    <n v="0"/>
  </r>
  <r>
    <n v="154"/>
    <s v="แขวงทางหลวงแพร่"/>
    <n v="531"/>
    <n v="1216"/>
    <n v="100"/>
    <s v="ห้วยแก๊ต - บ้านส้าน"/>
    <s v="0+000"/>
    <s v="37+468"/>
    <n v="37.468000000000004"/>
    <n v="2"/>
    <s v="L1"/>
    <d v="2015-08-06T00:00:00"/>
    <s v="A.C."/>
    <n v="20.82"/>
    <n v="8.65"/>
    <n v="4.25"/>
    <n v="3.75"/>
    <n v="2.899"/>
    <n v="3"/>
    <n v="15.52"/>
    <n v="5.98"/>
    <n v="3.67"/>
    <n v="12.31"/>
    <n v="19.084"/>
    <n v="19"/>
    <n v="0.2"/>
    <n v="0.48"/>
    <n v="36.79"/>
    <n v="1.3839999999999999"/>
    <n v="0"/>
    <n v="2.99"/>
    <n v="1.1400204364867546E-3"/>
    <x v="106"/>
    <n v="136.96"/>
    <n v="0.10443959798075311"/>
    <n v="0"/>
    <n v="0"/>
    <n v="1.9"/>
    <n v="1.4488554042306576E-3"/>
  </r>
  <r>
    <n v="2213"/>
    <s v="แขวงทางหลวงสตูล"/>
    <n v="318"/>
    <n v="406"/>
    <n v="103"/>
    <s v="ย่านซื่อ - ตำมะลัง"/>
    <s v="75+725"/>
    <s v="89+115"/>
    <n v="13.39"/>
    <n v="2"/>
    <s v="L2"/>
    <d v="2015-05-25T00:00:00"/>
    <s v="A.C."/>
    <n v="9.9250000000000007"/>
    <n v="2.5499999999999998"/>
    <n v="0.65"/>
    <n v="0.35"/>
    <n v="2.2946599999999999"/>
    <n v="2.5"/>
    <n v="13.074999999999999"/>
    <n v="0.375"/>
    <n v="2.5000000000000001E-2"/>
    <n v="0"/>
    <n v="4.3458699999999997"/>
    <n v="4.5"/>
    <n v="0"/>
    <n v="0"/>
    <n v="13.475000000000001"/>
    <n v="1.0960399999999999"/>
    <n v="0"/>
    <n v="1.04"/>
    <n v="1.1095700416088768E-3"/>
    <x v="106"/>
    <n v="0"/>
    <n v="0"/>
    <n v="0"/>
    <n v="0"/>
    <n v="0"/>
    <n v="0"/>
  </r>
  <r>
    <n v="230"/>
    <s v="แขวงทางหลวงเชียงรายที่ 2"/>
    <n v="537"/>
    <n v="1020"/>
    <n v="203"/>
    <s v="ขุนตาล - เชียงของ"/>
    <s v="99+052"/>
    <s v="124+600"/>
    <n v="51.801000000000002"/>
    <n v="4"/>
    <s v="L1"/>
    <d v="2015-07-13T00:00:00"/>
    <s v="A.C."/>
    <n v="38.76"/>
    <n v="8.5399999999999991"/>
    <n v="3.33"/>
    <n v="1.18"/>
    <n v="2.3333400000000002"/>
    <n v="2.5"/>
    <n v="37.99"/>
    <n v="10.82"/>
    <n v="2.1800000000000002"/>
    <n v="0.83"/>
    <n v="7.91866"/>
    <n v="8"/>
    <n v="0"/>
    <n v="0"/>
    <n v="51.8"/>
    <n v="1.1353500000000001"/>
    <n v="2"/>
    <n v="0"/>
    <n v="1.1031226644824838E-3"/>
    <x v="106"/>
    <n v="27"/>
    <n v="1.4892155970513531E-2"/>
    <n v="15"/>
    <n v="8.2734199836186281E-3"/>
    <n v="9"/>
    <n v="4.9640519901711765E-3"/>
  </r>
  <r>
    <n v="286"/>
    <s v="แขวงทางหลวงสกลนครที่ 2 (สว่างแดนดิน)"/>
    <n v="642"/>
    <n v="22"/>
    <n v="302"/>
    <s v="สว่างแดนดิน-สูงเนิน"/>
    <s v="130+930"/>
    <s v="80+071"/>
    <n v="50.859000000000002"/>
    <n v="4"/>
    <s v="R2"/>
    <d v="2015-06-06T00:00:00"/>
    <s v="A.C."/>
    <n v="38.700000000000003"/>
    <n v="8.4700000000000006"/>
    <n v="2.86"/>
    <n v="0.91"/>
    <n v="2.3788399999999998"/>
    <n v="2.5"/>
    <n v="48.34"/>
    <n v="1.7"/>
    <n v="0.75"/>
    <n v="0.16"/>
    <n v="5.3389100000000003"/>
    <n v="5.5"/>
    <n v="0"/>
    <n v="0"/>
    <n v="50.95"/>
    <n v="1.1831700000000001"/>
    <n v="0"/>
    <n v="4"/>
    <n v="9.8762261952085482E-4"/>
    <x v="106"/>
    <n v="0"/>
    <n v="0"/>
    <n v="0"/>
    <n v="0"/>
    <n v="0"/>
    <n v="0"/>
  </r>
  <r>
    <n v="126"/>
    <s v="แขวงทางหลวงลำปางที่ 2"/>
    <n v="528"/>
    <n v="103"/>
    <n v="200"/>
    <s v="แม่ตีบ - งาว"/>
    <s v="64+345"/>
    <s v="40+554"/>
    <n v="23.791"/>
    <n v="2"/>
    <s v="R2"/>
    <d v="2015-08-09T00:00:00"/>
    <s v="A.C."/>
    <n v="10.125"/>
    <n v="6.7249999999999996"/>
    <n v="4.1749999999999998"/>
    <n v="2.7749999999999999"/>
    <n v="3.0809000000000002"/>
    <n v="3"/>
    <n v="21.6"/>
    <n v="1.7250000000000001"/>
    <n v="0.25"/>
    <n v="0.22500000000000001"/>
    <n v="4.9226299999999998"/>
    <n v="5"/>
    <n v="0"/>
    <n v="0"/>
    <n v="23.8"/>
    <n v="1.52616"/>
    <n v="0"/>
    <n v="1.35"/>
    <n v="8.1063067066177493E-4"/>
    <x v="106"/>
    <n v="0.32"/>
    <n v="3.8429898461002658E-4"/>
    <n v="1.02"/>
    <n v="1.2249530134444599E-3"/>
    <n v="0"/>
    <n v="0"/>
  </r>
  <r>
    <n v="2106"/>
    <s v="แขวงทางหลวงภูเก็ต"/>
    <n v="324"/>
    <n v="402"/>
    <n v="101"/>
    <s v="โคกกลอย - หมากปรก"/>
    <n v="21856"/>
    <n v="0"/>
    <n v="21.856000000000002"/>
    <n v="4"/>
    <s v="R2"/>
    <d v="2015-05-12T00:00:00"/>
    <s v="A.C."/>
    <n v="15.2"/>
    <n v="2.875"/>
    <n v="1.5"/>
    <n v="0.57499999999999996"/>
    <n v="2.1692800000000001"/>
    <n v="2"/>
    <n v="19.350000000000001"/>
    <n v="0.65"/>
    <n v="0.1"/>
    <n v="0.05"/>
    <n v="4.54521"/>
    <n v="4.5"/>
    <n v="0"/>
    <n v="0"/>
    <n v="20.149999999999999"/>
    <n v="1.4037999999999999"/>
    <n v="0"/>
    <n v="1"/>
    <n v="7.8239302731334054E-4"/>
    <x v="106"/>
    <n v="0"/>
    <n v="0"/>
    <n v="0"/>
    <n v="0"/>
    <n v="0"/>
    <n v="0"/>
  </r>
  <r>
    <n v="387"/>
    <s v="แขวงทางหลวงกำแพงเพชร"/>
    <n v="517"/>
    <n v="1112"/>
    <n v="100"/>
    <s v="สลกบาตร - วังปลาอ้าว"/>
    <s v="38+973"/>
    <s v="0+000"/>
    <n v="38.972999999999999"/>
    <n v="2"/>
    <s v="R1"/>
    <d v="2015-09-15T00:00:00"/>
    <s v="A.C."/>
    <n v="30.08"/>
    <n v="6.61"/>
    <n v="1.8"/>
    <n v="0.48"/>
    <n v="2.0962399999999999"/>
    <n v="2"/>
    <n v="38.25"/>
    <n v="0.65"/>
    <n v="0.05"/>
    <n v="0.03"/>
    <n v="2.6546400000000001"/>
    <n v="2.5"/>
    <n v="0"/>
    <n v="0"/>
    <n v="38.97"/>
    <n v="1.07847"/>
    <n v="0"/>
    <n v="1.85"/>
    <n v="6.7812514891261717E-4"/>
    <x v="106"/>
    <n v="143.65"/>
    <n v="0.10531100285545671"/>
    <n v="0"/>
    <n v="0"/>
    <n v="0"/>
    <n v="0"/>
  </r>
  <r>
    <n v="285"/>
    <s v="แขวงทางหลวงสกลนครที่ 2 (สว่างแดนดิน)"/>
    <n v="642"/>
    <n v="22"/>
    <n v="302"/>
    <s v="สว่างแดนดิน-สูงเนิน"/>
    <n v="80071"/>
    <n v="130930"/>
    <n v="50.859000000000002"/>
    <n v="4"/>
    <s v="L2"/>
    <d v="2015-06-06T00:00:00"/>
    <s v="A.C."/>
    <n v="36.159999999999997"/>
    <n v="9.3800000000000008"/>
    <n v="3.45"/>
    <n v="1.87"/>
    <n v="2.6170100000000001"/>
    <n v="2.5"/>
    <n v="46.14"/>
    <n v="3.83"/>
    <n v="0.62"/>
    <n v="0.35"/>
    <n v="6.4007699999999996"/>
    <n v="6.5"/>
    <n v="0"/>
    <n v="0"/>
    <n v="50.94"/>
    <n v="1.21878"/>
    <n v="1"/>
    <n v="0"/>
    <n v="4.9381130976042741E-4"/>
    <x v="106"/>
    <n v="9.16"/>
    <n v="4.5233115974055143E-3"/>
    <n v="0"/>
    <n v="0"/>
    <n v="0"/>
    <n v="0"/>
  </r>
  <r>
    <n v="1845"/>
    <s v="แขวงทางหลวงชุมพร"/>
    <n v="332"/>
    <n v="3374"/>
    <n v="200"/>
    <s v="หนองหัดไท - ดอนยาง"/>
    <n v="47101"/>
    <n v="27162"/>
    <n v="19.939"/>
    <n v="2"/>
    <s v="R1"/>
    <d v="2015-04-07T00:00:00"/>
    <s v="A.C."/>
    <n v="12.6"/>
    <n v="5.2750000000000004"/>
    <n v="1.4"/>
    <n v="0.65"/>
    <n v="2.5267499999999998"/>
    <n v="2.5"/>
    <n v="19.55"/>
    <n v="0.35"/>
    <n v="2.5000000000000001E-2"/>
    <n v="0"/>
    <n v="3.5877500000000002"/>
    <n v="3.5"/>
    <n v="0"/>
    <n v="0"/>
    <n v="19.924999999999997"/>
    <n v="2.0514800000000002"/>
    <n v="257.36"/>
    <n v="54.29"/>
    <n v="1.9307651328268418E-4"/>
    <x v="106"/>
    <n v="94.73"/>
    <n v="0.1357425863168378"/>
    <n v="0"/>
    <n v="0"/>
    <n v="7.21"/>
    <n v="1.0331511108882091E-2"/>
  </r>
  <r>
    <n v="1192"/>
    <s v="แขวงทางหลวงสิงห์บุรี"/>
    <n v="433"/>
    <n v="3454"/>
    <n v="200"/>
    <s v="ชัณสูตร - ท่าช้าง"/>
    <n v="21293"/>
    <n v="49736"/>
    <n v="28.443000000000001"/>
    <n v="2"/>
    <s v="L1"/>
    <d v="2015-10-05T00:00:00"/>
    <s v="A.C."/>
    <n v="21.274999999999999"/>
    <n v="4.9000000000000004"/>
    <n v="1.575"/>
    <n v="0.72499999999999998"/>
    <n v="2.2450000000000001"/>
    <n v="2"/>
    <n v="28.125"/>
    <n v="0.3"/>
    <n v="0.05"/>
    <n v="0"/>
    <n v="2.4009999999999998"/>
    <n v="2.5"/>
    <n v="0"/>
    <n v="0"/>
    <n v="28.443000000000001"/>
    <n v="1.264"/>
    <n v="0"/>
    <n v="0.36"/>
    <n v="1.8081275332620125E-4"/>
    <x v="106"/>
    <n v="2.19"/>
    <n v="2.1998884988021156E-3"/>
    <n v="5.34"/>
    <n v="5.3641116820106376E-3"/>
    <n v="0.01"/>
    <n v="5.3641116820106376E-3"/>
  </r>
  <r>
    <n v="1850"/>
    <s v="แขวงทางหลวงชุมพร"/>
    <n v="332"/>
    <n v="4006"/>
    <n v="200"/>
    <s v="วังตะกอ - หลังสวน"/>
    <n v="68620"/>
    <n v="68100"/>
    <n v="0.52"/>
    <n v="2"/>
    <s v="R1"/>
    <d v="2015-04-06T00:00:00"/>
    <s v="A.C."/>
    <n v="0.25"/>
    <n v="0.17499999999999999"/>
    <n v="2.5000000000000001E-2"/>
    <n v="2.5000000000000001E-2"/>
    <n v="2.7115800000000001"/>
    <n v="2.5"/>
    <n v="0.47499999999999998"/>
    <n v="0"/>
    <n v="0"/>
    <n v="0"/>
    <n v="3.18858"/>
    <n v="3"/>
    <n v="0"/>
    <n v="0"/>
    <n v="0.47500000000000003"/>
    <n v="1.5311600000000001"/>
    <n v="176.95699999999999"/>
    <n v="49.11"/>
    <n v="1.3675738038683406E-4"/>
    <x v="106"/>
    <n v="67.95"/>
    <n v="4.611469290804208E-5"/>
    <n v="0"/>
    <n v="0"/>
    <n v="0.47"/>
    <n v="2.5824175824175823E-2"/>
  </r>
  <r>
    <n v="118"/>
    <s v="แขวงทางหลวงเชียงใหม่ที่ 3"/>
    <n v="527"/>
    <n v="1249"/>
    <n v="100"/>
    <s v="แม่งอน - หนองเต่า"/>
    <n v="0"/>
    <n v="36765"/>
    <n v="36.765000000000001"/>
    <n v="2"/>
    <s v="L1"/>
    <d v="2015-08-26T00:00:00"/>
    <s v="A.C."/>
    <n v="10.44"/>
    <n v="10.91"/>
    <n v="7.71"/>
    <n v="7.71"/>
    <n v="3.80843"/>
    <n v="4"/>
    <n v="34.549999999999997"/>
    <n v="1.49"/>
    <n v="0.36"/>
    <n v="0.36"/>
    <n v="4.2810199999999998"/>
    <n v="4.5"/>
    <n v="0"/>
    <n v="0"/>
    <n v="36.770000000000003"/>
    <n v="1.3953199999999999"/>
    <n v="0"/>
    <n v="0.35"/>
    <n v="1.359989120087039E-4"/>
    <x v="106"/>
    <n v="12.32"/>
    <n v="9.5743234054127546E-3"/>
    <n v="10.36"/>
    <n v="8.0511355909152708E-3"/>
    <n v="0"/>
    <n v="0"/>
  </r>
  <r>
    <n v="1847"/>
    <s v="แขวงทางหลวงชุมพร"/>
    <n v="332"/>
    <n v="4001"/>
    <n v="100"/>
    <s v="แยกโพธารส - ท่ายาง"/>
    <n v="7135"/>
    <n v="1000"/>
    <n v="6.1349999999999998"/>
    <n v="6"/>
    <s v="R3"/>
    <d v="2015-04-07T00:00:00"/>
    <s v="A.C."/>
    <n v="4"/>
    <n v="1.2749999999999999"/>
    <n v="0.42499999999999999"/>
    <n v="0.4"/>
    <n v="2.5440999999999998"/>
    <n v="2.5"/>
    <n v="5.9"/>
    <n v="0.15"/>
    <n v="0.05"/>
    <n v="0"/>
    <n v="3.81385"/>
    <n v="4"/>
    <n v="0"/>
    <n v="0"/>
    <n v="6.1000000000000005"/>
    <n v="1.2998099999999999"/>
    <n v="142.94999999999999"/>
    <n v="22.67"/>
    <n v="1.0470399413654918E-4"/>
    <x v="106"/>
    <n v="15.62"/>
    <n v="7.2744207707532899E-2"/>
    <n v="0"/>
    <n v="0"/>
    <n v="2.1"/>
    <n v="9.7799511002444987E-3"/>
  </r>
  <r>
    <n v="1846"/>
    <s v="แขวงทางหลวงชุมพร"/>
    <n v="332"/>
    <n v="4001"/>
    <n v="100"/>
    <s v="แยกโพธารส - ท่ายาง"/>
    <n v="1000"/>
    <n v="7135"/>
    <n v="6.1349999999999998"/>
    <n v="6"/>
    <s v="L3"/>
    <d v="2015-04-07T00:00:00"/>
    <s v="A.C."/>
    <n v="4.1500000000000004"/>
    <n v="1.075"/>
    <n v="0.52500000000000002"/>
    <n v="0.42499999999999999"/>
    <n v="2.50745"/>
    <n v="2.5"/>
    <n v="5.85"/>
    <n v="0.22500000000000001"/>
    <n v="2.5000000000000001E-2"/>
    <n v="7.4999999999999997E-2"/>
    <n v="4.1622199999999996"/>
    <n v="4"/>
    <n v="0"/>
    <n v="0"/>
    <n v="6.1750000000000007"/>
    <n v="1.1962699999999999"/>
    <n v="129.63"/>
    <n v="25.88"/>
    <n v="9.6753724886073272E-5"/>
    <x v="106"/>
    <n v="2.68"/>
    <n v="1.24810804517406E-2"/>
    <n v="0"/>
    <n v="0"/>
    <n v="1.2"/>
    <n v="5.588543485853999E-3"/>
  </r>
  <r>
    <n v="1852"/>
    <s v="แขวงทางหลวงชุมพร"/>
    <n v="332"/>
    <n v="4099"/>
    <n v="100"/>
    <s v="เขาม่วง - วัดแหลมทราย"/>
    <s v="6+500"/>
    <s v="0+000"/>
    <n v="6.5"/>
    <n v="2"/>
    <s v="R1"/>
    <d v="2015-04-06T00:00:00"/>
    <s v="A.C."/>
    <n v="2.8"/>
    <n v="2.15"/>
    <n v="1.1499999999999999"/>
    <n v="0.5"/>
    <n v="3.02644"/>
    <n v="3"/>
    <n v="6.55"/>
    <n v="2.5000000000000001E-2"/>
    <n v="2.5000000000000001E-2"/>
    <n v="0"/>
    <n v="2.10284"/>
    <n v="2"/>
    <n v="0"/>
    <n v="0"/>
    <n v="6.6"/>
    <n v="1.1637"/>
    <n v="127.69"/>
    <n v="8.34"/>
    <n v="8.948761452324397E-5"/>
    <x v="106"/>
    <n v="46.17"/>
    <n v="3.1333559552086868E-5"/>
    <n v="0"/>
    <n v="0"/>
    <n v="0"/>
    <n v="0"/>
  </r>
  <r>
    <n v="1853"/>
    <s v="แขวงทางหลวงชุมพร"/>
    <n v="332"/>
    <n v="4112"/>
    <n v="100"/>
    <s v="สี่แยกละแม - สวนแตง"/>
    <n v="13822"/>
    <n v="0"/>
    <n v="13.821999999999999"/>
    <n v="2"/>
    <s v="R1"/>
    <d v="2015-04-06T00:00:00"/>
    <s v="A.C."/>
    <n v="8.7750000000000004"/>
    <n v="3.6"/>
    <n v="1"/>
    <n v="0.45"/>
    <n v="2.6034700000000002"/>
    <n v="2.5"/>
    <n v="13.725"/>
    <n v="0.1"/>
    <n v="0"/>
    <n v="0"/>
    <n v="1.5559700000000001"/>
    <n v="1.5"/>
    <n v="0"/>
    <n v="0"/>
    <n v="13.824999999999999"/>
    <n v="1.43442"/>
    <n v="123.658"/>
    <n v="9.4450000000000003"/>
    <n v="8.7126230064472348E-5"/>
    <x v="106"/>
    <n v="97.24"/>
    <n v="6.5992534781133359E-5"/>
    <n v="1.9870000000000001"/>
    <n v="1.348489989820156E-6"/>
    <n v="0"/>
    <n v="0"/>
  </r>
  <r>
    <n v="1855"/>
    <s v="แขวงทางหลวงชุมพร"/>
    <n v="332"/>
    <n v="4134"/>
    <n v="100"/>
    <s v="หลังสวน - ละแม"/>
    <s v="21+500"/>
    <s v="0+000"/>
    <n v="21.5"/>
    <n v="2"/>
    <s v="R1"/>
    <d v="2015-04-06T00:00:00"/>
    <s v="A.C."/>
    <n v="9.1750000000000007"/>
    <n v="6.3250000000000002"/>
    <n v="4.2249999999999996"/>
    <n v="1.9750000000000001"/>
    <n v="3.1061100000000001"/>
    <n v="3"/>
    <n v="20.274999999999999"/>
    <n v="1.05"/>
    <n v="0.25"/>
    <n v="0.125"/>
    <n v="3.9953099999999999"/>
    <n v="4"/>
    <n v="0"/>
    <n v="0"/>
    <n v="21.700000000000003"/>
    <n v="1.2194400000000001"/>
    <n v="96.74"/>
    <n v="58.26"/>
    <n v="8.5422463522225983E-5"/>
    <x v="106"/>
    <n v="1.03"/>
    <n v="1.3687707641196014E-3"/>
    <n v="5.2"/>
    <n v="6.9102990033222591E-3"/>
    <n v="1.36"/>
    <n v="1.807308970099668E-3"/>
  </r>
  <r>
    <n v="1848"/>
    <s v="แขวงทางหลวงชุมพร"/>
    <n v="332"/>
    <n v="4003"/>
    <n v="100"/>
    <s v="สวี - บ่อคา"/>
    <s v="0+000"/>
    <s v="7+583"/>
    <n v="7.5830000000000002"/>
    <n v="2"/>
    <s v="L2"/>
    <d v="2015-04-06T00:00:00"/>
    <s v="A.C."/>
    <n v="4.9749999999999996"/>
    <n v="1.7"/>
    <n v="0.67500000000000004"/>
    <n v="0.22500000000000001"/>
    <n v="2.4978500000000001"/>
    <n v="2.5"/>
    <n v="7.3250000000000002"/>
    <n v="0.25"/>
    <n v="0"/>
    <n v="0"/>
    <n v="4.1524799999999997"/>
    <n v="4"/>
    <n v="0"/>
    <n v="0"/>
    <n v="7.5749999999999993"/>
    <n v="1.2412300000000001"/>
    <n v="102.94"/>
    <n v="22.36"/>
    <n v="7.7448252460128955E-5"/>
    <x v="106"/>
    <n v="63.58"/>
    <n v="4.3148965049202579E-5"/>
    <n v="3.2"/>
    <n v="2.1717000339328132E-6"/>
    <n v="0"/>
    <n v="0"/>
  </r>
  <r>
    <n v="488"/>
    <s v="แขวงทางหลวงพิจิตร"/>
    <n v="519"/>
    <n v="115"/>
    <n v="302"/>
    <s v="คลองโนน - เนินสมอ"/>
    <s v="95+950"/>
    <s v="80+000"/>
    <n v="15.95"/>
    <s v="R2"/>
    <n v="4"/>
    <d v="2015-09-29T00:00:00"/>
    <s v="A.C."/>
    <n v="6.68"/>
    <n v="5.64"/>
    <n v="2.4900000000000002"/>
    <n v="1.1399999999999999"/>
    <n v="2.9097900000000001"/>
    <n v="3"/>
    <n v="14.09"/>
    <n v="1.47"/>
    <n v="0.35"/>
    <n v="0.03"/>
    <n v="5.2833699999999997"/>
    <n v="5.5"/>
    <n v="0"/>
    <n v="0"/>
    <n v="15.95"/>
    <n v="1.3789899999999999"/>
    <n v="93.21"/>
    <n v="16.512"/>
    <n v="7.4153521754997761E-5"/>
    <x v="106"/>
    <n v="95.344999999999999"/>
    <n v="6.4437100414960194E-5"/>
    <n v="0"/>
    <n v="0"/>
    <n v="0"/>
    <n v="0"/>
  </r>
  <r>
    <n v="1844"/>
    <s v="แขวงทางหลวงชุมพร"/>
    <n v="332"/>
    <n v="3253"/>
    <n v="100"/>
    <s v="บ้านพละ - ปะทิว"/>
    <s v="13+300"/>
    <s v="48+208"/>
    <n v="34.908000000000001"/>
    <n v="2"/>
    <s v="L1"/>
    <d v="2015-04-07T00:00:00"/>
    <s v="A.C."/>
    <n v="31.225000000000001"/>
    <n v="3.6749999999999998"/>
    <n v="0"/>
    <n v="0"/>
    <n v="2.45214"/>
    <n v="2.5"/>
    <n v="34.9"/>
    <n v="0"/>
    <n v="0"/>
    <n v="0"/>
    <n v="2.1442600000000001"/>
    <n v="2"/>
    <n v="0"/>
    <n v="0"/>
    <n v="34.9"/>
    <n v="1.1244799999999999"/>
    <n v="35.31"/>
    <n v="130.321"/>
    <n v="6.8183314274856038E-5"/>
    <x v="106"/>
    <n v="50.320999999999998"/>
    <n v="3.4149850529508965E-5"/>
    <n v="10.5"/>
    <n v="7.1257214792997784E-6"/>
    <n v="0"/>
    <n v="0"/>
  </r>
  <r>
    <n v="1851"/>
    <s v="แขวงทางหลวงชุมพร"/>
    <n v="332"/>
    <n v="4091"/>
    <n v="200"/>
    <s v="เขาปีบ - นาเหนือ"/>
    <s v="71+858"/>
    <s v="70+568"/>
    <n v="1.29"/>
    <n v="6"/>
    <s v="R3"/>
    <d v="2015-04-06T00:00:00"/>
    <s v="A.C."/>
    <n v="0.45"/>
    <n v="0.5"/>
    <n v="0.32500000000000001"/>
    <n v="0.3"/>
    <n v="3.8469799999999998"/>
    <n v="4"/>
    <n v="1.325"/>
    <n v="0.125"/>
    <n v="0.05"/>
    <n v="7.4999999999999997E-2"/>
    <n v="5.9734600000000002"/>
    <n v="6"/>
    <n v="0"/>
    <n v="0"/>
    <n v="1.575"/>
    <n v="1.37365"/>
    <n v="68.335999999999999"/>
    <n v="42.93"/>
    <n v="6.0944010858500166E-5"/>
    <x v="106"/>
    <n v="0"/>
    <n v="0"/>
    <n v="0"/>
    <n v="0"/>
    <n v="0"/>
    <n v="0"/>
  </r>
  <r>
    <n v="1854"/>
    <s v="แขวงทางหลวงชุมพร"/>
    <n v="332"/>
    <n v="4119"/>
    <n v="100"/>
    <s v="ปากคลอง - ปากน้ำชุมพร"/>
    <n v="0"/>
    <n v="6665"/>
    <n v="6.665"/>
    <n v="2"/>
    <s v="L1"/>
    <d v="2015-04-07T00:00:00"/>
    <s v="A.C."/>
    <n v="5.0999999999999996"/>
    <n v="0.82499999999999996"/>
    <n v="0.52500000000000002"/>
    <n v="0.2"/>
    <n v="2.15327"/>
    <n v="2"/>
    <n v="6.55"/>
    <n v="0.1"/>
    <n v="0"/>
    <n v="0"/>
    <n v="3.3434400000000002"/>
    <n v="3.5"/>
    <n v="0"/>
    <n v="0"/>
    <n v="6.65"/>
    <n v="1.3152900000000001"/>
    <n v="28.61"/>
    <n v="11.36"/>
    <n v="2.327057043097042E-5"/>
    <x v="106"/>
    <n v="0"/>
    <n v="0"/>
    <n v="0"/>
    <n v="0"/>
    <n v="0"/>
    <n v="0"/>
  </r>
  <r>
    <n v="2219"/>
    <s v="แขวงทางหลวงสตูล"/>
    <n v="318"/>
    <n v="4052"/>
    <n v="100"/>
    <s v="เขาขาว - ท่าเรือปากบารา"/>
    <s v="2+651"/>
    <s v="11+716"/>
    <n v="9.0649999999999995"/>
    <n v="2"/>
    <s v="L1"/>
    <d v="2015-05-26T00:00:00"/>
    <s v="A.C."/>
    <n v="5.5"/>
    <n v="1.7749999999999999"/>
    <n v="1.425"/>
    <n v="0.32500000000000001"/>
    <n v="2.5897199999999998"/>
    <n v="2.5"/>
    <n v="8.375"/>
    <n v="0.625"/>
    <n v="2.5000000000000001E-2"/>
    <n v="0"/>
    <n v="4.18832"/>
    <n v="4"/>
    <n v="0"/>
    <n v="0"/>
    <n v="9.0250000000000004"/>
    <n v="1.03586"/>
    <n v="22.74"/>
    <n v="7"/>
    <n v="1.7786815793933229E-5"/>
    <x v="106"/>
    <n v="0"/>
    <n v="0"/>
    <n v="0"/>
    <n v="8.3329387813077036E-6"/>
    <n v="0"/>
    <n v="0"/>
  </r>
  <r>
    <n v="1936"/>
    <s v="แขวงทางหลวงเพชรบุรี"/>
    <n v="338"/>
    <n v="3528"/>
    <n v="100"/>
    <s v="เข้าเมืองเพชรบุรี"/>
    <s v="4+800"/>
    <s v="6+397"/>
    <n v="1.597"/>
    <n v="6"/>
    <s v="L3"/>
    <d v="2015-04-02T00:00:00"/>
    <s v="A.C."/>
    <n v="1.35"/>
    <n v="0.19"/>
    <n v="0.03"/>
    <n v="0.03"/>
    <n v="1.88862"/>
    <n v="2"/>
    <n v="1.6"/>
    <n v="0"/>
    <n v="0"/>
    <n v="0"/>
    <n v="2.3547600000000002"/>
    <n v="2.5"/>
    <n v="0"/>
    <n v="0"/>
    <n v="1.6"/>
    <n v="1.54355"/>
    <n v="0"/>
    <n v="15.52"/>
    <n v="5.2668729977737956E-6"/>
    <x v="106"/>
    <n v="0"/>
    <n v="0"/>
    <n v="13"/>
    <n v="8.8233697127653802E-6"/>
    <n v="0"/>
    <n v="0"/>
  </r>
  <r>
    <n v="2220"/>
    <s v="แขวงทางหลวงสตูล"/>
    <n v="318"/>
    <n v="4052"/>
    <n v="100"/>
    <s v="เขาขาว - ท่าเรือปากบารา"/>
    <s v="0+000"/>
    <s v="0+300"/>
    <n v="0.3"/>
    <n v="2"/>
    <s v="L1"/>
    <d v="2015-05-26T00:00:00"/>
    <s v="A.C."/>
    <n v="0.2"/>
    <n v="0.05"/>
    <n v="0.05"/>
    <n v="2.5000000000000001E-2"/>
    <n v="2.9876900000000002"/>
    <n v="3"/>
    <n v="0.32500000000000001"/>
    <n v="0"/>
    <n v="0"/>
    <n v="0"/>
    <n v="2.2246199999999998"/>
    <n v="2"/>
    <n v="0"/>
    <n v="0"/>
    <n v="0.32500000000000001"/>
    <n v="0.97807699999999997"/>
    <n v="3.1"/>
    <n v="0"/>
    <n v="2.1013387561430267E-6"/>
    <x v="106"/>
    <n v="0"/>
    <n v="0"/>
    <n v="4.34"/>
    <n v="2.9418742586002369E-6"/>
    <n v="1.9941530307407131E-12"/>
    <n v="1.899193362610203E-13"/>
  </r>
  <r>
    <n v="4"/>
    <s v="แขวงทางหลวงเชียงใหม่ที่ 1"/>
    <n v="521"/>
    <n v="108"/>
    <n v="102"/>
    <s v="ปากทางท่าลี่ - สะพานแม่กลาง"/>
    <n v="49615"/>
    <n v="62395"/>
    <n v="12.78"/>
    <n v="4"/>
    <s v="L1"/>
    <d v="2015-08-13T00:00:00"/>
    <s v="A.C."/>
    <n v="11.425000000000001"/>
    <n v="0.9"/>
    <n v="0.27500000000000002"/>
    <n v="0.27500000000000002"/>
    <n v="1.71831"/>
    <n v="1.5"/>
    <n v="12.775"/>
    <n v="7.4999999999999997E-2"/>
    <n v="0"/>
    <n v="2.5000000000000001E-2"/>
    <n v="2.3215699999999999"/>
    <n v="2.5"/>
    <n v="0"/>
    <n v="0"/>
    <n v="12.875000000000002"/>
    <n v="1.0613999999999999"/>
    <n v="0"/>
    <n v="0"/>
    <n v="0"/>
    <x v="106"/>
    <n v="0"/>
    <n v="0"/>
    <n v="0"/>
    <n v="0"/>
    <n v="0"/>
    <n v="0"/>
  </r>
  <r>
    <n v="41"/>
    <s v="แขวงทางหลวงเชียงใหม่ที่ 2"/>
    <n v="522"/>
    <n v="1364"/>
    <n v="100"/>
    <s v="โรงเรียนนวมินทราชูทิศ - กองพันพัฒนาที่3"/>
    <s v="0+000"/>
    <s v="0+971"/>
    <n v="0.97099999999999997"/>
    <n v="4"/>
    <s v="L1"/>
    <d v="2015-08-20T00:00:00"/>
    <s v="A.C."/>
    <n v="0.7"/>
    <n v="0.125"/>
    <n v="7.4999999999999997E-2"/>
    <n v="0.05"/>
    <n v="2.5173700000000001"/>
    <n v="2.5"/>
    <n v="0.9"/>
    <n v="0"/>
    <n v="0"/>
    <n v="0.05"/>
    <n v="4.1221100000000002"/>
    <n v="4"/>
    <n v="0"/>
    <n v="0"/>
    <n v="0.95"/>
    <n v="1.1956599999999999"/>
    <n v="0"/>
    <n v="0"/>
    <n v="0"/>
    <x v="106"/>
    <n v="1.1000000000000001"/>
    <n v="3.2367220832720318E-2"/>
    <n v="14.2"/>
    <n v="0.41783139620420773"/>
    <n v="0"/>
    <n v="0"/>
  </r>
  <r>
    <n v="47"/>
    <s v="แขวงทางหลวงลำปางที่ 1"/>
    <n v="523"/>
    <n v="127"/>
    <n v="100"/>
    <s v="ทางเลี่ยงเมืองลำปาง"/>
    <s v="8+523"/>
    <s v="0+000"/>
    <n v="8.5229999999999997"/>
    <n v="2"/>
    <s v="R1"/>
    <d v="2015-08-06T00:00:00"/>
    <s v="A.C."/>
    <n v="5.15"/>
    <n v="1.5"/>
    <n v="1.2"/>
    <n v="0.67500000000000004"/>
    <n v="2.6062799999999999"/>
    <n v="2.5"/>
    <n v="8.3000000000000007"/>
    <n v="0.22500000000000001"/>
    <n v="0"/>
    <n v="0"/>
    <n v="3.69272"/>
    <n v="3.5"/>
    <n v="0"/>
    <n v="0"/>
    <n v="8.5250000000000004"/>
    <n v="1.2304200000000001"/>
    <n v="0"/>
    <n v="0"/>
    <n v="0"/>
    <x v="106"/>
    <n v="214.88"/>
    <n v="0.72033656827743409"/>
    <n v="0"/>
    <n v="0"/>
    <n v="2.6"/>
    <n v="8.7159115670203333E-3"/>
  </r>
  <r>
    <n v="50"/>
    <s v="แขวงทางหลวงลำปางที่ 1"/>
    <n v="523"/>
    <n v="1037"/>
    <n v="100"/>
    <s v="ศรีชุม - แม่ทะ"/>
    <s v="17+410"/>
    <s v="0+559"/>
    <n v="16.850999999999999"/>
    <n v="2"/>
    <s v="R1"/>
    <d v="2015-08-06T00:00:00"/>
    <s v="A.C."/>
    <n v="9.85"/>
    <n v="4.4000000000000004"/>
    <n v="2.0499999999999998"/>
    <n v="1.375"/>
    <n v="2.7513399999999999"/>
    <n v="3"/>
    <n v="17"/>
    <n v="0.57499999999999996"/>
    <n v="0"/>
    <n v="0.1"/>
    <n v="3.0331700000000001"/>
    <n v="3"/>
    <n v="0"/>
    <n v="0"/>
    <n v="17.675000000000001"/>
    <n v="1.1144400000000001"/>
    <n v="0"/>
    <n v="0"/>
    <n v="0"/>
    <x v="106"/>
    <n v="25.07"/>
    <n v="4.250701526827573E-2"/>
    <n v="0"/>
    <n v="0"/>
    <n v="0"/>
    <n v="0"/>
  </r>
  <r>
    <n v="60"/>
    <s v="แขวงทางหลวงลำปางที่ 1"/>
    <n v="523"/>
    <n v="1352"/>
    <n v="100"/>
    <s v="ทางเข้าดอนไชย"/>
    <s v="2+175"/>
    <s v="0+000"/>
    <n v="2.1749999999999998"/>
    <n v="4"/>
    <s v="R2"/>
    <d v="2015-08-05T00:00:00"/>
    <s v="A.C."/>
    <n v="1.075"/>
    <n v="0.45"/>
    <n v="0.42499999999999999"/>
    <n v="7.4999999999999997E-2"/>
    <n v="2.7114799999999999"/>
    <n v="2.5"/>
    <n v="1.9750000000000001"/>
    <n v="2.5000000000000001E-2"/>
    <n v="2.5000000000000001E-2"/>
    <n v="0"/>
    <n v="4.1878799999999998"/>
    <n v="4"/>
    <n v="0"/>
    <n v="0"/>
    <n v="2.0249999999999999"/>
    <n v="1.2395"/>
    <n v="0"/>
    <n v="0"/>
    <n v="0"/>
    <x v="106"/>
    <n v="6.65"/>
    <n v="8.7356321839080472E-2"/>
    <n v="0"/>
    <n v="0"/>
    <n v="0"/>
    <n v="0"/>
  </r>
  <r>
    <n v="74"/>
    <s v="แขวงทางหลวงลำพูน"/>
    <n v="524"/>
    <n v="1033"/>
    <n v="100"/>
    <s v="แม่ทา - ท่าจักร"/>
    <s v="33+237"/>
    <s v="0+000"/>
    <n v="33.237000000000002"/>
    <n v="2"/>
    <s v="R1"/>
    <d v="2015-08-11T00:00:00"/>
    <s v="A.C."/>
    <n v="13.775"/>
    <n v="13.45"/>
    <n v="4.875"/>
    <n v="1.175"/>
    <n v="2.8723000000000001"/>
    <n v="3"/>
    <n v="32.975000000000001"/>
    <n v="0.22500000000000001"/>
    <n v="7.4999999999999997E-2"/>
    <n v="0"/>
    <n v="2.6419600000000001"/>
    <n v="2.5"/>
    <n v="0"/>
    <n v="0"/>
    <n v="33.274999999999999"/>
    <n v="1.12401"/>
    <n v="0"/>
    <n v="0"/>
    <n v="0"/>
    <x v="106"/>
    <n v="2.2999999999999998"/>
    <n v="1.9771425132919847E-3"/>
    <n v="1.32"/>
    <n v="1.134707877193661E-3"/>
    <n v="0"/>
    <n v="0"/>
  </r>
  <r>
    <n v="86"/>
    <s v="แขวงทางหลวงแม่ฮ่องสอน"/>
    <n v="526"/>
    <n v="108"/>
    <n v="202"/>
    <s v="ห้วยงู - หนองแห้ง"/>
    <s v="206+975"/>
    <s v="258+100"/>
    <n v="51.125"/>
    <n v="2"/>
    <s v="L1"/>
    <d v="2015-08-28T00:00:00"/>
    <s v="A.C."/>
    <n v="23.24"/>
    <n v="15.54"/>
    <n v="9.4700000000000006"/>
    <n v="2.87"/>
    <n v="2.8487499999999999"/>
    <n v="3"/>
    <n v="48.93"/>
    <n v="1.6"/>
    <n v="0.35"/>
    <n v="0.25"/>
    <n v="3.8073299999999999"/>
    <n v="4"/>
    <n v="0"/>
    <n v="0"/>
    <n v="51.13"/>
    <n v="1.20218"/>
    <n v="0"/>
    <n v="0"/>
    <n v="0"/>
    <x v="106"/>
    <n v="26.35"/>
    <n v="1.472581208522529E-2"/>
    <n v="6.1"/>
    <n v="3.409011526370939E-3"/>
    <n v="0"/>
    <n v="0"/>
  </r>
  <r>
    <n v="130"/>
    <s v="แขวงทางหลวงลำปางที่ 2"/>
    <n v="528"/>
    <n v="1154"/>
    <n v="200"/>
    <s v="แก่งเสือเต้น - ดอนไชย"/>
    <s v="57+769"/>
    <s v="30+788"/>
    <n v="26.981000000000002"/>
    <n v="2"/>
    <s v="R1"/>
    <d v="2015-08-09T00:00:00"/>
    <s v="A.C."/>
    <n v="3.2749999999999999"/>
    <n v="10.074999999999999"/>
    <n v="9.625"/>
    <n v="3.95"/>
    <n v="3.8638499999999998"/>
    <n v="4"/>
    <n v="25.475000000000001"/>
    <n v="1.125"/>
    <n v="0.17499999999999999"/>
    <n v="0.15"/>
    <n v="4.6209499999999997"/>
    <n v="4.5"/>
    <n v="0"/>
    <n v="0"/>
    <n v="26.925000000000001"/>
    <n v="2.15049"/>
    <n v="0"/>
    <n v="0"/>
    <n v="0"/>
    <x v="106"/>
    <n v="0"/>
    <n v="0"/>
    <n v="0"/>
    <n v="0"/>
    <n v="0"/>
    <n v="0"/>
  </r>
  <r>
    <n v="139"/>
    <s v="แขวงทางหลวงแพร่"/>
    <n v="531"/>
    <n v="101"/>
    <n v="403"/>
    <s v="แยกแม่จั๊วะ - แยกบ้านฝ้าย"/>
    <s v="228+272"/>
    <s v="227+118"/>
    <n v="1.1539999999999999"/>
    <n v="4"/>
    <s v="L2"/>
    <d v="2015-08-07T00:00:00"/>
    <s v="A.C."/>
    <n v="0.84"/>
    <n v="0.25"/>
    <n v="0.03"/>
    <n v="0.05"/>
    <n v="2.4809999999999999"/>
    <n v="2.5"/>
    <n v="0.73"/>
    <n v="0.16"/>
    <n v="0.16"/>
    <n v="0.11"/>
    <n v="10.670999999999999"/>
    <n v="10.5"/>
    <n v="0"/>
    <n v="0"/>
    <n v="1.1599999999999999"/>
    <n v="1.0329999999999999"/>
    <n v="0"/>
    <n v="0"/>
    <n v="0"/>
    <x v="106"/>
    <n v="0"/>
    <n v="0"/>
    <n v="0"/>
    <n v="0"/>
    <n v="0"/>
    <n v="0"/>
  </r>
  <r>
    <n v="140"/>
    <s v="แขวงทางหลวงแพร่"/>
    <n v="531"/>
    <n v="101"/>
    <n v="403"/>
    <s v="แยกแม่จั๊วะ - แยกบ้านฝ้าย"/>
    <s v="227+118"/>
    <s v="228+272"/>
    <n v="1.1539999999999999"/>
    <n v="4"/>
    <s v="R2"/>
    <d v="2015-08-07T00:00:00"/>
    <s v="A.C."/>
    <n v="0.77"/>
    <n v="0.32"/>
    <n v="0.03"/>
    <n v="0.05"/>
    <n v="2.5350000000000001"/>
    <n v="2.5"/>
    <n v="0"/>
    <n v="0"/>
    <n v="0"/>
    <n v="1.1599999999999999"/>
    <n v="38.917999999999999"/>
    <n v="39"/>
    <n v="0"/>
    <n v="0"/>
    <n v="1.1599999999999999"/>
    <n v="0.95599999999999996"/>
    <n v="0"/>
    <n v="0"/>
    <n v="0"/>
    <x v="106"/>
    <n v="0"/>
    <n v="0"/>
    <n v="0"/>
    <n v="0"/>
    <n v="0.28999999999999998"/>
    <n v="7.1799950482792771E-3"/>
  </r>
  <r>
    <n v="146"/>
    <s v="แขวงทางหลวงแพร่"/>
    <n v="531"/>
    <n v="1023"/>
    <n v="101"/>
    <s v="แพร่ - แยกแม่แขม"/>
    <s v="56+627"/>
    <s v="1+660"/>
    <n v="54.966999999999999"/>
    <n v="2"/>
    <s v="R1"/>
    <d v="2015-08-07T00:00:00"/>
    <s v="A.C."/>
    <n v="41.89"/>
    <n v="9.3699999999999992"/>
    <n v="3.04"/>
    <n v="0.68"/>
    <n v="2.3058800000000002"/>
    <n v="2.5"/>
    <n v="27.09"/>
    <n v="8.26"/>
    <n v="4.92"/>
    <n v="14.71"/>
    <n v="14.8805"/>
    <n v="15"/>
    <n v="0"/>
    <n v="0"/>
    <n v="54.97"/>
    <n v="1.2454499999999999"/>
    <n v="0"/>
    <n v="0"/>
    <n v="0"/>
    <x v="106"/>
    <n v="0"/>
    <n v="0"/>
    <n v="0"/>
    <n v="0"/>
    <n v="0"/>
    <n v="0"/>
  </r>
  <r>
    <n v="158"/>
    <s v="แขวงทางหลวงแพร่"/>
    <n v="531"/>
    <n v="1405"/>
    <n v="100"/>
    <s v="ทางเลี่ยงสนามบินแพร่"/>
    <s v="0+000"/>
    <s v="0+930"/>
    <n v="0.93"/>
    <n v="2"/>
    <s v="L1"/>
    <d v="1958-08-06T00:00:00"/>
    <s v="A.C."/>
    <n v="0.27"/>
    <n v="0.43"/>
    <n v="0"/>
    <n v="0.27"/>
    <n v="3.7690000000000001"/>
    <n v="4"/>
    <n v="0.69"/>
    <n v="0.27"/>
    <n v="0"/>
    <n v="0"/>
    <n v="6.7160000000000002"/>
    <n v="6.5"/>
    <n v="0"/>
    <n v="0"/>
    <n v="0.96"/>
    <n v="1.3240000000000001"/>
    <n v="0"/>
    <n v="0"/>
    <n v="0"/>
    <x v="106"/>
    <n v="0"/>
    <n v="0"/>
    <n v="0"/>
    <n v="0"/>
    <n v="0"/>
    <n v="0"/>
  </r>
  <r>
    <n v="186"/>
    <s v="แขวงทางหลวงเชียงรายที่ 1"/>
    <n v="533"/>
    <n v="1354"/>
    <n v="100"/>
    <s v="ทางเข้าพาน"/>
    <n v="0"/>
    <n v="2480"/>
    <n v="2.48"/>
    <n v="4"/>
    <s v="L2"/>
    <d v="2015-07-18T00:00:00"/>
    <s v="A.C."/>
    <n v="1.67"/>
    <n v="0.52"/>
    <n v="0.19"/>
    <n v="0.1"/>
    <n v="2.4522599999999999"/>
    <n v="2.5"/>
    <n v="2.48"/>
    <n v="0"/>
    <n v="0"/>
    <n v="0"/>
    <n v="3.8773399999999998"/>
    <n v="4"/>
    <n v="0"/>
    <n v="0"/>
    <n v="2.48"/>
    <n v="1.12351"/>
    <n v="0"/>
    <n v="0"/>
    <n v="0"/>
    <x v="106"/>
    <n v="0"/>
    <n v="0"/>
    <n v="0"/>
    <n v="0"/>
    <n v="0"/>
    <n v="0"/>
  </r>
  <r>
    <n v="187"/>
    <s v="แขวงทางหลวงเชียงรายที่ 1"/>
    <n v="533"/>
    <n v="1354"/>
    <n v="100"/>
    <s v="ทางเข้าพาน"/>
    <s v="2+480"/>
    <s v="0+000"/>
    <n v="2.48"/>
    <n v="4"/>
    <s v="R2"/>
    <d v="2015-07-18T00:00:00"/>
    <s v="A.C."/>
    <n v="1.72"/>
    <n v="0.49"/>
    <n v="0.27"/>
    <n v="0"/>
    <n v="2.35873"/>
    <n v="2.5"/>
    <n v="2.38"/>
    <n v="0.1"/>
    <n v="0"/>
    <n v="0"/>
    <n v="4.3584300000000002"/>
    <n v="4.5"/>
    <n v="0"/>
    <n v="0"/>
    <n v="2.48"/>
    <n v="1.1551899999999999"/>
    <n v="0"/>
    <n v="0"/>
    <n v="0"/>
    <x v="106"/>
    <n v="0"/>
    <n v="0"/>
    <n v="0"/>
    <n v="0"/>
    <n v="0"/>
    <n v="0"/>
  </r>
  <r>
    <n v="195"/>
    <s v="แขวงทางหลวงพะเยา"/>
    <n v="535"/>
    <n v="1021"/>
    <n v="102"/>
    <s v="บ้านใหม่ - น้ำแวน"/>
    <n v="27750"/>
    <n v="68274"/>
    <n v="40.524000000000001"/>
    <n v="2"/>
    <s v="L1"/>
    <d v="2015-07-24T00:00:00"/>
    <s v="A.C."/>
    <n v="22.99"/>
    <n v="9.24"/>
    <n v="5.28"/>
    <n v="3.01"/>
    <n v="2.8290700000000002"/>
    <n v="3"/>
    <n v="37.92"/>
    <n v="1.86"/>
    <n v="0.45"/>
    <n v="0.3"/>
    <n v="4.8620700000000001"/>
    <n v="5"/>
    <n v="0"/>
    <n v="0"/>
    <n v="40.53"/>
    <n v="1.29938"/>
    <n v="0"/>
    <n v="0"/>
    <n v="0"/>
    <x v="106"/>
    <n v="36"/>
    <n v="2.5381784339439061E-2"/>
    <n v="0"/>
    <n v="0"/>
    <n v="2"/>
    <n v="1.4100991299688369E-3"/>
  </r>
  <r>
    <n v="231"/>
    <s v="แขวงทางหลวงเชียงรายที่ 2"/>
    <n v="537"/>
    <n v="1020"/>
    <n v="203"/>
    <s v="ขุนตาล - เชียงของ"/>
    <s v="85+170"/>
    <s v="136+971"/>
    <n v="51.801000000000002"/>
    <n v="4"/>
    <s v="R1"/>
    <d v="2015-07-13T00:00:00"/>
    <s v="A.C."/>
    <n v="41.21"/>
    <n v="7.71"/>
    <n v="2.5"/>
    <n v="0.38"/>
    <n v="2.3115700000000001"/>
    <n v="2.5"/>
    <n v="42.54"/>
    <n v="7.84"/>
    <n v="1.08"/>
    <n v="0.35"/>
    <n v="7.5202999999999998"/>
    <n v="7.5"/>
    <n v="0"/>
    <n v="0"/>
    <n v="51.81"/>
    <n v="1.11151"/>
    <n v="0"/>
    <n v="0"/>
    <n v="0"/>
    <x v="106"/>
    <n v="0"/>
    <n v="0"/>
    <n v="3"/>
    <n v="1.6546839967237258E-3"/>
    <n v="0"/>
    <n v="0"/>
  </r>
  <r>
    <n v="232"/>
    <s v="แขวงทางหลวงเชียงรายที่ 2"/>
    <n v="537"/>
    <n v="1021"/>
    <n v="200"/>
    <s v="สะแล่ง - เทิง"/>
    <s v="100+157"/>
    <s v="87+538"/>
    <n v="12.619"/>
    <n v="2"/>
    <s v="R1"/>
    <d v="2015-07-13T00:00:00"/>
    <s v="A.C."/>
    <n v="9.35"/>
    <n v="2.21"/>
    <n v="0.53"/>
    <n v="0.53"/>
    <n v="2.69299"/>
    <n v="2.5"/>
    <n v="11.69"/>
    <n v="0.73"/>
    <n v="0.13"/>
    <n v="0.08"/>
    <n v="6.9012000000000002"/>
    <n v="7"/>
    <n v="0"/>
    <n v="0"/>
    <n v="12.62"/>
    <n v="1.5262899999999999"/>
    <n v="0"/>
    <n v="0"/>
    <n v="0"/>
    <x v="106"/>
    <n v="5"/>
    <n v="1.1320797436971461E-2"/>
    <n v="47"/>
    <n v="0.10641549590753173"/>
    <n v="0"/>
    <n v="0"/>
  </r>
  <r>
    <n v="236"/>
    <s v="แขวงทางหลวงเชียงรายที่ 2"/>
    <n v="537"/>
    <n v="1129"/>
    <n v="100"/>
    <s v="ทางเข้าเชียงแสน"/>
    <s v="3+313"/>
    <s v="0+000"/>
    <n v="0.92700000000000005"/>
    <n v="2"/>
    <s v="R1"/>
    <d v="2015-07-15T00:00:00"/>
    <s v="A.C."/>
    <n v="0.83"/>
    <n v="0.04"/>
    <n v="0.04"/>
    <n v="0.02"/>
    <n v="1.89218"/>
    <n v="2"/>
    <n v="0.85"/>
    <n v="0.08"/>
    <n v="0"/>
    <n v="0"/>
    <n v="4.3213200000000001"/>
    <n v="4.5"/>
    <n v="0"/>
    <n v="0"/>
    <n v="0.93"/>
    <n v="1.00868"/>
    <n v="0"/>
    <n v="0"/>
    <n v="0"/>
    <x v="106"/>
    <n v="0"/>
    <n v="0"/>
    <n v="0"/>
    <n v="0"/>
    <n v="0"/>
    <n v="0"/>
  </r>
  <r>
    <n v="243"/>
    <s v="แขวงทางหลวงเชียงรายที่ 2"/>
    <n v="537"/>
    <n v="1222"/>
    <n v="100"/>
    <s v="บ้านหงาว - บ้านเหล่า"/>
    <n v="0"/>
    <n v="6189"/>
    <n v="6.1890000000000001"/>
    <n v="2"/>
    <s v="L1"/>
    <d v="2015-07-13T00:00:00"/>
    <s v="A.C."/>
    <n v="3.02"/>
    <n v="2.06"/>
    <n v="0.78"/>
    <n v="0.33"/>
    <n v="2.77935"/>
    <n v="3"/>
    <n v="5.99"/>
    <n v="0.2"/>
    <n v="0"/>
    <n v="0"/>
    <n v="3.45791"/>
    <n v="3.5"/>
    <n v="0"/>
    <n v="0"/>
    <n v="6.19"/>
    <n v="2.0014099999999999"/>
    <n v="0"/>
    <n v="0"/>
    <n v="0"/>
    <x v="106"/>
    <n v="0"/>
    <n v="0"/>
    <n v="0"/>
    <n v="0"/>
    <n v="2"/>
    <n v="9.2329709392239678E-3"/>
  </r>
  <r>
    <n v="244"/>
    <s v="แขวงทางหลวงเชียงรายที่ 2"/>
    <n v="537"/>
    <n v="1271"/>
    <n v="100"/>
    <s v="ปงน้อย - สันทราย"/>
    <n v="0"/>
    <n v="14452"/>
    <n v="14.452"/>
    <n v="2"/>
    <s v="R1"/>
    <d v="2015-07-15T00:00:00"/>
    <s v="A.C."/>
    <n v="11.72"/>
    <n v="2"/>
    <n v="0.65"/>
    <n v="0.08"/>
    <n v="2.14351"/>
    <n v="2"/>
    <n v="14.21"/>
    <n v="0.2"/>
    <n v="0.05"/>
    <n v="0"/>
    <n v="4.0756600000000001"/>
    <n v="4"/>
    <n v="0"/>
    <n v="0"/>
    <n v="14.46"/>
    <n v="1.1410800000000001"/>
    <n v="0"/>
    <n v="0"/>
    <n v="0"/>
    <x v="106"/>
    <n v="0"/>
    <n v="0"/>
    <n v="0"/>
    <n v="0"/>
    <n v="0"/>
    <n v="0"/>
  </r>
  <r>
    <n v="247"/>
    <s v="แขวงทางหลวงเชียงรายที่ 2"/>
    <n v="537"/>
    <n v="1299"/>
    <n v="100"/>
    <s v="เวียงชัย - บ้านปง"/>
    <n v="0"/>
    <n v="5100"/>
    <n v="5.0999999999999996"/>
    <n v="2"/>
    <s v="L1"/>
    <d v="2015-07-15T00:00:00"/>
    <s v="A.C."/>
    <n v="4.28"/>
    <n v="0.62"/>
    <n v="0.13"/>
    <n v="0.08"/>
    <n v="1.966"/>
    <n v="2"/>
    <n v="5.05"/>
    <n v="0.05"/>
    <n v="0"/>
    <n v="0"/>
    <n v="4.4390000000000001"/>
    <n v="4.5"/>
    <n v="0"/>
    <n v="0"/>
    <n v="5.0999999999999996"/>
    <n v="0.94499999999999995"/>
    <n v="0"/>
    <n v="0"/>
    <n v="0"/>
    <x v="106"/>
    <n v="0"/>
    <n v="0"/>
    <n v="0"/>
    <n v="0"/>
    <n v="0"/>
    <n v="0"/>
  </r>
  <r>
    <n v="249"/>
    <s v="แขวงทางหลวงเชียงรายที่ 2"/>
    <n v="537"/>
    <n v="1356"/>
    <n v="100"/>
    <s v="ทางเข้าสะพานข้ามแม่น้ำโขงที่เชียงของ"/>
    <s v="3+000"/>
    <s v="0+000"/>
    <n v="3"/>
    <n v="4"/>
    <s v="L2"/>
    <d v="2015-07-14T00:00:00"/>
    <s v="A.C."/>
    <n v="2.6"/>
    <n v="0.13"/>
    <n v="0.18"/>
    <n v="0.1"/>
    <n v="1.742"/>
    <n v="1.5"/>
    <n v="3"/>
    <n v="0"/>
    <n v="0"/>
    <n v="0"/>
    <n v="3.9079999999999999"/>
    <n v="4"/>
    <n v="0"/>
    <n v="0"/>
    <n v="3"/>
    <n v="1.1439999999999999"/>
    <n v="0"/>
    <n v="0"/>
    <n v="0"/>
    <x v="106"/>
    <n v="0"/>
    <n v="0"/>
    <n v="0"/>
    <n v="0"/>
    <n v="0"/>
    <n v="0"/>
  </r>
  <r>
    <n v="250"/>
    <s v="แขวงทางหลวงเชียงรายที่ 2"/>
    <n v="537"/>
    <n v="1356"/>
    <n v="100"/>
    <s v="ทางเข้าสะพานข้ามแม่น้ำโขงที่เชียงของ"/>
    <s v="0+000"/>
    <s v="3+000"/>
    <n v="3"/>
    <n v="4"/>
    <s v="R2"/>
    <d v="2015-07-14T00:00:00"/>
    <s v="A.C."/>
    <n v="2.5499999999999998"/>
    <n v="0.25"/>
    <n v="0.08"/>
    <n v="0.13"/>
    <n v="1.8979999999999999"/>
    <n v="2"/>
    <n v="2.65"/>
    <n v="0.35"/>
    <n v="0"/>
    <n v="0"/>
    <n v="6.4219999999999997"/>
    <n v="6.5"/>
    <n v="0"/>
    <n v="0"/>
    <n v="3"/>
    <n v="1.1080000000000001"/>
    <n v="0"/>
    <n v="0"/>
    <n v="0"/>
    <x v="106"/>
    <n v="0"/>
    <n v="0"/>
    <n v="0"/>
    <n v="0"/>
    <n v="0"/>
    <n v="0"/>
  </r>
  <r>
    <n v="251"/>
    <s v="แขวงทางหลวงเชียงรายที่ 2"/>
    <n v="537"/>
    <n v="1385"/>
    <n v="100"/>
    <s v="แม่ต๋ำน้อย -ชมภู"/>
    <n v="0"/>
    <n v="6892"/>
    <n v="6.8920000000000003"/>
    <n v="2"/>
    <s v="R1"/>
    <d v="2015-07-14T00:00:00"/>
    <s v="A.C."/>
    <n v="5.31"/>
    <n v="0.98"/>
    <n v="0.28000000000000003"/>
    <n v="0.33"/>
    <n v="2.2744"/>
    <n v="2.5"/>
    <n v="6.85"/>
    <n v="0"/>
    <n v="0.05"/>
    <n v="0"/>
    <n v="2.3796300000000001"/>
    <n v="2.5"/>
    <n v="0"/>
    <n v="0"/>
    <n v="6.9"/>
    <n v="1.26302"/>
    <n v="0"/>
    <n v="0"/>
    <n v="0"/>
    <x v="106"/>
    <n v="0"/>
    <n v="0"/>
    <n v="0"/>
    <n v="0"/>
    <n v="14"/>
    <n v="5.8038305281485777E-2"/>
  </r>
  <r>
    <n v="289"/>
    <s v="แขวงทางหลวงสกลนครที่ 2 (สว่างแดนดิน)"/>
    <n v="642"/>
    <n v="2094"/>
    <n v="101"/>
    <s v="พรรณานิคม - ผาอินทร์"/>
    <n v="0"/>
    <n v="17000"/>
    <n v="17"/>
    <n v="2"/>
    <s v="L1"/>
    <d v="2015-06-06T00:00:00"/>
    <s v="A.C."/>
    <n v="11.25"/>
    <n v="3.6749999999999998"/>
    <n v="1.4750000000000001"/>
    <n v="0.5"/>
    <n v="2.4196399999999998"/>
    <n v="2.5"/>
    <n v="14.025"/>
    <n v="1.625"/>
    <n v="0.9"/>
    <n v="0.35"/>
    <n v="5.9164700000000003"/>
    <n v="6"/>
    <n v="0"/>
    <n v="0"/>
    <n v="16.900000000000002"/>
    <n v="1.3613599999999999"/>
    <n v="0"/>
    <n v="0"/>
    <n v="0"/>
    <x v="106"/>
    <n v="0.84"/>
    <n v="1.4117647058823528E-3"/>
    <n v="0"/>
    <n v="0"/>
    <n v="0"/>
    <n v="0"/>
  </r>
  <r>
    <n v="292"/>
    <s v="แขวงทางหลวงสกลนครที่ 2 (สว่างแดนดิน)"/>
    <n v="642"/>
    <n v="2185"/>
    <n v="100"/>
    <s v="บ้านเซือม - โคกสะอาด"/>
    <n v="0"/>
    <n v="7563"/>
    <n v="7.5629999999999997"/>
    <n v="2"/>
    <s v="L1"/>
    <d v="2015-06-06T00:00:00"/>
    <s v="A.C."/>
    <n v="5.3"/>
    <n v="1.925"/>
    <n v="0.25"/>
    <n v="7.4999999999999997E-2"/>
    <n v="3.18764"/>
    <n v="3"/>
    <n v="7.55"/>
    <n v="0"/>
    <n v="0"/>
    <n v="0"/>
    <n v="2.7439800000000001"/>
    <n v="2.5"/>
    <n v="0"/>
    <n v="0"/>
    <n v="7.55"/>
    <n v="1.52024"/>
    <n v="0"/>
    <n v="0"/>
    <n v="0"/>
    <x v="106"/>
    <n v="42.88"/>
    <n v="0.16199165108328142"/>
    <n v="0"/>
    <n v="0"/>
    <n v="0"/>
    <n v="0"/>
  </r>
  <r>
    <n v="300"/>
    <s v="แขวงทางหลวงสกลนครที่ 2 (สว่างแดนดิน)"/>
    <n v="642"/>
    <n v="2379"/>
    <n v="100"/>
    <s v="เจริญศิลป์ - กุดนาขาม"/>
    <n v="0"/>
    <n v="4336"/>
    <n v="4.3360000000000003"/>
    <n v="2"/>
    <s v="L1"/>
    <d v="2015-06-08T00:00:00"/>
    <s v="A.C."/>
    <n v="3.3250000000000002"/>
    <n v="0.67500000000000004"/>
    <n v="0.27500000000000002"/>
    <n v="0.05"/>
    <n v="2.1457199999999998"/>
    <n v="2"/>
    <n v="4.2249999999999996"/>
    <n v="0.1"/>
    <n v="0"/>
    <n v="0"/>
    <n v="3.5446200000000001"/>
    <n v="3.5"/>
    <n v="0"/>
    <n v="0"/>
    <n v="4.3249999999999993"/>
    <n v="1.5299499999999999"/>
    <n v="0"/>
    <n v="0"/>
    <n v="0"/>
    <x v="106"/>
    <n v="0"/>
    <n v="0"/>
    <n v="2.34"/>
    <n v="1.5419082762256191E-2"/>
    <n v="0"/>
    <n v="0"/>
  </r>
  <r>
    <n v="315"/>
    <s v="แขวงทางหลวงนครพนม"/>
    <n v="644"/>
    <n v="2032"/>
    <n v="100"/>
    <s v="ท่าดอกแก้ว - ศรีสงคราม"/>
    <n v="0"/>
    <n v="31214"/>
    <n v="31.213999999999999"/>
    <n v="2"/>
    <s v="L1"/>
    <d v="2015-06-03T00:00:00"/>
    <s v="A.C."/>
    <n v="22.18"/>
    <n v="5.6"/>
    <n v="2.2599999999999998"/>
    <n v="1.18"/>
    <n v="3.2062300000000001"/>
    <n v="3"/>
    <n v="30.84"/>
    <n v="0.35"/>
    <n v="0.03"/>
    <n v="0"/>
    <n v="3.5110100000000002"/>
    <n v="3.5"/>
    <n v="0"/>
    <n v="0"/>
    <n v="31.21"/>
    <n v="1.17083"/>
    <n v="0"/>
    <n v="0"/>
    <n v="0"/>
    <x v="106"/>
    <n v="1.66"/>
    <n v="1.5200000000000001E-3"/>
    <n v="0"/>
    <n v="0"/>
    <n v="0"/>
    <n v="0"/>
  </r>
  <r>
    <n v="317"/>
    <s v="แขวงทางหลวงนครพนม"/>
    <n v="644"/>
    <n v="2104"/>
    <n v="102"/>
    <s v="โสกแมว - ดอนสวรรค์"/>
    <n v="26152"/>
    <n v="30335"/>
    <n v="4.1829999999999998"/>
    <n v="2"/>
    <s v="L1"/>
    <d v="2015-06-03T00:00:00"/>
    <s v="A.C."/>
    <n v="1.66"/>
    <n v="0.42"/>
    <n v="0.89"/>
    <n v="1.21"/>
    <n v="3.6269200000000001"/>
    <n v="3.5"/>
    <n v="4.08"/>
    <n v="0.11"/>
    <n v="0"/>
    <n v="0"/>
    <n v="3.9105699999999999"/>
    <n v="4"/>
    <n v="0"/>
    <n v="0"/>
    <n v="4.1900000000000004"/>
    <n v="1.2962100000000001"/>
    <n v="0"/>
    <n v="0"/>
    <n v="0"/>
    <x v="106"/>
    <n v="8.61"/>
    <n v="5.8810000000000001E-2"/>
    <n v="0"/>
    <n v="0"/>
    <n v="0"/>
    <n v="0"/>
  </r>
  <r>
    <n v="327"/>
    <s v="แขวงทางหลวงหนองคาย"/>
    <n v="646"/>
    <n v="212"/>
    <n v="101"/>
    <s v="หนองคาย - ปากสวย"/>
    <n v="0"/>
    <n v="32600"/>
    <n v="32.6"/>
    <n v="4"/>
    <s v="L2"/>
    <d v="2015-06-10T00:00:00"/>
    <s v="A.C."/>
    <n v="25.4"/>
    <n v="5.4"/>
    <n v="1.25"/>
    <n v="0.42499999999999999"/>
    <n v="2.2648799999999998"/>
    <n v="2.5"/>
    <n v="25.024999999999999"/>
    <n v="5.2"/>
    <n v="1.625"/>
    <n v="0.625"/>
    <n v="8.6165400000000005"/>
    <n v="8.5"/>
    <n v="0"/>
    <n v="0"/>
    <n v="32.474999999999994"/>
    <n v="1.17981"/>
    <n v="0"/>
    <n v="0"/>
    <n v="0"/>
    <x v="106"/>
    <n v="0"/>
    <n v="0"/>
    <n v="15.66"/>
    <n v="1.3724802804557405E-2"/>
    <n v="0"/>
    <n v="0"/>
  </r>
  <r>
    <n v="347"/>
    <s v="แขวงทางหลวงตากที่ 1"/>
    <n v="512"/>
    <n v="101"/>
    <n v="200"/>
    <s v="น้ำดิบ - คุยประดู่"/>
    <s v="41+451"/>
    <s v="16+163"/>
    <n v="25.288"/>
    <n v="2"/>
    <s v="R1"/>
    <d v="2015-09-12T00:00:00"/>
    <s v="A.C."/>
    <n v="14.48"/>
    <n v="7.1"/>
    <n v="2.7749999999999999"/>
    <n v="1.03"/>
    <n v="2.621"/>
    <n v="2.5"/>
    <n v="24.574999999999999"/>
    <n v="0.65"/>
    <n v="0.1"/>
    <n v="0.05"/>
    <n v="3.1245599999999998"/>
    <n v="3"/>
    <n v="0"/>
    <n v="0"/>
    <n v="25.384999999999998"/>
    <n v="1.3273600000000001"/>
    <n v="0"/>
    <n v="0"/>
    <n v="0"/>
    <x v="106"/>
    <n v="143.25"/>
    <n v="0.1618497762914087"/>
    <n v="0"/>
    <n v="0"/>
    <n v="0"/>
    <n v="0"/>
  </r>
  <r>
    <n v="361"/>
    <s v="แขวงทางหลวงตากที่ 1"/>
    <n v="512"/>
    <n v="1400"/>
    <n v="100"/>
    <s v="แยกทางหลวง - ป่ามะม่วง"/>
    <s v="1+316"/>
    <s v="0+000"/>
    <n v="1.3160000000000001"/>
    <n v="4"/>
    <s v="R1"/>
    <d v="2015-09-10T00:00:00"/>
    <s v="A.C."/>
    <n v="0.3"/>
    <n v="0.2"/>
    <n v="0.37"/>
    <n v="0.47"/>
    <n v="4.4995200000000004"/>
    <n v="4.5"/>
    <n v="1.32"/>
    <n v="0"/>
    <n v="0"/>
    <n v="0"/>
    <n v="2.8576000000000001"/>
    <n v="3"/>
    <n v="0"/>
    <n v="0"/>
    <n v="1.32"/>
    <n v="1.08935"/>
    <n v="0"/>
    <n v="0"/>
    <n v="0"/>
    <x v="106"/>
    <n v="0"/>
    <n v="0"/>
    <n v="0"/>
    <n v="0"/>
    <n v="1.34"/>
    <n v="2.9092488059053411E-2"/>
  </r>
  <r>
    <n v="379"/>
    <s v="แขวงทางหลวงกำแพงเพชร"/>
    <n v="517"/>
    <n v="115"/>
    <n v="100"/>
    <s v="กำแพงเพชร - แก้วสุวรรณ"/>
    <s v="3+600"/>
    <s v="35+680"/>
    <n v="32.08"/>
    <n v="2"/>
    <s v="L1"/>
    <d v="2015-09-14T00:00:00"/>
    <s v="A.C."/>
    <n v="12.7"/>
    <n v="12.2"/>
    <n v="5.85"/>
    <n v="1.33"/>
    <n v="2.9670999999999998"/>
    <n v="3"/>
    <n v="30.65"/>
    <n v="1.28"/>
    <n v="0.15"/>
    <n v="0"/>
    <n v="3.8969100000000001"/>
    <n v="4"/>
    <n v="0"/>
    <n v="0"/>
    <n v="32.08"/>
    <n v="1.15842"/>
    <n v="0"/>
    <n v="0"/>
    <n v="0"/>
    <x v="106"/>
    <n v="143.59"/>
    <n v="0.12788564303526898"/>
    <n v="0"/>
    <n v="0"/>
    <n v="0"/>
    <n v="0"/>
  </r>
  <r>
    <n v="380"/>
    <s v="แขวงทางหลวงกำแพงเพชร"/>
    <n v="517"/>
    <n v="115"/>
    <n v="100"/>
    <s v="กำแพงเพชร - แก้วสุวรรณ"/>
    <s v="35+680"/>
    <s v="3+600"/>
    <n v="32.08"/>
    <n v="2"/>
    <s v="R1"/>
    <d v="2015-09-14T00:00:00"/>
    <s v="A.C."/>
    <n v="13.42"/>
    <n v="12.09"/>
    <n v="5.69"/>
    <n v="0.88"/>
    <n v="2.7984"/>
    <n v="3"/>
    <n v="31.63"/>
    <n v="0.42"/>
    <n v="0.02"/>
    <n v="0"/>
    <n v="3.21244"/>
    <n v="3"/>
    <n v="0"/>
    <n v="0"/>
    <n v="32.08"/>
    <n v="1.2865800000000001"/>
    <n v="0"/>
    <n v="0"/>
    <n v="0"/>
    <x v="106"/>
    <n v="139.58000000000001"/>
    <n v="0.12431421446384042"/>
    <n v="1.67"/>
    <n v="1.4873530459565373E-3"/>
    <n v="0"/>
    <n v="0"/>
  </r>
  <r>
    <n v="422"/>
    <s v="แขวงทางหลวงสุโขทัย"/>
    <n v="513"/>
    <n v="125"/>
    <n v="101"/>
    <s v="วังวน - แจกัน"/>
    <s v="7+000"/>
    <s v="0+000"/>
    <n v="7"/>
    <s v="R2"/>
    <n v="4"/>
    <d v="2015-09-16T00:00:00"/>
    <s v="A.C."/>
    <n v="5.46"/>
    <n v="0.99"/>
    <n v="0.39"/>
    <n v="0.16"/>
    <n v="2.157"/>
    <n v="2"/>
    <n v="6.97"/>
    <n v="0"/>
    <n v="0.03"/>
    <n v="0"/>
    <n v="3.73"/>
    <n v="3.5"/>
    <n v="0"/>
    <n v="0"/>
    <n v="7"/>
    <n v="1.19"/>
    <n v="0"/>
    <n v="0"/>
    <n v="0"/>
    <x v="106"/>
    <n v="0"/>
    <n v="0"/>
    <n v="3.1"/>
    <n v="1.2653061224489795E-2"/>
    <n v="2"/>
    <n v="8.1632653061224497E-3"/>
  </r>
  <r>
    <n v="423"/>
    <s v="แขวงทางหลวงสุโขทัย"/>
    <n v="513"/>
    <n v="125"/>
    <n v="102"/>
    <s v="แจกัน - บ้านสวน"/>
    <s v="7+000"/>
    <s v="23+000"/>
    <n v="16"/>
    <s v="L2"/>
    <n v="2"/>
    <d v="2015-09-16T00:00:00"/>
    <s v="A.C."/>
    <n v="8.2799999999999994"/>
    <n v="4.3600000000000003"/>
    <n v="2.41"/>
    <n v="0.95"/>
    <n v="2.7229999999999999"/>
    <n v="2.5"/>
    <n v="14.09"/>
    <n v="1.58"/>
    <n v="0.33"/>
    <n v="0"/>
    <n v="5.5229999999999997"/>
    <n v="5.5"/>
    <n v="0"/>
    <n v="0"/>
    <n v="16"/>
    <n v="1.2210000000000001"/>
    <n v="0"/>
    <n v="0"/>
    <n v="0"/>
    <x v="106"/>
    <n v="0"/>
    <n v="0"/>
    <n v="0"/>
    <n v="0"/>
    <n v="0"/>
    <n v="0"/>
  </r>
  <r>
    <n v="424"/>
    <s v="แขวงทางหลวงสุโขทัย"/>
    <n v="513"/>
    <n v="125"/>
    <n v="102"/>
    <s v="แจกัน - บ้านสวน"/>
    <s v="23+000"/>
    <s v="7+000"/>
    <n v="16"/>
    <s v="R2"/>
    <n v="2"/>
    <d v="2015-09-16T00:00:00"/>
    <s v="A.C."/>
    <n v="10.4"/>
    <n v="3"/>
    <n v="1.55"/>
    <n v="1.05"/>
    <n v="2.6320000000000001"/>
    <n v="2.5"/>
    <n v="13.13"/>
    <n v="1.73"/>
    <n v="0.95"/>
    <n v="0.2"/>
    <n v="6.4329999999999998"/>
    <n v="6.5"/>
    <n v="0"/>
    <n v="0"/>
    <n v="16"/>
    <n v="1.242"/>
    <n v="0"/>
    <n v="0"/>
    <n v="0"/>
    <x v="106"/>
    <n v="0"/>
    <n v="0"/>
    <n v="56.85"/>
    <n v="0.10151785714285713"/>
    <n v="0"/>
    <n v="0"/>
  </r>
  <r>
    <n v="425"/>
    <s v="แขวงทางหลวงสุโขทัย"/>
    <n v="513"/>
    <n v="125"/>
    <n v="103"/>
    <s v="บ้านสวน - โค้งตานก"/>
    <s v="30+000"/>
    <s v="34+789"/>
    <n v="4.7889999999999997"/>
    <s v="L2"/>
    <n v="2"/>
    <d v="2015-09-16T00:00:00"/>
    <s v="A.C."/>
    <n v="3.45"/>
    <n v="1.1399999999999999"/>
    <n v="0.15"/>
    <n v="0.05"/>
    <n v="2.2080000000000002"/>
    <n v="2"/>
    <n v="3.47"/>
    <n v="0.79"/>
    <n v="0.41"/>
    <n v="0.13"/>
    <n v="8.7409999999999997"/>
    <n v="8.5"/>
    <n v="0"/>
    <n v="0"/>
    <n v="4.79"/>
    <n v="1.1479999999999999"/>
    <n v="0"/>
    <n v="0"/>
    <n v="0"/>
    <x v="106"/>
    <n v="0"/>
    <n v="0"/>
    <n v="0"/>
    <n v="0"/>
    <n v="0"/>
    <n v="0"/>
  </r>
  <r>
    <n v="426"/>
    <s v="แขวงทางหลวงสุโขทัย"/>
    <n v="513"/>
    <n v="125"/>
    <n v="103"/>
    <s v="บ้านสวน - โค้งตานก"/>
    <s v="34+789"/>
    <s v="30+000"/>
    <n v="4.7889999999999997"/>
    <s v="R2"/>
    <n v="2"/>
    <d v="2015-09-16T00:00:00"/>
    <s v="A.C."/>
    <n v="2.74"/>
    <n v="1.3"/>
    <n v="0.6"/>
    <n v="0.15"/>
    <n v="2.524"/>
    <n v="2.5"/>
    <n v="3.97"/>
    <n v="0.55000000000000004"/>
    <n v="0.22"/>
    <n v="0.05"/>
    <n v="6.1310000000000002"/>
    <n v="6"/>
    <n v="0"/>
    <n v="0"/>
    <n v="4.79"/>
    <n v="1.2190000000000001"/>
    <n v="0"/>
    <n v="0"/>
    <n v="0"/>
    <x v="106"/>
    <n v="0"/>
    <n v="0"/>
    <n v="0"/>
    <n v="0"/>
    <n v="0"/>
    <n v="0"/>
  </r>
  <r>
    <n v="489"/>
    <s v="แขวงทางหลวงพิจิตร"/>
    <n v="519"/>
    <n v="115"/>
    <n v="303"/>
    <s v="เนินสมอ - สี่แยกสากเหล็ก"/>
    <s v="95+950"/>
    <s v="106+950"/>
    <n v="11"/>
    <s v="L1"/>
    <n v="2"/>
    <d v="2015-09-29T00:00:00"/>
    <s v="A.C."/>
    <n v="8.59"/>
    <n v="1.58"/>
    <n v="0.53"/>
    <n v="0.3"/>
    <n v="2.1899500000000001"/>
    <n v="2"/>
    <n v="10.98"/>
    <n v="0.03"/>
    <n v="0"/>
    <n v="0"/>
    <n v="2.4028399999999999"/>
    <n v="2.5"/>
    <n v="0"/>
    <n v="0"/>
    <n v="11"/>
    <n v="1.2934399999999999"/>
    <n v="0"/>
    <n v="0"/>
    <n v="0"/>
    <x v="106"/>
    <n v="0"/>
    <n v="0"/>
    <n v="0"/>
    <n v="0"/>
    <n v="0"/>
    <n v="0"/>
  </r>
  <r>
    <n v="502"/>
    <s v="แขวงทางหลวงพิจิตร"/>
    <n v="519"/>
    <n v="1221"/>
    <n v="100"/>
    <s v="พิจิตร -ท่านา"/>
    <s v="0+000"/>
    <s v="8+865"/>
    <n v="8.8650000000000002"/>
    <s v="L1"/>
    <n v="2"/>
    <d v="2015-09-29T00:00:00"/>
    <s v="A.C."/>
    <n v="7.57"/>
    <n v="1.04"/>
    <n v="0.57999999999999996"/>
    <n v="0.22"/>
    <n v="2.21"/>
    <n v="2"/>
    <n v="8.6999999999999993"/>
    <n v="0.14000000000000001"/>
    <n v="0"/>
    <n v="0"/>
    <n v="2.1"/>
    <n v="2"/>
    <n v="0"/>
    <n v="0"/>
    <n v="9.4"/>
    <n v="0"/>
    <n v="0"/>
    <n v="0"/>
    <n v="0"/>
    <x v="106"/>
    <n v="0"/>
    <n v="0"/>
    <n v="0"/>
    <n v="0"/>
    <n v="0"/>
    <n v="0"/>
  </r>
  <r>
    <n v="552"/>
    <s v="แขวงทางหลวงเพชรบูรณ์ที่ 1"/>
    <n v="551"/>
    <n v="2008"/>
    <n v="100"/>
    <s v="หล่มสัก - น้ำก้อ"/>
    <n v="0"/>
    <n v="6365"/>
    <n v="6.3650000000000002"/>
    <n v="2"/>
    <s v="L1"/>
    <d v="2015-07-07T00:00:00"/>
    <s v="A.C."/>
    <n v="5.44"/>
    <n v="0.8"/>
    <n v="0.08"/>
    <n v="0.05"/>
    <n v="1.865"/>
    <n v="2"/>
    <n v="6.37"/>
    <n v="0"/>
    <n v="0"/>
    <n v="0"/>
    <n v="2.5710000000000002"/>
    <n v="2.5"/>
    <n v="0"/>
    <n v="0"/>
    <n v="6.37"/>
    <n v="0.99"/>
    <n v="0"/>
    <n v="0"/>
    <n v="0"/>
    <x v="106"/>
    <n v="0"/>
    <n v="0"/>
    <n v="72"/>
    <n v="0.32319604982605765"/>
    <n v="0"/>
    <n v="0"/>
  </r>
  <r>
    <n v="574"/>
    <s v="แขวงทางหลวงเพชรบูรณ์ที่ 1"/>
    <n v="551"/>
    <n v="2478"/>
    <n v="100"/>
    <s v="ปากน้ำ - น้ำร้อน"/>
    <n v="9666"/>
    <n v="0"/>
    <n v="9.6660000000000004"/>
    <n v="2"/>
    <s v="R1"/>
    <d v="2015-08-08T00:00:00"/>
    <s v="A.C."/>
    <n v="7.5"/>
    <n v="0.9"/>
    <n v="0.65"/>
    <n v="0.52500000000000002"/>
    <n v="2.11436"/>
    <n v="2"/>
    <n v="7.9749999999999996"/>
    <n v="1.28"/>
    <n v="0.35"/>
    <n v="0.05"/>
    <n v="7.2521800000000001"/>
    <n v="7.5"/>
    <n v="0"/>
    <n v="0"/>
    <n v="9.66"/>
    <n v="1.00915"/>
    <n v="0"/>
    <n v="0"/>
    <n v="0"/>
    <x v="106"/>
    <n v="0"/>
    <n v="0"/>
    <n v="0"/>
    <n v="0"/>
    <n v="6"/>
    <n v="1.7735213265939524E-2"/>
  </r>
  <r>
    <n v="631"/>
    <s v="แขวงทางหลวงเลยที่ 2 (ด่านซ้าย)"/>
    <n v="555"/>
    <n v="2479"/>
    <n v="103"/>
    <s v="ปากคาน - หนองผือ"/>
    <s v="29+612"/>
    <s v="24+836"/>
    <n v="4.7759999999999998"/>
    <n v="2"/>
    <s v="R1"/>
    <d v="2015-07-01T00:00:00"/>
    <s v="A.C."/>
    <n v="4.04"/>
    <n v="0.56000000000000005"/>
    <n v="7.4999999999999997E-2"/>
    <n v="7.4999999999999997E-2"/>
    <n v="1.99"/>
    <n v="2"/>
    <n v="4.75"/>
    <n v="2.5000000000000001E-2"/>
    <n v="0"/>
    <n v="0"/>
    <n v="2.387"/>
    <n v="2.5"/>
    <n v="0"/>
    <n v="0"/>
    <n v="4.7779999999999996"/>
    <n v="1.117"/>
    <n v="0"/>
    <n v="0"/>
    <n v="0"/>
    <x v="106"/>
    <n v="0"/>
    <n v="0"/>
    <n v="0"/>
    <n v="0"/>
    <n v="0"/>
    <n v="0"/>
  </r>
  <r>
    <n v="632"/>
    <s v="แขวงทางหลวงเลยที่ 2 (ด่านซ้าย)"/>
    <n v="555"/>
    <n v="2480"/>
    <n v="100"/>
    <s v="ทางเข้าสะพานข้ามแม่น้ำเหือง"/>
    <n v="0"/>
    <n v="744"/>
    <n v="0.74399999999999999"/>
    <n v="2"/>
    <s v="L1"/>
    <d v="2015-07-03T00:00:00"/>
    <s v="A.C."/>
    <n v="0.17"/>
    <n v="0.48"/>
    <n v="0.09"/>
    <n v="0"/>
    <n v="2.9980000000000002"/>
    <n v="3"/>
    <n v="0.51"/>
    <n v="0.17"/>
    <n v="0.05"/>
    <n v="0"/>
    <n v="5.9370000000000003"/>
    <n v="6"/>
    <n v="0"/>
    <n v="0"/>
    <n v="0.74"/>
    <n v="1.036"/>
    <n v="0"/>
    <n v="0"/>
    <n v="0"/>
    <x v="106"/>
    <n v="0"/>
    <n v="0"/>
    <n v="0"/>
    <n v="0"/>
    <n v="0"/>
    <n v="0"/>
  </r>
  <r>
    <n v="652"/>
    <s v="แขวงทางหลวงขอนแก่นที่ 1"/>
    <n v="621"/>
    <n v="2424"/>
    <n v="100"/>
    <s v="กุดกว้าง - เมืองเก่า"/>
    <n v="2041"/>
    <n v="2207"/>
    <n v="0.16600000000000001"/>
    <n v="4"/>
    <s v="L2"/>
    <d v="2015-06-17T00:00:00"/>
    <s v="A.C."/>
    <n v="0"/>
    <n v="2.5000000000000001E-2"/>
    <n v="7.4999999999999997E-2"/>
    <n v="0.1"/>
    <n v="6.0062499999999996"/>
    <n v="6"/>
    <n v="0.17"/>
    <n v="0"/>
    <n v="0"/>
    <n v="0"/>
    <n v="3.3907500000000002"/>
    <n v="3.5"/>
    <n v="0"/>
    <n v="0"/>
    <n v="0.16600000000000001"/>
    <n v="0.97524999999999995"/>
    <n v="0"/>
    <n v="0"/>
    <n v="0"/>
    <x v="106"/>
    <n v="0"/>
    <n v="0"/>
    <n v="0"/>
    <n v="0"/>
    <n v="0"/>
    <n v="0"/>
  </r>
  <r>
    <n v="653"/>
    <s v="แขวงทางหลวงขอนแก่นที่ 1"/>
    <n v="621"/>
    <n v="2424"/>
    <n v="100"/>
    <s v="กุดกว้าง - เมืองเก่า"/>
    <n v="2207"/>
    <n v="2041"/>
    <n v="0.16600000000000001"/>
    <n v="4"/>
    <s v="R2"/>
    <d v="2015-06-17T00:00:00"/>
    <s v="A.C."/>
    <n v="0"/>
    <n v="0.1"/>
    <n v="2.5000000000000001E-2"/>
    <n v="7.4999999999999997E-2"/>
    <n v="4.7312500000000002"/>
    <n v="4.5"/>
    <n v="0.17"/>
    <n v="0"/>
    <n v="0"/>
    <n v="0"/>
    <n v="3.22187"/>
    <n v="3"/>
    <n v="0"/>
    <n v="0"/>
    <n v="0.16600000000000001"/>
    <n v="0.99262499999999998"/>
    <n v="0"/>
    <n v="0"/>
    <n v="0"/>
    <x v="106"/>
    <n v="0"/>
    <n v="0"/>
    <n v="0"/>
    <n v="0"/>
    <n v="0"/>
    <n v="0"/>
  </r>
  <r>
    <n v="654"/>
    <s v="แขวงทางหลวงขอนแก่นที่ 1"/>
    <n v="621"/>
    <n v="2453"/>
    <n v="100"/>
    <s v="ทางเข้าเขื่อนอุบลรัตน์"/>
    <n v="0"/>
    <n v="487"/>
    <n v="0.48699999999999999"/>
    <n v="4"/>
    <s v="L2"/>
    <d v="2015-06-17T00:00:00"/>
    <s v="A.C."/>
    <n v="0.15"/>
    <n v="0.1"/>
    <n v="0.05"/>
    <n v="0.125"/>
    <n v="3.78"/>
    <n v="4"/>
    <n v="0.45"/>
    <n v="2.5000000000000001E-2"/>
    <n v="0"/>
    <n v="0"/>
    <n v="6.3459399999999997"/>
    <n v="6.5"/>
    <n v="0"/>
    <n v="0"/>
    <n v="0.48699999999999999"/>
    <n v="1.1112899999999999"/>
    <n v="0"/>
    <n v="0"/>
    <n v="0"/>
    <x v="106"/>
    <n v="0"/>
    <n v="0"/>
    <n v="0"/>
    <n v="0"/>
    <n v="0"/>
    <n v="0"/>
  </r>
  <r>
    <n v="655"/>
    <s v="แขวงทางหลวงขอนแก่นที่ 1"/>
    <n v="621"/>
    <n v="2453"/>
    <n v="100"/>
    <s v="ทางเข้าเขื่อนอุบลรัตน์"/>
    <n v="487"/>
    <n v="0"/>
    <n v="0.48699999999999999"/>
    <n v="4"/>
    <s v="R2"/>
    <d v="2015-06-17T00:00:00"/>
    <s v="A.C."/>
    <n v="7.4999999999999997E-2"/>
    <n v="0.2"/>
    <n v="0.125"/>
    <n v="2.5000000000000001E-2"/>
    <n v="3.3641200000000002"/>
    <n v="3.5"/>
    <n v="0.45"/>
    <n v="2.5000000000000001E-2"/>
    <n v="0"/>
    <n v="0"/>
    <n v="5.2018199999999997"/>
    <n v="5"/>
    <n v="0"/>
    <n v="0"/>
    <n v="0.48699999999999999"/>
    <n v="1.1151800000000001"/>
    <n v="0"/>
    <n v="0"/>
    <n v="0"/>
    <x v="106"/>
    <n v="0"/>
    <n v="0"/>
    <n v="0"/>
    <n v="0"/>
    <n v="0"/>
    <n v="0"/>
  </r>
  <r>
    <n v="656"/>
    <s v="แขวงทางหลวงอุดรธานีที่ 1"/>
    <n v="623"/>
    <n v="2"/>
    <n v="601"/>
    <s v="โนนสะอาด - น้ำฆ้อง"/>
    <s v="402+374"/>
    <s v="417+569"/>
    <n v="15.195"/>
    <n v="2"/>
    <s v="L2"/>
    <d v="2015-06-11T00:00:00"/>
    <s v="A.C."/>
    <n v="5.81"/>
    <n v="6.16"/>
    <n v="2.73"/>
    <n v="0.49"/>
    <n v="3.0752000000000002"/>
    <n v="3"/>
    <n v="14.44"/>
    <n v="0.56000000000000005"/>
    <n v="0.15"/>
    <n v="0.04"/>
    <n v="3.9102700000000001"/>
    <n v="4"/>
    <n v="0"/>
    <n v="0"/>
    <n v="15.2"/>
    <n v="1.2852699999999999"/>
    <n v="0"/>
    <n v="0"/>
    <n v="0"/>
    <x v="106"/>
    <n v="0"/>
    <n v="0"/>
    <n v="39.54"/>
    <n v="2.4031E-2"/>
    <n v="0"/>
    <n v="0"/>
  </r>
  <r>
    <n v="665"/>
    <s v="แขวงทางหลวงอุดรธานีที่ 1"/>
    <n v="623"/>
    <n v="2265"/>
    <n v="100"/>
    <s v="ทางเข้ากลางใหญ่"/>
    <n v="0"/>
    <n v="1325"/>
    <n v="1.325"/>
    <n v="2"/>
    <s v="L1"/>
    <d v="2015-06-12T00:00:00"/>
    <s v="A.C."/>
    <n v="0.05"/>
    <n v="0.5"/>
    <n v="0.38"/>
    <n v="0.4"/>
    <n v="4.6130199999999997"/>
    <n v="4.5"/>
    <n v="1.3"/>
    <n v="0.03"/>
    <n v="0"/>
    <n v="0"/>
    <n v="4.2918900000000004"/>
    <n v="4.5"/>
    <n v="0"/>
    <n v="0"/>
    <n v="1.33"/>
    <n v="1.02921"/>
    <n v="0"/>
    <n v="0"/>
    <n v="0"/>
    <x v="106"/>
    <n v="0"/>
    <n v="0"/>
    <n v="29.5"/>
    <n v="0.63611899999999999"/>
    <n v="0"/>
    <n v="0"/>
  </r>
  <r>
    <n v="666"/>
    <s v="แขวงทางหลวงอุดรธานีที่ 1"/>
    <n v="623"/>
    <n v="2266"/>
    <n v="200"/>
    <s v="ห้วยทอน -  กลางใหญ่"/>
    <n v="31983"/>
    <n v="25778"/>
    <n v="6.2050000000000001"/>
    <n v="2"/>
    <s v="R1"/>
    <d v="2015-06-12T00:00:00"/>
    <s v="A.C."/>
    <n v="4.99"/>
    <n v="0.98"/>
    <n v="0.19"/>
    <n v="0.05"/>
    <n v="2.0436100000000001"/>
    <n v="2"/>
    <n v="6.11"/>
    <n v="0.05"/>
    <n v="0.03"/>
    <n v="0.03"/>
    <n v="3.6068199999999999"/>
    <n v="3.5"/>
    <n v="0"/>
    <n v="0"/>
    <n v="6.21"/>
    <n v="1.10249"/>
    <n v="0"/>
    <n v="0"/>
    <n v="0"/>
    <x v="106"/>
    <n v="0"/>
    <n v="0"/>
    <n v="0"/>
    <n v="0"/>
    <n v="0"/>
    <n v="0"/>
  </r>
  <r>
    <n v="1994"/>
    <s v="แขวงทางหลวงตรัง"/>
    <n v="322"/>
    <n v="4267"/>
    <n v="100"/>
    <s v="ห้วยนาง - หนองบัว"/>
    <s v="3+500"/>
    <s v="0+000"/>
    <n v="3.5"/>
    <n v="5"/>
    <s v="R2"/>
    <d v="2015-05-02T00:00:00"/>
    <s v="A.C."/>
    <n v="2.9"/>
    <n v="0.42499999999999999"/>
    <n v="0.05"/>
    <n v="0.125"/>
    <n v="2.177"/>
    <n v="2"/>
    <n v="3.5"/>
    <n v="0"/>
    <n v="0"/>
    <n v="0"/>
    <n v="2.024"/>
    <n v="2"/>
    <n v="0"/>
    <n v="0"/>
    <n v="3.4999999999999996"/>
    <n v="1.4590000000000001"/>
    <m/>
    <m/>
    <m/>
    <x v="106"/>
    <m/>
    <m/>
    <m/>
    <m/>
    <m/>
    <n v="0"/>
  </r>
  <r>
    <n v="667"/>
    <s v="แขวงทางหลวงอุดรธานีที่ 1"/>
    <n v="623"/>
    <n v="2313"/>
    <n v="100"/>
    <s v="ทางเข้าท่ายม"/>
    <n v="0"/>
    <n v="450"/>
    <n v="0.45"/>
    <n v="2"/>
    <s v="L1"/>
    <d v="2015-06-13T00:00:00"/>
    <s v="A.C."/>
    <n v="0.23"/>
    <n v="0.14000000000000001"/>
    <n v="0.03"/>
    <n v="7.0000000000000007E-2"/>
    <n v="3.476"/>
    <n v="3.5"/>
    <n v="0.43"/>
    <n v="0.03"/>
    <n v="0"/>
    <n v="0"/>
    <n v="4.6385500000000004"/>
    <n v="4.5"/>
    <n v="0"/>
    <n v="0"/>
    <n v="0.45"/>
    <n v="0.93149999999999999"/>
    <n v="0"/>
    <n v="0"/>
    <n v="0"/>
    <x v="106"/>
    <n v="0"/>
    <n v="0"/>
    <n v="0"/>
    <n v="0"/>
    <n v="0"/>
    <n v="0"/>
  </r>
  <r>
    <n v="681"/>
    <s v="แขวงทางหลวงอุดรธานีที่ 2"/>
    <n v="624"/>
    <n v="2096"/>
    <n v="101"/>
    <s v="หนองเม็ก - บ้านดุง"/>
    <n v="0"/>
    <n v="40000"/>
    <n v="40"/>
    <n v="2"/>
    <s v="L1"/>
    <d v="2015-06-15T00:00:00"/>
    <s v="A.C."/>
    <n v="31.1"/>
    <n v="6.875"/>
    <n v="1.5"/>
    <n v="0.42499999999999999"/>
    <n v="2.0767199999999999"/>
    <n v="2"/>
    <n v="35.674999999999997"/>
    <n v="3.5750000000000002"/>
    <n v="0.55000000000000004"/>
    <n v="0.1"/>
    <n v="5.9935299999999998"/>
    <n v="6"/>
    <n v="0"/>
    <n v="0"/>
    <n v="39.9"/>
    <n v="1.1649799999999999"/>
    <n v="0"/>
    <n v="0"/>
    <n v="0"/>
    <x v="106"/>
    <n v="0"/>
    <n v="0"/>
    <n v="2.31"/>
    <n v="1.65E-3"/>
    <n v="0"/>
    <n v="0"/>
  </r>
  <r>
    <n v="709"/>
    <s v="แขวงทางหลวงชัยภูมิ"/>
    <n v="626"/>
    <n v="2217"/>
    <n v="200"/>
    <s v="หนองกราด  -  คำปิง"/>
    <n v="23446"/>
    <n v="29411"/>
    <n v="5.9649999999999999"/>
    <n v="2"/>
    <s v="L1"/>
    <d v="2015-06-19T00:00:00"/>
    <s v="A.C."/>
    <n v="3.6"/>
    <n v="1.2"/>
    <n v="0.625"/>
    <n v="0.42499999999999999"/>
    <n v="2.6909399999999999"/>
    <n v="2.5"/>
    <n v="5.5750000000000002"/>
    <n v="0.22500000000000001"/>
    <n v="0.05"/>
    <n v="0"/>
    <n v="4.3079299999999998"/>
    <n v="4.5"/>
    <n v="0"/>
    <n v="0"/>
    <n v="5.85"/>
    <n v="1.2472099999999999"/>
    <n v="0"/>
    <n v="0"/>
    <n v="0"/>
    <x v="106"/>
    <n v="0"/>
    <n v="0"/>
    <n v="0"/>
    <n v="0"/>
    <n v="0"/>
    <n v="0"/>
  </r>
  <r>
    <n v="711"/>
    <s v="แขวงทางหลวงชัยภูมิ"/>
    <n v="626"/>
    <n v="2354"/>
    <n v="102"/>
    <s v="ซับใหญ่ - หนองบัวระเหว"/>
    <n v="49560"/>
    <n v="72323"/>
    <n v="22.763000000000002"/>
    <n v="2"/>
    <s v="R1"/>
    <d v="2015-06-20T00:00:00"/>
    <s v="A.C."/>
    <n v="3.625"/>
    <n v="8.2249999999999996"/>
    <n v="8"/>
    <n v="3.0249999999999999"/>
    <n v="3.7551000000000001"/>
    <n v="4"/>
    <n v="19.925000000000001"/>
    <n v="2.4750000000000001"/>
    <n v="0.35"/>
    <n v="0.125"/>
    <n v="5.9984500000000001"/>
    <n v="6"/>
    <n v="0"/>
    <n v="0"/>
    <n v="22.875"/>
    <n v="1.2172000000000001"/>
    <n v="0"/>
    <n v="0"/>
    <n v="0"/>
    <x v="106"/>
    <n v="0"/>
    <n v="0"/>
    <n v="161.37"/>
    <n v="0.20254673938283307"/>
    <n v="0"/>
    <n v="0"/>
  </r>
  <r>
    <n v="721"/>
    <s v="แขวงทางหลวงขอนแก่นที่ 2 (ชุมแพ)"/>
    <n v="627"/>
    <n v="229"/>
    <n v="200"/>
    <s v="ห้วยสามหมอ - ช่องสามหมอ"/>
    <n v="54473"/>
    <n v="54885"/>
    <n v="0.41199999999999998"/>
    <n v="2"/>
    <s v="L1"/>
    <d v="2015-06-22T00:00:00"/>
    <s v="A.C."/>
    <n v="0.27500000000000002"/>
    <n v="0.05"/>
    <n v="0.1"/>
    <n v="0.05"/>
    <n v="3.1326299999999998"/>
    <n v="3"/>
    <n v="0.4"/>
    <n v="0"/>
    <n v="2.5000000000000001E-2"/>
    <n v="0"/>
    <n v="5.48367"/>
    <n v="5.5"/>
    <n v="0"/>
    <n v="0"/>
    <n v="0.41"/>
    <n v="1.05426"/>
    <n v="0"/>
    <n v="0"/>
    <n v="0"/>
    <x v="106"/>
    <n v="0"/>
    <n v="0"/>
    <n v="0"/>
    <n v="0"/>
    <n v="0"/>
    <n v="0"/>
  </r>
  <r>
    <n v="729"/>
    <s v="แขวงทางหลวงขอนแก่นที่ 2 (ชุมแพ)"/>
    <n v="627"/>
    <n v="2187"/>
    <n v="102"/>
    <s v="นายม -  หนองแวง"/>
    <n v="9340"/>
    <n v="36930"/>
    <n v="27.59"/>
    <n v="2"/>
    <s v="L1"/>
    <d v="2015-06-22T00:00:00"/>
    <s v="A.C."/>
    <n v="19.774999999999999"/>
    <n v="5.9249999999999998"/>
    <n v="1.5249999999999999"/>
    <n v="0.27500000000000002"/>
    <n v="2.1363400000000001"/>
    <n v="2"/>
    <n v="27.074999999999999"/>
    <n v="0.375"/>
    <n v="0.05"/>
    <n v="0"/>
    <n v="3.0643099999999999"/>
    <n v="3"/>
    <n v="0"/>
    <n v="0"/>
    <n v="27.59"/>
    <n v="0.99690699999999999"/>
    <n v="0"/>
    <n v="0"/>
    <n v="0"/>
    <x v="106"/>
    <n v="0"/>
    <n v="0"/>
    <n v="33.18"/>
    <n v="3.4360000000000002E-2"/>
    <n v="0"/>
    <n v="0"/>
  </r>
  <r>
    <n v="730"/>
    <s v="แขวงทางหลวงขอนแก่นที่ 2 (ชุมแพ)"/>
    <n v="627"/>
    <n v="2216"/>
    <n v="100"/>
    <s v="ห้วยสนามทราย - โคกมน"/>
    <n v="0"/>
    <n v="513"/>
    <n v="0.51300000000000001"/>
    <n v="2"/>
    <s v="L1"/>
    <d v="2015-06-23T00:00:00"/>
    <s v="A.C."/>
    <n v="0.32500000000000001"/>
    <n v="0.15"/>
    <n v="7.4999999999999997E-2"/>
    <n v="2.5000000000000001E-2"/>
    <n v="2.7056499999999999"/>
    <n v="2.5"/>
    <n v="0.57499999999999996"/>
    <n v="0"/>
    <n v="0"/>
    <n v="0"/>
    <n v="1.8924799999999999"/>
    <n v="2"/>
    <n v="0"/>
    <n v="0"/>
    <n v="0.51"/>
    <n v="1.12374"/>
    <n v="0"/>
    <n v="0"/>
    <n v="0"/>
    <x v="106"/>
    <n v="0"/>
    <n v="0"/>
    <n v="0"/>
    <n v="0"/>
    <n v="0"/>
    <n v="0"/>
  </r>
  <r>
    <n v="731"/>
    <s v="แขวงทางหลวงขอนแก่นที่ 2 (ชุมแพ)"/>
    <n v="627"/>
    <n v="2361"/>
    <n v="100"/>
    <s v="หนองเขียด - ภูผาม่าน"/>
    <n v="0"/>
    <n v="12100"/>
    <n v="12.1"/>
    <n v="2"/>
    <s v="L1"/>
    <d v="2015-06-23T00:00:00"/>
    <s v="A.C."/>
    <n v="8.0500000000000007"/>
    <n v="2.2999999999999998"/>
    <n v="1.4"/>
    <n v="0.6"/>
    <n v="2.5160100000000001"/>
    <n v="2.5"/>
    <n v="11.85"/>
    <n v="0.3"/>
    <n v="0.15"/>
    <n v="0.05"/>
    <n v="3.28424"/>
    <n v="3.5"/>
    <n v="0"/>
    <n v="0"/>
    <n v="12.1"/>
    <n v="1.0676699999999999"/>
    <n v="0"/>
    <n v="0"/>
    <n v="0"/>
    <x v="106"/>
    <n v="0"/>
    <n v="0"/>
    <n v="0"/>
    <n v="0"/>
    <n v="27.58"/>
    <n v="6.5123966942148767E-2"/>
  </r>
  <r>
    <n v="735"/>
    <s v="แขวงทางหลวงขอนแก่นที่ 3 (บ้านไผ่)"/>
    <n v="628"/>
    <n v="2061"/>
    <n v="100"/>
    <s v="ทางพาด - ห้วยตะกั่ว"/>
    <n v="0"/>
    <n v="1400"/>
    <n v="1.4"/>
    <n v="2"/>
    <s v="L1"/>
    <d v="2015-06-18T00:00:00"/>
    <s v="A.C."/>
    <n v="1.125"/>
    <n v="0.25"/>
    <n v="0"/>
    <n v="2.5000000000000001E-2"/>
    <n v="2.0748199999999999"/>
    <n v="2"/>
    <n v="1.375"/>
    <n v="2.5000000000000001E-2"/>
    <n v="0"/>
    <n v="0"/>
    <n v="4.6672500000000001"/>
    <n v="4.5"/>
    <n v="0"/>
    <n v="0"/>
    <n v="1.4"/>
    <n v="1.2960199999999999"/>
    <n v="0"/>
    <n v="0"/>
    <n v="0"/>
    <x v="106"/>
    <n v="0.99"/>
    <n v="2.0204081632653068E-2"/>
    <n v="0"/>
    <n v="0"/>
    <n v="0"/>
    <n v="0"/>
  </r>
  <r>
    <n v="741"/>
    <s v="แขวงทางหลวงขอนแก่นที่ 3 (บ้านไผ่)"/>
    <n v="628"/>
    <n v="2301"/>
    <n v="100"/>
    <s v="หินตั้ง - หนองสองห้อง"/>
    <n v="0"/>
    <n v="35785"/>
    <n v="35.784999999999997"/>
    <n v="2"/>
    <s v="L1"/>
    <d v="2015-06-18T00:00:00"/>
    <s v="A.C."/>
    <n v="27.85"/>
    <n v="6.375"/>
    <n v="1.125"/>
    <n v="0.27500000000000002"/>
    <n v="2.1560999999999999"/>
    <n v="2"/>
    <n v="35"/>
    <n v="0.55000000000000004"/>
    <n v="7.4999999999999997E-2"/>
    <n v="0"/>
    <n v="3.2801"/>
    <n v="3.5"/>
    <n v="0"/>
    <n v="0"/>
    <n v="35.625"/>
    <n v="1.2488600000000001"/>
    <n v="0"/>
    <n v="0"/>
    <n v="0"/>
    <x v="106"/>
    <n v="5.76"/>
    <n v="4.5988941895047809E-3"/>
    <n v="0"/>
    <n v="0"/>
    <n v="0"/>
    <n v="0"/>
  </r>
  <r>
    <n v="757"/>
    <s v="แขวงทางหลวงชัยภูมิ"/>
    <n v="626"/>
    <n v="2217"/>
    <n v="200"/>
    <s v="หนองกราด  -  คำปิง"/>
    <n v="23446"/>
    <n v="29411"/>
    <n v="5.9649999999999999"/>
    <n v="2"/>
    <s v="L1"/>
    <d v="2015-06-19T00:00:00"/>
    <s v="A.C."/>
    <n v="3.6"/>
    <n v="1.2"/>
    <n v="0.625"/>
    <n v="0.42499999999999999"/>
    <n v="2.6909399999999999"/>
    <n v="2.5"/>
    <n v="5.5750000000000002"/>
    <n v="0.22500000000000001"/>
    <n v="0.05"/>
    <n v="0"/>
    <n v="4.3079299999999998"/>
    <n v="4.5"/>
    <n v="0"/>
    <n v="0"/>
    <n v="5.85"/>
    <n v="1.2472099999999999"/>
    <n v="0"/>
    <n v="0"/>
    <n v="0"/>
    <x v="106"/>
    <n v="0"/>
    <n v="0"/>
    <n v="0"/>
    <n v="0"/>
    <n v="0"/>
    <n v="0"/>
  </r>
  <r>
    <n v="759"/>
    <s v="แขวงทางหลวงชัยภูมิ"/>
    <n v="626"/>
    <n v="2354"/>
    <n v="102"/>
    <s v="ซับใหญ่ - หนองบัวระเหว"/>
    <n v="49560"/>
    <n v="72323"/>
    <n v="22.763000000000002"/>
    <n v="2"/>
    <s v="R1"/>
    <d v="2015-06-20T00:00:00"/>
    <s v="A.C."/>
    <n v="3.625"/>
    <n v="8.2249999999999996"/>
    <n v="8"/>
    <n v="3.0249999999999999"/>
    <n v="3.7551000000000001"/>
    <n v="4"/>
    <n v="19.925000000000001"/>
    <n v="2.4750000000000001"/>
    <n v="0.35"/>
    <n v="0.125"/>
    <n v="5.9984500000000001"/>
    <n v="6"/>
    <n v="0"/>
    <n v="0"/>
    <n v="22.875"/>
    <n v="1.2172000000000001"/>
    <n v="0"/>
    <n v="0"/>
    <n v="0"/>
    <x v="106"/>
    <n v="0"/>
    <n v="0"/>
    <n v="161.37"/>
    <n v="0.20254673938283307"/>
    <n v="0"/>
    <n v="0"/>
  </r>
  <r>
    <n v="773"/>
    <s v="แขวงทางหลวงมหาสารคาม"/>
    <n v="622"/>
    <n v="2322"/>
    <n v="101"/>
    <s v="โสกขุ่น - โกสุมพิสัย"/>
    <n v="23962"/>
    <n v="0"/>
    <n v="23.962"/>
    <n v="2"/>
    <s v="R1"/>
    <d v="2015-05-28T00:00:00"/>
    <s v="A.C."/>
    <n v="19.425000000000001"/>
    <n v="3.35"/>
    <n v="0.72499999999999998"/>
    <n v="0.375"/>
    <n v="2.1800999999999999"/>
    <n v="2"/>
    <n v="23.82"/>
    <n v="0.15"/>
    <n v="0"/>
    <n v="0"/>
    <n v="3.5499399999999999"/>
    <n v="3.5"/>
    <n v="0"/>
    <n v="0"/>
    <n v="23.97"/>
    <n v="1.2404299999999999"/>
    <n v="0"/>
    <n v="0"/>
    <n v="0"/>
    <x v="106"/>
    <n v="27"/>
    <n v="3.2193830708145042E-2"/>
    <n v="0"/>
    <n v="0"/>
    <n v="5"/>
    <n v="5.9618205015083406E-3"/>
  </r>
  <r>
    <n v="781"/>
    <s v="แขวงทางหลวงยโสธร"/>
    <n v="633"/>
    <n v="23"/>
    <n v="403"/>
    <s v="บ้านย่อ - บ้านสวน"/>
    <n v="190562"/>
    <n v="220182"/>
    <n v="29.62"/>
    <n v="4"/>
    <s v="L2"/>
    <d v="2015-05-23T00:00:00"/>
    <s v="A.C."/>
    <n v="25.274999999999999"/>
    <n v="3.05"/>
    <n v="0.75"/>
    <n v="0.32500000000000001"/>
    <n v="1.8628899999999999"/>
    <n v="2"/>
    <n v="29.1"/>
    <n v="0.27500000000000002"/>
    <n v="0"/>
    <n v="2.5000000000000001E-2"/>
    <n v="3.3407900000000001"/>
    <n v="3.5"/>
    <n v="0"/>
    <n v="0"/>
    <n v="29.4"/>
    <n v="1.1391100000000001"/>
    <n v="0"/>
    <n v="0"/>
    <n v="0"/>
    <x v="106"/>
    <n v="1"/>
    <n v="9.6459920902864857E-4"/>
    <n v="0"/>
    <n v="0"/>
    <n v="0"/>
    <n v="0"/>
  </r>
  <r>
    <n v="782"/>
    <s v="แขวงทางหลวงยโสธร"/>
    <n v="633"/>
    <n v="23"/>
    <n v="403"/>
    <s v="บ้านย่อ - บ้านสวน"/>
    <n v="220182"/>
    <n v="190562"/>
    <n v="29.62"/>
    <n v="4"/>
    <s v="R2"/>
    <d v="2015-05-23T00:00:00"/>
    <s v="A.C."/>
    <n v="24.9"/>
    <n v="3.7749999999999999"/>
    <n v="0.57499999999999996"/>
    <n v="0.22500000000000001"/>
    <n v="1.9507000000000001"/>
    <n v="2"/>
    <n v="27.15"/>
    <n v="2.15"/>
    <n v="0.17499999999999999"/>
    <n v="0"/>
    <n v="6.5223899999999997"/>
    <n v="6.5"/>
    <n v="0"/>
    <n v="0"/>
    <n v="29.474999999999998"/>
    <n v="1.1869499999999999"/>
    <n v="0"/>
    <n v="0"/>
    <n v="0"/>
    <x v="106"/>
    <n v="14"/>
    <n v="1.350438892640108E-2"/>
    <n v="0"/>
    <n v="0"/>
    <n v="0"/>
    <n v="0"/>
  </r>
  <r>
    <n v="792"/>
    <s v="แขวงทางหลวงยโสธร"/>
    <n v="633"/>
    <n v="2477"/>
    <n v="100"/>
    <s v="โรงพยาบาลยโสธร - ดอนมะยาง"/>
    <n v="0"/>
    <n v="1732"/>
    <n v="1.732"/>
    <n v="4"/>
    <s v="L2"/>
    <d v="2015-05-23T00:00:00"/>
    <s v="A.C."/>
    <n v="1.1000000000000001"/>
    <n v="0.4"/>
    <n v="0.17499999999999999"/>
    <n v="0.1"/>
    <n v="2.5913000000000004"/>
    <n v="2.5"/>
    <n v="1.4249999999999998"/>
    <n v="0.27500000000000002"/>
    <n v="7.4999999999999997E-2"/>
    <n v="0"/>
    <n v="5.9620449999999998"/>
    <n v="6"/>
    <n v="0"/>
    <n v="0"/>
    <n v="1.7750000000000001"/>
    <n v="1.34955"/>
    <n v="0"/>
    <n v="0"/>
    <n v="0"/>
    <x v="106"/>
    <n v="0"/>
    <n v="0"/>
    <n v="61"/>
    <n v="1.0062690000000001"/>
    <n v="0"/>
    <n v="0"/>
  </r>
  <r>
    <n v="797"/>
    <s v="แขวงทางหลวงร้อยเอ็ด"/>
    <n v="635"/>
    <n v="215"/>
    <n v="100"/>
    <s v="ร้อยเอ็ด - สุวรรณภูมิ"/>
    <n v="1400"/>
    <n v="41580"/>
    <n v="40.18"/>
    <n v="2"/>
    <s v="L1"/>
    <d v="2015-05-26T00:00:00"/>
    <s v="A.C."/>
    <n v="31.56"/>
    <n v="6.734"/>
    <n v="1.571"/>
    <n v="0.314"/>
    <n v="2.8650000000000002"/>
    <n v="3"/>
    <n v="39.902000000000001"/>
    <n v="0.251"/>
    <n v="2.7E-2"/>
    <n v="0"/>
    <n v="3.9710000000000001"/>
    <n v="4"/>
    <n v="0"/>
    <n v="0"/>
    <n v="40.18"/>
    <n v="1.1970000000000001"/>
    <n v="0"/>
    <n v="0"/>
    <n v="0"/>
    <x v="106"/>
    <n v="0"/>
    <n v="0"/>
    <n v="15"/>
    <n v="9.5619999999999993E-3"/>
    <n v="0"/>
    <n v="0"/>
  </r>
  <r>
    <n v="805"/>
    <s v="แขวงทางหลวงร้อยเอ็ด"/>
    <n v="635"/>
    <n v="2116"/>
    <n v="200"/>
    <s v="ร่องคำ - โพนทอง"/>
    <n v="46900"/>
    <n v="68200"/>
    <n v="21.31"/>
    <n v="2"/>
    <s v="L1"/>
    <d v="2015-05-27T00:00:00"/>
    <s v="A.C."/>
    <n v="16.600999999999999"/>
    <n v="3.6160000000000001"/>
    <n v="0.69899999999999995"/>
    <n v="0.39400000000000002"/>
    <n v="2.58"/>
    <n v="2.5"/>
    <n v="20.611000000000001"/>
    <n v="0.57499999999999996"/>
    <n v="0.123"/>
    <n v="0"/>
    <n v="4.7206000000000001"/>
    <n v="4.5"/>
    <n v="0"/>
    <n v="0"/>
    <n v="21.31"/>
    <n v="1.2742"/>
    <n v="0"/>
    <n v="0"/>
    <n v="0"/>
    <x v="106"/>
    <n v="21"/>
    <n v="2.3120000000000002E-2"/>
    <n v="67"/>
    <n v="7.3764999999999997E-2"/>
    <n v="0"/>
    <n v="0"/>
  </r>
  <r>
    <n v="807"/>
    <s v="แขวงทางหลวงร้อยเอ็ด"/>
    <n v="635"/>
    <n v="2387"/>
    <n v="100"/>
    <s v="พิมพิสารน้อย - หนองห่าง"/>
    <n v="0"/>
    <n v="22737"/>
    <n v="22.736999999999998"/>
    <n v="2"/>
    <s v="R1"/>
    <d v="2015-05-26T00:00:00"/>
    <s v="A.C."/>
    <n v="18.05"/>
    <n v="3.6749999999999998"/>
    <n v="0.6"/>
    <n v="0.35"/>
    <n v="2.0948799999999999"/>
    <n v="2"/>
    <n v="22.675000000000001"/>
    <n v="0"/>
    <n v="0"/>
    <n v="0"/>
    <n v="3.0152100000000002"/>
    <n v="3"/>
    <n v="0"/>
    <n v="0"/>
    <n v="22.736999999999998"/>
    <n v="1.35046"/>
    <n v="0"/>
    <n v="0"/>
    <n v="0"/>
    <x v="106"/>
    <n v="0"/>
    <n v="0"/>
    <n v="9"/>
    <n v="1.1309E-2"/>
    <n v="0"/>
    <n v="0"/>
  </r>
  <r>
    <n v="810"/>
    <s v="แขวงทางหลวงร้อยเอ็ด"/>
    <n v="635"/>
    <n v="2457"/>
    <n v="100"/>
    <s v="ทางเข้าบ้านขามเปี้ย"/>
    <n v="0"/>
    <n v="391"/>
    <n v="0.39100000000000001"/>
    <n v="2"/>
    <s v="L1"/>
    <d v="2015-05-27T00:00:00"/>
    <s v="A.C."/>
    <n v="0.05"/>
    <n v="0.15"/>
    <n v="0.1"/>
    <n v="0.1"/>
    <n v="4.5919999999999996"/>
    <n v="4.5"/>
    <n v="0.4"/>
    <n v="0"/>
    <n v="0"/>
    <n v="0"/>
    <n v="2.2200000000000002"/>
    <n v="2"/>
    <n v="0"/>
    <n v="0"/>
    <n v="0.39100000000000001"/>
    <n v="1.2230000000000001"/>
    <n v="0"/>
    <n v="0"/>
    <n v="0"/>
    <x v="106"/>
    <n v="0"/>
    <n v="0"/>
    <n v="0"/>
    <n v="0"/>
    <n v="0"/>
    <n v="0"/>
  </r>
  <r>
    <n v="813"/>
    <s v="แขวงทางหลวงกาฬสินธุ์"/>
    <n v="647"/>
    <n v="213"/>
    <n v="201"/>
    <s v="ห้วยปลาหลด - สี่แยกยางตลาด"/>
    <n v="22378"/>
    <n v="25788"/>
    <n v="3.41"/>
    <n v="4"/>
    <s v="L1"/>
    <d v="2015-05-29T00:00:00"/>
    <s v="A.C."/>
    <n v="1.5"/>
    <n v="1.2250000000000001"/>
    <n v="0.52500000000000002"/>
    <n v="0.27500000000000002"/>
    <n v="5.5016999999999996"/>
    <n v="5.5"/>
    <n v="3.0750000000000002"/>
    <n v="0.1"/>
    <n v="0.2"/>
    <n v="0.15"/>
    <n v="7.7394999999999996"/>
    <n v="7.5"/>
    <n v="0"/>
    <n v="0"/>
    <n v="3.5249999999999999"/>
    <n v="1.123"/>
    <n v="0"/>
    <n v="0"/>
    <n v="0"/>
    <x v="106"/>
    <n v="0"/>
    <n v="0"/>
    <n v="83"/>
    <n v="0.69543359865940513"/>
    <n v="0"/>
    <n v="0"/>
  </r>
  <r>
    <n v="814"/>
    <s v="แขวงทางหลวงกาฬสินธุ์"/>
    <n v="647"/>
    <n v="213"/>
    <n v="201"/>
    <s v="ห้วยปลาหลด - สี่แยกยางตลาด"/>
    <n v="25788"/>
    <n v="22378"/>
    <n v="3.41"/>
    <n v="4"/>
    <s v="R1"/>
    <d v="2015-05-29T00:00:00"/>
    <s v="A.C."/>
    <n v="2.2250000000000001"/>
    <n v="0.82500000000000007"/>
    <n v="0.32499999999999996"/>
    <n v="0.17499999999999999"/>
    <n v="2.762"/>
    <n v="3"/>
    <n v="3.125"/>
    <n v="0.375"/>
    <n v="2.5000000000000001E-2"/>
    <n v="2.5000000000000001E-2"/>
    <n v="6.9130000000000003"/>
    <n v="7"/>
    <n v="0"/>
    <n v="0"/>
    <n v="3.55"/>
    <n v="1.179"/>
    <n v="0"/>
    <n v="0"/>
    <n v="0"/>
    <x v="106"/>
    <n v="0"/>
    <n v="0"/>
    <n v="72.3"/>
    <n v="0.60578131545873481"/>
    <n v="0"/>
    <n v="0"/>
  </r>
  <r>
    <n v="826"/>
    <s v="แขวงทางหลวงกาฬสินธุ์"/>
    <n v="647"/>
    <n v="2253"/>
    <n v="100"/>
    <s v="คำพิมูล - คำม่วง"/>
    <n v="0"/>
    <n v="6659"/>
    <n v="0"/>
    <n v="2"/>
    <s v="L1"/>
    <d v="2015-05-30T00:00:00"/>
    <s v="A.C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6"/>
    <n v="0"/>
    <n v="0"/>
    <n v="0"/>
    <n v="0"/>
    <n v="0"/>
    <n v="0"/>
  </r>
  <r>
    <n v="831"/>
    <s v="แขวงทางหลวงกาฬสินธุ์"/>
    <n v="647"/>
    <n v="2388"/>
    <n v="100"/>
    <s v="ทางเข้าสำนักงานแขวงการทางกาฬสินธุ์"/>
    <n v="0"/>
    <n v="650"/>
    <n v="0.65"/>
    <n v="2"/>
    <s v="L1"/>
    <d v="2015-05-29T00:00:00"/>
    <s v="A.C."/>
    <n v="0.32500000000000001"/>
    <n v="0.125"/>
    <n v="0.05"/>
    <n v="0.15"/>
    <n v="3.9761500000000001"/>
    <n v="4"/>
    <n v="0.625"/>
    <n v="2.5000000000000001E-2"/>
    <n v="0"/>
    <n v="0"/>
    <n v="2.05396"/>
    <n v="2"/>
    <n v="0"/>
    <n v="0"/>
    <n v="0.65"/>
    <n v="0.99338499999999996"/>
    <n v="0"/>
    <n v="0"/>
    <n v="0"/>
    <x v="106"/>
    <n v="0"/>
    <n v="0"/>
    <n v="0"/>
    <n v="0"/>
    <n v="0"/>
    <n v="0"/>
  </r>
  <r>
    <n v="865"/>
    <s v="แขวงทางหลวงอุบลราชธานีที่ 1"/>
    <n v="631"/>
    <n v="212"/>
    <n v="601"/>
    <s v="ลืออำนาจ - หนองยอ"/>
    <n v="532733"/>
    <n v="563148"/>
    <n v="30.414999999999999"/>
    <n v="4"/>
    <s v="L2"/>
    <d v="2015-05-15T00:00:00"/>
    <s v="A.C."/>
    <n v="19.675000000000001"/>
    <n v="6.95"/>
    <n v="2.65"/>
    <n v="1.175"/>
    <n v="2.4858199999999999"/>
    <n v="2.5"/>
    <n v="28.25"/>
    <n v="1.925"/>
    <n v="0.22500000000000001"/>
    <n v="0.05"/>
    <n v="5.6043599999999998"/>
    <n v="5.5"/>
    <n v="0"/>
    <n v="0"/>
    <n v="30.45"/>
    <n v="1.3558399999999999"/>
    <n v="0"/>
    <n v="0"/>
    <n v="0"/>
    <x v="106"/>
    <n v="0"/>
    <n v="0"/>
    <n v="93.28"/>
    <n v="8.7625999999999996E-2"/>
    <n v="0"/>
    <n v="0"/>
  </r>
  <r>
    <n v="896"/>
    <s v="แขวงทางหลวงอำนาจเจริญ"/>
    <n v="634"/>
    <n v="2112"/>
    <n v="102"/>
    <s v="ปากแซง - หนามแท่ง"/>
    <n v="16000"/>
    <n v="76174"/>
    <n v="60.173999999999999"/>
    <n v="2"/>
    <s v="L1"/>
    <d v="2015-05-21T00:00:00"/>
    <s v="A.C."/>
    <n v="23.074999999999999"/>
    <n v="20.625"/>
    <n v="10.625"/>
    <n v="5.4749999999999996"/>
    <n v="3.1206700000000001"/>
    <n v="3"/>
    <n v="57.575000000000003"/>
    <n v="1.95"/>
    <n v="0.2"/>
    <n v="7.4999999999999997E-2"/>
    <n v="4.7646600000000001"/>
    <n v="5"/>
    <n v="0"/>
    <n v="0"/>
    <n v="59.800000000000004"/>
    <n v="1.8781099999999999"/>
    <n v="0"/>
    <n v="0"/>
    <n v="0"/>
    <x v="106"/>
    <n v="0"/>
    <n v="0"/>
    <n v="1826.84"/>
    <n v="0.86740799999999996"/>
    <n v="0"/>
    <n v="0"/>
  </r>
  <r>
    <n v="904"/>
    <s v="แขวงทางหลวงอำนาจเจริญ"/>
    <n v="634"/>
    <n v="2377"/>
    <n v="100"/>
    <s v="นาไร่ใหญ่ - เสนางคนิคม"/>
    <n v="0"/>
    <n v="1280"/>
    <n v="1.28"/>
    <n v="2"/>
    <s v="L1"/>
    <d v="2015-05-22T00:00:00"/>
    <s v="A.C."/>
    <n v="0.92500000000000004"/>
    <n v="0.25"/>
    <n v="7.4999999999999997E-2"/>
    <n v="7.4999999999999997E-2"/>
    <n v="2.5152600000000001"/>
    <n v="2.5"/>
    <n v="1.325"/>
    <n v="0"/>
    <n v="0"/>
    <n v="0"/>
    <n v="4.3869999999999996"/>
    <n v="4.5"/>
    <n v="0"/>
    <n v="0"/>
    <n v="1.325"/>
    <n v="1.24722"/>
    <n v="0"/>
    <n v="0"/>
    <n v="0"/>
    <x v="106"/>
    <n v="0"/>
    <n v="0"/>
    <n v="0"/>
    <n v="0"/>
    <n v="0"/>
    <n v="0"/>
  </r>
  <r>
    <n v="907"/>
    <s v="แขวงทางหลวงอำนาจเจริญ"/>
    <n v="634"/>
    <n v="2455"/>
    <n v="100"/>
    <s v="ทางเข้าฟ้าห่วน"/>
    <n v="0"/>
    <n v="475"/>
    <n v="0.47499999999999998"/>
    <n v="2"/>
    <s v="L1"/>
    <d v="2015-05-21T00:00:00"/>
    <s v="A.C."/>
    <n v="7.4999999999999997E-2"/>
    <n v="0.125"/>
    <n v="0.27500000000000002"/>
    <n v="0.05"/>
    <n v="5.4668400000000004"/>
    <n v="5.5"/>
    <n v="0.52500000000000002"/>
    <n v="0"/>
    <n v="0"/>
    <n v="0"/>
    <n v="4.5114999999999998"/>
    <n v="4.5"/>
    <n v="0"/>
    <n v="0"/>
    <n v="0.52500000000000002"/>
    <n v="1.3973800000000001"/>
    <n v="0"/>
    <n v="0"/>
    <n v="0"/>
    <x v="106"/>
    <n v="0"/>
    <n v="0"/>
    <n v="0"/>
    <n v="0"/>
    <n v="0"/>
    <n v="0"/>
  </r>
  <r>
    <n v="915"/>
    <s v="แขวงทางหลวงศรีสะเกษที่ 1"/>
    <n v="638"/>
    <n v="220"/>
    <n v="102"/>
    <s v="วังหิน - ขุขันธ์"/>
    <n v="21293"/>
    <n v="56294"/>
    <n v="35.000999999999998"/>
    <n v="2"/>
    <s v="L1"/>
    <d v="2015-05-12T00:00:00"/>
    <s v="A.C."/>
    <n v="26.074999999999999"/>
    <n v="6.65"/>
    <n v="1.625"/>
    <n v="0.47499999999999998"/>
    <n v="2.1915100000000001"/>
    <n v="2"/>
    <n v="33.825000000000003"/>
    <n v="0.92500000000000004"/>
    <n v="7.4999999999999997E-2"/>
    <n v="0"/>
    <n v="4.5382400000000001"/>
    <n v="4.5"/>
    <n v="0"/>
    <n v="0"/>
    <n v="34.825000000000003"/>
    <n v="1.3329299999999999"/>
    <n v="0"/>
    <n v="0"/>
    <n v="0"/>
    <x v="106"/>
    <n v="0"/>
    <n v="0"/>
    <n v="15.46"/>
    <n v="1.2619999999999999E-2"/>
    <n v="0"/>
    <n v="0"/>
  </r>
  <r>
    <n v="920"/>
    <s v="แขวงทางหลวงศรีสะเกษที่ 1"/>
    <n v="638"/>
    <n v="2083"/>
    <n v="101"/>
    <s v="ส้มป่อยน้อย - หัวช้าง"/>
    <n v="0"/>
    <n v="9782"/>
    <n v="9.782"/>
    <n v="2"/>
    <s v="L2"/>
    <d v="2015-05-12T00:00:00"/>
    <s v="A.C."/>
    <n v="7.2"/>
    <n v="1.85"/>
    <n v="0.7"/>
    <n v="0.25"/>
    <n v="2.3445499999999999"/>
    <n v="2.5"/>
    <n v="9.4749999999999996"/>
    <n v="0.5"/>
    <n v="0"/>
    <n v="2.5000000000000001E-2"/>
    <n v="5.4150999999999998"/>
    <n v="5.5"/>
    <n v="0"/>
    <n v="0"/>
    <n v="10"/>
    <n v="1.25488"/>
    <n v="0"/>
    <n v="0"/>
    <n v="0"/>
    <x v="106"/>
    <n v="0"/>
    <n v="0"/>
    <n v="28.26"/>
    <n v="8.2540000000000002E-2"/>
    <n v="0"/>
    <n v="0"/>
  </r>
  <r>
    <n v="926"/>
    <s v="แขวงทางหลวงศรีสะเกษที่ 1"/>
    <n v="638"/>
    <n v="2167"/>
    <n v="100"/>
    <s v="ตรางสวาย – ท่าด่าน"/>
    <n v="0"/>
    <n v="37826"/>
    <n v="37.826000000000001"/>
    <n v="2"/>
    <s v="L1"/>
    <d v="2015-05-12T00:00:00"/>
    <s v="A.C."/>
    <n v="21.35"/>
    <n v="11.425000000000001"/>
    <n v="3.7"/>
    <n v="1.175"/>
    <n v="2.6070099999999998"/>
    <n v="2.5"/>
    <n v="36.125"/>
    <n v="1.25"/>
    <n v="0.2"/>
    <n v="7.4999999999999997E-2"/>
    <n v="4.6367900000000004"/>
    <n v="4.5"/>
    <n v="0"/>
    <n v="0"/>
    <n v="37.650000000000006"/>
    <n v="1.3298399999999999"/>
    <n v="0"/>
    <n v="0"/>
    <n v="0"/>
    <x v="106"/>
    <n v="0"/>
    <n v="0"/>
    <n v="182.54"/>
    <n v="0.137879"/>
    <n v="0"/>
    <n v="0"/>
  </r>
  <r>
    <n v="928"/>
    <s v="แขวงทางหลวงศรีสะเกษที่ 1"/>
    <n v="638"/>
    <n v="2201"/>
    <n v="102"/>
    <s v="แยกนาเจริญ - ช่องสะงำ"/>
    <n v="15828"/>
    <n v="53625"/>
    <n v="17.87"/>
    <n v="2"/>
    <s v="L1"/>
    <d v="2015-05-13T00:00:00"/>
    <s v="A.C."/>
    <n v="8.8000000000000007"/>
    <n v="6.15"/>
    <n v="1.75"/>
    <n v="1.075"/>
    <n v="2.7881499999999999"/>
    <n v="3"/>
    <n v="17.7"/>
    <n v="7.4999999999999997E-2"/>
    <n v="0"/>
    <n v="0"/>
    <n v="2.62791"/>
    <n v="2.5"/>
    <n v="0"/>
    <n v="0"/>
    <n v="17.775000000000002"/>
    <n v="1.2704299999999999"/>
    <n v="0"/>
    <n v="0"/>
    <n v="0"/>
    <x v="106"/>
    <n v="0"/>
    <n v="0"/>
    <n v="61"/>
    <n v="4.6109999999999998E-2"/>
    <n v="0"/>
    <n v="0"/>
  </r>
  <r>
    <n v="929"/>
    <s v="แขวงทางหลวงศรีสะเกษที่ 1"/>
    <n v="638"/>
    <n v="2341"/>
    <n v="100"/>
    <s v="ไพรพัฒนา-หนองบัวเรณ"/>
    <n v="0"/>
    <n v="71794"/>
    <n v="71.793999999999997"/>
    <n v="2"/>
    <s v="L1"/>
    <d v="2015-05-13T00:00:00"/>
    <s v="A.C."/>
    <n v="37.1"/>
    <n v="13.574999999999999"/>
    <n v="10.55"/>
    <n v="9.9749999999999996"/>
    <n v="3.1245799999999999"/>
    <n v="3"/>
    <n v="68.95"/>
    <n v="1.85"/>
    <n v="0.3"/>
    <n v="0.1"/>
    <n v="3.5100099999999999"/>
    <n v="3.5"/>
    <n v="0"/>
    <n v="0"/>
    <n v="71.199999999999989"/>
    <n v="1.5507200000000001"/>
    <n v="0"/>
    <n v="0"/>
    <n v="0"/>
    <x v="106"/>
    <n v="64.78"/>
    <n v="2.5780000000000001E-2"/>
    <n v="3002.11"/>
    <n v="1.1947319999999999"/>
    <n v="84.16"/>
    <n v="3.3489999999999999E-2"/>
  </r>
  <r>
    <n v="930"/>
    <s v="แขวงทางหลวงศรีสะเกษที่ 1"/>
    <n v="638"/>
    <n v="2349"/>
    <n v="100"/>
    <s v="หัวช้าง - บึงบูรพ์"/>
    <n v="0"/>
    <n v="12113"/>
    <n v="12.113"/>
    <n v="2"/>
    <s v="L1"/>
    <d v="2015-05-14T00:00:00"/>
    <s v="A.C."/>
    <n v="8.4499999999999993"/>
    <n v="2.3250000000000002"/>
    <n v="1.0249999999999999"/>
    <n v="0.3"/>
    <n v="2.33873"/>
    <n v="2.5"/>
    <n v="11.6"/>
    <n v="0.32500000000000001"/>
    <n v="0.17499999999999999"/>
    <n v="0"/>
    <n v="3.1013999999999999"/>
    <n v="3"/>
    <n v="0"/>
    <n v="0"/>
    <n v="12.1"/>
    <n v="1.28206"/>
    <n v="0"/>
    <n v="0"/>
    <n v="0"/>
    <x v="106"/>
    <n v="0"/>
    <n v="0"/>
    <n v="30.34"/>
    <n v="7.1559999999999999E-2"/>
    <n v="0"/>
    <n v="0"/>
  </r>
  <r>
    <n v="931"/>
    <s v="แขวงทางหลวงศรีสะเกษที่ 1"/>
    <n v="638"/>
    <n v="2351"/>
    <n v="200"/>
    <s v="แข้โพนเมือง - ยางชุมน้อย"/>
    <n v="35200"/>
    <n v="37454"/>
    <n v="2.254"/>
    <n v="2"/>
    <s v="L1"/>
    <d v="2015-05-12T00:00:00"/>
    <s v="A.C."/>
    <n v="1.7749999999999999"/>
    <n v="0.35"/>
    <n v="0.05"/>
    <n v="0.1"/>
    <n v="2.2290100000000002"/>
    <n v="2"/>
    <n v="2.2749999999999999"/>
    <n v="0"/>
    <n v="0"/>
    <n v="0"/>
    <n v="2.6352199999999999"/>
    <n v="2.5"/>
    <n v="0"/>
    <n v="0"/>
    <n v="2.2749999999999999"/>
    <n v="1.2153700000000001"/>
    <n v="0"/>
    <n v="0"/>
    <n v="0"/>
    <x v="106"/>
    <n v="0"/>
    <n v="0"/>
    <n v="0"/>
    <n v="0"/>
    <n v="0"/>
    <n v="0"/>
  </r>
  <r>
    <n v="941"/>
    <s v="แขวงทางหลวงนครราชสีมาที่ 1"/>
    <n v="611"/>
    <n v="206"/>
    <n v="100"/>
    <s v="ตลาดแค - วังหิน"/>
    <n v="14702"/>
    <n v="0"/>
    <n v="14.702"/>
    <n v="4"/>
    <s v="R2"/>
    <d v="2015-04-25T00:00:00"/>
    <s v="A.C."/>
    <n v="8.9250000000000007"/>
    <n v="3.0249999999999999"/>
    <n v="1.9750000000000001"/>
    <n v="0.7"/>
    <n v="2.8091699999999999"/>
    <n v="3"/>
    <n v="9.9"/>
    <n v="2.4750000000000001"/>
    <n v="1.1499999999999999"/>
    <n v="1.1000000000000001"/>
    <n v="7.2329299999999996"/>
    <n v="7"/>
    <n v="0"/>
    <n v="0"/>
    <n v="14.702"/>
    <n v="1.2904899999999999"/>
    <n v="0"/>
    <n v="0"/>
    <n v="0"/>
    <x v="106"/>
    <n v="12.22"/>
    <n v="2.3747983753425191E-2"/>
    <n v="0"/>
    <n v="0"/>
    <n v="0"/>
    <n v="0"/>
  </r>
  <r>
    <n v="943"/>
    <s v="แขวงทางหลวงนครราชสีมาที่ 1"/>
    <n v="611"/>
    <n v="2067"/>
    <n v="101"/>
    <s v="ดอนหวาย - โนนสูง"/>
    <n v="0"/>
    <n v="7120"/>
    <n v="7.12"/>
    <n v="4"/>
    <s v="L1"/>
    <d v="2015-04-24T00:00:00"/>
    <s v="A.C."/>
    <n v="5.5250000000000004"/>
    <n v="1.25"/>
    <n v="0.2"/>
    <n v="0.15"/>
    <n v="2.1267299999999998"/>
    <n v="2"/>
    <n v="5.7750000000000004"/>
    <n v="0.65"/>
    <n v="0.45"/>
    <n v="0.25"/>
    <n v="6.3252899999999999"/>
    <n v="6.5"/>
    <n v="0"/>
    <n v="0"/>
    <n v="7.12"/>
    <n v="1.33846"/>
    <n v="0"/>
    <n v="0"/>
    <n v="0"/>
    <x v="106"/>
    <n v="0"/>
    <n v="0"/>
    <n v="0"/>
    <n v="0"/>
    <n v="0"/>
    <n v="0"/>
  </r>
  <r>
    <n v="944"/>
    <s v="แขวงทางหลวงนครราชสีมาที่ 1"/>
    <n v="611"/>
    <n v="2067"/>
    <n v="101"/>
    <s v="ดอนหวาย - โนนสูง"/>
    <n v="7120"/>
    <n v="0"/>
    <n v="7.12"/>
    <n v="4"/>
    <s v="R1"/>
    <d v="2015-04-24T00:00:00"/>
    <s v="A.C."/>
    <n v="5.6749999999999998"/>
    <n v="0.95"/>
    <n v="0.25"/>
    <n v="0.22500000000000001"/>
    <n v="2.1824699999999999"/>
    <n v="2"/>
    <n v="6.4749999999999996"/>
    <n v="0.45"/>
    <n v="0"/>
    <n v="0.17499999999999999"/>
    <n v="5.6738799999999996"/>
    <n v="5.5"/>
    <n v="0"/>
    <n v="0"/>
    <n v="7.12"/>
    <n v="1.43259"/>
    <n v="0"/>
    <n v="0"/>
    <n v="0"/>
    <x v="106"/>
    <n v="0"/>
    <n v="0"/>
    <n v="0"/>
    <n v="0"/>
    <n v="5"/>
    <n v="2.0064205457463884E-2"/>
  </r>
  <r>
    <n v="945"/>
    <s v="แขวงทางหลวงนครราชสีมาที่ 1"/>
    <n v="611"/>
    <n v="2067"/>
    <n v="102"/>
    <s v="โนนสูง - ขามสะแกแสง"/>
    <n v="12908"/>
    <n v="28542"/>
    <n v="15.634"/>
    <n v="2"/>
    <s v="L1"/>
    <d v="2015-04-24T00:00:00"/>
    <s v="A.C."/>
    <n v="11.975"/>
    <n v="2.75"/>
    <n v="0.72499999999999998"/>
    <n v="0.3"/>
    <n v="2.2170000000000001"/>
    <n v="2"/>
    <n v="15.4"/>
    <n v="0.27500000000000002"/>
    <n v="7.4999999999999997E-2"/>
    <n v="0"/>
    <n v="4.6114899999999999"/>
    <n v="4.5"/>
    <n v="0"/>
    <n v="0"/>
    <n v="15.634"/>
    <n v="1.9890000000000001"/>
    <n v="0"/>
    <n v="0"/>
    <n v="0"/>
    <x v="106"/>
    <n v="0"/>
    <n v="0"/>
    <n v="0"/>
    <n v="0"/>
    <n v="0"/>
    <n v="0"/>
  </r>
  <r>
    <n v="946"/>
    <s v="แขวงทางหลวงนครราชสีมาที่ 1"/>
    <n v="611"/>
    <n v="2073"/>
    <n v="200"/>
    <s v="หนองโดนน้อย - ชุมพวง"/>
    <n v="60189"/>
    <n v="85504"/>
    <n v="25.315000000000001"/>
    <n v="2"/>
    <s v="L1"/>
    <d v="2015-04-25T00:00:00"/>
    <s v="A.C."/>
    <n v="16"/>
    <n v="5.9749999999999996"/>
    <n v="2.15"/>
    <n v="1.0249999999999999"/>
    <n v="2.63795"/>
    <n v="2.5"/>
    <n v="24.225000000000001"/>
    <n v="0.92500000000000004"/>
    <n v="0"/>
    <n v="0"/>
    <n v="4.4086499999999997"/>
    <n v="4.5"/>
    <n v="0"/>
    <n v="0"/>
    <n v="25.315000000000001"/>
    <n v="1.2910200000000001"/>
    <n v="0"/>
    <n v="0"/>
    <n v="0"/>
    <x v="106"/>
    <n v="0"/>
    <n v="0"/>
    <n v="0"/>
    <n v="0"/>
    <n v="0"/>
    <n v="0"/>
  </r>
  <r>
    <n v="950"/>
    <s v="แขวงทางหลวงนครราชสีมาที่ 1"/>
    <n v="611"/>
    <n v="2198"/>
    <n v="200"/>
    <s v="พวงพะยอม - โคกสูง"/>
    <n v="400"/>
    <n v="23427"/>
    <n v="23.027000000000001"/>
    <n v="2"/>
    <s v="L1"/>
    <d v="2015-04-23T00:00:00"/>
    <s v="A.C."/>
    <n v="19.574999999999999"/>
    <n v="2.4750000000000001"/>
    <n v="0.6"/>
    <n v="0.27500000000000002"/>
    <n v="1.96086"/>
    <n v="2"/>
    <n v="22.475000000000001"/>
    <n v="0.4"/>
    <n v="0.05"/>
    <n v="0"/>
    <n v="4.1578200000000001"/>
    <n v="4"/>
    <n v="0"/>
    <n v="0"/>
    <n v="23.027000000000001"/>
    <n v="1.3618399999999999"/>
    <n v="0"/>
    <n v="0"/>
    <n v="0"/>
    <x v="106"/>
    <n v="153.33000000000001"/>
    <n v="0.19024871424228701"/>
    <n v="0"/>
    <n v="0"/>
    <n v="0"/>
    <n v="0"/>
  </r>
  <r>
    <n v="952"/>
    <s v="แขวงทางหลวงนครราชสีมาที่ 1"/>
    <n v="611"/>
    <n v="2246"/>
    <n v="201"/>
    <s v="โคกสำราญ - โคกสี"/>
    <n v="27175"/>
    <n v="39877"/>
    <n v="12.702"/>
    <n v="2"/>
    <s v="L1"/>
    <d v="2015-04-24T00:00:00"/>
    <s v="A.C."/>
    <n v="9.5749999999999993"/>
    <n v="2.25"/>
    <n v="0.52500000000000002"/>
    <n v="0.27500000000000002"/>
    <n v="2.1892999999999998"/>
    <n v="2"/>
    <n v="12.1"/>
    <n v="0.4"/>
    <n v="7.4999999999999997E-2"/>
    <n v="0.05"/>
    <n v="4.5539699999999996"/>
    <n v="4.5"/>
    <n v="0"/>
    <n v="0"/>
    <n v="12.702"/>
    <n v="1.33992"/>
    <n v="0"/>
    <n v="0"/>
    <n v="0"/>
    <x v="106"/>
    <n v="5.7"/>
    <n v="1.2821377960726094E-2"/>
    <n v="0"/>
    <n v="0"/>
    <n v="0"/>
    <n v="0"/>
  </r>
  <r>
    <n v="958"/>
    <s v="แขวงทางหลวงนครราชสีมาที่ 1"/>
    <n v="611"/>
    <n v="2438"/>
    <n v="100"/>
    <s v="สี่แยกตลาดเมืองใหม่ - เทศบาลตำบลพิมาย"/>
    <n v="620"/>
    <n v="0"/>
    <n v="0.62"/>
    <n v="4"/>
    <s v="R2"/>
    <d v="2015-04-25T00:00:00"/>
    <s v="A.C."/>
    <n v="0.25"/>
    <n v="7.4999999999999997E-2"/>
    <n v="0.1"/>
    <n v="0.2"/>
    <n v="4.056"/>
    <n v="4"/>
    <n v="0.57499999999999996"/>
    <n v="0.05"/>
    <n v="0"/>
    <n v="0"/>
    <n v="5.0445599999999997"/>
    <n v="5"/>
    <n v="0"/>
    <n v="0"/>
    <n v="0.62"/>
    <n v="1.2450000000000001"/>
    <n v="0"/>
    <n v="0"/>
    <n v="0"/>
    <x v="106"/>
    <n v="17.59"/>
    <n v="0.81059907834101375"/>
    <n v="0"/>
    <n v="0"/>
    <n v="0"/>
    <n v="0"/>
  </r>
  <r>
    <n v="961"/>
    <s v="แขวงทางหลวงนครราชสีมาที่ 2"/>
    <n v="612"/>
    <n v="201"/>
    <n v="101"/>
    <s v="ทางต่างระดับสีคิ้ว - หินหล่อง"/>
    <n v="0"/>
    <n v="31910"/>
    <n v="31.91"/>
    <n v="2"/>
    <s v="L1"/>
    <d v="2015-04-22T00:00:00"/>
    <s v="A.C."/>
    <n v="21.975000000000001"/>
    <n v="5.8"/>
    <n v="2.6"/>
    <n v="1.375"/>
    <n v="2.81433"/>
    <n v="3"/>
    <n v="28.574999999999999"/>
    <n v="2.35"/>
    <n v="0.55000000000000004"/>
    <n v="0.27500000000000002"/>
    <n v="5.1818299999999997"/>
    <n v="5"/>
    <n v="0"/>
    <n v="0"/>
    <n v="31.75"/>
    <n v="1.33229"/>
    <n v="0"/>
    <n v="0"/>
    <n v="0"/>
    <x v="106"/>
    <n v="0"/>
    <n v="0"/>
    <n v="0"/>
    <n v="0"/>
    <n v="0"/>
    <n v="0"/>
  </r>
  <r>
    <n v="967"/>
    <s v="แขวงทางหลวงนครราชสีมาที่ 2"/>
    <n v="612"/>
    <n v="2148"/>
    <n v="102"/>
    <s v="โคกสะอาด - หนองสรวง"/>
    <n v="19300"/>
    <n v="21166"/>
    <n v="1.8660000000000001"/>
    <n v="4"/>
    <s v="L2"/>
    <d v="2015-04-21T00:00:00"/>
    <s v="A.C."/>
    <n v="0.57499999999999996"/>
    <n v="0.65"/>
    <n v="0.42499999999999999"/>
    <n v="0.2"/>
    <n v="3.3990499999999999"/>
    <n v="3.5"/>
    <n v="0.2"/>
    <n v="0.82499999999999996"/>
    <n v="0.5"/>
    <n v="0.32500000000000001"/>
    <n v="15.4803"/>
    <n v="15.5"/>
    <n v="0"/>
    <n v="0"/>
    <n v="1.85"/>
    <n v="1.0382"/>
    <n v="0"/>
    <n v="0"/>
    <n v="0"/>
    <x v="106"/>
    <n v="79"/>
    <n v="1.2096199999999999"/>
    <n v="0"/>
    <n v="0"/>
    <n v="0"/>
    <n v="0"/>
  </r>
  <r>
    <n v="968"/>
    <s v="แขวงทางหลวงนครราชสีมาที่ 2"/>
    <n v="612"/>
    <n v="2148"/>
    <n v="102"/>
    <s v="โคกสะอาด - หนองสรวง"/>
    <n v="21166"/>
    <n v="19300"/>
    <n v="1.8660000000000001"/>
    <n v="4"/>
    <s v="R2"/>
    <d v="2015-04-21T00:00:00"/>
    <s v="A.C."/>
    <n v="1.075"/>
    <n v="0.7"/>
    <n v="7.4999999999999997E-2"/>
    <n v="0.05"/>
    <n v="2.6234199999999999"/>
    <n v="2.5"/>
    <n v="0.42499999999999999"/>
    <n v="0.55000000000000004"/>
    <n v="0.75"/>
    <n v="0.17499999999999999"/>
    <n v="13.9063"/>
    <n v="14"/>
    <n v="0"/>
    <n v="0"/>
    <n v="1.9"/>
    <n v="1.06236"/>
    <n v="0"/>
    <n v="0"/>
    <n v="0"/>
    <x v="106"/>
    <n v="22"/>
    <n v="0.33684999999999998"/>
    <n v="0"/>
    <n v="0"/>
    <n v="0"/>
    <n v="0"/>
  </r>
  <r>
    <n v="971"/>
    <s v="แขวงทางหลวงนครราชสีมาที่ 2"/>
    <n v="612"/>
    <n v="2198"/>
    <n v="100"/>
    <s v="ขามทะเลสอ - พวงพะยอม"/>
    <n v="0"/>
    <n v="400"/>
    <n v="0.4"/>
    <n v="2"/>
    <s v="L1"/>
    <d v="2015-04-21T00:00:00"/>
    <s v="A.C."/>
    <n v="0.77500000000000002"/>
    <n v="0.05"/>
    <n v="0.05"/>
    <n v="2.5000000000000001E-2"/>
    <n v="2.0958299999999999"/>
    <n v="2"/>
    <n v="0.9"/>
    <n v="0"/>
    <n v="0"/>
    <n v="0"/>
    <n v="3.12975"/>
    <n v="3"/>
    <n v="0"/>
    <n v="0"/>
    <n v="0.90000000000000013"/>
    <n v="1.0750599999999999"/>
    <n v="0"/>
    <n v="0"/>
    <n v="0"/>
    <x v="106"/>
    <n v="0"/>
    <n v="0"/>
    <n v="0"/>
    <n v="0"/>
    <n v="0"/>
    <n v="0"/>
  </r>
  <r>
    <n v="972"/>
    <s v="แขวงทางหลวงนครราชสีมาที่ 2"/>
    <n v="612"/>
    <n v="2217"/>
    <n v="100"/>
    <s v="ด่านขุนทด - หนองกราด"/>
    <n v="0"/>
    <n v="23446"/>
    <n v="23.446000000000002"/>
    <n v="2"/>
    <s v="L1"/>
    <d v="2015-04-22T00:00:00"/>
    <s v="A.C."/>
    <n v="19.079999999999998"/>
    <n v="3.25"/>
    <n v="0.65"/>
    <n v="0.375"/>
    <n v="2.1086"/>
    <n v="2"/>
    <n v="23"/>
    <n v="0.3"/>
    <n v="0.05"/>
    <n v="0"/>
    <n v="3.9210099999999999"/>
    <n v="4"/>
    <n v="0"/>
    <n v="0"/>
    <n v="23.354999999999997"/>
    <n v="1.2365699999999999"/>
    <n v="0"/>
    <n v="0"/>
    <n v="0"/>
    <x v="106"/>
    <n v="350"/>
    <n v="0.42651"/>
    <n v="0"/>
    <n v="0"/>
    <n v="4"/>
    <n v="4.8700000000000002E-3"/>
  </r>
  <r>
    <n v="978"/>
    <s v="แขวงทางหลวงนครราชสีมาที่ 2"/>
    <n v="612"/>
    <n v="2274"/>
    <n v="100"/>
    <s v="อีเหลอ - ปางหัวช้าง"/>
    <n v="0"/>
    <n v="10521"/>
    <n v="10.521000000000001"/>
    <n v="2"/>
    <s v="L1"/>
    <d v="2015-04-23T00:00:00"/>
    <s v="A.C."/>
    <n v="5.125"/>
    <n v="2.5750000000000002"/>
    <n v="1.1499999999999999"/>
    <n v="0.47499999999999998"/>
    <n v="0.93700000000000006"/>
    <n v="1"/>
    <n v="8.875"/>
    <n v="0.35"/>
    <n v="0.05"/>
    <n v="5.7079999999999999E-2"/>
    <n v="4.3825700000000003"/>
    <n v="4.5"/>
    <n v="0"/>
    <n v="0"/>
    <n v="9.3249999999999993"/>
    <n v="1.48865"/>
    <n v="0"/>
    <n v="0"/>
    <n v="0"/>
    <x v="106"/>
    <n v="197"/>
    <n v="0.93700000000000006"/>
    <n v="0"/>
    <n v="0"/>
    <n v="12"/>
    <n v="5.7079999999999999E-2"/>
  </r>
  <r>
    <n v="980"/>
    <s v="แขวงทางหลวงนครราชสีมาที่ 2"/>
    <n v="612"/>
    <n v="2434"/>
    <n v="100"/>
    <s v="สีคิ้ว - หนองรี"/>
    <n v="0"/>
    <n v="6007"/>
    <n v="6.0069999999999997"/>
    <n v="4"/>
    <s v="L2"/>
    <d v="2015-04-22T00:00:00"/>
    <s v="A.C."/>
    <n v="5.1749999999999998"/>
    <n v="0.27500000000000002"/>
    <n v="0.25"/>
    <n v="0.27500000000000002"/>
    <n v="2.3087399999999998"/>
    <n v="2.5"/>
    <n v="5.7249999999999996"/>
    <n v="0.22500000000000001"/>
    <n v="2.5000000000000001E-2"/>
    <n v="0"/>
    <n v="3.8826800000000001"/>
    <n v="4"/>
    <n v="0"/>
    <n v="0"/>
    <n v="5.9750000000000005"/>
    <n v="1.1619699999999999"/>
    <n v="0"/>
    <n v="0"/>
    <n v="0"/>
    <x v="106"/>
    <n v="197"/>
    <n v="0.93700000000000006"/>
    <n v="0"/>
    <n v="0"/>
    <n v="12"/>
    <n v="5.7079999999999999E-2"/>
  </r>
  <r>
    <n v="983"/>
    <s v="แขวงทางหลวงนครราชสีมาที่ 3"/>
    <n v="614"/>
    <n v="224"/>
    <n v="202"/>
    <s v="โชคชัย - พะโค"/>
    <n v="33259"/>
    <n v="35759"/>
    <n v="2.5"/>
    <n v="4"/>
    <s v="L1"/>
    <d v="2015-05-01T00:00:00"/>
    <s v="A.C."/>
    <n v="2.0750000000000002"/>
    <n v="0.25"/>
    <n v="0.2"/>
    <n v="2.5000000000000001E-2"/>
    <n v="1.8643099999999999"/>
    <n v="2"/>
    <n v="2.5499999999999998"/>
    <n v="0"/>
    <n v="0"/>
    <n v="0"/>
    <n v="2.9239099999999998"/>
    <n v="3"/>
    <n v="0"/>
    <n v="0"/>
    <n v="2.5500000000000003"/>
    <n v="1.3077799999999999"/>
    <n v="0"/>
    <n v="0"/>
    <n v="0"/>
    <x v="106"/>
    <n v="0"/>
    <n v="0"/>
    <n v="0"/>
    <n v="0"/>
    <n v="0"/>
    <n v="0"/>
  </r>
  <r>
    <n v="984"/>
    <s v="แขวงทางหลวงนครราชสีมาที่ 3"/>
    <n v="614"/>
    <n v="224"/>
    <n v="202"/>
    <s v="โชคชัย - พะโค"/>
    <n v="35759"/>
    <n v="33259"/>
    <n v="2.5"/>
    <n v="4"/>
    <s v="R1"/>
    <d v="2015-05-01T00:00:00"/>
    <s v="A.C."/>
    <n v="1.9259999999999999"/>
    <n v="0.32500000000000001"/>
    <n v="0.14099999999999999"/>
    <n v="0.108"/>
    <n v="2.0443500000000001"/>
    <n v="2"/>
    <n v="1.7390000000000001"/>
    <n v="0.59799999999999998"/>
    <n v="0.16300000000000001"/>
    <n v="0"/>
    <n v="8.2324800000000007"/>
    <n v="8"/>
    <n v="0"/>
    <n v="0"/>
    <n v="2.5"/>
    <n v="1.15388"/>
    <n v="0"/>
    <n v="0"/>
    <n v="0"/>
    <x v="106"/>
    <n v="16.73"/>
    <n v="0.19120000000000001"/>
    <n v="0"/>
    <n v="0"/>
    <n v="0"/>
    <n v="0"/>
  </r>
  <r>
    <n v="986"/>
    <s v="แขวงทางหลวงนครราชสีมาที่ 3"/>
    <n v="614"/>
    <n v="224"/>
    <n v="203"/>
    <s v="พะโค - หนองสนวน"/>
    <n v="104799"/>
    <n v="35759"/>
    <n v="69.040000000000006"/>
    <n v="4"/>
    <s v="R1"/>
    <d v="2015-05-01T00:00:00"/>
    <s v="A.C."/>
    <n v="54.491999999999997"/>
    <n v="9.2739999999999991"/>
    <n v="3.69"/>
    <n v="1.5840000000000001"/>
    <n v="2.0554999999999999"/>
    <n v="2"/>
    <n v="64.668999999999997"/>
    <n v="3.86"/>
    <n v="0.48099999999999998"/>
    <n v="0.03"/>
    <n v="4.96089"/>
    <n v="5"/>
    <n v="0"/>
    <n v="0"/>
    <n v="69.040000000000006"/>
    <n v="1.5159400000000001"/>
    <n v="0"/>
    <n v="0"/>
    <n v="0"/>
    <x v="106"/>
    <n v="127.91"/>
    <n v="5.2934116868068197E-2"/>
    <n v="0"/>
    <n v="0"/>
    <n v="0"/>
    <n v="0"/>
  </r>
  <r>
    <n v="987"/>
    <s v="แขวงทางหลวงนครราชสีมาที่ 3"/>
    <n v="614"/>
    <n v="2072"/>
    <n v="100"/>
    <s v="หนองปล้อง - พระบึง"/>
    <n v="0"/>
    <n v="16600"/>
    <n v="16.600000000000001"/>
    <n v="2"/>
    <s v="L1"/>
    <d v="2015-05-01T00:00:00"/>
    <s v="A.C."/>
    <n v="12.375"/>
    <n v="2.7250000000000001"/>
    <n v="1.1499999999999999"/>
    <n v="0.27500000000000002"/>
    <n v="2.1673499999999999"/>
    <n v="2"/>
    <n v="15.7"/>
    <n v="0.7"/>
    <n v="0.125"/>
    <n v="0"/>
    <n v="4.2302299999999997"/>
    <n v="4"/>
    <n v="0"/>
    <n v="0"/>
    <n v="16.524999999999999"/>
    <n v="1.40259"/>
    <n v="0"/>
    <n v="0"/>
    <n v="0"/>
    <x v="106"/>
    <n v="270.62"/>
    <n v="0.46578313253012049"/>
    <n v="0"/>
    <n v="0"/>
    <n v="0"/>
    <n v="0"/>
  </r>
  <r>
    <n v="992"/>
    <s v="แขวงทางหลวงนครราชสีมาที่ 3"/>
    <n v="614"/>
    <n v="2356"/>
    <n v="100"/>
    <s v="เสิงสาง -ทางเข้าสระตะเคียน"/>
    <n v="0"/>
    <n v="250"/>
    <n v="0.25"/>
    <n v="2"/>
    <s v="L1"/>
    <d v="2015-05-01T00:00:00"/>
    <s v="A.C."/>
    <n v="0.121"/>
    <n v="0.04"/>
    <n v="2.4E-2"/>
    <n v="6.5000000000000002E-2"/>
    <n v="3.7741699999999998"/>
    <n v="4"/>
    <n v="0.27500000000000002"/>
    <n v="2.5000000000000001E-2"/>
    <n v="0"/>
    <n v="0"/>
    <n v="4.5970800000000001"/>
    <n v="4.5"/>
    <n v="0"/>
    <n v="0"/>
    <n v="0.25"/>
    <n v="0.99675000000000002"/>
    <n v="0"/>
    <n v="0"/>
    <n v="0"/>
    <x v="106"/>
    <n v="31.17"/>
    <n v="3.5622857142857143"/>
    <n v="0"/>
    <n v="0"/>
    <n v="4"/>
    <n v="0.45714285714285718"/>
  </r>
  <r>
    <n v="1003"/>
    <s v="แขวงทางหลวงบุรีรัมย์"/>
    <n v="617"/>
    <n v="224"/>
    <n v="301"/>
    <s v="หนองสนวน - หนองต้อ"/>
    <n v="104799"/>
    <n v="127124"/>
    <n v="22.324999999999999"/>
    <n v="2"/>
    <s v="L1"/>
    <d v="2015-05-06T00:00:00"/>
    <s v="A.C."/>
    <n v="15.78"/>
    <n v="4.7249999999999996"/>
    <n v="1.2"/>
    <n v="0.52500000000000002"/>
    <n v="2.35799"/>
    <n v="2.5"/>
    <n v="21.6"/>
    <n v="0.5"/>
    <n v="7.4999999999999997E-2"/>
    <n v="0.05"/>
    <n v="4.2943199999999999"/>
    <n v="4.5"/>
    <n v="0"/>
    <n v="0"/>
    <n v="22.229999999999997"/>
    <n v="1.38079"/>
    <n v="0"/>
    <n v="0"/>
    <n v="0"/>
    <x v="106"/>
    <n v="50.86"/>
    <n v="6.5090385538313866E-2"/>
    <n v="12.58"/>
    <n v="1.6099824028155494E-2"/>
    <n v="0"/>
    <n v="0"/>
  </r>
  <r>
    <n v="1012"/>
    <s v="แขวงทางหลวงบุรีรัมย์"/>
    <n v="617"/>
    <n v="226"/>
    <n v="205"/>
    <s v="ระกา - ลำน้ำชี"/>
    <n v="147079"/>
    <n v="155863"/>
    <n v="8.7840000000000007"/>
    <n v="4"/>
    <s v="L2"/>
    <d v="2015-05-07T00:00:00"/>
    <s v="A.C."/>
    <n v="5"/>
    <n v="2.0249999999999999"/>
    <n v="1.1499999999999999"/>
    <n v="0.57499999999999996"/>
    <n v="3.1693600000000002"/>
    <n v="3"/>
    <n v="6.75"/>
    <n v="1.325"/>
    <n v="0.47499999999999998"/>
    <n v="0.2"/>
    <n v="8.0470900000000007"/>
    <n v="8"/>
    <n v="0"/>
    <n v="0"/>
    <n v="8.75"/>
    <n v="1.2532000000000001"/>
    <n v="0"/>
    <n v="0"/>
    <n v="0"/>
    <x v="106"/>
    <n v="16.43"/>
    <n v="5.3441321883944827E-2"/>
    <n v="384.61"/>
    <n v="1.2510083268279988"/>
    <n v="0"/>
    <n v="0"/>
  </r>
  <r>
    <n v="1022"/>
    <s v="แขวงทางหลวงบุรีรัมย์"/>
    <n v="617"/>
    <n v="2074"/>
    <n v="101"/>
    <s v="บุรีรัมย์ - คูเมือง"/>
    <s v="0+282"/>
    <s v="52+000"/>
    <n v="51.718000000000004"/>
    <n v="4"/>
    <s v="L1"/>
    <d v="2015-05-04T00:00:00"/>
    <s v="A.C."/>
    <n v="30.35"/>
    <n v="14.074999999999999"/>
    <n v="5.2750000000000004"/>
    <n v="1.925"/>
    <n v="2.9232"/>
    <n v="3"/>
    <n v="35.625"/>
    <n v="10.66"/>
    <n v="5.3639999999999999"/>
    <n v="6.9000000000000006E-2"/>
    <n v="6.3816499999999996"/>
    <n v="6.5"/>
    <n v="0"/>
    <n v="0"/>
    <n v="51.624999999999993"/>
    <n v="1.20299"/>
    <n v="0"/>
    <n v="0"/>
    <n v="0"/>
    <x v="106"/>
    <n v="96.44"/>
    <n v="5.3277941363327488E-2"/>
    <n v="0"/>
    <n v="0"/>
    <n v="0"/>
    <n v="0"/>
  </r>
  <r>
    <n v="1026"/>
    <s v="แขวงทางหลวงบุรีรัมย์"/>
    <n v="617"/>
    <n v="2074"/>
    <n v="103"/>
    <s v="ลำน้ำมูล - พุทไธสง"/>
    <n v="52000"/>
    <n v="63695"/>
    <n v="11.695"/>
    <n v="4"/>
    <s v="R1"/>
    <d v="2015-05-04T00:00:00"/>
    <s v="A.C."/>
    <n v="7.7"/>
    <n v="2.7749999999999999"/>
    <n v="0.97499999999999998"/>
    <n v="0.15"/>
    <n v="2.38836"/>
    <n v="2.5"/>
    <n v="10.35"/>
    <n v="1.075"/>
    <n v="0.1"/>
    <n v="7.4999999999999997E-2"/>
    <n v="6.04582"/>
    <n v="6"/>
    <n v="0"/>
    <n v="0"/>
    <n v="11.6"/>
    <n v="1.3883099999999999"/>
    <n v="0"/>
    <n v="0"/>
    <n v="0"/>
    <x v="106"/>
    <n v="8.83"/>
    <n v="2.1572100409210281E-2"/>
    <n v="0"/>
    <n v="0"/>
    <n v="0"/>
    <n v="0"/>
  </r>
  <r>
    <n v="1030"/>
    <s v="แขวงทางหลวงบุรีรัมย์"/>
    <n v="617"/>
    <n v="2120"/>
    <n v="100"/>
    <s v="ส้มป่อย - ละหานทราย"/>
    <n v="0"/>
    <n v="14699"/>
    <n v="14.699"/>
    <n v="2"/>
    <s v="R1"/>
    <d v="2015-05-06T00:00:00"/>
    <s v="A.C."/>
    <n v="9.3249999999999993"/>
    <n v="3.8"/>
    <n v="1.075"/>
    <n v="0.42499999999999999"/>
    <n v="2.4162400000000002"/>
    <n v="2.5"/>
    <n v="14.074999999999999"/>
    <n v="0.4"/>
    <n v="0.1"/>
    <n v="0.05"/>
    <n v="4.7725"/>
    <n v="5"/>
    <n v="0"/>
    <n v="0"/>
    <n v="14.625"/>
    <n v="1.2579400000000001"/>
    <n v="0"/>
    <n v="0"/>
    <n v="0"/>
    <x v="106"/>
    <n v="645.89"/>
    <n v="1.2554595550717735"/>
    <n v="568.55999999999995"/>
    <n v="1.10514806643795"/>
    <n v="0"/>
    <n v="0"/>
  </r>
  <r>
    <n v="1045"/>
    <s v="แขวงทางหลวงบุรีรัมย์"/>
    <n v="617"/>
    <n v="2445"/>
    <n v="103"/>
    <s v="ห้วยเสว - นิคมบ้านกรวด"/>
    <n v="59401"/>
    <n v="69732"/>
    <n v="10.331"/>
    <n v="4"/>
    <s v="L2"/>
    <d v="2015-05-07T00:00:00"/>
    <s v="A.C."/>
    <n v="7.5250000000000004"/>
    <n v="2.1"/>
    <n v="0.45"/>
    <n v="0.25"/>
    <n v="2.5581900000000002"/>
    <n v="2.5"/>
    <n v="9.7750000000000004"/>
    <n v="0.47499999999999998"/>
    <n v="7.4999999999999997E-2"/>
    <n v="0"/>
    <n v="4.2866400000000002"/>
    <n v="4.5"/>
    <n v="0"/>
    <n v="0"/>
    <n v="10.324999999999999"/>
    <n v="1.4189099999999999"/>
    <n v="0"/>
    <n v="0"/>
    <n v="0"/>
    <x v="106"/>
    <n v="0"/>
    <n v="0"/>
    <n v="21.06"/>
    <n v="5.824356651962885E-2"/>
    <n v="0"/>
    <n v="0"/>
  </r>
  <r>
    <n v="1047"/>
    <s v="แขวงทางหลวงบุรีรัมย์"/>
    <n v="617"/>
    <n v="2446"/>
    <n v="100"/>
    <s v="หนองน้ำขุ่น - ปะคำ"/>
    <n v="0"/>
    <n v="5207"/>
    <n v="5.2069999999999999"/>
    <n v="2"/>
    <s v="L1"/>
    <d v="2015-05-06T00:00:00"/>
    <s v="A.C."/>
    <n v="3.5"/>
    <n v="1.2749999999999999"/>
    <n v="0.35"/>
    <n v="7.4999999999999997E-2"/>
    <n v="2.3900999999999999"/>
    <n v="2.5"/>
    <n v="5.1749999999999998"/>
    <n v="2.5000000000000001E-2"/>
    <n v="0"/>
    <n v="0"/>
    <n v="3.2136"/>
    <n v="3"/>
    <n v="0"/>
    <n v="0"/>
    <n v="5.2"/>
    <n v="1.21163"/>
    <n v="0"/>
    <n v="0"/>
    <n v="0"/>
    <x v="106"/>
    <n v="0"/>
    <n v="0"/>
    <n v="0"/>
    <n v="0"/>
    <n v="0"/>
    <n v="0"/>
  </r>
  <r>
    <n v="1070"/>
    <s v="แขวงทางหลวงสระแก้ว (วัฒนานคร)"/>
    <n v="619"/>
    <n v="372"/>
    <n v="100"/>
    <s v="ทางเลี่ยงเมืองอรัญประเทศ"/>
    <n v="0"/>
    <n v="5371"/>
    <n v="5.3710000000000004"/>
    <n v="2"/>
    <s v="R1"/>
    <d v="2015-03-31T00:00:00"/>
    <s v="A.C."/>
    <n v="3.98"/>
    <n v="1.04"/>
    <n v="0.23"/>
    <n v="0.13"/>
    <n v="3.0320499999999999"/>
    <n v="3"/>
    <n v="3.43"/>
    <n v="1.24"/>
    <n v="0.43"/>
    <n v="0.28000000000000003"/>
    <n v="7.6205400000000001"/>
    <n v="7.5"/>
    <n v="0"/>
    <n v="0"/>
    <n v="5.37"/>
    <n v="1.1727700000000001"/>
    <n v="0"/>
    <n v="0"/>
    <n v="0"/>
    <x v="106"/>
    <n v="0"/>
    <n v="0"/>
    <n v="34.79"/>
    <n v="0.18506795754980451"/>
    <n v="0"/>
    <n v="0"/>
  </r>
  <r>
    <n v="1080"/>
    <s v="แขวงทางหลวงสระแก้ว (วัฒนานคร)"/>
    <n v="619"/>
    <n v="3395"/>
    <n v="203"/>
    <s v="โคคลาน - แก้วเพชรพลอย"/>
    <s v="115+139"/>
    <s v="115+639"/>
    <n v="0.5"/>
    <n v="2"/>
    <s v="L2"/>
    <d v="2015-03-31T00:00:00"/>
    <s v="A.C."/>
    <n v="0.38"/>
    <n v="0.1"/>
    <n v="0.03"/>
    <n v="0"/>
    <n v="2.1669999999999998"/>
    <n v="2"/>
    <n v="0.5"/>
    <n v="0"/>
    <n v="0"/>
    <n v="0"/>
    <n v="2.73"/>
    <n v="2.5"/>
    <n v="0"/>
    <n v="0"/>
    <n v="0.5"/>
    <n v="1.3480000000000001"/>
    <n v="0"/>
    <n v="0"/>
    <n v="0"/>
    <x v="106"/>
    <n v="0"/>
    <n v="0"/>
    <n v="0"/>
    <n v="0"/>
    <n v="0"/>
    <n v="0"/>
  </r>
  <r>
    <n v="1081"/>
    <s v="แขวงทางหลวงสระแก้ว (วัฒนานคร)"/>
    <n v="619"/>
    <n v="3395"/>
    <n v="203"/>
    <s v="โคคลาน - แก้วเพชรพลอย"/>
    <s v="115+639"/>
    <s v="125+980"/>
    <n v="10.340999999999999"/>
    <n v="2"/>
    <s v="L1"/>
    <d v="2015-03-31T00:00:00"/>
    <s v="A.C."/>
    <n v="7.37"/>
    <n v="2.2200000000000002"/>
    <n v="0.57999999999999996"/>
    <n v="0.2"/>
    <n v="2.2530000000000001"/>
    <n v="2.5"/>
    <n v="10.35"/>
    <n v="0"/>
    <n v="0"/>
    <n v="0"/>
    <n v="2.919"/>
    <n v="3"/>
    <n v="0"/>
    <n v="0"/>
    <n v="10.35"/>
    <n v="1.4159999999999999"/>
    <n v="0"/>
    <n v="0"/>
    <n v="0"/>
    <x v="106"/>
    <n v="0"/>
    <n v="0"/>
    <n v="0"/>
    <n v="0"/>
    <n v="0"/>
    <n v="0"/>
  </r>
  <r>
    <n v="1126"/>
    <s v="แขวงทางหลวงลพบุรีที่ 1"/>
    <n v="431"/>
    <n v="3354"/>
    <n v="101"/>
    <s v="หนองกระเบียน  -  สระใหญ่"/>
    <n v="0"/>
    <n v="500"/>
    <n v="0.5"/>
    <n v="2"/>
    <s v="L1"/>
    <d v="2015-10-05T00:00:00"/>
    <s v="A.C."/>
    <n v="0.47499999999999998"/>
    <n v="2.5000000000000001E-2"/>
    <n v="0"/>
    <n v="0"/>
    <n v="2.621"/>
    <n v="2.5"/>
    <n v="0.5"/>
    <n v="0"/>
    <n v="0"/>
    <n v="0"/>
    <n v="2.698"/>
    <n v="2.5"/>
    <n v="0"/>
    <n v="0"/>
    <n v="0.5"/>
    <n v="1.2809999999999999"/>
    <n v="0"/>
    <n v="0"/>
    <n v="0"/>
    <x v="106"/>
    <n v="26.6"/>
    <n v="1.52"/>
    <n v="0"/>
    <n v="0"/>
    <n v="0"/>
    <n v="0"/>
  </r>
  <r>
    <n v="1282"/>
    <s v="แขวงทางหลวงสุพรรณบุรีที่ 1"/>
    <n v="441"/>
    <n v="3216"/>
    <n v="100"/>
    <s v="แหลมข่อย - บึงฉวากด้านทิศเหนือ"/>
    <s v="0+000"/>
    <s v="4+781"/>
    <n v="4.7809999999999997"/>
    <n v="2"/>
    <s v="L1"/>
    <d v="2015-06-30T00:00:00"/>
    <s v="A.C."/>
    <n v="3.05"/>
    <n v="0.57499999999999996"/>
    <n v="0.45"/>
    <n v="0.32500000000000001"/>
    <n v="2.5908000000000002"/>
    <n v="2.5"/>
    <n v="4.4000000000000004"/>
    <n v="0"/>
    <n v="0"/>
    <n v="0"/>
    <n v="2.6320000000000001"/>
    <n v="2.5"/>
    <n v="0"/>
    <n v="0"/>
    <n v="4.4000000000000004"/>
    <n v="1.21759"/>
    <n v="0"/>
    <n v="0"/>
    <n v="0"/>
    <x v="106"/>
    <n v="0"/>
    <n v="0"/>
    <n v="0"/>
    <n v="0"/>
    <n v="0"/>
    <n v="0"/>
  </r>
  <r>
    <n v="1287"/>
    <s v="แขวงทางหลวงสุพรรณบุรีที่ 1"/>
    <n v="441"/>
    <n v="3350"/>
    <n v="100"/>
    <s v="ท่าช้าง - สระบัวก่ำ"/>
    <s v="0+000"/>
    <s v="31+119"/>
    <n v="31.119"/>
    <n v="2"/>
    <s v="L1"/>
    <d v="2015-06-30T00:00:00"/>
    <s v="A.C."/>
    <n v="20.774999999999999"/>
    <n v="6.05"/>
    <n v="2.95"/>
    <n v="1.425"/>
    <n v="2.4601600000000001"/>
    <n v="2.5"/>
    <n v="29.824999999999999"/>
    <n v="1.375"/>
    <n v="0"/>
    <n v="0"/>
    <n v="2.6930000000000001"/>
    <n v="2.5"/>
    <n v="0"/>
    <n v="0"/>
    <n v="31.2"/>
    <n v="1.09449"/>
    <n v="0"/>
    <n v="0"/>
    <n v="0"/>
    <x v="106"/>
    <n v="0"/>
    <n v="0.45673469387755106"/>
    <n v="0"/>
    <n v="0"/>
    <n v="0"/>
    <n v="0"/>
  </r>
  <r>
    <n v="1321"/>
    <s v="แขวงทางหลวงกาญจนบุรี"/>
    <n v="444"/>
    <n v="3084"/>
    <n v="100"/>
    <s v="ท่าม่วง - หนองขาว"/>
    <n v="9325"/>
    <n v="903"/>
    <n v="8.4220000000000006"/>
    <n v="2"/>
    <s v="R1"/>
    <d v="2015-07-26T00:00:00"/>
    <s v="A.C."/>
    <n v="4.95"/>
    <n v="2.2999999999999998"/>
    <n v="0.75"/>
    <n v="0.4"/>
    <n v="2.66994"/>
    <n v="2.5"/>
    <n v="7.8250000000000002"/>
    <n v="0.35"/>
    <n v="0.125"/>
    <n v="0.1"/>
    <n v="4.67753"/>
    <n v="4.5"/>
    <n v="0"/>
    <n v="0"/>
    <n v="8.4"/>
    <n v="1.15055"/>
    <n v="0"/>
    <n v="0"/>
    <n v="0"/>
    <x v="106"/>
    <n v="0"/>
    <n v="0"/>
    <n v="64"/>
    <n v="0.21711843131933367"/>
    <n v="0"/>
    <n v="0"/>
  </r>
  <r>
    <n v="1352"/>
    <s v="แขวงทางหลวงกาญจนบุรี"/>
    <n v="444"/>
    <n v="3595"/>
    <n v="100"/>
    <s v="วังโพธิ์ - ลุ่มสุ่ม"/>
    <s v="0+000"/>
    <s v="0+818"/>
    <n v="0.81799999999999995"/>
    <n v="2"/>
    <s v="R1"/>
    <d v="2015-07-27T00:00:00"/>
    <s v="A.C."/>
    <n v="0.45"/>
    <n v="0.32500000000000001"/>
    <n v="0.05"/>
    <n v="2.5000000000000001E-2"/>
    <n v="3.5796299999999999"/>
    <n v="3.5"/>
    <n v="2.0249999999999999"/>
    <n v="0"/>
    <n v="0"/>
    <n v="0"/>
    <n v="2.5634800000000002"/>
    <n v="2.5"/>
    <n v="0"/>
    <n v="0"/>
    <n v="0.85000000000000009"/>
    <n v="1.1401399999999999"/>
    <n v="0"/>
    <n v="0"/>
    <n v="0"/>
    <x v="106"/>
    <n v="0"/>
    <n v="0"/>
    <n v="0"/>
    <n v="0"/>
    <n v="0"/>
    <n v="0"/>
  </r>
  <r>
    <n v="1380"/>
    <s v="แขวงทางหลวงสุพรรณบุรีที่ 2 (อู่ทอง)"/>
    <n v="445"/>
    <n v="3461"/>
    <n v="100"/>
    <s v="สวนแตง - ดอนคา"/>
    <s v="0+000"/>
    <s v="8+726"/>
    <n v="8.7260000000000009"/>
    <n v="2"/>
    <s v="L1"/>
    <d v="2015-07-22T00:00:00"/>
    <s v="A.C."/>
    <n v="5.0750000000000002"/>
    <n v="3.3250000000000002"/>
    <n v="0.17499999999999999"/>
    <n v="7.4999999999999997E-2"/>
    <n v="1.72265"/>
    <n v="1.5"/>
    <n v="8.65"/>
    <n v="0"/>
    <n v="0"/>
    <n v="0"/>
    <n v="1.2739799999999999"/>
    <n v="1.5"/>
    <n v="0"/>
    <n v="0"/>
    <n v="8.65"/>
    <n v="2.17286"/>
    <n v="0"/>
    <n v="0"/>
    <n v="0"/>
    <x v="106"/>
    <n v="0"/>
    <n v="0"/>
    <n v="0"/>
    <n v="0"/>
    <n v="0"/>
    <n v="0"/>
  </r>
  <r>
    <n v="1381"/>
    <s v="แขวงทางหลวงสุพรรณบุรีที่ 2 (อู่ทอง)"/>
    <n v="445"/>
    <n v="3468"/>
    <n v="100"/>
    <s v="จร้าใหม่ - เลาขวัญ"/>
    <s v="0+000"/>
    <s v="10+724"/>
    <n v="10.724"/>
    <n v="2"/>
    <s v="L1"/>
    <d v="2015-07-03T00:00:00"/>
    <s v="A.C."/>
    <n v="8.3249999999999993"/>
    <n v="1.5"/>
    <n v="0.67500000000000004"/>
    <n v="0.15"/>
    <n v="2.0596199999999998"/>
    <n v="2"/>
    <n v="10.175000000000001"/>
    <n v="0.375"/>
    <n v="7.4999999999999997E-2"/>
    <n v="2.5000000000000001E-2"/>
    <n v="3.4968599999999999"/>
    <n v="3.5"/>
    <n v="0"/>
    <n v="0"/>
    <n v="10.65"/>
    <n v="1.2194"/>
    <n v="0"/>
    <n v="0"/>
    <n v="0"/>
    <x v="106"/>
    <n v="0"/>
    <n v="0"/>
    <n v="0"/>
    <n v="0"/>
    <n v="0"/>
    <n v="0"/>
  </r>
  <r>
    <n v="1406"/>
    <s v="แขวงทางหลวงอุทัยธานี"/>
    <n v="447"/>
    <n v="3011"/>
    <n v="100"/>
    <s v="บ้านไร่ - บ้านใต้"/>
    <s v="0+000"/>
    <s v="41+571"/>
    <n v="41.570999999999998"/>
    <n v="4"/>
    <s v="L2"/>
    <d v="2015-07-30T00:00:00"/>
    <s v="A.C."/>
    <n v="18.649999999999999"/>
    <n v="15.725"/>
    <n v="5.25"/>
    <n v="1.9750000000000001"/>
    <n v="2.9249999999999998"/>
    <n v="3"/>
    <n v="33.4"/>
    <n v="1.3"/>
    <n v="0.55000000000000004"/>
    <n v="0.32500000000000001"/>
    <n v="3.327"/>
    <n v="3.5"/>
    <n v="0"/>
    <n v="0"/>
    <n v="41.6"/>
    <n v="1.3759999999999999"/>
    <n v="0"/>
    <n v="0"/>
    <n v="0"/>
    <x v="106"/>
    <n v="0"/>
    <n v="0"/>
    <n v="0"/>
    <n v="0"/>
    <n v="0"/>
    <n v="0"/>
  </r>
  <r>
    <n v="1409"/>
    <s v="แขวงทางหลวงอุทัยธานี"/>
    <n v="447"/>
    <n v="3013"/>
    <n v="101"/>
    <s v="หนองฉาง - ทัพทัน"/>
    <n v="0"/>
    <n v="7746"/>
    <n v="7.7460000000000004"/>
    <n v="2"/>
    <s v="R1"/>
    <d v="2015-07-31T00:00:00"/>
    <s v="A.C."/>
    <n v="7"/>
    <n v="0.75"/>
    <n v="0"/>
    <n v="0"/>
    <n v="2.621"/>
    <n v="2.5"/>
    <n v="7.75"/>
    <n v="0"/>
    <n v="0"/>
    <n v="0"/>
    <n v="2.1360000000000001"/>
    <n v="2"/>
    <n v="0"/>
    <n v="0"/>
    <n v="7.75"/>
    <n v="1.123"/>
    <n v="5"/>
    <n v="12"/>
    <n v="0"/>
    <x v="106"/>
    <n v="0"/>
    <n v="0"/>
    <n v="0"/>
    <n v="0"/>
    <n v="0"/>
    <n v="0"/>
  </r>
  <r>
    <n v="1421"/>
    <s v="แขวงทางหลวงอุทัยธานี"/>
    <n v="447"/>
    <n v="3282"/>
    <n v="102"/>
    <s v="ไร่ใหม่ - แยกนิคมทับเสลา"/>
    <n v="22000"/>
    <n v="53639"/>
    <n v="31.638999999999999"/>
    <n v="2"/>
    <s v="L1"/>
    <d v="2015-07-30T00:00:00"/>
    <s v="A.C."/>
    <n v="28.574999999999999"/>
    <n v="3.2250000000000001"/>
    <n v="0"/>
    <n v="0"/>
    <n v="2.915"/>
    <n v="3"/>
    <n v="25.375"/>
    <n v="5.85"/>
    <n v="0.5"/>
    <n v="7.4999999999999997E-2"/>
    <n v="3.1869999999999998"/>
    <n v="3"/>
    <n v="0"/>
    <n v="0"/>
    <n v="31.8"/>
    <n v="1.2150000000000001"/>
    <n v="124.133"/>
    <n v="56.6"/>
    <n v="0"/>
    <x v="106"/>
    <n v="15"/>
    <n v="1.3545669223788002E-2"/>
    <n v="18.899999999999999"/>
    <n v="1.7067543221972882E-2"/>
    <n v="0"/>
    <n v="0"/>
  </r>
  <r>
    <n v="1444"/>
    <s v="แขวงทางหลวงอ่างทอง"/>
    <n v="448"/>
    <n v="309"/>
    <n v="202"/>
    <s v="แยกที่ดิน - ไชโย"/>
    <s v="56+756"/>
    <s v="73+943"/>
    <n v="17.187000000000001"/>
    <n v="4"/>
    <s v="R2"/>
    <d v="2015-06-26T00:00:00"/>
    <s v="A.C."/>
    <n v="14.25"/>
    <n v="2.2250000000000001"/>
    <n v="0.65"/>
    <n v="0"/>
    <n v="2.61"/>
    <n v="2.5"/>
    <n v="13.9"/>
    <n v="3.2250000000000001"/>
    <n v="0"/>
    <n v="0"/>
    <n v="3.6909999999999998"/>
    <n v="3.5"/>
    <n v="0"/>
    <n v="0"/>
    <n v="17.125"/>
    <n v="1.214"/>
    <n v="0"/>
    <n v="0"/>
    <n v="0"/>
    <x v="106"/>
    <n v="32.15"/>
    <n v="5.3445710628465024E-2"/>
    <n v="0"/>
    <n v="0"/>
    <n v="0"/>
    <n v="0"/>
  </r>
  <r>
    <n v="1468"/>
    <s v="แขวงทางหลวงกรุงเทพ"/>
    <n v="411"/>
    <n v="1"/>
    <n v="102"/>
    <s v="แยก คปอ. – สนามกีฬาธูปะเตมีย์"/>
    <n v="24700"/>
    <n v="27710"/>
    <n v="3.01"/>
    <n v="8"/>
    <s v="R2"/>
    <d v="2015-08-31T00:00:00"/>
    <s v="A.C."/>
    <n v="1.8"/>
    <n v="0.77500000000000002"/>
    <n v="0.25"/>
    <n v="0.25"/>
    <n v="2.70187"/>
    <n v="2.5"/>
    <n v="3.0750000000000002"/>
    <n v="0"/>
    <n v="0"/>
    <n v="0"/>
    <n v="3.8782399999999999"/>
    <n v="4"/>
    <n v="0"/>
    <n v="0"/>
    <n v="3.0750000000000002"/>
    <n v="1.0125500000000001"/>
    <n v="0"/>
    <n v="0"/>
    <n v="0"/>
    <x v="106"/>
    <n v="0"/>
    <n v="0"/>
    <n v="0"/>
    <n v="0"/>
    <n v="0"/>
    <n v="0"/>
  </r>
  <r>
    <n v="1470"/>
    <s v="แขวงทางหลวงกรุงเทพ"/>
    <n v="411"/>
    <n v="31"/>
    <n v="101"/>
    <s v="ดินแดง - งามวงศ์วาน"/>
    <s v="4+990"/>
    <s v="14+700"/>
    <n v="9.7100000000000009"/>
    <n v="10"/>
    <s v="L2"/>
    <d v="2015-08-31T00:00:00"/>
    <s v="A.C."/>
    <n v="7.125"/>
    <n v="1.6"/>
    <n v="0.77500000000000002"/>
    <n v="0.25"/>
    <n v="2.46"/>
    <n v="2.5"/>
    <n v="9.5500000000000007"/>
    <n v="0.17499999999999999"/>
    <n v="2.5000000000000001E-2"/>
    <n v="0"/>
    <n v="4.6829999999999998"/>
    <n v="4.5"/>
    <n v="0"/>
    <n v="0"/>
    <n v="9.7500000000000018"/>
    <n v="1.3260000000000001"/>
    <n v="0"/>
    <n v="0"/>
    <n v="0"/>
    <x v="106"/>
    <n v="0"/>
    <n v="0"/>
    <n v="0"/>
    <n v="0"/>
    <n v="0"/>
    <n v="0"/>
  </r>
  <r>
    <n v="1505"/>
    <s v="แขวงทางหลวงอยุธยา"/>
    <n v="413"/>
    <n v="309"/>
    <n v="105"/>
    <s v="ทางบริเวณแยกเตาอิฐ"/>
    <n v="0"/>
    <n v="75"/>
    <n v="7.4999999999999997E-2"/>
    <n v="4"/>
    <s v="L2"/>
    <d v="2015-09-18T00:00:00"/>
    <s v="A.C."/>
    <n v="0"/>
    <n v="0"/>
    <n v="0.05"/>
    <n v="2.5000000000000001E-2"/>
    <n v="4.41"/>
    <n v="4.5"/>
    <n v="7.4999999999999997E-2"/>
    <n v="0"/>
    <n v="0"/>
    <n v="0"/>
    <n v="4.3373299999999997"/>
    <n v="4.5"/>
    <n v="0"/>
    <n v="0"/>
    <n v="7.4999999999999997E-2"/>
    <n v="0.82533299999999998"/>
    <n v="0"/>
    <n v="0"/>
    <n v="0"/>
    <x v="106"/>
    <n v="0"/>
    <n v="0"/>
    <n v="0"/>
    <n v="0"/>
    <n v="0"/>
    <n v="0"/>
  </r>
  <r>
    <n v="1506"/>
    <s v="แขวงทางหลวงอยุธยา"/>
    <n v="413"/>
    <n v="309"/>
    <n v="105"/>
    <s v="ทางบริเวณแยกเตาอิฐ"/>
    <n v="0"/>
    <n v="75"/>
    <n v="7.4999999999999997E-2"/>
    <n v="4"/>
    <s v="R2"/>
    <d v="2015-09-18T00:00:00"/>
    <s v="A.C."/>
    <n v="2.5000000000000001E-2"/>
    <n v="0"/>
    <n v="0"/>
    <n v="0.05"/>
    <n v="4.5"/>
    <n v="4.5"/>
    <n v="7.4999999999999997E-2"/>
    <n v="0"/>
    <n v="0"/>
    <n v="0"/>
    <n v="5.2590000000000003"/>
    <n v="5.5"/>
    <n v="0"/>
    <n v="0"/>
    <n v="7.4999999999999997E-2"/>
    <n v="0.78533299999999995"/>
    <n v="0"/>
    <n v="0"/>
    <n v="0"/>
    <x v="106"/>
    <n v="0"/>
    <n v="0"/>
    <n v="0"/>
    <n v="0"/>
    <n v="0"/>
    <n v="0"/>
  </r>
  <r>
    <n v="1510"/>
    <s v="แขวงทางหลวงอยุธยา"/>
    <n v="413"/>
    <n v="352"/>
    <n v="202"/>
    <s v="ทางแยกต่างระดับวังน้อย - ลำตาเสา"/>
    <n v="26700"/>
    <n v="27934"/>
    <n v="1.234"/>
    <n v="2"/>
    <s v="R1"/>
    <d v="2015-09-19T00:00:00"/>
    <s v="A.C."/>
    <n v="0.7"/>
    <n v="0.17499999999999999"/>
    <n v="7.4999999999999997E-2"/>
    <n v="0.32500000000000001"/>
    <n v="3.3647100000000001"/>
    <n v="3.5"/>
    <n v="1.075"/>
    <n v="0.2"/>
    <n v="0"/>
    <n v="0"/>
    <n v="5.98651"/>
    <n v="6"/>
    <n v="0"/>
    <n v="0"/>
    <n v="1.234"/>
    <n v="1.07412"/>
    <n v="0"/>
    <n v="0"/>
    <n v="0"/>
    <x v="106"/>
    <n v="0"/>
    <n v="0"/>
    <n v="62.54"/>
    <n v="1.4480203750868257"/>
    <n v="8"/>
    <n v="0.18522806205140077"/>
  </r>
  <r>
    <n v="1515"/>
    <s v="แขวงทางหลวงอยุธยา"/>
    <n v="413"/>
    <n v="3063"/>
    <n v="100"/>
    <s v="บ่อโพง - โคกมะลิ"/>
    <n v="0"/>
    <n v="6806"/>
    <n v="6.806"/>
    <n v="2"/>
    <s v="R1"/>
    <d v="2015-09-18T00:00:00"/>
    <s v="A.C."/>
    <n v="5.9249999999999998"/>
    <n v="0.32500000000000001"/>
    <n v="0.32500000000000001"/>
    <n v="0.2"/>
    <n v="2.4169999999999998"/>
    <n v="2.5"/>
    <n v="2.5"/>
    <n v="2.5750000000000002"/>
    <n v="1.1000000000000001"/>
    <n v="0.6"/>
    <n v="10.443"/>
    <n v="10.5"/>
    <n v="0"/>
    <n v="0"/>
    <n v="6.806"/>
    <n v="1.0389999999999999"/>
    <n v="0"/>
    <n v="0"/>
    <n v="0"/>
    <x v="106"/>
    <n v="0"/>
    <n v="0"/>
    <n v="0"/>
    <n v="0"/>
    <n v="4"/>
    <n v="1.679190630116284E-2"/>
  </r>
  <r>
    <n v="1526"/>
    <s v="แขวงทางหลวงอยุธยา"/>
    <n v="413"/>
    <n v="3501"/>
    <n v="200"/>
    <s v="โผงเผง - วัดตะกู"/>
    <s v="20+730"/>
    <s v="27+990"/>
    <n v="7.26"/>
    <n v="2"/>
    <s v="L1"/>
    <d v="2015-09-17T00:00:00"/>
    <s v="A.C."/>
    <n v="5.25"/>
    <n v="0.22500000000000001"/>
    <n v="0.55000000000000004"/>
    <n v="0.47499999999999998"/>
    <n v="2.0923799999999999"/>
    <n v="2"/>
    <n v="6.375"/>
    <n v="0.1"/>
    <n v="0"/>
    <n v="2.5000000000000001E-2"/>
    <n v="3.5714100000000002"/>
    <n v="3.5"/>
    <n v="0"/>
    <n v="0"/>
    <n v="7.26"/>
    <n v="1.31307"/>
    <n v="0"/>
    <n v="0"/>
    <n v="0"/>
    <x v="106"/>
    <n v="0"/>
    <n v="0"/>
    <n v="38.1"/>
    <n v="0.14994096812278632"/>
    <n v="0"/>
    <n v="0"/>
  </r>
  <r>
    <n v="1527"/>
    <s v="แขวงทางหลวงอยุธยา"/>
    <n v="413"/>
    <n v="3567"/>
    <n v="100"/>
    <s v="ทางเข้านครหลวง"/>
    <n v="0"/>
    <n v="2583"/>
    <n v="2.5830000000000002"/>
    <n v="2"/>
    <s v="L1"/>
    <d v="2015-09-18T00:00:00"/>
    <s v="A.C."/>
    <n v="0.52500000000000002"/>
    <n v="1.2749999999999999"/>
    <n v="0.65"/>
    <n v="0.17499999999999999"/>
    <n v="3.1735799999999998"/>
    <n v="3"/>
    <n v="2.625"/>
    <n v="0"/>
    <n v="0"/>
    <n v="0"/>
    <n v="4.4235199999999999"/>
    <n v="4.5"/>
    <n v="0"/>
    <n v="0"/>
    <n v="2.5830000000000002"/>
    <n v="1.05287"/>
    <n v="0"/>
    <n v="0"/>
    <n v="0"/>
    <x v="106"/>
    <n v="0"/>
    <n v="0"/>
    <n v="0"/>
    <n v="0"/>
    <n v="0"/>
    <n v="0"/>
  </r>
  <r>
    <n v="1528"/>
    <s v="แขวงทางหลวงอยุธยา"/>
    <n v="413"/>
    <n v="3567"/>
    <n v="100"/>
    <s v="ทางเข้านครหลวง"/>
    <n v="0"/>
    <n v="2583"/>
    <n v="2.5830000000000002"/>
    <n v="2"/>
    <s v="L1"/>
    <d v="2015-09-18T00:00:00"/>
    <s v="A.C."/>
    <n v="0.52500000000000002"/>
    <n v="1.2749999999999999"/>
    <n v="0.65"/>
    <n v="0.17499999999999999"/>
    <n v="3.27"/>
    <n v="3.5"/>
    <n v="2.625"/>
    <n v="0"/>
    <n v="0"/>
    <n v="0"/>
    <n v="4.91"/>
    <n v="5"/>
    <n v="0"/>
    <n v="0"/>
    <n v="2.5830000000000002"/>
    <n v="1.0900000000000001"/>
    <n v="0"/>
    <n v="0"/>
    <n v="0"/>
    <x v="106"/>
    <n v="0"/>
    <n v="0"/>
    <n v="0"/>
    <n v="0"/>
    <n v="0"/>
    <n v="0"/>
  </r>
  <r>
    <n v="1529"/>
    <s v="แขวงทางหลวงอยุธยา"/>
    <n v="413"/>
    <n v="3901"/>
    <n v="400"/>
    <s v="คลองซอย 26 - คลองระพีพัฒน์"/>
    <s v="0+000"/>
    <s v="3+190"/>
    <n v="3.19"/>
    <n v="4"/>
    <s v="L1"/>
    <d v="2015-09-16T00:00:00"/>
    <s v="A.C."/>
    <n v="1.8"/>
    <n v="0.7"/>
    <n v="0.52500000000000002"/>
    <n v="0.22500000000000001"/>
    <n v="2.5668199999999999"/>
    <n v="2.5"/>
    <n v="2.75"/>
    <n v="0.45"/>
    <n v="0.05"/>
    <n v="0"/>
    <n v="5.7659900000000004"/>
    <n v="6"/>
    <n v="0"/>
    <n v="0"/>
    <n v="3.19"/>
    <n v="1.50911"/>
    <n v="0"/>
    <n v="0"/>
    <n v="0"/>
    <x v="106"/>
    <n v="0"/>
    <n v="0"/>
    <n v="0"/>
    <n v="0"/>
    <n v="1"/>
    <n v="8.9565606806986109E-3"/>
  </r>
  <r>
    <n v="1530"/>
    <s v="แขวงทางหลวงนครนายก"/>
    <n v="414"/>
    <n v="3050"/>
    <n v="100"/>
    <s v="ทางเข้าน้ำตกสาริกา"/>
    <s v="0+000"/>
    <s v="2+980"/>
    <n v="2.98"/>
    <n v="2"/>
    <s v="L1"/>
    <d v="2015-09-19T00:00:00"/>
    <s v="A.C."/>
    <n v="2.1"/>
    <n v="0.625"/>
    <n v="0.2"/>
    <n v="2.5000000000000001E-2"/>
    <n v="2.1520000000000001"/>
    <n v="2"/>
    <n v="1.825"/>
    <n v="0.85"/>
    <n v="0.2"/>
    <n v="7.4999999999999997E-2"/>
    <n v="8.8710000000000004"/>
    <n v="9"/>
    <n v="0"/>
    <n v="0"/>
    <n v="2.98"/>
    <n v="1.1339999999999999"/>
    <n v="0"/>
    <n v="0"/>
    <n v="0"/>
    <x v="106"/>
    <n v="1871"/>
    <n v="17.938638542665387"/>
    <n v="21.59"/>
    <n v="0.20699904122722912"/>
    <n v="2"/>
    <n v="1.9175455417066153E-2"/>
  </r>
  <r>
    <n v="1552"/>
    <s v="แขวงทางหลวงปทุมธานี"/>
    <n v="416"/>
    <n v="9"/>
    <n v="301"/>
    <s v="คลองบางหลวง - ต่างระดับเชียงรากน้อย"/>
    <n v="60141"/>
    <n v="78872"/>
    <n v="18.731000000000002"/>
    <n v="4"/>
    <s v="L2"/>
    <d v="2015-09-02T00:00:00"/>
    <s v="C.C."/>
    <n v="6.7249999999999996"/>
    <n v="6.375"/>
    <n v="4.45"/>
    <n v="1.125"/>
    <n v="3.08514"/>
    <n v="3"/>
    <n v="0"/>
    <n v="0"/>
    <n v="18.675000000000001"/>
    <n v="1.2177500000000001"/>
    <n v="0"/>
    <n v="0"/>
    <n v="0"/>
    <n v="0"/>
    <n v="0"/>
    <n v="0"/>
    <n v="70.89"/>
    <n v="0.1081324"/>
    <n v="0"/>
    <x v="106"/>
    <m/>
    <m/>
    <m/>
    <m/>
    <m/>
    <m/>
  </r>
  <r>
    <n v="1553"/>
    <s v="แขวงทางหลวงปทุมธานี"/>
    <n v="416"/>
    <n v="9"/>
    <n v="301"/>
    <s v="คลองบางหลวง - ต่างระดับเชียงรากน้อย"/>
    <n v="78872"/>
    <n v="60141"/>
    <n v="18.731000000000002"/>
    <n v="4"/>
    <s v="R2"/>
    <d v="2015-09-02T00:00:00"/>
    <s v="C.C."/>
    <n v="6.85"/>
    <n v="5.9749999999999996"/>
    <n v="3.875"/>
    <n v="1.9750000000000001"/>
    <n v="3.2073100000000001"/>
    <n v="3"/>
    <n v="0"/>
    <n v="0"/>
    <n v="18.675000000000001"/>
    <n v="1.0098400000000001"/>
    <n v="0"/>
    <n v="0"/>
    <n v="11"/>
    <n v="0"/>
    <n v="0"/>
    <n v="0"/>
    <n v="5.8"/>
    <n v="8.8471000000000001E-3"/>
    <n v="0"/>
    <x v="106"/>
    <m/>
    <m/>
    <m/>
    <m/>
    <m/>
    <m/>
  </r>
  <r>
    <n v="1554"/>
    <s v="แขวงทางหลวงปทุมธานี"/>
    <n v="416"/>
    <n v="1"/>
    <n v="201"/>
    <s v="สนามกีฬาธูปะเตมีย์ - ต่างระดับคลองหลวง"/>
    <s v="27+710"/>
    <s v="30+700"/>
    <n v="2.99"/>
    <n v="10"/>
    <s v="L2"/>
    <d v="2015-09-01T00:00:00"/>
    <s v="C.C."/>
    <n v="2.5249999999999999"/>
    <n v="0.35"/>
    <n v="0.125"/>
    <n v="0.1"/>
    <n v="2.0402399999999998"/>
    <n v="2"/>
    <n v="0"/>
    <n v="0"/>
    <n v="3.1"/>
    <n v="1.13568"/>
    <n v="0"/>
    <n v="0"/>
    <n v="0"/>
    <n v="0"/>
    <n v="0"/>
    <n v="0"/>
    <n v="0"/>
    <n v="0"/>
    <n v="0"/>
    <x v="106"/>
    <m/>
    <m/>
    <m/>
    <m/>
    <m/>
    <m/>
  </r>
  <r>
    <n v="1555"/>
    <s v="แขวงทางหลวงปทุมธานี"/>
    <n v="416"/>
    <n v="1"/>
    <n v="201"/>
    <s v="สนามกีฬาธูปะเตมีย์ - ต่างระดับคลองหลวง"/>
    <s v="30+700"/>
    <s v="39+000"/>
    <n v="8.3000000000000007"/>
    <n v="10"/>
    <s v="L2"/>
    <d v="2015-09-01T00:00:00"/>
    <s v="C.C."/>
    <n v="6.6"/>
    <n v="1.2250000000000001"/>
    <n v="0.4"/>
    <n v="0.1"/>
    <n v="2.1047699999999998"/>
    <n v="2"/>
    <n v="0"/>
    <n v="0"/>
    <n v="8.3249999999999993"/>
    <n v="1.1276299999999999"/>
    <n v="0"/>
    <n v="0"/>
    <n v="0"/>
    <n v="0"/>
    <n v="0"/>
    <n v="0"/>
    <n v="0"/>
    <n v="0"/>
    <n v="0"/>
    <x v="106"/>
    <m/>
    <m/>
    <m/>
    <m/>
    <m/>
    <m/>
  </r>
  <r>
    <n v="1556"/>
    <s v="แขวงทางหลวงปทุมธานี"/>
    <n v="416"/>
    <n v="1"/>
    <n v="201"/>
    <s v="สนามกีฬาธูปะเตมีย์ - ต่างระดับคลองหลวง"/>
    <s v="30+700"/>
    <s v="27+710"/>
    <n v="2.99"/>
    <n v="10"/>
    <s v="R2"/>
    <d v="2015-09-02T00:00:00"/>
    <s v="C.C."/>
    <n v="1.1499999999999999"/>
    <n v="0.85"/>
    <n v="0.65"/>
    <n v="0.375"/>
    <n v="3.15157"/>
    <n v="3"/>
    <n v="0"/>
    <n v="0"/>
    <n v="3.0249999999999999"/>
    <n v="0.93958699999999995"/>
    <n v="0"/>
    <n v="0"/>
    <n v="0"/>
    <n v="0"/>
    <n v="0"/>
    <n v="0"/>
    <n v="0"/>
    <n v="0"/>
    <n v="0"/>
    <x v="106"/>
    <m/>
    <m/>
    <m/>
    <m/>
    <m/>
    <m/>
  </r>
  <r>
    <n v="1557"/>
    <s v="แขวงทางหลวงปทุมธานี"/>
    <n v="416"/>
    <n v="1"/>
    <n v="201"/>
    <s v="สนามกีฬาธูปะเตมีย์ - ต่างระดับคลองหลวง"/>
    <s v="39+000"/>
    <s v="30+700"/>
    <n v="8.3000000000000007"/>
    <n v="10"/>
    <s v="R2"/>
    <d v="2015-09-02T00:00:00"/>
    <s v="C.C."/>
    <n v="5.9749999999999996"/>
    <n v="1.55"/>
    <n v="0.55000000000000004"/>
    <n v="0.2"/>
    <n v="2.2911800000000002"/>
    <n v="2.5"/>
    <n v="0"/>
    <n v="0"/>
    <n v="8.2749999999999986"/>
    <n v="1.07565"/>
    <n v="0"/>
    <n v="0"/>
    <n v="0"/>
    <n v="0"/>
    <n v="0"/>
    <n v="0"/>
    <n v="0"/>
    <n v="0"/>
    <n v="0"/>
    <x v="106"/>
    <m/>
    <m/>
    <m/>
    <m/>
    <m/>
    <m/>
  </r>
  <r>
    <n v="1558"/>
    <s v="แขวงทางหลวงปทุมธานี"/>
    <n v="416"/>
    <n v="1"/>
    <n v="202"/>
    <s v="ต่างระดับคลองหลวง - ประตูน้ำพระอินทร์"/>
    <s v="39+000"/>
    <s v="46+400"/>
    <n v="7.4"/>
    <n v="4"/>
    <s v="L2"/>
    <d v="2015-09-01T00:00:00"/>
    <s v="C.C."/>
    <n v="6.2"/>
    <n v="0.85"/>
    <n v="0.25"/>
    <n v="7.4999999999999997E-2"/>
    <n v="1.98675"/>
    <n v="2"/>
    <n v="0"/>
    <n v="0"/>
    <n v="7.375"/>
    <n v="1.1940200000000001"/>
    <n v="0"/>
    <n v="0"/>
    <n v="0"/>
    <n v="0"/>
    <n v="0"/>
    <n v="0"/>
    <n v="0"/>
    <n v="0"/>
    <n v="0"/>
    <x v="106"/>
    <m/>
    <m/>
    <m/>
    <m/>
    <m/>
    <m/>
  </r>
  <r>
    <n v="1559"/>
    <s v="แขวงทางหลวงปทุมธานี"/>
    <n v="416"/>
    <n v="1"/>
    <n v="202"/>
    <s v="ต่างระดับคลองหลวง - ประตูน้ำพระอินทร์"/>
    <s v="46+400"/>
    <s v="46+700"/>
    <n v="0.3"/>
    <n v="4"/>
    <s v="L2"/>
    <d v="2015-09-01T00:00:00"/>
    <s v="C.C."/>
    <n v="0.2"/>
    <n v="0.1"/>
    <n v="2.5000000000000001E-2"/>
    <n v="0"/>
    <n v="2.4530799999999999"/>
    <n v="2.5"/>
    <n v="0"/>
    <n v="0"/>
    <n v="0.32500000000000007"/>
    <n v="1.0386200000000001"/>
    <n v="0"/>
    <n v="0"/>
    <n v="0"/>
    <n v="0"/>
    <n v="0"/>
    <n v="0"/>
    <n v="0"/>
    <n v="0"/>
    <n v="0"/>
    <x v="106"/>
    <m/>
    <m/>
    <m/>
    <m/>
    <m/>
    <m/>
  </r>
  <r>
    <n v="1560"/>
    <s v="แขวงทางหลวงปทุมธานี"/>
    <n v="416"/>
    <n v="1"/>
    <n v="202"/>
    <s v="ต่างระดับคลองหลวง - ประตูน้ำพระอินทร์"/>
    <s v="46+400"/>
    <s v="39+000"/>
    <n v="7.4"/>
    <n v="4"/>
    <s v="R2"/>
    <d v="2015-09-02T00:00:00"/>
    <s v="C.C."/>
    <n v="6.4"/>
    <n v="0.67500000000000004"/>
    <n v="0.2"/>
    <n v="0.1"/>
    <n v="2.0323099999999998"/>
    <n v="2"/>
    <n v="0"/>
    <n v="0"/>
    <n v="7.375"/>
    <n v="1.01803"/>
    <n v="0"/>
    <n v="0"/>
    <n v="0"/>
    <n v="0"/>
    <n v="0"/>
    <n v="0"/>
    <n v="0"/>
    <n v="0"/>
    <n v="0"/>
    <x v="106"/>
    <m/>
    <m/>
    <m/>
    <m/>
    <m/>
    <m/>
  </r>
  <r>
    <n v="1561"/>
    <s v="แขวงทางหลวงปทุมธานี"/>
    <n v="416"/>
    <n v="1"/>
    <n v="202"/>
    <s v="ต่างระดับคลองหลวง - ประตูน้ำพระอินทร์"/>
    <s v="46+700"/>
    <s v="51+820"/>
    <n v="5.12"/>
    <n v="4"/>
    <s v="L2"/>
    <d v="2015-09-01T00:00:00"/>
    <s v="C.C."/>
    <n v="0.82499999999999996"/>
    <n v="2.4"/>
    <n v="1.55"/>
    <n v="0.4"/>
    <n v="3.3548800000000001"/>
    <n v="3.5"/>
    <n v="0"/>
    <n v="0"/>
    <n v="5.1749999999999998"/>
    <n v="1.07328"/>
    <n v="0"/>
    <n v="0"/>
    <n v="0"/>
    <n v="0"/>
    <n v="0"/>
    <n v="0"/>
    <n v="0"/>
    <n v="0"/>
    <n v="0"/>
    <x v="106"/>
    <m/>
    <m/>
    <m/>
    <m/>
    <m/>
    <m/>
  </r>
  <r>
    <n v="1562"/>
    <s v="แขวงทางหลวงปทุมธานี"/>
    <n v="416"/>
    <n v="1"/>
    <n v="202"/>
    <s v="ต่างระดับคลองหลวง - ประตูน้ำพระอินทร์"/>
    <s v="46+700"/>
    <s v="46+400"/>
    <n v="0.3"/>
    <n v="4"/>
    <s v="R2"/>
    <d v="2015-09-02T00:00:00"/>
    <s v="C.C."/>
    <n v="0.25"/>
    <n v="0"/>
    <n v="0"/>
    <n v="0"/>
    <n v="1.23"/>
    <n v="1"/>
    <n v="0"/>
    <n v="0"/>
    <n v="0.25"/>
    <n v="1.1339999999999999"/>
    <n v="0"/>
    <n v="0"/>
    <n v="0"/>
    <n v="0"/>
    <n v="0"/>
    <n v="0"/>
    <n v="0"/>
    <n v="0"/>
    <n v="0"/>
    <x v="106"/>
    <m/>
    <m/>
    <m/>
    <m/>
    <m/>
    <m/>
  </r>
  <r>
    <n v="1563"/>
    <s v="แขวงทางหลวงปทุมธานี"/>
    <n v="416"/>
    <n v="1"/>
    <n v="202"/>
    <s v="ต่างระดับคลองหลวง - ประตูน้ำพระอินทร์"/>
    <s v="51+820"/>
    <s v="46+700"/>
    <n v="5.12"/>
    <n v="4"/>
    <s v="R2"/>
    <d v="2015-09-02T00:00:00"/>
    <s v="C.C."/>
    <n v="0.32500000000000001"/>
    <n v="0.82499999999999996"/>
    <n v="2.0249999999999999"/>
    <n v="2"/>
    <n v="4.6889399999999997"/>
    <n v="4.5"/>
    <n v="0"/>
    <n v="0"/>
    <n v="5.1749999999999998"/>
    <n v="1.0706599999999999"/>
    <n v="0"/>
    <n v="0"/>
    <n v="0"/>
    <n v="0"/>
    <n v="0"/>
    <n v="0"/>
    <n v="0"/>
    <n v="0"/>
    <n v="0"/>
    <x v="106"/>
    <m/>
    <m/>
    <m/>
    <m/>
    <m/>
    <m/>
  </r>
  <r>
    <n v="1567"/>
    <s v="แขวงทางหลวงปทุมธานี"/>
    <n v="416"/>
    <n v="9"/>
    <n v="302"/>
    <s v="ต่างระดับเชียงรากน้อย - ต่างระดับบางปะอิน"/>
    <s v="84+127"/>
    <s v="78+872"/>
    <n v="5.2549999999999999"/>
    <n v="4"/>
    <s v="R2"/>
    <d v="2015-09-02T00:00:00"/>
    <s v="C.C."/>
    <n v="2.2250000000000001"/>
    <n v="1.25"/>
    <n v="0.67500000000000004"/>
    <n v="1.425"/>
    <n v="3.6516600000000001"/>
    <n v="3.5"/>
    <n v="0"/>
    <n v="0"/>
    <n v="5.5750000000000002"/>
    <n v="1.1674100000000001"/>
    <n v="73"/>
    <n v="73"/>
    <n v="0"/>
    <n v="1"/>
    <n v="0"/>
    <n v="0"/>
    <n v="468.76"/>
    <n v="2.5486475465543017"/>
    <n v="0"/>
    <x v="106"/>
    <m/>
    <m/>
    <m/>
    <m/>
    <m/>
    <m/>
  </r>
  <r>
    <n v="1568"/>
    <s v="แขวงทางหลวงปทุมธานี"/>
    <n v="416"/>
    <n v="306"/>
    <n v="200"/>
    <s v="คลองบ้านใหม่ - บางพูน"/>
    <s v="21+940"/>
    <s v="23+900"/>
    <n v="1.96"/>
    <n v="6"/>
    <s v="L2"/>
    <d v="2015-09-02T00:00:00"/>
    <s v="C.C."/>
    <n v="0.32500000000000001"/>
    <n v="0.95"/>
    <n v="0.6"/>
    <n v="0.1"/>
    <n v="3.3945599999999998"/>
    <n v="3.5"/>
    <n v="0"/>
    <n v="0"/>
    <n v="1.9750000000000001"/>
    <n v="1.1456599999999999"/>
    <n v="0"/>
    <n v="0"/>
    <n v="0"/>
    <n v="0"/>
    <n v="0"/>
    <n v="0"/>
    <n v="0"/>
    <n v="0"/>
    <n v="0"/>
    <x v="106"/>
    <m/>
    <m/>
    <m/>
    <m/>
    <m/>
    <m/>
  </r>
  <r>
    <n v="1569"/>
    <s v="แขวงทางหลวงปทุมธานี"/>
    <n v="416"/>
    <n v="306"/>
    <n v="200"/>
    <s v="คลองบ้านใหม่ - บางพูน"/>
    <s v="23+900"/>
    <s v="26+674"/>
    <n v="2.774"/>
    <n v="6"/>
    <s v="L2"/>
    <d v="2015-09-02T00:00:00"/>
    <s v="C.C."/>
    <n v="0.27500000000000002"/>
    <n v="1.425"/>
    <n v="0.82499999999999996"/>
    <n v="0.22500000000000001"/>
    <n v="3.4847299999999999"/>
    <n v="3.5"/>
    <n v="0"/>
    <n v="0"/>
    <n v="2.7500000000000004"/>
    <n v="0.95785500000000001"/>
    <n v="1"/>
    <n v="1"/>
    <n v="0"/>
    <n v="0"/>
    <n v="0"/>
    <n v="0"/>
    <n v="0"/>
    <n v="0"/>
    <n v="0"/>
    <x v="106"/>
    <m/>
    <m/>
    <m/>
    <m/>
    <m/>
    <m/>
  </r>
  <r>
    <n v="1570"/>
    <s v="แขวงทางหลวงปทุมธานี"/>
    <n v="416"/>
    <n v="306"/>
    <n v="200"/>
    <s v="คลองบ้านใหม่ - บางพูน"/>
    <s v="23+900"/>
    <s v="21+940"/>
    <n v="1.96"/>
    <n v="6"/>
    <s v="R2"/>
    <d v="2015-09-02T00:00:00"/>
    <s v="C.C."/>
    <n v="0.32500000000000001"/>
    <n v="0.52500000000000002"/>
    <n v="0.85"/>
    <n v="0.2"/>
    <n v="3.6335500000000001"/>
    <n v="3.5"/>
    <n v="0"/>
    <n v="0"/>
    <n v="1.9000000000000001"/>
    <n v="1.0538000000000001"/>
    <n v="0"/>
    <n v="0"/>
    <n v="0"/>
    <n v="0"/>
    <n v="0"/>
    <n v="0"/>
    <n v="0"/>
    <n v="0"/>
    <n v="0"/>
    <x v="106"/>
    <m/>
    <m/>
    <m/>
    <m/>
    <m/>
    <m/>
  </r>
  <r>
    <n v="1571"/>
    <s v="แขวงทางหลวงปทุมธานี"/>
    <n v="416"/>
    <n v="306"/>
    <n v="200"/>
    <s v="คลองบ้านใหม่ - บางพูน"/>
    <s v="26+674"/>
    <s v="23+900"/>
    <n v="2.774"/>
    <n v="6"/>
    <s v="R2"/>
    <d v="2015-09-02T00:00:00"/>
    <s v="C.C."/>
    <n v="2.5000000000000001E-2"/>
    <n v="0.6"/>
    <n v="1.625"/>
    <n v="0.47499999999999998"/>
    <n v="4.1638500000000001"/>
    <n v="4"/>
    <n v="0"/>
    <n v="0"/>
    <n v="2.7250000000000001"/>
    <n v="1.0926899999999999"/>
    <n v="0"/>
    <n v="0"/>
    <n v="0"/>
    <n v="0"/>
    <n v="0"/>
    <n v="0"/>
    <n v="0"/>
    <n v="0"/>
    <n v="0"/>
    <x v="106"/>
    <m/>
    <m/>
    <m/>
    <m/>
    <m/>
    <m/>
  </r>
  <r>
    <n v="1572"/>
    <s v="แขวงทางหลวงปทุมธานี"/>
    <n v="416"/>
    <n v="307"/>
    <n v="200"/>
    <s v="บางคูวัด - แยกปทุมวิไล"/>
    <s v="3+280"/>
    <s v="8+880"/>
    <n v="5.6"/>
    <n v="4"/>
    <s v="L2"/>
    <d v="2015-09-02T00:00:00"/>
    <s v="C.C."/>
    <n v="0"/>
    <n v="1.825"/>
    <n v="3.3"/>
    <n v="0.42499999999999999"/>
    <n v="3.9222100000000002"/>
    <n v="4"/>
    <n v="0"/>
    <n v="0"/>
    <n v="5.55"/>
    <n v="1.0948100000000001"/>
    <n v="0"/>
    <n v="0"/>
    <n v="0"/>
    <n v="0"/>
    <n v="0"/>
    <n v="0"/>
    <n v="0"/>
    <n v="0"/>
    <n v="0"/>
    <x v="106"/>
    <m/>
    <m/>
    <m/>
    <m/>
    <m/>
    <m/>
  </r>
  <r>
    <n v="1573"/>
    <s v="แขวงทางหลวงปทุมธานี"/>
    <n v="416"/>
    <n v="307"/>
    <n v="200"/>
    <s v="บางคูวัด - แยกปทุมวิไล"/>
    <s v="8+880"/>
    <s v="10+813"/>
    <n v="1.9330000000000001"/>
    <n v="4"/>
    <s v="L2"/>
    <d v="2015-09-02T00:00:00"/>
    <s v="C.C."/>
    <n v="2.5000000000000001E-2"/>
    <n v="0.5"/>
    <n v="1.175"/>
    <n v="0.3"/>
    <n v="4.1151299999999997"/>
    <n v="4"/>
    <n v="0"/>
    <n v="0"/>
    <n v="2"/>
    <n v="1.1301399999999999"/>
    <n v="0"/>
    <n v="0"/>
    <n v="0"/>
    <n v="0"/>
    <n v="0"/>
    <n v="0"/>
    <n v="0"/>
    <n v="0"/>
    <n v="0"/>
    <x v="106"/>
    <m/>
    <m/>
    <m/>
    <m/>
    <m/>
    <m/>
  </r>
  <r>
    <n v="1574"/>
    <s v="แขวงทางหลวงปทุมธานี"/>
    <n v="416"/>
    <n v="307"/>
    <n v="200"/>
    <s v="บางคูวัด - แยกปทุมวิไล"/>
    <s v="8+880"/>
    <s v="3+280"/>
    <n v="5.6"/>
    <n v="4"/>
    <s v="R2"/>
    <d v="2015-09-02T00:00:00"/>
    <s v="C.C."/>
    <n v="0"/>
    <n v="1.35"/>
    <n v="3.4249999999999998"/>
    <n v="0.8"/>
    <n v="4.1288799999999997"/>
    <n v="4"/>
    <n v="0"/>
    <n v="0"/>
    <n v="5.5750000000000002"/>
    <n v="1.0585599999999999"/>
    <n v="3"/>
    <n v="3"/>
    <n v="0"/>
    <n v="4"/>
    <n v="0"/>
    <n v="0"/>
    <n v="0"/>
    <n v="0"/>
    <n v="0"/>
    <x v="106"/>
    <m/>
    <m/>
    <m/>
    <m/>
    <m/>
    <m/>
  </r>
  <r>
    <n v="1575"/>
    <s v="แขวงทางหลวงปทุมธานี"/>
    <n v="416"/>
    <n v="307"/>
    <n v="200"/>
    <s v="บางคูวัด - แยกปทุมวิไล"/>
    <s v="10+813"/>
    <s v="8+880"/>
    <n v="1.9330000000000001"/>
    <n v="4"/>
    <s v="R2"/>
    <d v="2015-09-02T00:00:00"/>
    <s v="C.C."/>
    <n v="0"/>
    <n v="0.375"/>
    <n v="1.2749999999999999"/>
    <n v="0.3"/>
    <n v="4.2155100000000001"/>
    <n v="4"/>
    <n v="0"/>
    <n v="0"/>
    <n v="1.95"/>
    <n v="1.0389699999999999"/>
    <n v="0"/>
    <n v="0"/>
    <n v="0"/>
    <n v="0"/>
    <n v="0"/>
    <n v="0"/>
    <n v="0"/>
    <n v="0"/>
    <n v="0"/>
    <x v="106"/>
    <m/>
    <m/>
    <m/>
    <m/>
    <m/>
    <m/>
  </r>
  <r>
    <n v="1576"/>
    <s v="แขวงทางหลวงปทุมธานี"/>
    <n v="416"/>
    <n v="345"/>
    <n v="200"/>
    <s v="บางคูวัด - บางพูน"/>
    <s v="10+547"/>
    <s v="12+003"/>
    <n v="1.456"/>
    <n v="6"/>
    <s v="L2"/>
    <d v="2015-09-02T00:00:00"/>
    <s v="C.C."/>
    <n v="2.5000000000000001E-2"/>
    <n v="0.4"/>
    <n v="0.75"/>
    <n v="0.32500000000000001"/>
    <n v="4.2586700000000004"/>
    <n v="4.5"/>
    <n v="0"/>
    <n v="0"/>
    <n v="1.5"/>
    <n v="1.10022"/>
    <n v="20"/>
    <n v="20"/>
    <n v="0"/>
    <n v="0"/>
    <n v="0"/>
    <n v="0"/>
    <n v="0"/>
    <n v="0"/>
    <n v="0"/>
    <x v="106"/>
    <m/>
    <m/>
    <m/>
    <m/>
    <m/>
    <m/>
  </r>
  <r>
    <n v="1577"/>
    <s v="แขวงทางหลวงปทุมธานี"/>
    <n v="416"/>
    <n v="345"/>
    <n v="200"/>
    <s v="บางคูวัด - บางพูน"/>
    <s v="12+003"/>
    <s v="12+803"/>
    <n v="0.8"/>
    <n v="6"/>
    <s v="L2"/>
    <d v="2015-09-02T00:00:00"/>
    <s v="C.C."/>
    <n v="0"/>
    <n v="2.5000000000000001E-2"/>
    <n v="0.6"/>
    <n v="0.2"/>
    <n v="4.5536399999999997"/>
    <n v="4.5"/>
    <n v="0"/>
    <n v="0"/>
    <n v="0.82499999999999996"/>
    <n v="1.2872699999999999"/>
    <n v="0"/>
    <n v="0"/>
    <n v="0"/>
    <n v="0"/>
    <n v="0"/>
    <n v="0"/>
    <n v="0"/>
    <n v="0"/>
    <n v="0"/>
    <x v="106"/>
    <m/>
    <m/>
    <m/>
    <m/>
    <m/>
    <m/>
  </r>
  <r>
    <n v="1578"/>
    <s v="แขวงทางหลวงปทุมธานี"/>
    <n v="416"/>
    <n v="345"/>
    <n v="200"/>
    <s v="บางคูวัด - บางพูน"/>
    <s v="12+003"/>
    <s v="10+547"/>
    <n v="1.456"/>
    <n v="6"/>
    <s v="R2"/>
    <d v="2015-09-02T00:00:00"/>
    <s v="C.C."/>
    <n v="0.1"/>
    <n v="0.3"/>
    <n v="1.1499999999999999"/>
    <n v="0.17499999999999999"/>
    <n v="4.1426100000000003"/>
    <n v="4"/>
    <n v="0"/>
    <n v="0"/>
    <n v="1.7249999999999999"/>
    <n v="1.02661"/>
    <n v="0"/>
    <n v="0"/>
    <n v="0"/>
    <n v="0"/>
    <n v="0"/>
    <n v="0"/>
    <n v="0"/>
    <n v="0"/>
    <n v="0"/>
    <x v="106"/>
    <m/>
    <m/>
    <m/>
    <m/>
    <m/>
    <m/>
  </r>
  <r>
    <n v="1579"/>
    <s v="แขวงทางหลวงปทุมธานี"/>
    <n v="416"/>
    <n v="345"/>
    <n v="200"/>
    <s v="บางคูวัด - บางพูน"/>
    <s v="12+803"/>
    <s v="13+203"/>
    <n v="0.4"/>
    <n v="6"/>
    <s v="L2"/>
    <d v="2015-09-02T00:00:00"/>
    <s v="C.C."/>
    <n v="0.2"/>
    <n v="0.2"/>
    <n v="2.5000000000000001E-2"/>
    <n v="0"/>
    <n v="2.5170599999999999"/>
    <n v="2.5"/>
    <n v="0"/>
    <n v="0"/>
    <n v="0.42500000000000004"/>
    <n v="1.34924"/>
    <n v="0"/>
    <n v="0"/>
    <n v="0"/>
    <n v="0"/>
    <n v="0"/>
    <n v="0"/>
    <n v="0"/>
    <n v="0"/>
    <n v="0"/>
    <x v="106"/>
    <m/>
    <m/>
    <m/>
    <m/>
    <m/>
    <m/>
  </r>
  <r>
    <n v="1580"/>
    <s v="แขวงทางหลวงปทุมธานี"/>
    <n v="416"/>
    <n v="345"/>
    <n v="200"/>
    <s v="บางคูวัด - บางพูน"/>
    <s v="12+803"/>
    <s v="12+003"/>
    <n v="0.8"/>
    <n v="6"/>
    <s v="R2"/>
    <d v="2015-09-02T00:00:00"/>
    <s v="C.C."/>
    <n v="0.125"/>
    <n v="0.05"/>
    <n v="0.42499999999999999"/>
    <n v="0.17499999999999999"/>
    <n v="4.2203200000000001"/>
    <n v="4"/>
    <n v="0"/>
    <n v="0"/>
    <n v="0.77499999999999991"/>
    <n v="1.1007100000000001"/>
    <n v="0"/>
    <n v="0"/>
    <n v="0"/>
    <n v="0"/>
    <n v="0"/>
    <n v="0"/>
    <n v="0"/>
    <n v="0"/>
    <n v="0"/>
    <x v="106"/>
    <m/>
    <m/>
    <m/>
    <m/>
    <m/>
    <m/>
  </r>
  <r>
    <n v="1581"/>
    <s v="แขวงทางหลวงปทุมธานี"/>
    <n v="416"/>
    <n v="345"/>
    <n v="200"/>
    <s v="บางคูวัด - บางพูน"/>
    <s v="13+203"/>
    <s v="13+503"/>
    <n v="0.3"/>
    <n v="6"/>
    <s v="L2"/>
    <d v="2015-09-02T00:00:00"/>
    <s v="C.C."/>
    <n v="0.15"/>
    <n v="0.2"/>
    <n v="7.4999999999999997E-2"/>
    <n v="7.4999999999999997E-2"/>
    <n v="3.2185000000000001"/>
    <n v="3"/>
    <n v="0"/>
    <n v="0"/>
    <n v="0.5"/>
    <n v="1.3165"/>
    <n v="0"/>
    <n v="0"/>
    <n v="0"/>
    <n v="0"/>
    <n v="0"/>
    <n v="0"/>
    <n v="0"/>
    <n v="0"/>
    <n v="0"/>
    <x v="106"/>
    <m/>
    <m/>
    <m/>
    <m/>
    <m/>
    <m/>
  </r>
  <r>
    <n v="1582"/>
    <s v="แขวงทางหลวงปทุมธานี"/>
    <n v="416"/>
    <n v="345"/>
    <n v="200"/>
    <s v="บางคูวัด - บางพูน"/>
    <s v="13+203"/>
    <s v="12+803"/>
    <n v="0.4"/>
    <n v="6"/>
    <s v="R2"/>
    <d v="2015-09-02T00:00:00"/>
    <s v="C.C."/>
    <n v="0.375"/>
    <n v="2.5000000000000001E-2"/>
    <n v="2.5000000000000001E-2"/>
    <n v="0"/>
    <n v="2.0976499999999998"/>
    <n v="2"/>
    <n v="0"/>
    <n v="0"/>
    <n v="0.42500000000000004"/>
    <n v="1.22288"/>
    <n v="0"/>
    <n v="0"/>
    <n v="0"/>
    <n v="0"/>
    <n v="0"/>
    <n v="0"/>
    <n v="0"/>
    <n v="0"/>
    <n v="0"/>
    <x v="106"/>
    <m/>
    <m/>
    <m/>
    <m/>
    <m/>
    <m/>
  </r>
  <r>
    <n v="1583"/>
    <s v="แขวงทางหลวงปทุมธานี"/>
    <n v="416"/>
    <n v="345"/>
    <n v="200"/>
    <s v="บางคูวัด - บางพูน"/>
    <s v="13+503"/>
    <s v="14+013"/>
    <n v="0.51"/>
    <n v="6"/>
    <s v="L2"/>
    <d v="2015-09-02T00:00:00"/>
    <s v="C.C."/>
    <n v="0"/>
    <n v="7.4999999999999997E-2"/>
    <n v="0.4"/>
    <n v="7.4999999999999997E-2"/>
    <n v="4.28864"/>
    <n v="4.5"/>
    <n v="0"/>
    <n v="0"/>
    <n v="0.55000000000000004"/>
    <n v="1.3208599999999999"/>
    <n v="2"/>
    <n v="2"/>
    <n v="0"/>
    <n v="0"/>
    <n v="0"/>
    <n v="0"/>
    <n v="0"/>
    <n v="0"/>
    <n v="0"/>
    <x v="106"/>
    <m/>
    <m/>
    <m/>
    <m/>
    <m/>
    <m/>
  </r>
  <r>
    <n v="1584"/>
    <s v="แขวงทางหลวงปทุมธานี"/>
    <n v="416"/>
    <n v="345"/>
    <n v="200"/>
    <s v="บางคูวัด - บางพูน"/>
    <s v="13+503"/>
    <s v="13+203"/>
    <n v="0.3"/>
    <n v="6"/>
    <s v="R2"/>
    <d v="2015-09-02T00:00:00"/>
    <s v="C.C."/>
    <n v="0.2"/>
    <n v="0"/>
    <n v="2.5000000000000001E-2"/>
    <n v="0.1"/>
    <n v="3.4261499999999998"/>
    <n v="3.5"/>
    <n v="0"/>
    <n v="0"/>
    <n v="0.32500000000000001"/>
    <n v="1.1964600000000001"/>
    <n v="0"/>
    <n v="0"/>
    <n v="0"/>
    <n v="0"/>
    <n v="0"/>
    <n v="0"/>
    <n v="0"/>
    <n v="0"/>
    <n v="0"/>
    <x v="106"/>
    <m/>
    <m/>
    <m/>
    <m/>
    <m/>
    <m/>
  </r>
  <r>
    <n v="1585"/>
    <s v="แขวงทางหลวงปทุมธานี"/>
    <n v="416"/>
    <n v="345"/>
    <n v="200"/>
    <s v="บางคูวัด - บางพูน"/>
    <s v="14+013"/>
    <s v="14+783"/>
    <n v="0.77"/>
    <n v="6"/>
    <s v="L2"/>
    <d v="2015-09-02T00:00:00"/>
    <s v="C.C."/>
    <n v="7.4999999999999997E-2"/>
    <n v="7.4999999999999997E-2"/>
    <n v="0.4"/>
    <n v="0.2"/>
    <n v="4.3273299999999999"/>
    <n v="4.5"/>
    <n v="0"/>
    <n v="0"/>
    <n v="0.75"/>
    <n v="0.94140000000000001"/>
    <n v="0"/>
    <n v="0"/>
    <n v="0"/>
    <n v="1"/>
    <n v="0"/>
    <n v="0"/>
    <n v="0"/>
    <n v="0"/>
    <n v="0"/>
    <x v="106"/>
    <m/>
    <m/>
    <m/>
    <m/>
    <m/>
    <m/>
  </r>
  <r>
    <n v="1586"/>
    <s v="แขวงทางหลวงปทุมธานี"/>
    <n v="416"/>
    <n v="345"/>
    <n v="200"/>
    <s v="บางคูวัด - บางพูน"/>
    <s v="14+013"/>
    <s v="13+503"/>
    <n v="0.51"/>
    <n v="6"/>
    <s v="R2"/>
    <d v="2015-09-02T00:00:00"/>
    <s v="C.C."/>
    <n v="0"/>
    <n v="2.5000000000000001E-2"/>
    <n v="0.35"/>
    <n v="0.15"/>
    <n v="4.5490500000000003"/>
    <n v="4.5"/>
    <n v="0"/>
    <n v="0"/>
    <n v="0.52500000000000002"/>
    <n v="1.0471900000000001"/>
    <n v="0"/>
    <n v="0"/>
    <n v="0"/>
    <n v="0"/>
    <n v="0"/>
    <n v="0"/>
    <n v="0"/>
    <n v="0"/>
    <n v="0"/>
    <x v="106"/>
    <m/>
    <m/>
    <m/>
    <m/>
    <m/>
    <m/>
  </r>
  <r>
    <n v="1587"/>
    <s v="แขวงทางหลวงปทุมธานี"/>
    <n v="416"/>
    <n v="345"/>
    <n v="200"/>
    <s v="บางคูวัด - บางพูน"/>
    <s v="14+783"/>
    <s v="16+105"/>
    <n v="1.3220000000000001"/>
    <n v="6"/>
    <s v="L2"/>
    <d v="2015-09-02T00:00:00"/>
    <s v="C.C."/>
    <n v="0.85"/>
    <n v="0.3"/>
    <n v="0.17499999999999999"/>
    <n v="0"/>
    <n v="2.3775499999999998"/>
    <n v="2.5"/>
    <n v="0"/>
    <n v="0"/>
    <n v="1.325"/>
    <n v="1.1145700000000001"/>
    <n v="0"/>
    <n v="0"/>
    <n v="0"/>
    <n v="0"/>
    <n v="0"/>
    <n v="0"/>
    <n v="0"/>
    <n v="0"/>
    <n v="0"/>
    <x v="106"/>
    <m/>
    <m/>
    <m/>
    <m/>
    <m/>
    <m/>
  </r>
  <r>
    <n v="1588"/>
    <s v="แขวงทางหลวงปทุมธานี"/>
    <n v="416"/>
    <n v="345"/>
    <n v="200"/>
    <s v="บางคูวัด - บางพูน"/>
    <s v="14+783"/>
    <s v="14+013"/>
    <n v="0.77"/>
    <n v="6"/>
    <s v="R2"/>
    <d v="2015-09-02T00:00:00"/>
    <s v="C.C."/>
    <n v="0"/>
    <n v="7.4999999999999997E-2"/>
    <n v="0.57499999999999996"/>
    <n v="0.15"/>
    <n v="4.5153100000000004"/>
    <n v="4.5"/>
    <n v="0"/>
    <n v="0"/>
    <n v="0.79999999999999993"/>
    <n v="1.0183800000000001"/>
    <n v="0"/>
    <n v="0"/>
    <n v="0"/>
    <n v="0"/>
    <n v="0"/>
    <n v="0"/>
    <n v="0"/>
    <n v="0"/>
    <n v="0"/>
    <x v="106"/>
    <m/>
    <m/>
    <m/>
    <m/>
    <m/>
    <m/>
  </r>
  <r>
    <n v="1589"/>
    <s v="แขวงทางหลวงปทุมธานี"/>
    <n v="416"/>
    <n v="345"/>
    <n v="200"/>
    <s v="บางคูวัด - บางพูน"/>
    <s v="16+105"/>
    <s v="14+783"/>
    <n v="1.3220000000000001"/>
    <n v="6"/>
    <s v="R2"/>
    <d v="2015-09-02T00:00:00"/>
    <s v="C.C."/>
    <n v="7.4999999999999997E-2"/>
    <n v="0.47499999999999998"/>
    <n v="0.72499999999999998"/>
    <n v="0.05"/>
    <n v="3.6769799999999999"/>
    <n v="3.5"/>
    <n v="0"/>
    <n v="0"/>
    <n v="1.325"/>
    <n v="1.1105100000000001"/>
    <n v="0"/>
    <n v="0"/>
    <n v="0"/>
    <n v="0"/>
    <n v="0"/>
    <n v="0"/>
    <n v="0"/>
    <n v="0"/>
    <n v="0"/>
    <x v="106"/>
    <m/>
    <m/>
    <m/>
    <m/>
    <m/>
    <m/>
  </r>
  <r>
    <n v="1596"/>
    <s v="แขวงทางหลวงปทุมธานี"/>
    <n v="416"/>
    <n v="346"/>
    <n v="101"/>
    <s v="ต่างระดับรังสิต - สะพานคลองเปรม"/>
    <s v="1+184"/>
    <s v="0+000"/>
    <n v="1.1839999999999999"/>
    <n v="10"/>
    <s v="R2"/>
    <d v="2015-09-02T00:00:00"/>
    <s v="C.C."/>
    <n v="0.2"/>
    <n v="0.45"/>
    <n v="0.1"/>
    <n v="0.32500000000000001"/>
    <n v="3.9223300000000001"/>
    <n v="4"/>
    <n v="0"/>
    <n v="0"/>
    <n v="1.075"/>
    <n v="0.96141900000000002"/>
    <n v="0"/>
    <n v="0"/>
    <n v="0"/>
    <n v="0"/>
    <n v="0"/>
    <n v="0"/>
    <n v="0"/>
    <n v="0"/>
    <n v="0"/>
    <x v="106"/>
    <m/>
    <m/>
    <m/>
    <m/>
    <m/>
    <m/>
  </r>
  <r>
    <n v="1597"/>
    <s v="แขวงทางหลวงปทุมธานี"/>
    <n v="416"/>
    <n v="346"/>
    <n v="101"/>
    <s v="ต่างระดับรังสิต - สะพานคลองเปรม"/>
    <s v="1+740"/>
    <s v="1+184"/>
    <n v="0.55600000000000005"/>
    <n v="10"/>
    <s v="R2"/>
    <d v="2015-09-02T00:00:00"/>
    <s v="C.C."/>
    <n v="0"/>
    <n v="0.27500000000000002"/>
    <n v="0.17499999999999999"/>
    <n v="0.17499999999999999"/>
    <n v="4.4867999999999997"/>
    <n v="4.5"/>
    <n v="0"/>
    <n v="0"/>
    <n v="0.625"/>
    <n v="0.95687999999999995"/>
    <n v="0"/>
    <n v="0"/>
    <n v="0"/>
    <n v="0"/>
    <n v="0"/>
    <n v="0"/>
    <n v="0"/>
    <n v="0"/>
    <n v="0"/>
    <x v="106"/>
    <m/>
    <m/>
    <m/>
    <m/>
    <m/>
    <m/>
  </r>
  <r>
    <n v="1600"/>
    <s v="แขวงทางหลวงปทุมธานี"/>
    <n v="416"/>
    <n v="346"/>
    <n v="102"/>
    <s v="สะพานคลองเปรม - สะพานข้ามแม่น้ำเจ้าพระยาปทุมธานี"/>
    <s v="2+924"/>
    <s v="1+740"/>
    <n v="1.1839999999999999"/>
    <n v="6"/>
    <s v="R2"/>
    <d v="2015-09-02T00:00:00"/>
    <s v="C.C."/>
    <n v="0.5"/>
    <n v="0.22500000000000001"/>
    <n v="0.22500000000000001"/>
    <n v="0.1"/>
    <n v="3.09762"/>
    <n v="3"/>
    <n v="0"/>
    <n v="0"/>
    <n v="1.05"/>
    <n v="0.95511900000000005"/>
    <n v="0"/>
    <n v="0"/>
    <n v="0"/>
    <n v="0"/>
    <n v="0"/>
    <n v="0"/>
    <n v="0"/>
    <n v="0"/>
    <n v="0"/>
    <x v="106"/>
    <m/>
    <m/>
    <m/>
    <m/>
    <m/>
    <m/>
  </r>
  <r>
    <n v="1602"/>
    <s v="แขวงทางหลวงปทุมธานี"/>
    <n v="416"/>
    <n v="346"/>
    <n v="102"/>
    <s v="สะพานคลองเปรม - สะพานข้ามแม่น้ำเจ้าพระยาปทุมธานี"/>
    <s v="7+495"/>
    <s v="2+924"/>
    <n v="4.5709999999999997"/>
    <n v="6"/>
    <s v="R2"/>
    <d v="2015-09-02T00:00:00"/>
    <s v="C.C."/>
    <n v="2.85"/>
    <n v="1.2"/>
    <n v="0.42499999999999999"/>
    <n v="0.22500000000000001"/>
    <n v="2.5673400000000002"/>
    <n v="2.5"/>
    <n v="0"/>
    <n v="0"/>
    <n v="4.6999999999999993"/>
    <n v="0.93"/>
    <n v="0"/>
    <n v="0"/>
    <n v="0"/>
    <n v="0"/>
    <n v="0"/>
    <n v="0"/>
    <n v="0"/>
    <n v="0"/>
    <n v="0"/>
    <x v="106"/>
    <m/>
    <m/>
    <m/>
    <m/>
    <m/>
    <m/>
  </r>
  <r>
    <n v="1603"/>
    <s v="แขวงทางหลวงปทุมธานี"/>
    <n v="416"/>
    <n v="346"/>
    <n v="102"/>
    <s v="สะพานคลองเปรม - สะพานข้ามแม่น้ำเจ้าพระยาปทุมธานี"/>
    <s v="8+739"/>
    <s v="7+495"/>
    <n v="1.244"/>
    <n v="6"/>
    <s v="R2"/>
    <d v="2015-09-02T00:00:00"/>
    <s v="C.C."/>
    <n v="0.05"/>
    <n v="0.17499999999999999"/>
    <n v="0.42499999999999999"/>
    <n v="0.6"/>
    <n v="5.1180000000000003"/>
    <n v="5"/>
    <n v="0"/>
    <n v="0"/>
    <n v="1.25"/>
    <n v="1.0049399999999999"/>
    <n v="0"/>
    <n v="0"/>
    <n v="0"/>
    <n v="0"/>
    <n v="0"/>
    <n v="0"/>
    <n v="2.38"/>
    <n v="5.4662379421221867E-2"/>
    <n v="0"/>
    <x v="106"/>
    <m/>
    <m/>
    <m/>
    <m/>
    <m/>
    <m/>
  </r>
  <r>
    <n v="1606"/>
    <s v="แขวงทางหลวงปทุมธานี"/>
    <n v="416"/>
    <n v="346"/>
    <n v="102"/>
    <s v="สะพานคลองเปรม - สะพานข้ามแม่น้ำเจ้าพระยาปทุมธานี"/>
    <s v="10+840"/>
    <s v="10+240"/>
    <n v="0.6"/>
    <n v="6"/>
    <s v="R2"/>
    <d v="2015-09-02T00:00:00"/>
    <s v="C.C."/>
    <n v="0.05"/>
    <n v="0.35"/>
    <n v="0.22500000000000001"/>
    <n v="0.05"/>
    <n v="3.43222"/>
    <n v="3.5"/>
    <n v="0"/>
    <n v="0"/>
    <n v="0.67500000000000004"/>
    <n v="1.1831499999999999"/>
    <n v="0"/>
    <n v="0"/>
    <n v="0"/>
    <n v="0"/>
    <n v="0"/>
    <n v="0"/>
    <n v="0"/>
    <n v="0"/>
    <n v="0"/>
    <x v="106"/>
    <m/>
    <m/>
    <m/>
    <m/>
    <m/>
    <m/>
  </r>
  <r>
    <n v="1607"/>
    <s v="แขวงทางหลวงปทุมธานี"/>
    <n v="416"/>
    <n v="346"/>
    <n v="102"/>
    <s v="สะพานคลองเปรม - สะพานข้ามแม่น้ำเจ้าพระยาปทุมธานี"/>
    <s v="11+350"/>
    <s v="10+840"/>
    <n v="0.51"/>
    <n v="6"/>
    <s v="R2"/>
    <d v="2015-09-02T00:00:00"/>
    <s v="C.C."/>
    <n v="0.05"/>
    <n v="0.22500000000000001"/>
    <n v="0.17499999999999999"/>
    <n v="2.5000000000000001E-2"/>
    <n v="3.4410500000000002"/>
    <n v="3.5"/>
    <n v="0"/>
    <n v="0"/>
    <n v="0.47500000000000003"/>
    <n v="1.23611"/>
    <n v="0"/>
    <n v="0"/>
    <n v="0"/>
    <n v="0"/>
    <n v="0"/>
    <n v="0"/>
    <n v="3.34"/>
    <n v="0.18711484593837532"/>
    <n v="0"/>
    <x v="106"/>
    <m/>
    <m/>
    <m/>
    <m/>
    <m/>
    <m/>
  </r>
  <r>
    <n v="1609"/>
    <s v="แขวงทางหลวงปทุมธานี"/>
    <n v="416"/>
    <n v="346"/>
    <n v="103"/>
    <s v="สะพานข้ามแม่น้ำเจ้าพระยาปทุมธานี - ต่างระดับลาดหลุมแก้ว"/>
    <s v="20+480"/>
    <s v="11+350"/>
    <n v="9.3010000000000002"/>
    <n v="4"/>
    <s v="R2"/>
    <d v="2015-09-02T00:00:00"/>
    <s v="C.C."/>
    <n v="0.17499999999999999"/>
    <n v="2.8"/>
    <n v="4.375"/>
    <n v="1.7749999999999999"/>
    <n v="4.1978400000000002"/>
    <n v="4"/>
    <n v="0"/>
    <n v="0"/>
    <n v="9.125"/>
    <n v="1.15601"/>
    <n v="4"/>
    <n v="4"/>
    <n v="0"/>
    <n v="0"/>
    <n v="3"/>
    <n v="0"/>
    <n v="48.82"/>
    <n v="0.15277734313878891"/>
    <n v="0"/>
    <x v="106"/>
    <m/>
    <m/>
    <m/>
    <m/>
    <m/>
    <m/>
  </r>
  <r>
    <n v="1610"/>
    <s v="แขวงทางหลวงปทุมธานี"/>
    <n v="416"/>
    <n v="347"/>
    <n v="102"/>
    <s v="ต่างระดับเชียงรากน้อย - บางกระสั้น"/>
    <s v="15+881"/>
    <n v="20643"/>
    <n v="4.7619999999999996"/>
    <n v="4"/>
    <s v="R2"/>
    <d v="2015-09-02T00:00:00"/>
    <s v="C.C."/>
    <n v="0.42499999999999999"/>
    <n v="0.8"/>
    <n v="1.2250000000000001"/>
    <n v="0.92500000000000004"/>
    <n v="3.74"/>
    <n v="3.5"/>
    <n v="0"/>
    <n v="0"/>
    <n v="3.375"/>
    <n v="1.21"/>
    <n v="0"/>
    <n v="0"/>
    <n v="0"/>
    <n v="0"/>
    <n v="0"/>
    <n v="0"/>
    <n v="0"/>
    <n v="0"/>
    <n v="0"/>
    <x v="106"/>
    <m/>
    <m/>
    <m/>
    <m/>
    <m/>
    <m/>
  </r>
  <r>
    <n v="1612"/>
    <s v="แขวงทางหลวงปทุมธานี"/>
    <n v="416"/>
    <n v="3214"/>
    <n v="100"/>
    <s v="บ้านพร้าว - คลองห้า"/>
    <s v="4+940"/>
    <s v="2+750"/>
    <n v="2.19"/>
    <n v="4"/>
    <s v="R2"/>
    <d v="2015-09-02T00:00:00"/>
    <s v="C.C."/>
    <n v="0.125"/>
    <n v="1.4"/>
    <n v="0.45"/>
    <n v="0.15"/>
    <n v="3.3768199999999999"/>
    <n v="3.5"/>
    <n v="0"/>
    <n v="0"/>
    <n v="2.125"/>
    <n v="1.08586"/>
    <n v="4"/>
    <n v="4"/>
    <n v="0"/>
    <n v="0"/>
    <n v="0"/>
    <n v="0"/>
    <n v="0"/>
    <n v="0"/>
    <n v="0"/>
    <x v="106"/>
    <m/>
    <m/>
    <m/>
    <m/>
    <m/>
    <m/>
  </r>
  <r>
    <n v="1614"/>
    <s v="แขวงทางหลวงปทุมธานี"/>
    <n v="416"/>
    <n v="3214"/>
    <n v="100"/>
    <s v="บ้านพร้าว - คลองห้า"/>
    <s v="6+000"/>
    <s v="5+000"/>
    <n v="1"/>
    <n v="4"/>
    <s v="R2"/>
    <d v="2015-09-02T00:00:00"/>
    <s v="C.C."/>
    <n v="0"/>
    <n v="7.4999999999999997E-2"/>
    <n v="0.7"/>
    <n v="0.35"/>
    <n v="4.7406699999999997"/>
    <n v="4.5"/>
    <n v="0"/>
    <n v="0"/>
    <n v="1.125"/>
    <n v="1.12033"/>
    <n v="0"/>
    <n v="0"/>
    <n v="0"/>
    <n v="0"/>
    <n v="0"/>
    <n v="0"/>
    <n v="0"/>
    <n v="0"/>
    <n v="0"/>
    <x v="106"/>
    <m/>
    <m/>
    <m/>
    <m/>
    <m/>
    <m/>
  </r>
  <r>
    <n v="1624"/>
    <s v="แขวงทางหลวงสมุทรปราการ"/>
    <n v="417"/>
    <n v="3344"/>
    <n v="100"/>
    <s v="อุดมสุข - สมุทรปราการ"/>
    <s v="10+800"/>
    <s v="14+000"/>
    <n v="1.76"/>
    <n v="9"/>
    <s v="L2"/>
    <d v="2015-08-22T00:00:00"/>
    <s v="A.C."/>
    <n v="0.5"/>
    <n v="0.1"/>
    <n v="0.625"/>
    <n v="0.5"/>
    <n v="4.38978"/>
    <n v="4.5"/>
    <n v="1.7"/>
    <n v="2.5000000000000001E-2"/>
    <n v="0"/>
    <n v="0"/>
    <n v="4.0194700000000001"/>
    <n v="4"/>
    <n v="0"/>
    <n v="0"/>
    <n v="1.7250000000000001"/>
    <n v="1.00454"/>
    <n v="0"/>
    <n v="0"/>
    <n v="0"/>
    <x v="106"/>
    <n v="0"/>
    <n v="0"/>
    <n v="12.33"/>
    <n v="0.20016233766233768"/>
    <n v="0"/>
    <n v="0"/>
  </r>
  <r>
    <n v="1625"/>
    <s v="แขวงทางหลวงสมุทรปราการ"/>
    <n v="417"/>
    <n v="3344"/>
    <n v="100"/>
    <s v="อุดมสุข - สมุทรปราการ"/>
    <s v="14+000"/>
    <s v="12+490"/>
    <n v="1.51"/>
    <n v="9"/>
    <s v="R2"/>
    <d v="2015-08-22T00:00:00"/>
    <s v="A.C."/>
    <n v="0.85"/>
    <n v="0.27500000000000002"/>
    <n v="0.2"/>
    <n v="0.4"/>
    <n v="3.7530000000000001"/>
    <n v="4"/>
    <n v="1.7250000000000001"/>
    <n v="0"/>
    <n v="0"/>
    <n v="0"/>
    <n v="3.798"/>
    <n v="4"/>
    <n v="0"/>
    <n v="0"/>
    <n v="1.7250000000000001"/>
    <n v="1.1140000000000001"/>
    <n v="0"/>
    <n v="0"/>
    <n v="0"/>
    <x v="106"/>
    <n v="0"/>
    <n v="0"/>
    <n v="12.33"/>
    <n v="0.23330179754020813"/>
    <n v="0"/>
    <n v="0"/>
  </r>
  <r>
    <n v="1626"/>
    <s v="แขวงทางหลวงสมุทรปราการ"/>
    <n v="417"/>
    <n v="3701"/>
    <n v="200"/>
    <s v="ลาดกระบัง - บางควาย"/>
    <s v="22+000"/>
    <s v="23+517"/>
    <n v="1.052"/>
    <n v="2"/>
    <s v="L1"/>
    <d v="2015-08-25T00:00:00"/>
    <s v="A.C."/>
    <n v="1.2"/>
    <n v="0.2"/>
    <n v="0.1"/>
    <n v="0.05"/>
    <n v="2.2709999999999999"/>
    <n v="2.5"/>
    <n v="1.4750000000000001"/>
    <n v="0.05"/>
    <n v="2.5000000000000001E-2"/>
    <n v="0"/>
    <n v="6.2009999999999996"/>
    <n v="6"/>
    <n v="0"/>
    <n v="0"/>
    <n v="1.55"/>
    <n v="1.31"/>
    <n v="0"/>
    <n v="0"/>
    <n v="0"/>
    <x v="106"/>
    <n v="0"/>
    <n v="0"/>
    <n v="0"/>
    <n v="0"/>
    <n v="0"/>
    <n v="0"/>
  </r>
  <r>
    <n v="1627"/>
    <s v="แขวงทางหลวงสมุทรปราการ"/>
    <n v="417"/>
    <n v="3701"/>
    <n v="200"/>
    <s v="ลาดกระบัง - บางควาย"/>
    <s v="23+667"/>
    <s v="24+197"/>
    <n v="0.53"/>
    <n v="2"/>
    <s v="L1"/>
    <d v="2015-08-25T00:00:00"/>
    <s v="A.C."/>
    <n v="0.4"/>
    <n v="0.05"/>
    <n v="0.05"/>
    <n v="2.5000000000000001E-2"/>
    <n v="2.4489999999999998"/>
    <n v="2.5"/>
    <n v="0.47499999999999998"/>
    <n v="0"/>
    <n v="2.5000000000000001E-2"/>
    <n v="2.5000000000000001E-2"/>
    <n v="5.3570000000000002"/>
    <n v="5.5"/>
    <n v="0"/>
    <n v="0"/>
    <n v="0.52500000000000002"/>
    <n v="1.6779999999999999"/>
    <n v="0"/>
    <n v="0"/>
    <n v="0"/>
    <x v="106"/>
    <n v="0"/>
    <n v="0"/>
    <n v="0"/>
    <n v="0"/>
    <n v="0"/>
    <n v="0"/>
  </r>
  <r>
    <n v="1628"/>
    <s v="แขวงทางหลวงสมุทรปราการ"/>
    <n v="417"/>
    <n v="3701"/>
    <n v="200"/>
    <s v="ลาดกระบัง - บางควาย"/>
    <s v="24+389"/>
    <s v="25+022"/>
    <n v="0.63300000000000001"/>
    <n v="2"/>
    <s v="L1"/>
    <d v="2015-08-25T00:00:00"/>
    <s v="A.C."/>
    <n v="0.47499999999999998"/>
    <n v="0.2"/>
    <n v="0.05"/>
    <n v="0"/>
    <n v="2.444"/>
    <n v="2.5"/>
    <n v="0.57499999999999996"/>
    <n v="0.05"/>
    <n v="0"/>
    <n v="0.1"/>
    <n v="11.972"/>
    <n v="12"/>
    <n v="0"/>
    <n v="0"/>
    <n v="0.72500000000000009"/>
    <n v="2.5449999999999999"/>
    <n v="0"/>
    <n v="0"/>
    <n v="0"/>
    <x v="106"/>
    <n v="9"/>
    <n v="0.40622884224779959"/>
    <n v="0"/>
    <n v="0"/>
    <n v="0"/>
    <n v="0"/>
  </r>
  <r>
    <n v="1629"/>
    <s v="แขวงทางหลวงสมุทรปราการ"/>
    <n v="417"/>
    <n v="3701"/>
    <n v="200"/>
    <s v="ลาดกระบัง - บางควาย"/>
    <s v="25+174"/>
    <s v="26+799"/>
    <n v="1.1950000000000001"/>
    <n v="2"/>
    <s v="L1"/>
    <d v="2015-08-25T00:00:00"/>
    <s v="A.C."/>
    <n v="1.25"/>
    <n v="0.3"/>
    <n v="0.15"/>
    <n v="0"/>
    <n v="2.3809999999999998"/>
    <n v="2.5"/>
    <n v="1.5249999999999999"/>
    <n v="0.05"/>
    <n v="2.5000000000000001E-2"/>
    <n v="0.1"/>
    <n v="5.8879999999999999"/>
    <n v="6"/>
    <n v="0"/>
    <n v="0"/>
    <n v="1.7"/>
    <n v="1.286"/>
    <n v="0"/>
    <n v="0"/>
    <n v="0"/>
    <x v="106"/>
    <n v="0"/>
    <n v="0"/>
    <n v="0"/>
    <n v="0"/>
    <n v="0"/>
    <n v="0"/>
  </r>
  <r>
    <n v="1631"/>
    <s v="แขวงทางหลวงสมุทรปราการ"/>
    <n v="417"/>
    <n v="3701"/>
    <n v="200"/>
    <s v="ลาดกระบัง - บางควาย"/>
    <s v="29+010"/>
    <s v="30+845"/>
    <n v="1.835"/>
    <n v="2"/>
    <s v="L1"/>
    <d v="2015-08-25T00:00:00"/>
    <s v="A.C."/>
    <n v="1.25"/>
    <n v="0.22500000000000001"/>
    <n v="7.4999999999999997E-2"/>
    <n v="0.2"/>
    <n v="2.6789999999999998"/>
    <n v="2.5"/>
    <n v="1.7"/>
    <n v="0.05"/>
    <n v="0"/>
    <n v="0"/>
    <n v="4.1840000000000002"/>
    <n v="4"/>
    <n v="0"/>
    <n v="0"/>
    <n v="1.75"/>
    <n v="1.3"/>
    <n v="0"/>
    <n v="0"/>
    <n v="0"/>
    <x v="106"/>
    <n v="0"/>
    <n v="0"/>
    <n v="0"/>
    <n v="0"/>
    <n v="0"/>
    <n v="0"/>
  </r>
  <r>
    <n v="1632"/>
    <s v="แขวงทางหลวงสมุทรปราการ"/>
    <n v="417"/>
    <n v="3701"/>
    <n v="200"/>
    <s v="ลาดกระบัง - บางควาย"/>
    <s v="30+911"/>
    <s v="31+854"/>
    <n v="0.94299999999999995"/>
    <n v="2"/>
    <s v="L1"/>
    <d v="2015-08-25T00:00:00"/>
    <s v="A.C."/>
    <n v="0.75"/>
    <n v="0.17499999999999999"/>
    <n v="0.05"/>
    <n v="0.05"/>
    <n v="2.327"/>
    <n v="2.5"/>
    <n v="1.0249999999999999"/>
    <n v="0"/>
    <n v="0"/>
    <n v="0"/>
    <n v="3.819"/>
    <n v="4"/>
    <n v="0"/>
    <n v="0"/>
    <n v="1.0250000000000001"/>
    <n v="1.3129999999999999"/>
    <n v="0"/>
    <n v="0"/>
    <n v="0"/>
    <x v="106"/>
    <n v="0"/>
    <n v="0"/>
    <n v="0"/>
    <n v="0"/>
    <n v="0"/>
    <n v="0"/>
  </r>
  <r>
    <n v="1633"/>
    <s v="แขวงทางหลวงสมุทรปราการ"/>
    <n v="417"/>
    <n v="3701"/>
    <n v="200"/>
    <s v="ลาดกระบัง - บางควาย"/>
    <s v="32+032"/>
    <s v="32+783"/>
    <n v="0.751"/>
    <n v="2"/>
    <s v="L1"/>
    <d v="2015-08-25T00:00:00"/>
    <s v="A.C."/>
    <n v="0.5"/>
    <n v="2.5000000000000001E-2"/>
    <n v="0.2"/>
    <n v="2.5000000000000001E-2"/>
    <n v="2.7"/>
    <n v="2.5"/>
    <n v="0.72499999999999998"/>
    <n v="2.5000000000000001E-2"/>
    <n v="0"/>
    <n v="0"/>
    <n v="4.5129999999999999"/>
    <n v="4.5"/>
    <n v="0"/>
    <n v="0"/>
    <n v="0.75000000000000011"/>
    <n v="1.21"/>
    <n v="0"/>
    <n v="0"/>
    <n v="0"/>
    <x v="106"/>
    <n v="0"/>
    <n v="0"/>
    <n v="0"/>
    <n v="0"/>
    <n v="0"/>
    <n v="0"/>
  </r>
  <r>
    <n v="1634"/>
    <s v="แขวงทางหลวงสมุทรปราการ"/>
    <n v="417"/>
    <n v="3701"/>
    <n v="200"/>
    <s v="ลาดกระบัง - บางควาย"/>
    <s v="32+949"/>
    <s v="34+184"/>
    <n v="1.2350000000000001"/>
    <n v="2"/>
    <s v="L1"/>
    <d v="2015-08-25T00:00:00"/>
    <s v="A.C."/>
    <n v="0.375"/>
    <n v="0.2"/>
    <n v="0.2"/>
    <n v="0.47499999999999998"/>
    <n v="4.8280000000000003"/>
    <n v="5"/>
    <n v="1.075"/>
    <n v="0.15"/>
    <n v="0"/>
    <n v="2.5000000000000001E-2"/>
    <n v="7.1790000000000003"/>
    <n v="7"/>
    <n v="0"/>
    <n v="0"/>
    <n v="1.25"/>
    <n v="1.2929999999999999"/>
    <n v="0"/>
    <n v="0"/>
    <n v="0"/>
    <x v="106"/>
    <n v="0"/>
    <n v="0"/>
    <n v="0"/>
    <n v="0"/>
    <n v="0"/>
    <n v="0"/>
  </r>
  <r>
    <n v="1635"/>
    <s v="แขวงทางหลวงสมุทรปราการ"/>
    <n v="417"/>
    <n v="3701"/>
    <n v="200"/>
    <s v="ลาดกระบัง - บางควาย"/>
    <s v="34+230"/>
    <s v="34+849"/>
    <n v="0.61899999999999999"/>
    <n v="2"/>
    <s v="L1"/>
    <d v="2015-08-25T00:00:00"/>
    <s v="A.C."/>
    <n v="0.22500000000000001"/>
    <n v="0.15"/>
    <n v="7.4999999999999997E-2"/>
    <n v="0.125"/>
    <n v="3.3180000000000001"/>
    <n v="3.5"/>
    <n v="0.57499999999999996"/>
    <n v="0"/>
    <n v="0"/>
    <n v="0"/>
    <n v="3.8359999999999999"/>
    <n v="4"/>
    <n v="0"/>
    <n v="0"/>
    <n v="0.57499999999999996"/>
    <n v="1.19"/>
    <n v="0"/>
    <n v="0"/>
    <n v="0"/>
    <x v="106"/>
    <n v="0"/>
    <n v="0"/>
    <n v="0"/>
    <n v="0"/>
    <n v="0"/>
    <n v="0"/>
  </r>
  <r>
    <n v="1636"/>
    <s v="แขวงทางหลวงสมุทรปราการ"/>
    <n v="417"/>
    <n v="3701"/>
    <n v="200"/>
    <s v="ลาดกระบัง - บางควาย"/>
    <s v="34+875"/>
    <s v="36+104"/>
    <n v="1.2290000000000001"/>
    <n v="2"/>
    <s v="L1"/>
    <d v="2015-08-25T00:00:00"/>
    <s v="A.C."/>
    <n v="0.85"/>
    <n v="0.27500000000000002"/>
    <n v="0.17499999999999999"/>
    <n v="0"/>
    <n v="2.38"/>
    <n v="2.5"/>
    <n v="1.2749999999999999"/>
    <n v="2.5000000000000001E-2"/>
    <n v="0"/>
    <n v="0"/>
    <n v="3.6320000000000001"/>
    <n v="3.5"/>
    <n v="0"/>
    <n v="0"/>
    <n v="1.3"/>
    <n v="1.2090000000000001"/>
    <n v="0"/>
    <n v="0"/>
    <n v="0"/>
    <x v="106"/>
    <n v="0"/>
    <n v="0"/>
    <n v="0"/>
    <n v="0"/>
    <n v="0"/>
    <n v="0"/>
  </r>
  <r>
    <n v="1637"/>
    <s v="แขวงทางหลวงสมุทรปราการ"/>
    <n v="417"/>
    <n v="3701"/>
    <n v="200"/>
    <s v="ลาดกระบัง - บางควาย"/>
    <s v="36+230"/>
    <s v="38+126"/>
    <n v="1.8959999999999999"/>
    <n v="2"/>
    <s v="L1"/>
    <d v="2015-08-25T00:00:00"/>
    <s v="A.C."/>
    <n v="0.82499999999999996"/>
    <n v="0.625"/>
    <n v="0.27500000000000002"/>
    <n v="0.2"/>
    <n v="3.161"/>
    <n v="3"/>
    <n v="1.9"/>
    <n v="2.5000000000000001E-2"/>
    <n v="0"/>
    <n v="0"/>
    <n v="3.6850000000000001"/>
    <n v="3.5"/>
    <n v="0"/>
    <n v="0"/>
    <n v="1.925"/>
    <n v="1.331"/>
    <n v="0"/>
    <n v="0"/>
    <n v="0"/>
    <x v="106"/>
    <n v="4"/>
    <n v="6.0277275467148894E-2"/>
    <n v="0"/>
    <n v="0"/>
    <n v="0"/>
    <n v="0"/>
  </r>
  <r>
    <n v="1638"/>
    <s v="แขวงทางหลวงสมุทรปราการ"/>
    <n v="417"/>
    <n v="3701"/>
    <n v="200"/>
    <s v="ลาดกระบัง - บางควาย"/>
    <s v="36+258"/>
    <s v="38+600"/>
    <n v="2.3420000000000001"/>
    <n v="2"/>
    <s v="L1"/>
    <d v="2015-08-25T00:00:00"/>
    <s v="A.C."/>
    <n v="7.4999999999999997E-2"/>
    <n v="7.4999999999999997E-2"/>
    <n v="0.05"/>
    <n v="0.125"/>
    <n v="4.6970000000000001"/>
    <n v="4.5"/>
    <n v="0.3"/>
    <n v="2.5000000000000001E-2"/>
    <n v="0"/>
    <n v="0"/>
    <n v="5.23"/>
    <n v="5"/>
    <n v="0"/>
    <n v="0"/>
    <n v="0.32500000000000001"/>
    <n v="1.1519999999999999"/>
    <n v="0"/>
    <n v="0"/>
    <n v="0"/>
    <x v="106"/>
    <n v="5.01"/>
    <n v="6.1119921922654606E-2"/>
    <n v="1.47"/>
    <n v="1.7933390264730995E-2"/>
    <n v="0"/>
    <n v="0"/>
  </r>
  <r>
    <n v="1639"/>
    <s v="แขวงทางหลวงสมุทรปราการ"/>
    <n v="417"/>
    <n v="3702"/>
    <n v="200"/>
    <s v="ลาดกระบัง - บางควาย"/>
    <s v="23+537"/>
    <s v="22+000"/>
    <n v="1.5369999999999999"/>
    <n v="2"/>
    <s v="R1"/>
    <d v="2015-08-25T00:00:00"/>
    <s v="A.C."/>
    <n v="0.8"/>
    <n v="0.375"/>
    <n v="0.05"/>
    <n v="0.25"/>
    <n v="3.5270000000000001"/>
    <n v="3.5"/>
    <n v="1.25"/>
    <n v="0.1"/>
    <n v="0.1"/>
    <n v="2.5000000000000001E-2"/>
    <n v="6.7450000000000001"/>
    <n v="6.5"/>
    <n v="0"/>
    <n v="0"/>
    <n v="1.4750000000000001"/>
    <n v="1.42"/>
    <n v="0"/>
    <n v="0"/>
    <n v="0"/>
    <x v="106"/>
    <n v="12.03"/>
    <n v="0.22362673110883907"/>
    <n v="5.68"/>
    <n v="0.10558602100566968"/>
    <n v="0"/>
    <n v="0"/>
  </r>
  <r>
    <n v="1640"/>
    <s v="แขวงทางหลวงสมุทรปราการ"/>
    <n v="417"/>
    <n v="3702"/>
    <n v="200"/>
    <s v="ลาดกระบัง - บางควาย"/>
    <s v="24+215"/>
    <s v="23+687"/>
    <n v="0.52800000000000002"/>
    <n v="2"/>
    <s v="R1"/>
    <d v="2015-08-25T00:00:00"/>
    <s v="A.C."/>
    <n v="0.35"/>
    <n v="0.2"/>
    <n v="2.5000000000000001E-2"/>
    <n v="0.05"/>
    <n v="2.5880000000000001"/>
    <n v="2.5"/>
    <n v="0.625"/>
    <n v="0"/>
    <n v="0"/>
    <n v="0"/>
    <n v="3.9780000000000002"/>
    <n v="4"/>
    <n v="0"/>
    <n v="0"/>
    <n v="0.62500000000000011"/>
    <n v="1.409"/>
    <n v="0"/>
    <n v="0"/>
    <n v="0"/>
    <x v="106"/>
    <n v="0"/>
    <n v="0"/>
    <n v="0"/>
    <n v="0"/>
    <n v="0"/>
    <n v="0"/>
  </r>
  <r>
    <n v="1641"/>
    <s v="แขวงทางหลวงสมุทรปราการ"/>
    <n v="417"/>
    <n v="3702"/>
    <n v="200"/>
    <s v="ลาดกระบัง - บางควาย"/>
    <s v="25+013"/>
    <s v="24+407"/>
    <n v="0.60599999999999998"/>
    <n v="2"/>
    <s v="R1"/>
    <d v="2015-08-25T00:00:00"/>
    <s v="A.C."/>
    <n v="0.4"/>
    <n v="0.2"/>
    <n v="0"/>
    <n v="2.5000000000000001E-2"/>
    <n v="2.484"/>
    <n v="2.5"/>
    <n v="0.55000000000000004"/>
    <n v="7.4999999999999997E-2"/>
    <n v="0"/>
    <n v="0"/>
    <n v="2.6709999999999998"/>
    <n v="2.5"/>
    <n v="0"/>
    <n v="0"/>
    <n v="0.62500000000000011"/>
    <n v="1.472"/>
    <n v="0"/>
    <n v="0"/>
    <n v="0"/>
    <x v="106"/>
    <n v="0"/>
    <n v="0"/>
    <n v="0"/>
    <n v="0"/>
    <n v="0"/>
    <n v="0"/>
  </r>
  <r>
    <n v="1642"/>
    <s v="แขวงทางหลวงสมุทรปราการ"/>
    <n v="417"/>
    <n v="3702"/>
    <n v="200"/>
    <s v="ลาดกระบัง - บางควาย"/>
    <s v="26+829"/>
    <s v="25+183"/>
    <n v="1.6459999999999999"/>
    <n v="2"/>
    <s v="R1"/>
    <d v="2015-08-25T00:00:00"/>
    <s v="A.C."/>
    <n v="1.05"/>
    <n v="0.47499999999999998"/>
    <n v="0.05"/>
    <n v="7.4999999999999997E-2"/>
    <n v="2.3820000000000001"/>
    <n v="2.5"/>
    <n v="1.625"/>
    <n v="2.5000000000000001E-2"/>
    <n v="0"/>
    <n v="0"/>
    <n v="2.968"/>
    <n v="3"/>
    <n v="0"/>
    <n v="0"/>
    <n v="1.65"/>
    <n v="1.1970000000000001"/>
    <n v="0"/>
    <n v="0"/>
    <n v="0"/>
    <x v="106"/>
    <n v="0"/>
    <n v="0"/>
    <n v="0"/>
    <n v="0"/>
    <n v="0"/>
    <n v="0"/>
  </r>
  <r>
    <n v="1643"/>
    <s v="แขวงทางหลวงสมุทรปราการ"/>
    <n v="417"/>
    <n v="3702"/>
    <n v="200"/>
    <s v="ลาดกระบัง - บางควาย"/>
    <s v="27+303"/>
    <s v="26+901"/>
    <n v="0.40200000000000002"/>
    <n v="2"/>
    <s v="R1"/>
    <d v="2015-08-25T00:00:00"/>
    <s v="A.C."/>
    <n v="0.1"/>
    <n v="7.4999999999999997E-2"/>
    <n v="0.05"/>
    <n v="0.25"/>
    <n v="5.9550000000000001"/>
    <n v="6"/>
    <n v="0.27500000000000002"/>
    <n v="0.2"/>
    <n v="0"/>
    <n v="0"/>
    <n v="9.1430000000000007"/>
    <n v="9"/>
    <n v="0"/>
    <n v="0"/>
    <n v="0.47499999999999998"/>
    <n v="2.4900000000000002"/>
    <n v="0"/>
    <n v="0"/>
    <n v="0"/>
    <x v="106"/>
    <n v="0"/>
    <n v="0"/>
    <n v="0"/>
    <n v="0"/>
    <n v="0"/>
    <n v="0"/>
  </r>
  <r>
    <n v="1644"/>
    <s v="แขวงทางหลวงสมุทรปราการ"/>
    <n v="417"/>
    <n v="3702"/>
    <n v="200"/>
    <s v="ลาดกระบัง - บางควาย"/>
    <s v="28+541"/>
    <s v="27+355"/>
    <n v="1.1859999999999999"/>
    <n v="2"/>
    <s v="R1"/>
    <d v="2015-08-25T00:00:00"/>
    <s v="A.C."/>
    <n v="0.77500000000000002"/>
    <n v="0.3"/>
    <n v="0.1"/>
    <n v="0"/>
    <n v="2.218"/>
    <n v="2"/>
    <n v="0.45"/>
    <n v="0.3"/>
    <n v="2.5000000000000001E-2"/>
    <n v="0.4"/>
    <n v="18.664999999999999"/>
    <n v="18.5"/>
    <n v="0"/>
    <n v="0"/>
    <n v="1.175"/>
    <n v="1.798"/>
    <n v="0"/>
    <n v="0"/>
    <n v="0"/>
    <x v="106"/>
    <n v="0"/>
    <n v="0"/>
    <n v="0"/>
    <n v="0"/>
    <n v="0"/>
    <n v="0"/>
  </r>
  <r>
    <n v="1645"/>
    <s v="แขวงทางหลวงสมุทรปราการ"/>
    <n v="417"/>
    <n v="3702"/>
    <n v="200"/>
    <s v="ลาดกระบัง - บางควาย"/>
    <s v="28+733"/>
    <s v="28+593"/>
    <n v="0.14000000000000001"/>
    <n v="2"/>
    <s v="R1"/>
    <d v="2015-08-25T00:00:00"/>
    <s v="A.C."/>
    <n v="7.4999999999999997E-2"/>
    <n v="0.125"/>
    <n v="2.5000000000000001E-2"/>
    <n v="0"/>
    <n v="2.6160000000000001"/>
    <n v="2.5"/>
    <n v="0.15"/>
    <n v="2.5000000000000001E-2"/>
    <n v="0"/>
    <n v="0.05"/>
    <n v="9.1289999999999996"/>
    <n v="9"/>
    <n v="0"/>
    <n v="0"/>
    <n v="0.22500000000000001"/>
    <n v="1.3640000000000001"/>
    <n v="0"/>
    <n v="0"/>
    <n v="0"/>
    <x v="106"/>
    <n v="0"/>
    <n v="0"/>
    <n v="0"/>
    <n v="0"/>
    <n v="0"/>
    <n v="0"/>
  </r>
  <r>
    <n v="1646"/>
    <s v="แขวงทางหลวงสมุทรปราการ"/>
    <n v="417"/>
    <n v="3702"/>
    <n v="200"/>
    <s v="ลาดกระบัง - บางควาย"/>
    <s v="30+879"/>
    <s v="29+031"/>
    <n v="1.8480000000000001"/>
    <n v="2"/>
    <s v="R1"/>
    <d v="2015-08-25T00:00:00"/>
    <s v="A.C."/>
    <n v="1.45"/>
    <n v="0.32500000000000001"/>
    <n v="7.4999999999999997E-2"/>
    <n v="0"/>
    <n v="2.1709999999999998"/>
    <n v="2"/>
    <n v="1.85"/>
    <n v="0"/>
    <n v="0"/>
    <n v="0"/>
    <n v="4.649"/>
    <n v="4.5"/>
    <n v="0"/>
    <n v="0"/>
    <n v="1.8499999999999999"/>
    <n v="1.645"/>
    <n v="0"/>
    <n v="0"/>
    <n v="0"/>
    <x v="106"/>
    <n v="0"/>
    <n v="0"/>
    <n v="0"/>
    <n v="0"/>
    <n v="0"/>
    <n v="0"/>
  </r>
  <r>
    <n v="1647"/>
    <s v="แขวงทางหลวงสมุทรปราการ"/>
    <n v="417"/>
    <n v="3702"/>
    <n v="200"/>
    <s v="ลาดกระบัง - บางควาย"/>
    <s v="31+857"/>
    <s v="30+945"/>
    <n v="0.91200000000000003"/>
    <n v="2"/>
    <s v="R1"/>
    <d v="2015-08-25T00:00:00"/>
    <s v="A.C."/>
    <n v="0.17499999999999999"/>
    <n v="0.5"/>
    <n v="0.2"/>
    <n v="2.5000000000000001E-2"/>
    <n v="3.0910000000000002"/>
    <n v="3"/>
    <n v="0.875"/>
    <n v="2.5000000000000001E-2"/>
    <n v="0"/>
    <n v="0"/>
    <n v="4.0259999999999998"/>
    <n v="4"/>
    <n v="0"/>
    <n v="0"/>
    <n v="0.9"/>
    <n v="1.607"/>
    <n v="0"/>
    <n v="0"/>
    <n v="0"/>
    <x v="106"/>
    <n v="0"/>
    <n v="0"/>
    <n v="0"/>
    <n v="0"/>
    <n v="0"/>
    <n v="0"/>
  </r>
  <r>
    <n v="1648"/>
    <s v="แขวงทางหลวงสมุทรปราการ"/>
    <n v="417"/>
    <n v="3702"/>
    <n v="200"/>
    <s v="ลาดกระบัง - บางควาย"/>
    <s v="32+778"/>
    <s v="32+035"/>
    <n v="0.74299999999999999"/>
    <n v="2"/>
    <s v="R1"/>
    <d v="2015-08-25T00:00:00"/>
    <s v="A.C."/>
    <n v="0.4"/>
    <n v="0.17499999999999999"/>
    <n v="0.17499999999999999"/>
    <n v="2.5000000000000001E-2"/>
    <n v="2.7240000000000002"/>
    <n v="2.5"/>
    <n v="0.77500000000000002"/>
    <n v="0"/>
    <n v="0"/>
    <n v="0"/>
    <n v="4.8360000000000003"/>
    <n v="5"/>
    <n v="0"/>
    <n v="0"/>
    <n v="0.77500000000000002"/>
    <n v="1.5620000000000001"/>
    <n v="0"/>
    <n v="0"/>
    <n v="0"/>
    <x v="106"/>
    <n v="6"/>
    <n v="0.23072486060373007"/>
    <n v="0"/>
    <n v="0"/>
    <n v="1"/>
    <n v="3.8454143433955007E-2"/>
  </r>
  <r>
    <n v="1649"/>
    <s v="แขวงทางหลวงสมุทรปราการ"/>
    <n v="417"/>
    <n v="3702"/>
    <n v="200"/>
    <s v="ลาดกระบัง - บางควาย"/>
    <s v="34+189"/>
    <s v="32+944"/>
    <n v="1.2450000000000001"/>
    <n v="2"/>
    <s v="R1"/>
    <d v="2015-08-25T00:00:00"/>
    <s v="A.C."/>
    <n v="1.1000000000000001"/>
    <n v="0.15"/>
    <n v="2.5000000000000001E-2"/>
    <n v="0"/>
    <n v="2.085"/>
    <n v="2"/>
    <n v="1.25"/>
    <n v="2.5000000000000001E-2"/>
    <n v="0"/>
    <n v="0"/>
    <n v="5.24"/>
    <n v="5"/>
    <n v="0"/>
    <n v="0"/>
    <n v="1.2749999999999999"/>
    <n v="1.4139999999999999"/>
    <n v="0"/>
    <n v="0"/>
    <n v="0"/>
    <x v="106"/>
    <n v="0"/>
    <n v="0"/>
    <n v="0"/>
    <n v="0"/>
    <n v="0"/>
    <n v="0"/>
  </r>
  <r>
    <n v="1650"/>
    <s v="แขวงทางหลวงสมุทรปราการ"/>
    <n v="417"/>
    <n v="3702"/>
    <n v="200"/>
    <s v="ลาดกระบัง - บางควาย"/>
    <s v="34+892"/>
    <s v="34+244"/>
    <n v="0.64800000000000002"/>
    <n v="2"/>
    <s v="R1"/>
    <d v="2015-08-25T00:00:00"/>
    <s v="A.C."/>
    <n v="0.22500000000000001"/>
    <n v="0.32500000000000001"/>
    <n v="7.4999999999999997E-2"/>
    <n v="2.5000000000000001E-2"/>
    <n v="2.8730000000000002"/>
    <n v="3"/>
    <n v="0.65"/>
    <n v="0"/>
    <n v="0"/>
    <n v="0"/>
    <n v="3.7010000000000001"/>
    <n v="3.5"/>
    <n v="0"/>
    <n v="0"/>
    <n v="0.65"/>
    <n v="1.5089999999999999"/>
    <n v="0"/>
    <n v="0"/>
    <n v="0"/>
    <x v="106"/>
    <n v="0"/>
    <n v="0"/>
    <n v="0"/>
    <n v="0"/>
    <n v="0"/>
    <n v="0"/>
  </r>
  <r>
    <n v="1651"/>
    <s v="แขวงทางหลวงสมุทรปราการ"/>
    <n v="417"/>
    <n v="3702"/>
    <n v="200"/>
    <s v="ลาดกระบัง - บางควาย"/>
    <s v="36+107"/>
    <s v="34+918"/>
    <n v="1.1890000000000001"/>
    <n v="2"/>
    <s v="R1"/>
    <d v="2015-08-25T00:00:00"/>
    <s v="A.C."/>
    <n v="0.875"/>
    <n v="0.22500000000000001"/>
    <n v="0.05"/>
    <n v="2.5000000000000001E-2"/>
    <n v="2.2749999999999999"/>
    <n v="2.5"/>
    <n v="1.175"/>
    <n v="0"/>
    <n v="0"/>
    <n v="0"/>
    <n v="3.891"/>
    <n v="4"/>
    <n v="0"/>
    <n v="0"/>
    <n v="1.175"/>
    <n v="1.448"/>
    <n v="0"/>
    <n v="0"/>
    <n v="0"/>
    <x v="106"/>
    <n v="3.25"/>
    <n v="7.8096840081701313E-2"/>
    <n v="0"/>
    <n v="0"/>
    <n v="0"/>
    <n v="0"/>
  </r>
  <r>
    <n v="1652"/>
    <s v="แขวงทางหลวงสมุทรปราการ"/>
    <n v="417"/>
    <n v="3702"/>
    <n v="200"/>
    <s v="ลาดกระบัง - บางควาย"/>
    <s v="38+600"/>
    <s v="36+233"/>
    <n v="2.367"/>
    <n v="2"/>
    <s v="R1"/>
    <d v="2015-08-25T00:00:00"/>
    <s v="A.C."/>
    <n v="1.05"/>
    <n v="0.875"/>
    <n v="0.3"/>
    <n v="0.2"/>
    <n v="3.4390000000000001"/>
    <n v="3.5"/>
    <n v="2.4"/>
    <n v="2.5000000000000001E-2"/>
    <n v="0"/>
    <n v="0"/>
    <n v="3.5649999999999999"/>
    <n v="3.5"/>
    <n v="0"/>
    <n v="0"/>
    <n v="2.4250000000000003"/>
    <n v="1.468"/>
    <n v="0"/>
    <n v="0"/>
    <n v="0"/>
    <x v="106"/>
    <n v="2.63"/>
    <n v="3.1746031746031744E-2"/>
    <n v="0.6"/>
    <n v="7.2424407025167472E-3"/>
    <n v="0"/>
    <n v="0"/>
  </r>
  <r>
    <n v="1654"/>
    <s v="แขวงทางหลวงสมุทรปราการ"/>
    <n v="417"/>
    <n v="3902"/>
    <n v="700"/>
    <s v="ประเวศ - บางแก้ว"/>
    <s v="63+325"/>
    <s v="63+325"/>
    <n v="2.0499999999999998"/>
    <n v="2"/>
    <s v="R1"/>
    <d v="2015-08-25T00:00:00"/>
    <s v="A.C."/>
    <n v="1.2250000000000001"/>
    <n v="0.85"/>
    <n v="0.375"/>
    <n v="0.22500000000000001"/>
    <n v="2.9079999999999999"/>
    <n v="3"/>
    <n v="2.6749999999999998"/>
    <n v="0"/>
    <n v="0"/>
    <n v="0"/>
    <n v="4.7130000000000001"/>
    <n v="4.5"/>
    <n v="0"/>
    <n v="0"/>
    <n v="2.6750000000000003"/>
    <n v="1.1890000000000001"/>
    <n v="0"/>
    <n v="0"/>
    <n v="0"/>
    <x v="106"/>
    <n v="9"/>
    <n v="0.12543554006968644"/>
    <n v="0"/>
    <n v="0"/>
    <n v="0"/>
    <n v="0"/>
  </r>
  <r>
    <n v="1658"/>
    <s v="แขวงทางหลวงนนทบุรี"/>
    <n v="418"/>
    <n v="307"/>
    <n v="102"/>
    <s v="สะพานนนทบุรี  - บางคูวัด"/>
    <s v="2+700"/>
    <s v="0+942"/>
    <n v="1.758"/>
    <n v="2"/>
    <s v="R2"/>
    <d v="2015-08-29T00:00:00"/>
    <s v="A.C."/>
    <n v="0.82499999999999996"/>
    <n v="0.6"/>
    <n v="0.22500000000000001"/>
    <n v="0.15"/>
    <n v="3.0562499999999999"/>
    <n v="3"/>
    <n v="1.6"/>
    <n v="0.15"/>
    <n v="0"/>
    <n v="0.05"/>
    <n v="6.1385300000000003"/>
    <n v="6"/>
    <n v="0"/>
    <n v="0"/>
    <n v="1.7999999999999998"/>
    <n v="0.88065300000000002"/>
    <n v="0"/>
    <n v="0"/>
    <n v="0"/>
    <x v="106"/>
    <n v="0"/>
    <n v="0"/>
    <n v="0"/>
    <n v="0"/>
    <n v="0"/>
    <n v="0"/>
  </r>
  <r>
    <n v="1660"/>
    <s v="แขวงทางหลวงนนทบุรี"/>
    <n v="418"/>
    <n v="345"/>
    <n v="100"/>
    <s v="บางบัวทอง - บางคูวัด"/>
    <s v="9+607"/>
    <s v="1+047"/>
    <n v="8.56"/>
    <n v="4"/>
    <s v="R2"/>
    <d v="2015-08-28T00:00:00"/>
    <s v="A.C."/>
    <n v="5.6749999999999998"/>
    <n v="2.0249999999999999"/>
    <n v="0.625"/>
    <n v="0.25"/>
    <n v="2.33379"/>
    <n v="2.5"/>
    <n v="8.0500000000000007"/>
    <n v="0.5"/>
    <n v="2.5000000000000001E-2"/>
    <n v="0"/>
    <n v="5.5247200000000003"/>
    <n v="5.5"/>
    <n v="0"/>
    <n v="0"/>
    <n v="8.5749999999999993"/>
    <n v="0.98137200000000002"/>
    <n v="0"/>
    <n v="0"/>
    <n v="0"/>
    <x v="106"/>
    <n v="0"/>
    <n v="0"/>
    <n v="0"/>
    <n v="0"/>
    <n v="0"/>
    <n v="0"/>
  </r>
  <r>
    <n v="1661"/>
    <s v="แขวงทางหลวงนนทบุรี"/>
    <n v="418"/>
    <n v="3215"/>
    <n v="101"/>
    <s v="คลองวัดแดง - บางบัวทอง"/>
    <s v="11+250"/>
    <s v="8+625"/>
    <n v="2.625"/>
    <n v="2"/>
    <s v="L2"/>
    <d v="2015-08-30T00:00:00"/>
    <s v="A.C."/>
    <n v="0.75"/>
    <n v="0.75"/>
    <n v="0.7"/>
    <n v="0.42499999999999999"/>
    <n v="3.7448600000000001"/>
    <n v="3.5"/>
    <n v="2.4500000000000002"/>
    <n v="0.17499999999999999"/>
    <n v="0"/>
    <n v="0"/>
    <n v="5.40639"/>
    <n v="5.5"/>
    <n v="0"/>
    <n v="0"/>
    <n v="2.625"/>
    <n v="0.87353099999999995"/>
    <n v="0"/>
    <n v="0"/>
    <n v="0"/>
    <x v="106"/>
    <n v="0"/>
    <n v="0"/>
    <n v="0"/>
    <n v="0"/>
    <n v="0"/>
    <n v="0"/>
  </r>
  <r>
    <n v="1678"/>
    <s v="แขวงทางหลวงฉะเชิงเทรา"/>
    <n v="421"/>
    <n v="304"/>
    <n v="301"/>
    <s v="คลองหลวงแพ่ง - ฉะเชิงเทรา"/>
    <n v="49884"/>
    <n v="67638"/>
    <n v="17.754000000000001"/>
    <n v="4"/>
    <s v="L2"/>
    <d v="2015-08-11T00:00:00"/>
    <s v="A.C."/>
    <n v="3.75"/>
    <n v="5.2"/>
    <n v="3.9"/>
    <n v="2.5"/>
    <n v="3.62"/>
    <n v="3.5"/>
    <n v="14.55"/>
    <n v="0.52500000000000002"/>
    <n v="0.15"/>
    <n v="0.125"/>
    <n v="5.62"/>
    <n v="5.5"/>
    <n v="0"/>
    <n v="0"/>
    <n v="17.754000000000001"/>
    <n v="1.1100000000000001"/>
    <n v="0"/>
    <n v="0"/>
    <n v="0"/>
    <x v="106"/>
    <n v="0"/>
    <n v="0"/>
    <n v="28.5"/>
    <n v="4.5864915753391591E-2"/>
    <n v="0"/>
    <n v="0"/>
  </r>
  <r>
    <n v="1682"/>
    <s v="แขวงทางหลวงฉะเชิงเทรา"/>
    <n v="421"/>
    <n v="314"/>
    <n v="102"/>
    <s v="แสนภูดาษ - ฉะเชิงเทรา"/>
    <s v="20+500"/>
    <s v="7+475"/>
    <n v="13.025"/>
    <n v="4"/>
    <s v="R2"/>
    <d v="2015-08-11T00:00:00"/>
    <s v="A.C."/>
    <n v="7.2249999999999996"/>
    <n v="2.4"/>
    <n v="3.125"/>
    <n v="0.27500000000000002"/>
    <n v="2.39758"/>
    <n v="2.5"/>
    <n v="12.425000000000001"/>
    <n v="0.47499999999999998"/>
    <n v="0.125"/>
    <n v="0"/>
    <n v="5.5003399999999996"/>
    <n v="5.5"/>
    <n v="0"/>
    <n v="0"/>
    <n v="13.025"/>
    <n v="1.2718499999999999"/>
    <n v="0"/>
    <n v="0"/>
    <n v="0"/>
    <x v="106"/>
    <n v="0"/>
    <n v="0"/>
    <n v="7"/>
    <n v="1.5355086372360844E-2"/>
    <n v="0"/>
    <n v="0"/>
  </r>
  <r>
    <n v="1686"/>
    <s v="แขวงทางหลวงฉะเชิงเทรา"/>
    <n v="421"/>
    <n v="365"/>
    <n v="101"/>
    <s v="ทางเลี่ยงเมืองฉะเชิงเทราด้านเหนือ"/>
    <n v="0"/>
    <n v="5886"/>
    <n v="5.8860000000000001"/>
    <n v="2"/>
    <s v="L1"/>
    <d v="2015-08-11T00:00:00"/>
    <s v="A.C."/>
    <n v="3.875"/>
    <n v="1.3"/>
    <n v="0.4"/>
    <n v="0.35"/>
    <n v="2.5343499999999999"/>
    <n v="2.5"/>
    <n v="5.7"/>
    <n v="0.15"/>
    <n v="0.05"/>
    <n v="2.5000000000000001E-2"/>
    <n v="5.4216199999999999"/>
    <n v="5.5"/>
    <n v="0"/>
    <n v="0"/>
    <n v="5.8860000000000001"/>
    <n v="1.1103799999999999"/>
    <n v="0"/>
    <n v="0"/>
    <n v="0"/>
    <x v="106"/>
    <n v="15.7"/>
    <n v="7.6209892723654193E-2"/>
    <n v="164"/>
    <n v="0.79607786029804384"/>
    <n v="0"/>
    <n v="0"/>
  </r>
  <r>
    <n v="1692"/>
    <s v="แขวงทางหลวงฉะเชิงเทรา"/>
    <n v="421"/>
    <n v="3259"/>
    <n v="100"/>
    <s v="อ่างเก็บน้ำสียัด - หนองคอก"/>
    <n v="4400"/>
    <n v="0"/>
    <n v="2.4"/>
    <n v="2"/>
    <s v="R1"/>
    <d v="2015-08-10T00:00:00"/>
    <s v="A.C."/>
    <n v="1.925"/>
    <n v="0.75"/>
    <n v="0.45"/>
    <n v="0.45"/>
    <n v="3.4748299999999999"/>
    <n v="3.5"/>
    <n v="3.2"/>
    <n v="0.25"/>
    <n v="7.4999999999999997E-2"/>
    <n v="0.05"/>
    <n v="5.2013299999999996"/>
    <n v="5"/>
    <n v="0"/>
    <n v="0"/>
    <n v="2.2999999999999998"/>
    <n v="1.2867999999999999"/>
    <n v="0"/>
    <n v="0"/>
    <n v="0"/>
    <x v="106"/>
    <n v="0"/>
    <n v="0"/>
    <n v="0"/>
    <n v="0"/>
    <n v="0"/>
    <n v="0"/>
  </r>
  <r>
    <n v="1693"/>
    <s v="แขวงทางหลวงฉะเชิงเทรา"/>
    <n v="421"/>
    <n v="3259"/>
    <n v="100"/>
    <s v="อ่างเก็บน้ำสียัด - หนองคอก"/>
    <n v="8006"/>
    <n v="4400"/>
    <n v="3.6059999999999999"/>
    <n v="2"/>
    <s v="R1"/>
    <d v="2015-08-10T00:00:00"/>
    <s v="A.C."/>
    <n v="0.1"/>
    <n v="0.65"/>
    <n v="0.9"/>
    <n v="0.72499999999999998"/>
    <n v="5.3081100000000001"/>
    <n v="5.5"/>
    <n v="1.825"/>
    <n v="0.17499999999999999"/>
    <n v="0.05"/>
    <n v="0.32500000000000001"/>
    <n v="8.4425000000000008"/>
    <n v="8.5"/>
    <n v="0"/>
    <n v="0"/>
    <n v="3.6"/>
    <n v="1.2348600000000001"/>
    <n v="0"/>
    <n v="0"/>
    <n v="0"/>
    <x v="106"/>
    <n v="0"/>
    <n v="0"/>
    <n v="0"/>
    <n v="0"/>
    <n v="0"/>
    <n v="0"/>
  </r>
  <r>
    <n v="2165"/>
    <s v="แขวงทางหลวงสงขลาที่ 1"/>
    <n v="311"/>
    <n v="408"/>
    <n v="102"/>
    <s v="สทิงพระ - เกาะยอ"/>
    <s v="159+143"/>
    <s v="165+583"/>
    <n v="6.44"/>
    <n v="2"/>
    <s v="F2"/>
    <d v="2015-05-23T00:00:00"/>
    <s v="A.C."/>
    <n v="6.0750000000000002"/>
    <n v="2.9"/>
    <n v="1.125"/>
    <n v="0.4"/>
    <n v="2.5946199999999999"/>
    <n v="2.5"/>
    <n v="10.225"/>
    <n v="0.22500000000000001"/>
    <n v="0.05"/>
    <n v="0"/>
    <n v="3.69781"/>
    <n v="3.5"/>
    <n v="0"/>
    <n v="0"/>
    <n v="10.5"/>
    <n v="1.26214"/>
    <n v="0"/>
    <n v="0"/>
    <n v="0"/>
    <x v="106"/>
    <n v="0"/>
    <n v="0"/>
    <n v="0"/>
    <n v="0"/>
    <n v="0"/>
    <n v="0"/>
  </r>
  <r>
    <n v="2166"/>
    <s v="แขวงทางหลวงสงขลาที่ 1"/>
    <n v="311"/>
    <n v="408"/>
    <n v="102"/>
    <s v="สทิงพระ - เกาะยอ"/>
    <s v="165+583"/>
    <s v="159+143"/>
    <n v="6.44"/>
    <n v="2"/>
    <s v="R2"/>
    <d v="2015-05-23T00:00:00"/>
    <s v="A.C."/>
    <n v="5.9749999999999996"/>
    <n v="2.0750000000000002"/>
    <n v="1.575"/>
    <n v="0.77500000000000002"/>
    <n v="2.8243200000000002"/>
    <n v="3"/>
    <n v="8.9"/>
    <n v="1.25"/>
    <n v="0.2"/>
    <n v="2.5000000000000001E-2"/>
    <n v="5.0432800000000002"/>
    <n v="5"/>
    <n v="0"/>
    <n v="0"/>
    <n v="10.4"/>
    <n v="1.2168699999999999"/>
    <n v="0"/>
    <n v="0"/>
    <n v="0"/>
    <x v="106"/>
    <n v="0"/>
    <n v="0"/>
    <n v="0"/>
    <n v="0"/>
    <n v="0"/>
    <n v="0"/>
  </r>
  <r>
    <n v="1698"/>
    <s v="แขวงทางหลวงฉะเชิงเทรา"/>
    <n v="421"/>
    <n v="3572"/>
    <n v="100"/>
    <s v="ตลาดบางน้ำเปรี้ยว"/>
    <n v="0"/>
    <n v="461"/>
    <n v="0.46100000000000002"/>
    <n v="4"/>
    <s v="L2"/>
    <d v="2015-08-11T00:00:00"/>
    <s v="A.C."/>
    <n v="0.35"/>
    <n v="7.4999999999999997E-2"/>
    <n v="0"/>
    <n v="0.05"/>
    <n v="2.5442100000000001"/>
    <n v="2.5"/>
    <n v="0.4"/>
    <n v="7.4999999999999997E-2"/>
    <n v="0"/>
    <n v="0"/>
    <n v="6.1390000000000002"/>
    <n v="6"/>
    <n v="0"/>
    <n v="0"/>
    <n v="0.46100000000000002"/>
    <n v="1.08379"/>
    <n v="0"/>
    <n v="0"/>
    <n v="0"/>
    <x v="106"/>
    <n v="0"/>
    <n v="0"/>
    <n v="0"/>
    <n v="0"/>
    <n v="0"/>
    <n v="0"/>
  </r>
  <r>
    <n v="1699"/>
    <s v="แขวงทางหลวงฉะเชิงเทรา"/>
    <n v="421"/>
    <n v="3572"/>
    <n v="100"/>
    <s v="ตลาดบางน้ำเปรี้ยว"/>
    <n v="461"/>
    <n v="0"/>
    <n v="0.46100000000000002"/>
    <n v="4"/>
    <s v="R2"/>
    <d v="2015-08-11T00:00:00"/>
    <s v="A.C."/>
    <n v="0.35"/>
    <n v="0.1"/>
    <n v="0"/>
    <n v="2.5000000000000001E-2"/>
    <n v="2.4363199999999998"/>
    <n v="2.5"/>
    <n v="0.45"/>
    <n v="0"/>
    <n v="0"/>
    <n v="2.5000000000000001E-2"/>
    <n v="6.8843699999999997"/>
    <n v="7"/>
    <n v="0"/>
    <n v="0"/>
    <n v="0.46100000000000002"/>
    <n v="1.3507400000000001"/>
    <n v="0"/>
    <n v="0"/>
    <n v="0"/>
    <x v="106"/>
    <n v="0"/>
    <n v="0"/>
    <n v="43"/>
    <n v="2.6650139448404087"/>
    <n v="0"/>
    <n v="0"/>
  </r>
  <r>
    <n v="1701"/>
    <s v="แขวงทางหลวงฉะเชิงเทรา"/>
    <n v="421"/>
    <n v="3606"/>
    <n v="100"/>
    <s v="บางวัว - บางควาย (ทางบริการด้านซ้ายทาง)"/>
    <n v="0"/>
    <n v="1221"/>
    <n v="1.2210000000000001"/>
    <n v="2"/>
    <s v="L1"/>
    <d v="2015-08-11T00:00:00"/>
    <s v="A.C."/>
    <n v="0.67500000000000004"/>
    <n v="0.32500000000000001"/>
    <n v="0.22500000000000001"/>
    <n v="0.1"/>
    <n v="3.10547"/>
    <n v="3"/>
    <n v="1.3"/>
    <n v="0"/>
    <n v="2.5000000000000001E-2"/>
    <n v="0"/>
    <n v="3.3728699999999998"/>
    <n v="3.5"/>
    <n v="0"/>
    <n v="0"/>
    <n v="1.2"/>
    <n v="1.1772800000000001"/>
    <n v="0"/>
    <n v="0"/>
    <n v="0"/>
    <x v="106"/>
    <n v="0"/>
    <n v="0"/>
    <n v="0"/>
    <n v="0"/>
    <n v="0"/>
    <n v="0"/>
  </r>
  <r>
    <n v="1702"/>
    <s v="แขวงทางหลวงฉะเชิงเทรา"/>
    <n v="421"/>
    <n v="3606"/>
    <n v="100"/>
    <s v="บางวัว - บางควาย (ทางบริการด้านซ้ายทาง)"/>
    <n v="1221"/>
    <n v="3568"/>
    <n v="2.347"/>
    <n v="2"/>
    <s v="L1"/>
    <d v="2015-08-11T00:00:00"/>
    <s v="A.C."/>
    <n v="1.575"/>
    <n v="0.65"/>
    <n v="0.2"/>
    <n v="2.5000000000000001E-2"/>
    <n v="2.4316300000000002"/>
    <n v="2.5"/>
    <n v="2.3250000000000002"/>
    <n v="7.4999999999999997E-2"/>
    <n v="0"/>
    <n v="0.05"/>
    <n v="5.1379099999999998"/>
    <n v="5"/>
    <n v="0"/>
    <n v="0"/>
    <n v="2.2000000000000002"/>
    <n v="1.22495"/>
    <n v="0"/>
    <n v="0"/>
    <n v="0"/>
    <x v="106"/>
    <n v="1.25"/>
    <n v="1.5216994339278107E-2"/>
    <n v="110.28"/>
    <n v="1.3425041085884717"/>
    <n v="0"/>
    <n v="0"/>
  </r>
  <r>
    <n v="1703"/>
    <s v="แขวงทางหลวงฉะเชิงเทรา"/>
    <n v="421"/>
    <n v="3609"/>
    <n v="100"/>
    <s v="บางวัว - บางควาย (ทางบริการด้านขวาทาง)"/>
    <n v="0"/>
    <n v="3568"/>
    <n v="3.5680000000000001"/>
    <n v="2"/>
    <s v="L1"/>
    <d v="2015-08-11T00:00:00"/>
    <s v="A.C."/>
    <n v="0.6"/>
    <n v="1.6"/>
    <n v="1.4"/>
    <n v="0.32500000000000001"/>
    <n v="3.7453500000000002"/>
    <n v="3.5"/>
    <n v="3.7749999999999999"/>
    <n v="7.4999999999999997E-2"/>
    <n v="2.5000000000000001E-2"/>
    <n v="0.05"/>
    <n v="3.96706"/>
    <n v="4"/>
    <n v="0"/>
    <n v="0"/>
    <n v="3.5"/>
    <n v="1.40605"/>
    <n v="0"/>
    <n v="0"/>
    <n v="0"/>
    <x v="106"/>
    <n v="0"/>
    <n v="0"/>
    <n v="0"/>
    <n v="0"/>
    <n v="0"/>
    <n v="0"/>
  </r>
  <r>
    <n v="1705"/>
    <s v="แขวงทางหลวงฉะเชิงเทรา"/>
    <n v="421"/>
    <n v="3702"/>
    <n v="300"/>
    <s v="บางควาย - เขาดิน"/>
    <s v="40+505"/>
    <s v="40+705"/>
    <n v="0.2"/>
    <n v="2"/>
    <s v="L1"/>
    <d v="2015-08-11T00:00:00"/>
    <s v="A.C."/>
    <n v="2.5000000000000001E-2"/>
    <n v="0.2"/>
    <n v="0.05"/>
    <n v="0"/>
    <n v="2.9860000000000002"/>
    <n v="3"/>
    <n v="0.17499999999999999"/>
    <n v="0"/>
    <n v="0"/>
    <n v="0.1"/>
    <n v="11.967000000000001"/>
    <n v="12"/>
    <n v="0"/>
    <n v="0"/>
    <n v="0.2"/>
    <n v="1.4219999999999999"/>
    <n v="0"/>
    <n v="0"/>
    <n v="0"/>
    <x v="106"/>
    <n v="0"/>
    <n v="0"/>
    <n v="0"/>
    <n v="0"/>
    <n v="0"/>
    <n v="0"/>
  </r>
  <r>
    <n v="1719"/>
    <s v="แขวงทางหลวงชลบุรีที่ 1"/>
    <n v="422"/>
    <n v="3248"/>
    <n v="100"/>
    <s v="เนินหลังเต่า - หนองเสม็ด"/>
    <n v="0"/>
    <n v="14765"/>
    <n v="14.765000000000001"/>
    <n v="2"/>
    <s v="L1"/>
    <d v="2015-08-13T00:00:00"/>
    <s v="A.C."/>
    <n v="6.75"/>
    <n v="3.45"/>
    <n v="2.25"/>
    <n v="2.25"/>
    <n v="3.3249300000000002"/>
    <n v="3.5"/>
    <n v="13.225"/>
    <n v="1.3"/>
    <n v="0.17499999999999999"/>
    <n v="0"/>
    <n v="6.2006800000000002"/>
    <n v="6"/>
    <n v="0"/>
    <n v="0"/>
    <n v="14.765000000000001"/>
    <n v="1.48"/>
    <n v="0"/>
    <n v="0"/>
    <n v="0"/>
    <x v="106"/>
    <n v="0"/>
    <n v="0"/>
    <n v="0"/>
    <n v="0"/>
    <n v="0"/>
    <n v="0"/>
  </r>
  <r>
    <n v="1721"/>
    <s v="แขวงทางหลวงชลบุรีที่ 1"/>
    <n v="422"/>
    <n v="3401"/>
    <n v="100"/>
    <s v="เนินโมก - ทับร้าง"/>
    <n v="0"/>
    <n v="27864"/>
    <n v="27.864000000000001"/>
    <n v="2"/>
    <s v="L1"/>
    <d v="2015-08-13T00:00:00"/>
    <s v="A.C."/>
    <n v="1.875"/>
    <n v="6.5750000000000002"/>
    <n v="9.5250000000000004"/>
    <n v="9.75"/>
    <n v="4.7434399999999997"/>
    <n v="4.5"/>
    <n v="22.1"/>
    <n v="4.2750000000000004"/>
    <n v="0.95"/>
    <n v="0.4"/>
    <n v="7.2117000000000004"/>
    <n v="7"/>
    <n v="0"/>
    <n v="2.5000000000000001E-2"/>
    <n v="27.864000000000001"/>
    <n v="1.35917"/>
    <n v="0"/>
    <n v="0"/>
    <n v="0"/>
    <x v="106"/>
    <n v="0"/>
    <n v="0"/>
    <n v="0"/>
    <n v="0"/>
    <n v="0"/>
    <n v="0"/>
  </r>
  <r>
    <n v="1722"/>
    <s v="แขวงทางหลวงชลบุรีที่ 1"/>
    <n v="422"/>
    <n v="3466"/>
    <n v="100"/>
    <s v="บ้านเก่า - พานทอง"/>
    <n v="0"/>
    <n v="10538"/>
    <n v="9"/>
    <n v="4"/>
    <s v="L2"/>
    <d v="2015-08-13T00:00:00"/>
    <s v="A.C."/>
    <n v="3"/>
    <n v="0.69"/>
    <n v="0.92"/>
    <n v="4.38"/>
    <n v="2.20255"/>
    <n v="2"/>
    <n v="8.42"/>
    <n v="0.45"/>
    <n v="0.1"/>
    <n v="0.03"/>
    <n v="5.8583400000000001"/>
    <n v="6"/>
    <n v="0"/>
    <n v="0"/>
    <n v="9"/>
    <n v="1.16124"/>
    <n v="0"/>
    <n v="0"/>
    <n v="0"/>
    <x v="106"/>
    <n v="0"/>
    <n v="0"/>
    <n v="0"/>
    <n v="0"/>
    <n v="0"/>
    <n v="0"/>
  </r>
  <r>
    <n v="1723"/>
    <s v="แขวงทางหลวงชลบุรีที่ 1"/>
    <n v="422"/>
    <n v="3466"/>
    <n v="100"/>
    <s v="บ้านเก่า - พานทอง"/>
    <n v="10538"/>
    <n v="0"/>
    <n v="9"/>
    <n v="4"/>
    <s v="R2"/>
    <d v="2015-08-13T00:00:00"/>
    <s v="A.C."/>
    <n v="6.86"/>
    <n v="1.21"/>
    <n v="0.74"/>
    <n v="0.2"/>
    <n v="2.23373"/>
    <n v="2"/>
    <n v="8.35"/>
    <n v="0.53"/>
    <n v="0.1"/>
    <n v="0.03"/>
    <n v="6.2176900000000002"/>
    <n v="6"/>
    <n v="0"/>
    <n v="0"/>
    <n v="9"/>
    <n v="1.1494800000000001"/>
    <n v="0"/>
    <n v="0"/>
    <n v="0"/>
    <x v="106"/>
    <n v="0"/>
    <n v="0"/>
    <n v="0"/>
    <n v="0"/>
    <n v="0"/>
    <n v="0"/>
  </r>
  <r>
    <n v="1735"/>
    <s v="แขวงทางหลวงจันทบุรี"/>
    <n v="423"/>
    <n v="3153"/>
    <n v="100"/>
    <s v="จันทบุรี - ท่าใหม่"/>
    <n v="0"/>
    <n v="7500"/>
    <n v="7.5"/>
    <n v="2"/>
    <s v="L1"/>
    <d v="2015-08-18T00:00:00"/>
    <s v="A.C."/>
    <n v="2.7"/>
    <n v="3.15"/>
    <n v="1.2250000000000001"/>
    <n v="0.5"/>
    <n v="3.2004700000000001"/>
    <n v="3"/>
    <n v="7.125"/>
    <n v="0.35"/>
    <n v="0.1"/>
    <n v="0"/>
    <n v="6.83338"/>
    <n v="7"/>
    <n v="0"/>
    <n v="0"/>
    <n v="7.5"/>
    <n v="1.01935"/>
    <n v="0"/>
    <n v="0"/>
    <n v="0"/>
    <x v="106"/>
    <n v="0"/>
    <n v="0"/>
    <n v="0"/>
    <n v="0"/>
    <n v="1.22"/>
    <n v="4.6499999999999996E-3"/>
  </r>
  <r>
    <n v="1765"/>
    <s v="แขวงทางหลวงตราด"/>
    <n v="425"/>
    <n v="3517"/>
    <n v="100"/>
    <s v="ทางเดิมเขาท้ายไร่"/>
    <n v="0"/>
    <n v="395"/>
    <n v="0.39500000000000002"/>
    <n v="2"/>
    <s v="L1"/>
    <d v="2015-08-20T00:00:00"/>
    <s v="A.C."/>
    <n v="0.05"/>
    <n v="0.25"/>
    <n v="0.125"/>
    <n v="0"/>
    <n v="3.2211799999999999"/>
    <n v="3"/>
    <n v="0.4"/>
    <n v="2.5000000000000001E-2"/>
    <n v="0"/>
    <n v="0"/>
    <n v="3.883"/>
    <n v="4"/>
    <n v="0"/>
    <n v="0"/>
    <n v="0.42500000000000004"/>
    <n v="1.0185900000000001"/>
    <n v="0"/>
    <n v="0"/>
    <n v="0"/>
    <x v="106"/>
    <n v="0"/>
    <n v="0"/>
    <n v="0"/>
    <n v="0"/>
    <n v="0"/>
    <n v="0"/>
  </r>
  <r>
    <n v="1766"/>
    <s v="แขวงทางหลวงตราด"/>
    <n v="425"/>
    <n v="3577"/>
    <n v="100"/>
    <s v="ทางเข้าพนมพริก"/>
    <n v="0"/>
    <n v="1828"/>
    <n v="1.8280000000000001"/>
    <n v="2"/>
    <s v="L1"/>
    <d v="2015-08-19T00:00:00"/>
    <s v="A.C."/>
    <n v="0.95"/>
    <n v="0.5"/>
    <n v="0.15"/>
    <n v="0.3"/>
    <n v="3.1997399999999998"/>
    <n v="3"/>
    <n v="1.7250000000000001"/>
    <n v="0.1"/>
    <n v="0.05"/>
    <n v="2.5000000000000001E-2"/>
    <n v="6.20878"/>
    <n v="6"/>
    <n v="0"/>
    <n v="0"/>
    <n v="1.9000000000000001"/>
    <n v="1.20068"/>
    <n v="0"/>
    <n v="0"/>
    <n v="0"/>
    <x v="106"/>
    <n v="0.05"/>
    <n v="7.8100000000000001E-4"/>
    <n v="0"/>
    <n v="0"/>
    <n v="8.02"/>
    <n v="0.12535167239762424"/>
  </r>
  <r>
    <n v="1771"/>
    <s v="แขวงทางหลวงระยอง"/>
    <n v="426"/>
    <n v="3145"/>
    <n v="101"/>
    <s v="บ้านเพ - ท่าเรือแกลง"/>
    <n v="10500"/>
    <n v="2575"/>
    <n v="7.9249999999999998"/>
    <n v="2"/>
    <s v="R1"/>
    <d v="2015-08-17T00:00:00"/>
    <s v="A.C."/>
    <n v="2.9750000000000001"/>
    <n v="3.57"/>
    <n v="1.1200000000000001"/>
    <n v="0.2"/>
    <n v="2.86"/>
    <n v="3"/>
    <n v="7.75"/>
    <n v="0.12"/>
    <n v="0"/>
    <n v="0"/>
    <n v="4.33"/>
    <n v="4.5"/>
    <n v="0"/>
    <n v="0"/>
    <n v="7.87"/>
    <n v="1.25"/>
    <n v="0"/>
    <n v="0"/>
    <n v="0"/>
    <x v="106"/>
    <n v="0"/>
    <n v="0"/>
    <n v="0"/>
    <n v="0"/>
    <n v="0"/>
    <n v="0"/>
  </r>
  <r>
    <n v="1772"/>
    <s v="แขวงทางหลวงระยอง"/>
    <n v="426"/>
    <n v="3145"/>
    <n v="102"/>
    <s v="ท่าเรือแกลง - แหลมแม่พิมพ์"/>
    <n v="27515"/>
    <n v="10500"/>
    <n v="17.015000000000001"/>
    <n v="2"/>
    <s v="R1"/>
    <d v="2015-08-17T00:00:00"/>
    <s v="A.C."/>
    <n v="13.025"/>
    <n v="2.65"/>
    <n v="0.8"/>
    <n v="0.47"/>
    <n v="2.2000000000000002"/>
    <n v="2"/>
    <n v="15.6"/>
    <n v="1.02"/>
    <n v="0.22"/>
    <n v="0.1"/>
    <n v="5.61"/>
    <n v="5.5"/>
    <n v="0"/>
    <n v="0"/>
    <n v="16.940000000000001"/>
    <n v="1.3"/>
    <n v="0"/>
    <n v="0"/>
    <n v="0"/>
    <x v="106"/>
    <n v="0"/>
    <n v="0"/>
    <n v="0"/>
    <n v="0"/>
    <n v="0"/>
    <n v="0"/>
  </r>
  <r>
    <n v="1778"/>
    <s v="แขวงทางหลวงระยอง"/>
    <n v="426"/>
    <n v="3471"/>
    <n v="100"/>
    <s v="บางบุตร - ชุมแสง"/>
    <n v="0"/>
    <n v="30416"/>
    <n v="30.416"/>
    <n v="2"/>
    <s v="L1"/>
    <d v="2015-08-17T00:00:00"/>
    <s v="A.C."/>
    <n v="17.225000000000001"/>
    <n v="9.15"/>
    <n v="2.7749999999999999"/>
    <n v="1"/>
    <n v="2.6"/>
    <n v="2.5"/>
    <n v="28.05"/>
    <n v="1.8"/>
    <n v="0.27500000000000002"/>
    <n v="2.5000000000000001E-2"/>
    <n v="5.23"/>
    <n v="5"/>
    <n v="0"/>
    <n v="0"/>
    <n v="30.15"/>
    <n v="1.24"/>
    <n v="0"/>
    <n v="0"/>
    <n v="0"/>
    <x v="106"/>
    <n v="0"/>
    <n v="0"/>
    <n v="0"/>
    <n v="0"/>
    <n v="0"/>
    <n v="0"/>
  </r>
  <r>
    <n v="1779"/>
    <s v="แขวงทางหลวงระยอง"/>
    <n v="426"/>
    <n v="3578"/>
    <n v="100"/>
    <s v="ทางรอบอ่างเก็บน้ำหนองปลาไหล"/>
    <n v="0"/>
    <n v="6040"/>
    <n v="6.04"/>
    <n v="2"/>
    <s v="R1"/>
    <d v="2015-08-17T00:00:00"/>
    <s v="A.C."/>
    <n v="3.2749999999999999"/>
    <n v="1.7749999999999999"/>
    <n v="0.67500000000000004"/>
    <n v="0.3"/>
    <n v="2.75"/>
    <n v="3"/>
    <n v="5.6749999999999998"/>
    <n v="0.32500000000000001"/>
    <n v="2.5000000000000001E-2"/>
    <n v="0"/>
    <n v="4.46"/>
    <n v="4.5"/>
    <n v="0"/>
    <n v="0"/>
    <n v="6.0250000000000004"/>
    <n v="1.36"/>
    <n v="0"/>
    <n v="0"/>
    <n v="0"/>
    <x v="106"/>
    <n v="0"/>
    <n v="0"/>
    <n v="0"/>
    <n v="0"/>
    <n v="0"/>
    <n v="0"/>
  </r>
  <r>
    <n v="1794"/>
    <s v="แขวงทางหลวงชลบุรีที่ 2"/>
    <n v="428"/>
    <n v="3240"/>
    <n v="102"/>
    <s v="สำนักตะแบก - เขาไม้แก้ว"/>
    <s v="18+174"/>
    <s v="12+000"/>
    <n v="6.1740000000000004"/>
    <n v="2"/>
    <s v="R1"/>
    <d v="2015-08-16T00:00:00"/>
    <s v="A.C."/>
    <n v="5.2"/>
    <n v="0.77500000000000002"/>
    <n v="0.1"/>
    <n v="0.1"/>
    <n v="2.8116300000000001"/>
    <n v="3"/>
    <n v="6.15"/>
    <n v="2.5000000000000001E-2"/>
    <n v="0"/>
    <n v="0"/>
    <n v="4.4575699999999996"/>
    <n v="4.5"/>
    <n v="0"/>
    <n v="0"/>
    <n v="6.1749999999999998"/>
    <n v="1.0623100000000001"/>
    <n v="0"/>
    <n v="0"/>
    <n v="0"/>
    <x v="106"/>
    <n v="0"/>
    <n v="0"/>
    <n v="0"/>
    <n v="0"/>
    <n v="0"/>
    <n v="0"/>
  </r>
  <r>
    <n v="1803"/>
    <s v="แขวงทางหลวงชลบุรีที่ 2"/>
    <n v="428"/>
    <n v="3701"/>
    <n v="500"/>
    <s v="ทางต่างระดับคีรี - พัทยา"/>
    <s v="86+369"/>
    <s v="87+519"/>
    <n v="1.1499999999999999"/>
    <n v="2"/>
    <s v="L1"/>
    <d v="2015-08-15T00:00:00"/>
    <s v="A.C."/>
    <n v="0.67500000000000004"/>
    <n v="0.17499999999999999"/>
    <n v="0.2"/>
    <n v="0.05"/>
    <n v="2.8370000000000002"/>
    <n v="3"/>
    <n v="1.1000000000000001"/>
    <n v="0"/>
    <n v="0"/>
    <n v="0"/>
    <n v="4.3159999999999998"/>
    <n v="4.5"/>
    <n v="0"/>
    <n v="0"/>
    <n v="1.1000000000000001"/>
    <n v="1.135"/>
    <n v="0"/>
    <n v="0"/>
    <n v="0"/>
    <x v="106"/>
    <n v="0"/>
    <n v="0"/>
    <n v="0"/>
    <n v="0"/>
    <n v="0"/>
    <n v="0"/>
  </r>
  <r>
    <n v="1804"/>
    <s v="แขวงทางหลวงชลบุรีที่ 2"/>
    <n v="428"/>
    <n v="3701"/>
    <n v="500"/>
    <s v="ทางต่างระดับคีรี - พัทยา"/>
    <s v="92+144"/>
    <s v="98+644"/>
    <n v="6.5"/>
    <n v="2"/>
    <s v="L1"/>
    <d v="2015-08-15T00:00:00"/>
    <s v="A.C."/>
    <n v="4.875"/>
    <n v="1.05"/>
    <n v="0.5"/>
    <n v="0.125"/>
    <n v="2.16"/>
    <n v="2"/>
    <n v="6.3"/>
    <n v="0.2"/>
    <n v="0.05"/>
    <n v="0"/>
    <n v="5.2560000000000002"/>
    <n v="5.5"/>
    <n v="0"/>
    <n v="0"/>
    <n v="6.55"/>
    <n v="1.1419999999999999"/>
    <n v="0"/>
    <n v="0"/>
    <n v="0"/>
    <x v="106"/>
    <n v="8.3000000000000007"/>
    <n v="3.6483516483516484E-2"/>
    <n v="0"/>
    <n v="0"/>
    <n v="0"/>
    <n v="0"/>
  </r>
  <r>
    <n v="1805"/>
    <s v="แขวงทางหลวงชลบุรีที่ 2"/>
    <n v="428"/>
    <n v="3701"/>
    <n v="500"/>
    <s v="ทางต่างระดับคีรี - พัทยา"/>
    <s v="98+644"/>
    <s v="99+144"/>
    <n v="0.5"/>
    <n v="2"/>
    <s v="L1"/>
    <d v="2015-08-15T00:00:00"/>
    <s v="A.C."/>
    <n v="0.22500000000000001"/>
    <n v="7.4999999999999997E-2"/>
    <n v="2.5000000000000001E-2"/>
    <n v="0.2"/>
    <n v="4.0860000000000003"/>
    <n v="4"/>
    <n v="0.5"/>
    <n v="2.5000000000000001E-2"/>
    <n v="0"/>
    <n v="0"/>
    <n v="4.9610000000000003"/>
    <n v="5"/>
    <n v="0"/>
    <n v="0"/>
    <n v="0.52500000000000002"/>
    <n v="0.95799999999999996"/>
    <n v="0"/>
    <n v="0"/>
    <n v="0"/>
    <x v="106"/>
    <n v="0"/>
    <n v="0"/>
    <n v="0"/>
    <n v="0"/>
    <n v="0"/>
    <n v="0"/>
  </r>
  <r>
    <n v="1806"/>
    <s v="แขวงทางหลวงชลบุรีที่ 2"/>
    <n v="428"/>
    <n v="3701"/>
    <n v="500"/>
    <s v="ทางต่างระดับคีรี - พัทยา"/>
    <s v="100+844"/>
    <s v="101+144"/>
    <n v="0.3"/>
    <n v="2"/>
    <s v="L1"/>
    <d v="2015-08-15T00:00:00"/>
    <s v="A.C."/>
    <n v="0.1"/>
    <n v="0.05"/>
    <n v="0.1"/>
    <n v="0.1"/>
    <n v="4.024"/>
    <n v="4"/>
    <n v="0.27500000000000002"/>
    <n v="7.4999999999999997E-2"/>
    <n v="0"/>
    <n v="0"/>
    <n v="6.7009999999999996"/>
    <n v="6.5"/>
    <n v="0"/>
    <n v="0"/>
    <n v="0.35"/>
    <n v="0.95"/>
    <n v="0"/>
    <n v="0"/>
    <n v="0"/>
    <x v="106"/>
    <n v="0"/>
    <n v="0"/>
    <n v="0"/>
    <n v="0"/>
    <n v="0"/>
    <n v="0"/>
  </r>
  <r>
    <n v="1807"/>
    <s v="แขวงทางหลวงชลบุรีที่ 2"/>
    <n v="428"/>
    <n v="3701"/>
    <n v="500"/>
    <s v="ทางต่างระดับคีรี - พัทยา"/>
    <s v="102+204"/>
    <s v="104+644"/>
    <n v="2.44"/>
    <n v="2"/>
    <s v="L1"/>
    <d v="2015-08-15T00:00:00"/>
    <s v="A.C."/>
    <n v="1.5249999999999999"/>
    <n v="0.375"/>
    <n v="0.25"/>
    <n v="2.5000000000000001E-2"/>
    <n v="2.2890000000000001"/>
    <n v="2.5"/>
    <n v="2.1749999999999998"/>
    <n v="0"/>
    <n v="0"/>
    <n v="0"/>
    <n v="4.0549999999999997"/>
    <n v="4"/>
    <n v="0"/>
    <n v="0"/>
    <n v="2.1749999999999998"/>
    <n v="1.0940000000000001"/>
    <n v="0"/>
    <n v="0"/>
    <n v="0"/>
    <x v="106"/>
    <n v="0"/>
    <n v="0"/>
    <n v="0"/>
    <n v="0"/>
    <n v="0"/>
    <n v="0"/>
  </r>
  <r>
    <n v="1808"/>
    <s v="แขวงทางหลวงชลบุรีที่ 2"/>
    <n v="428"/>
    <n v="3701"/>
    <n v="500"/>
    <s v="ทางต่างระดับคีรี - พัทยา"/>
    <s v="106+744"/>
    <s v="107+394"/>
    <n v="0.65"/>
    <n v="2"/>
    <s v="L1"/>
    <d v="2015-08-15T00:00:00"/>
    <s v="A.C."/>
    <n v="0.55000000000000004"/>
    <n v="0.15"/>
    <n v="0"/>
    <n v="0"/>
    <n v="2.0030000000000001"/>
    <n v="2"/>
    <n v="0.67500000000000004"/>
    <n v="2.5000000000000001E-2"/>
    <n v="0"/>
    <n v="0"/>
    <n v="4.66"/>
    <n v="4.5"/>
    <n v="0"/>
    <n v="0"/>
    <n v="0.70000000000000007"/>
    <n v="1.0149999999999999"/>
    <n v="0"/>
    <n v="0"/>
    <n v="0"/>
    <x v="106"/>
    <n v="0"/>
    <n v="0"/>
    <n v="0"/>
    <n v="0"/>
    <n v="0"/>
    <n v="0"/>
  </r>
  <r>
    <n v="1810"/>
    <s v="แขวงทางหลวงชลบุรีที่ 2"/>
    <n v="428"/>
    <n v="3701"/>
    <n v="500"/>
    <s v="ทางต่างระดับคีรี - พัทยา"/>
    <s v="109+094"/>
    <s v="112+419"/>
    <n v="3.3250000000000002"/>
    <n v="2"/>
    <s v="L1"/>
    <d v="2015-08-15T00:00:00"/>
    <s v="A.C."/>
    <n v="2.4249999999999998"/>
    <n v="0.8"/>
    <n v="0.25"/>
    <n v="0"/>
    <n v="2.2509999999999999"/>
    <n v="2.5"/>
    <n v="3.4"/>
    <n v="7.4999999999999997E-2"/>
    <n v="0"/>
    <n v="0"/>
    <n v="5.3470000000000004"/>
    <n v="5.5"/>
    <n v="0"/>
    <n v="0"/>
    <n v="3.4749999999999996"/>
    <n v="1.196"/>
    <n v="0"/>
    <n v="0"/>
    <n v="0"/>
    <x v="106"/>
    <n v="0"/>
    <n v="0"/>
    <n v="0"/>
    <n v="0"/>
    <n v="0"/>
    <n v="0"/>
  </r>
  <r>
    <n v="1811"/>
    <s v="แขวงทางหลวงชลบุรีที่ 2"/>
    <n v="428"/>
    <n v="3701"/>
    <n v="500"/>
    <s v="ทางต่างระดับคีรี - พัทยา"/>
    <s v="112+594"/>
    <s v="114+801"/>
    <n v="2.2069999999999999"/>
    <n v="2"/>
    <s v="L1"/>
    <d v="2015-08-15T00:00:00"/>
    <s v="A.C."/>
    <n v="1.7250000000000001"/>
    <n v="0.375"/>
    <n v="0.1"/>
    <n v="0"/>
    <n v="1.996"/>
    <n v="2"/>
    <n v="2.2000000000000002"/>
    <n v="0"/>
    <n v="0"/>
    <n v="0"/>
    <n v="5.4850000000000003"/>
    <n v="5.5"/>
    <n v="0"/>
    <n v="0"/>
    <n v="2.2000000000000002"/>
    <n v="1.0940000000000001"/>
    <n v="0"/>
    <n v="0"/>
    <n v="0"/>
    <x v="106"/>
    <n v="0"/>
    <n v="0"/>
    <n v="0"/>
    <n v="0"/>
    <n v="0"/>
    <n v="0"/>
  </r>
  <r>
    <n v="1812"/>
    <s v="แขวงทางหลวงชลบุรีที่ 2"/>
    <n v="428"/>
    <n v="3701"/>
    <n v="500"/>
    <s v="ทางต่างระดับคีรี - พัทยา"/>
    <s v="118+147"/>
    <s v="118+417"/>
    <n v="0.27"/>
    <n v="2"/>
    <s v="L1"/>
    <d v="2015-08-15T00:00:00"/>
    <s v="A.C."/>
    <n v="0.125"/>
    <n v="0.15"/>
    <n v="2.5000000000000001E-2"/>
    <n v="2.5000000000000001E-2"/>
    <n v="2.8769999999999998"/>
    <n v="3"/>
    <n v="0.32500000000000001"/>
    <n v="0"/>
    <n v="0"/>
    <n v="0"/>
    <n v="3.9289999999999998"/>
    <n v="4"/>
    <n v="0"/>
    <n v="0"/>
    <n v="0.32500000000000007"/>
    <n v="1.087"/>
    <n v="0"/>
    <n v="0"/>
    <n v="0"/>
    <x v="106"/>
    <n v="0"/>
    <n v="0"/>
    <n v="0"/>
    <n v="0"/>
    <n v="0"/>
    <n v="0"/>
  </r>
  <r>
    <n v="1813"/>
    <s v="แขวงทางหลวงชลบุรีที่ 2"/>
    <n v="428"/>
    <n v="3701"/>
    <n v="500"/>
    <s v="ทางต่างระดับคีรี - พัทยา"/>
    <s v="118+892"/>
    <s v="119+507"/>
    <n v="0.61499999999999999"/>
    <n v="2"/>
    <s v="L1"/>
    <d v="2015-08-15T00:00:00"/>
    <s v="A.C."/>
    <n v="0.42499999999999999"/>
    <n v="0.2"/>
    <n v="0"/>
    <n v="0"/>
    <n v="2.0950000000000002"/>
    <n v="2"/>
    <n v="0.625"/>
    <n v="0"/>
    <n v="0"/>
    <n v="0"/>
    <n v="1.8080000000000001"/>
    <n v="2"/>
    <n v="0"/>
    <n v="0"/>
    <n v="0.625"/>
    <n v="1.1679999999999999"/>
    <n v="0"/>
    <n v="0"/>
    <n v="0"/>
    <x v="106"/>
    <n v="0"/>
    <n v="0"/>
    <n v="0"/>
    <n v="0"/>
    <n v="0"/>
    <n v="0"/>
  </r>
  <r>
    <n v="1814"/>
    <s v="แขวงทางหลวงชลบุรีที่ 2"/>
    <n v="428"/>
    <n v="3701"/>
    <n v="500"/>
    <s v="ทางต่างระดับคีรี - พัทยา"/>
    <s v="120+108"/>
    <s v="122+737"/>
    <n v="2.629"/>
    <n v="2"/>
    <s v="L1"/>
    <d v="2015-08-15T00:00:00"/>
    <s v="A.C."/>
    <n v="1.675"/>
    <n v="0.45"/>
    <n v="0.22500000000000001"/>
    <n v="0.15"/>
    <n v="2.532"/>
    <n v="2.5"/>
    <n v="2.4"/>
    <n v="7.4999999999999997E-2"/>
    <n v="2.5000000000000001E-2"/>
    <n v="0"/>
    <n v="3.2949999999999999"/>
    <n v="3.5"/>
    <n v="0"/>
    <n v="0"/>
    <n v="2.5"/>
    <n v="1.179"/>
    <n v="0"/>
    <n v="0"/>
    <n v="0"/>
    <x v="106"/>
    <n v="0"/>
    <n v="0"/>
    <n v="0"/>
    <n v="0"/>
    <n v="0"/>
    <n v="0"/>
  </r>
  <r>
    <n v="1815"/>
    <s v="แขวงทางหลวงชลบุรีที่ 2"/>
    <n v="428"/>
    <n v="3701"/>
    <n v="500"/>
    <s v="ทางต่างระดับคีรี - พัทยา"/>
    <s v="123+382"/>
    <s v="123+580"/>
    <n v="0.19800000000000001"/>
    <n v="2"/>
    <s v="L1"/>
    <d v="2015-08-15T00:00:00"/>
    <s v="A.C."/>
    <n v="0.75"/>
    <n v="0.15"/>
    <n v="2.5000000000000001E-2"/>
    <n v="0.05"/>
    <n v="2.25"/>
    <n v="2.5"/>
    <n v="0.97499999999999998"/>
    <n v="0"/>
    <n v="0"/>
    <n v="0"/>
    <n v="3.141"/>
    <n v="3"/>
    <n v="0"/>
    <n v="0"/>
    <n v="0.97500000000000009"/>
    <n v="1.0029999999999999"/>
    <n v="0"/>
    <n v="0"/>
    <n v="0"/>
    <x v="106"/>
    <n v="0"/>
    <n v="0"/>
    <n v="0"/>
    <n v="0"/>
    <n v="0"/>
    <n v="0"/>
  </r>
  <r>
    <n v="1816"/>
    <s v="แขวงทางหลวงชลบุรีที่ 2"/>
    <n v="428"/>
    <n v="3701"/>
    <n v="500"/>
    <s v="ทางต่างระดับคีรี - พัทยา"/>
    <s v="124+141"/>
    <s v="124+501"/>
    <n v="0.36"/>
    <n v="2"/>
    <s v="L1"/>
    <d v="2015-08-15T00:00:00"/>
    <s v="A.C."/>
    <n v="0.125"/>
    <n v="0"/>
    <n v="0.05"/>
    <n v="0"/>
    <n v="2.42"/>
    <n v="2.5"/>
    <n v="0.17499999999999999"/>
    <n v="0"/>
    <n v="0"/>
    <n v="0"/>
    <n v="4.7149999999999999"/>
    <n v="4.5"/>
    <n v="0"/>
    <n v="0"/>
    <n v="0.17499999999999999"/>
    <n v="0.93300000000000005"/>
    <n v="0"/>
    <n v="0"/>
    <n v="0"/>
    <x v="106"/>
    <n v="0"/>
    <n v="0"/>
    <n v="0"/>
    <n v="0"/>
    <n v="0"/>
    <n v="0"/>
  </r>
  <r>
    <n v="1817"/>
    <s v="แขวงทางหลวงชลบุรีที่ 2"/>
    <n v="428"/>
    <n v="3701"/>
    <n v="500"/>
    <s v="ทางต่างระดับคีรี - พัทยา"/>
    <s v="124+675"/>
    <s v="125+094"/>
    <n v="0.41899999999999998"/>
    <n v="2"/>
    <s v="L1"/>
    <d v="2015-08-16T00:00:00"/>
    <s v="A.C."/>
    <n v="0.27500000000000002"/>
    <n v="2.5000000000000001E-2"/>
    <n v="0.05"/>
    <n v="0.125"/>
    <n v="3.8820000000000001"/>
    <n v="4"/>
    <n v="0.47499999999999998"/>
    <n v="0"/>
    <n v="0"/>
    <n v="0"/>
    <n v="3.7149999999999999"/>
    <n v="3.5"/>
    <n v="0"/>
    <n v="0"/>
    <n v="0.47500000000000003"/>
    <n v="1.2170000000000001"/>
    <n v="0"/>
    <n v="0"/>
    <n v="0"/>
    <x v="106"/>
    <n v="0"/>
    <n v="0"/>
    <n v="0"/>
    <n v="0"/>
    <n v="0"/>
    <n v="0"/>
  </r>
  <r>
    <n v="1818"/>
    <s v="แขวงทางหลวงชลบุรีที่ 2"/>
    <n v="428"/>
    <n v="3701"/>
    <n v="500"/>
    <s v="ทางต่างระดับคีรี - พัทยา"/>
    <s v="125+146"/>
    <s v="125+440"/>
    <n v="0.29399999999999998"/>
    <n v="2"/>
    <s v="L1"/>
    <d v="2015-08-16T00:00:00"/>
    <s v="A.C."/>
    <n v="0"/>
    <n v="0.1"/>
    <n v="0.17499999999999999"/>
    <n v="2.5000000000000001E-2"/>
    <n v="3.8879999999999999"/>
    <n v="4"/>
    <n v="0.3"/>
    <n v="0"/>
    <n v="0"/>
    <n v="0"/>
    <n v="3.6819999999999999"/>
    <n v="3.5"/>
    <n v="0"/>
    <n v="0"/>
    <n v="0.30000000000000004"/>
    <n v="0.93500000000000005"/>
    <n v="0"/>
    <n v="0"/>
    <n v="0"/>
    <x v="106"/>
    <n v="0"/>
    <n v="0"/>
    <n v="0"/>
    <n v="0"/>
    <n v="0"/>
    <n v="0"/>
  </r>
  <r>
    <n v="1820"/>
    <s v="แขวงทางหลวงชลบุรีที่ 2"/>
    <n v="428"/>
    <n v="3702"/>
    <n v="500"/>
    <s v="ทางต่างระดับคีรี - พัทยา"/>
    <s v="84+594"/>
    <s v="83+744"/>
    <n v="0.85"/>
    <n v="2"/>
    <s v="R1"/>
    <d v="2015-08-16T00:00:00"/>
    <s v="A.C."/>
    <n v="0.7"/>
    <n v="0.15"/>
    <n v="7.4999999999999997E-2"/>
    <n v="0"/>
    <n v="2.1480000000000001"/>
    <n v="2"/>
    <n v="0.92500000000000004"/>
    <n v="0"/>
    <n v="0"/>
    <n v="0"/>
    <n v="5.0890000000000004"/>
    <n v="5"/>
    <n v="0"/>
    <n v="0"/>
    <n v="0.92499999999999993"/>
    <n v="1.1930000000000001"/>
    <n v="0"/>
    <n v="0"/>
    <n v="0"/>
    <x v="106"/>
    <n v="0"/>
    <n v="0"/>
    <n v="0"/>
    <n v="0"/>
    <n v="0"/>
    <n v="0"/>
  </r>
  <r>
    <n v="1823"/>
    <s v="แขวงทางหลวงชลบุรีที่ 2"/>
    <n v="428"/>
    <n v="3702"/>
    <n v="500"/>
    <s v="ทางต่างระดับคีรี - พัทยา"/>
    <s v="99+144"/>
    <s v="98+644"/>
    <n v="0.5"/>
    <n v="2"/>
    <s v="R1"/>
    <d v="2015-08-16T00:00:00"/>
    <s v="A.C."/>
    <n v="0.27500000000000002"/>
    <n v="0.15"/>
    <n v="7.4999999999999997E-2"/>
    <n v="2.5000000000000001E-2"/>
    <n v="2.649"/>
    <n v="2.5"/>
    <n v="0.45"/>
    <n v="7.4999999999999997E-2"/>
    <n v="0"/>
    <n v="0"/>
    <n v="6.4859999999999998"/>
    <n v="6.5"/>
    <n v="0"/>
    <n v="0"/>
    <n v="0.52500000000000002"/>
    <n v="0.88400000000000001"/>
    <n v="0"/>
    <n v="0"/>
    <n v="0"/>
    <x v="106"/>
    <n v="0"/>
    <n v="0"/>
    <n v="0"/>
    <n v="0"/>
    <n v="0"/>
    <n v="0"/>
  </r>
  <r>
    <n v="1824"/>
    <s v="แขวงทางหลวงชลบุรีที่ 2"/>
    <n v="428"/>
    <n v="3702"/>
    <n v="500"/>
    <s v="ทางต่างระดับคีรี - พัทยา"/>
    <s v="101+074"/>
    <s v="100+844"/>
    <n v="0.23"/>
    <n v="2"/>
    <s v="R1"/>
    <d v="2015-08-16T00:00:00"/>
    <s v="A.C."/>
    <n v="0.17499999999999999"/>
    <n v="0.125"/>
    <n v="0.05"/>
    <n v="0.05"/>
    <n v="3.0710000000000002"/>
    <n v="3"/>
    <n v="0.4"/>
    <n v="0"/>
    <n v="0"/>
    <n v="0"/>
    <n v="3.9350000000000001"/>
    <n v="4"/>
    <n v="0"/>
    <n v="0"/>
    <n v="0.39999999999999997"/>
    <n v="0.97599999999999998"/>
    <n v="0"/>
    <n v="0"/>
    <n v="0"/>
    <x v="106"/>
    <n v="0"/>
    <n v="0"/>
    <n v="0"/>
    <n v="0"/>
    <n v="0"/>
    <n v="0"/>
  </r>
  <r>
    <n v="1825"/>
    <s v="แขวงทางหลวงชลบุรีที่ 2"/>
    <n v="428"/>
    <n v="3702"/>
    <n v="500"/>
    <s v="ทางต่างระดับคีรี - พัทยา"/>
    <s v="104+644"/>
    <s v="102+044"/>
    <n v="2.6"/>
    <n v="2"/>
    <s v="R1"/>
    <d v="2015-08-16T00:00:00"/>
    <s v="A.C."/>
    <n v="2.0499999999999998"/>
    <n v="0.42499999999999999"/>
    <n v="0.15"/>
    <n v="2.5000000000000001E-2"/>
    <n v="2.1419999999999999"/>
    <n v="2"/>
    <n v="2.4750000000000001"/>
    <n v="0.15"/>
    <n v="2.5000000000000001E-2"/>
    <n v="0"/>
    <n v="5.1369999999999996"/>
    <n v="5"/>
    <n v="0"/>
    <n v="0"/>
    <n v="2.6499999999999995"/>
    <n v="1.278"/>
    <n v="0"/>
    <n v="0"/>
    <n v="0"/>
    <x v="106"/>
    <n v="0"/>
    <n v="0"/>
    <n v="0"/>
    <n v="0"/>
    <n v="0"/>
    <n v="0"/>
  </r>
  <r>
    <n v="1826"/>
    <s v="แขวงทางหลวงชลบุรีที่ 2"/>
    <n v="428"/>
    <n v="3702"/>
    <n v="500"/>
    <s v="ทางต่างระดับคีรี - พัทยา"/>
    <s v="105+794"/>
    <s v="105+444"/>
    <n v="0.35"/>
    <n v="2"/>
    <s v="R1"/>
    <d v="2015-08-16T00:00:00"/>
    <s v="A.C."/>
    <n v="0.25"/>
    <n v="0.05"/>
    <n v="0.05"/>
    <n v="0"/>
    <n v="2.496"/>
    <n v="2.5"/>
    <n v="0.25"/>
    <n v="0.1"/>
    <n v="0"/>
    <n v="0"/>
    <n v="7.6680000000000001"/>
    <n v="7.5"/>
    <n v="0"/>
    <n v="0"/>
    <n v="0.35"/>
    <n v="1.119"/>
    <n v="0"/>
    <n v="0"/>
    <n v="0"/>
    <x v="106"/>
    <n v="0"/>
    <n v="0"/>
    <n v="0"/>
    <n v="0"/>
    <n v="0"/>
    <n v="0"/>
  </r>
  <r>
    <n v="1827"/>
    <s v="แขวงทางหลวงชลบุรีที่ 2"/>
    <n v="428"/>
    <n v="3702"/>
    <n v="500"/>
    <s v="ทางต่างระดับคีรี - พัทยา"/>
    <s v="107+394"/>
    <s v="106+794"/>
    <n v="0.6"/>
    <n v="2"/>
    <s v="R1"/>
    <d v="2015-08-16T00:00:00"/>
    <s v="A.C."/>
    <n v="0.625"/>
    <n v="0"/>
    <n v="0.05"/>
    <n v="0"/>
    <n v="1.9059999999999999"/>
    <n v="2"/>
    <n v="0.67500000000000004"/>
    <n v="0"/>
    <n v="0"/>
    <n v="0"/>
    <n v="3.3940000000000001"/>
    <n v="3.5"/>
    <n v="0"/>
    <n v="0"/>
    <n v="0.67500000000000004"/>
    <n v="1.2749999999999999"/>
    <n v="0"/>
    <n v="0"/>
    <n v="0"/>
    <x v="106"/>
    <n v="0"/>
    <n v="0"/>
    <n v="0"/>
    <n v="0"/>
    <n v="0"/>
    <n v="0"/>
  </r>
  <r>
    <n v="1828"/>
    <s v="แขวงทางหลวงชลบุรีที่ 2"/>
    <n v="428"/>
    <n v="3702"/>
    <n v="500"/>
    <s v="ทางต่างระดับคีรี - พัทยา"/>
    <s v="108+694"/>
    <s v="107+694"/>
    <n v="1"/>
    <n v="2"/>
    <s v="R1"/>
    <d v="2015-08-16T00:00:00"/>
    <s v="A.C."/>
    <n v="0.92500000000000004"/>
    <n v="7.4999999999999997E-2"/>
    <n v="0"/>
    <n v="2.5000000000000001E-2"/>
    <n v="1.8240000000000001"/>
    <n v="2"/>
    <n v="1.0249999999999999"/>
    <n v="0"/>
    <n v="0"/>
    <n v="0"/>
    <n v="4.9779999999999998"/>
    <n v="5"/>
    <n v="0"/>
    <n v="0"/>
    <n v="1.0249999999999999"/>
    <n v="1.3480000000000001"/>
    <n v="0"/>
    <n v="0"/>
    <n v="0"/>
    <x v="106"/>
    <n v="0"/>
    <n v="0"/>
    <n v="0"/>
    <n v="0"/>
    <n v="0"/>
    <n v="0"/>
  </r>
  <r>
    <n v="1829"/>
    <s v="แขวงทางหลวงชลบุรีที่ 2"/>
    <n v="428"/>
    <n v="3702"/>
    <n v="500"/>
    <s v="ทางต่างระดับคีรี - พัทยา"/>
    <s v="110+864"/>
    <s v="109+199"/>
    <n v="1.665"/>
    <n v="2"/>
    <s v="R1"/>
    <d v="2015-08-16T00:00:00"/>
    <s v="A.C."/>
    <n v="1.425"/>
    <n v="0.22500000000000001"/>
    <n v="0.05"/>
    <n v="0"/>
    <n v="1.881"/>
    <n v="2"/>
    <n v="1.675"/>
    <n v="2.5000000000000001E-2"/>
    <n v="0"/>
    <n v="0"/>
    <n v="5.7480000000000002"/>
    <n v="5.5"/>
    <n v="0"/>
    <n v="0"/>
    <n v="1.7000000000000002"/>
    <n v="1.31"/>
    <n v="0"/>
    <n v="0"/>
    <n v="0"/>
    <x v="106"/>
    <n v="0"/>
    <n v="0"/>
    <n v="0"/>
    <n v="0"/>
    <n v="0"/>
    <n v="0"/>
  </r>
  <r>
    <n v="1830"/>
    <s v="แขวงทางหลวงชลบุรีที่ 2"/>
    <n v="428"/>
    <n v="3702"/>
    <n v="500"/>
    <s v="ทางต่างระดับคีรี - พัทยา"/>
    <s v="112+419"/>
    <s v="111+394"/>
    <n v="1.0249999999999999"/>
    <n v="2"/>
    <s v="R1"/>
    <d v="2015-08-16T00:00:00"/>
    <s v="A.C."/>
    <n v="0.97499999999999998"/>
    <n v="0.1"/>
    <n v="0"/>
    <n v="0"/>
    <n v="1.8160000000000001"/>
    <n v="2"/>
    <n v="1.05"/>
    <n v="2.5000000000000001E-2"/>
    <n v="0"/>
    <n v="0"/>
    <n v="3.8039999999999998"/>
    <n v="4"/>
    <n v="0"/>
    <n v="0"/>
    <n v="1.075"/>
    <n v="1.036"/>
    <n v="0"/>
    <n v="0"/>
    <n v="0"/>
    <x v="106"/>
    <n v="0"/>
    <n v="0"/>
    <n v="0"/>
    <n v="0"/>
    <n v="0"/>
    <n v="0"/>
  </r>
  <r>
    <n v="1831"/>
    <s v="แขวงทางหลวงชลบุรีที่ 2"/>
    <n v="428"/>
    <n v="3702"/>
    <n v="500"/>
    <s v="ทางต่างระดับคีรี - พัทยา"/>
    <s v="114+819"/>
    <s v="112+594"/>
    <n v="2.2250000000000001"/>
    <n v="2"/>
    <s v="R1"/>
    <d v="2015-08-16T00:00:00"/>
    <s v="A.C."/>
    <n v="1.9750000000000001"/>
    <n v="0.15"/>
    <n v="7.4999999999999997E-2"/>
    <n v="2.5000000000000001E-2"/>
    <n v="1.992"/>
    <n v="2"/>
    <n v="2.0249999999999999"/>
    <n v="0.2"/>
    <n v="0"/>
    <n v="0"/>
    <n v="6.3579999999999997"/>
    <n v="6.5"/>
    <n v="0"/>
    <n v="0"/>
    <n v="2.2250000000000001"/>
    <n v="1.26"/>
    <n v="0"/>
    <n v="0"/>
    <n v="0"/>
    <x v="106"/>
    <n v="0"/>
    <n v="0"/>
    <n v="0"/>
    <n v="0"/>
    <n v="0"/>
    <n v="0"/>
  </r>
  <r>
    <n v="1832"/>
    <s v="แขวงทางหลวงชลบุรีที่ 2"/>
    <n v="428"/>
    <n v="3702"/>
    <n v="500"/>
    <s v="ทางต่างระดับคีรี - พัทยา"/>
    <s v="119+832"/>
    <s v="118+356"/>
    <n v="1.476"/>
    <n v="2"/>
    <s v="R1"/>
    <d v="2015-08-16T00:00:00"/>
    <s v="A.C."/>
    <n v="1.325"/>
    <n v="0.05"/>
    <n v="2.5000000000000001E-2"/>
    <n v="2.5000000000000001E-2"/>
    <n v="1.829"/>
    <n v="2"/>
    <n v="1.425"/>
    <n v="0"/>
    <n v="0"/>
    <n v="0"/>
    <n v="2.2749999999999999"/>
    <n v="2.5"/>
    <n v="0"/>
    <n v="0"/>
    <n v="1.4249999999999998"/>
    <n v="1.2569999999999999"/>
    <n v="0"/>
    <n v="0"/>
    <n v="0"/>
    <x v="106"/>
    <n v="0"/>
    <n v="0"/>
    <n v="0"/>
    <n v="0"/>
    <n v="0"/>
    <n v="0"/>
  </r>
  <r>
    <n v="1834"/>
    <s v="แขวงทางหลวงชลบุรีที่ 2"/>
    <n v="428"/>
    <n v="3702"/>
    <n v="500"/>
    <s v="ทางต่างระดับคีรี - พัทยา"/>
    <s v="123+007"/>
    <s v="122+896"/>
    <n v="0.111"/>
    <n v="2"/>
    <s v="R1"/>
    <d v="2015-08-16T00:00:00"/>
    <s v="A.C."/>
    <n v="0.1"/>
    <n v="0"/>
    <n v="0"/>
    <n v="0"/>
    <n v="1.883"/>
    <n v="2"/>
    <n v="0.1"/>
    <n v="0"/>
    <n v="0"/>
    <n v="0"/>
    <n v="1.351"/>
    <n v="1.5"/>
    <n v="0"/>
    <n v="0"/>
    <n v="0.1"/>
    <n v="1.099"/>
    <n v="0"/>
    <n v="0"/>
    <n v="0"/>
    <x v="106"/>
    <n v="0"/>
    <n v="0"/>
    <n v="0"/>
    <n v="0"/>
    <n v="0"/>
    <n v="0"/>
  </r>
  <r>
    <n v="1835"/>
    <s v="แขวงทางหลวงชลบุรีที่ 2"/>
    <n v="428"/>
    <n v="3702"/>
    <n v="500"/>
    <s v="ทางต่างระดับคีรี - พัทยา"/>
    <s v="125+083"/>
    <s v="124+672"/>
    <n v="0.41099999999999998"/>
    <n v="2"/>
    <s v="R1"/>
    <d v="2015-08-16T00:00:00"/>
    <s v="A.C."/>
    <n v="0.3"/>
    <n v="7.4999999999999997E-2"/>
    <n v="0"/>
    <n v="2.5000000000000001E-2"/>
    <n v="2.254"/>
    <n v="2.5"/>
    <n v="0.375"/>
    <n v="2.5000000000000001E-2"/>
    <n v="0"/>
    <n v="0"/>
    <n v="4.569"/>
    <n v="4.5"/>
    <n v="0"/>
    <n v="0"/>
    <n v="0.4"/>
    <n v="1.2410000000000001"/>
    <n v="0"/>
    <n v="0"/>
    <n v="0"/>
    <x v="106"/>
    <n v="0"/>
    <n v="0"/>
    <n v="0"/>
    <n v="0"/>
    <n v="0"/>
    <n v="0"/>
  </r>
  <r>
    <n v="1836"/>
    <s v="แขวงทางหลวงชลบุรีที่ 2"/>
    <n v="428"/>
    <n v="3702"/>
    <n v="500"/>
    <s v="ทางต่างระดับคีรี - พัทยา"/>
    <s v="125+400"/>
    <s v="125+135"/>
    <n v="0.26500000000000001"/>
    <n v="2"/>
    <s v="R1"/>
    <d v="2015-08-16T00:00:00"/>
    <s v="A.C."/>
    <n v="0.05"/>
    <n v="0.15"/>
    <n v="7.4999999999999997E-2"/>
    <n v="0"/>
    <n v="3.1"/>
    <n v="3"/>
    <n v="0.25"/>
    <n v="0"/>
    <n v="2.5000000000000001E-2"/>
    <n v="0"/>
    <n v="4.149"/>
    <n v="4"/>
    <n v="0"/>
    <n v="0"/>
    <n v="0.27500000000000002"/>
    <n v="1.17"/>
    <n v="0"/>
    <n v="0"/>
    <n v="0"/>
    <x v="106"/>
    <n v="0"/>
    <n v="0"/>
    <n v="0"/>
    <n v="0"/>
    <n v="0"/>
    <n v="0"/>
  </r>
  <r>
    <n v="1849"/>
    <s v="แขวงทางหลวงชุมพร"/>
    <n v="332"/>
    <n v="4003"/>
    <n v="100"/>
    <s v="สวี - บ่อคา"/>
    <s v="2+875"/>
    <s v="15+282"/>
    <n v="12.407"/>
    <n v="2"/>
    <s v="L1"/>
    <d v="2015-04-06T00:00:00"/>
    <s v="A.C."/>
    <n v="8.5500000000000007"/>
    <n v="3.875"/>
    <n v="0"/>
    <n v="0"/>
    <n v="2.7123499999999998"/>
    <n v="2.5"/>
    <n v="12.425000000000001"/>
    <n v="0"/>
    <n v="0"/>
    <n v="0"/>
    <n v="1.86321"/>
    <n v="2"/>
    <n v="0"/>
    <n v="0"/>
    <n v="12.425000000000001"/>
    <n v="1.21441"/>
    <n v="0"/>
    <n v="0"/>
    <n v="0"/>
    <x v="106"/>
    <n v="0"/>
    <n v="0"/>
    <n v="0"/>
    <n v="0"/>
    <n v="0"/>
    <n v="0"/>
  </r>
  <r>
    <n v="1868"/>
    <s v="แขวงทางหลวงราชบุรี"/>
    <n v="335"/>
    <n v="3090"/>
    <n v="100"/>
    <s v="บ้านเลือก - หนองตากยา"/>
    <s v="16+094"/>
    <s v="0+000"/>
    <n v="16.094000000000001"/>
    <n v="2"/>
    <s v="R1"/>
    <d v="2015-03-30T00:00:00"/>
    <s v="A.C."/>
    <n v="12.12"/>
    <n v="3.97"/>
    <n v="0"/>
    <n v="0"/>
    <n v="2.5367000000000002"/>
    <n v="2.5"/>
    <n v="16.09"/>
    <n v="0"/>
    <n v="0"/>
    <n v="0"/>
    <n v="2.3696999999999999"/>
    <n v="2.5"/>
    <n v="0"/>
    <n v="0"/>
    <n v="16.09"/>
    <n v="1.03369"/>
    <n v="0"/>
    <n v="0"/>
    <n v="0"/>
    <x v="106"/>
    <n v="0"/>
    <n v="0"/>
    <n v="0"/>
    <n v="0"/>
    <n v="0"/>
    <n v="0"/>
  </r>
  <r>
    <n v="1925"/>
    <s v="แขวงทางหลวงเพชรบุรี"/>
    <n v="338"/>
    <n v="3187"/>
    <n v="100"/>
    <s v="เขื่อนเพชร - บางกุฬา"/>
    <n v="0"/>
    <n v="28201"/>
    <n v="28.201000000000001"/>
    <n v="2"/>
    <s v="L1"/>
    <d v="2015-04-02T00:00:00"/>
    <s v="A.C."/>
    <n v="20.059999999999999"/>
    <n v="5.34"/>
    <n v="2.19"/>
    <n v="0.6"/>
    <n v="2.2437100000000001"/>
    <n v="2"/>
    <n v="27.6"/>
    <n v="0.45"/>
    <n v="0.1"/>
    <n v="0.05"/>
    <n v="2.5160100000000001"/>
    <n v="2.5"/>
    <n v="0"/>
    <n v="0"/>
    <n v="28.2"/>
    <n v="1.2615799999999999"/>
    <n v="0"/>
    <n v="0"/>
    <n v="0"/>
    <x v="106"/>
    <n v="1"/>
    <n v="1.0131352991535254E-3"/>
    <n v="39"/>
    <n v="3.9512276666987492E-2"/>
    <n v="0"/>
    <n v="0"/>
  </r>
  <r>
    <n v="1937"/>
    <s v="แขวงทางหลวงเพชรบุรี"/>
    <n v="338"/>
    <n v="3528"/>
    <n v="100"/>
    <s v="เข้าเมืองเพชรบุรี"/>
    <s v="6+397"/>
    <s v="4+800"/>
    <n v="1.597"/>
    <n v="6"/>
    <s v="R3"/>
    <d v="2015-04-02T00:00:00"/>
    <s v="A.C."/>
    <n v="1.23"/>
    <n v="0.21"/>
    <n v="0.12"/>
    <n v="0.03"/>
    <n v="2.00481"/>
    <n v="2"/>
    <n v="1.54"/>
    <n v="0.03"/>
    <n v="0.03"/>
    <n v="0"/>
    <n v="3.0099200000000002"/>
    <n v="3"/>
    <n v="0"/>
    <n v="0"/>
    <n v="1.6"/>
    <n v="1.58192"/>
    <n v="0"/>
    <n v="0"/>
    <n v="0"/>
    <x v="106"/>
    <n v="2.09"/>
    <n v="1.4185263615138187E-6"/>
    <n v="0"/>
    <n v="0"/>
    <n v="0"/>
    <n v="0"/>
  </r>
  <r>
    <n v="1938"/>
    <s v="แขวงทางหลวงเพชรบุรี"/>
    <n v="338"/>
    <n v="4280"/>
    <n v="100"/>
    <s v="ทางเข้าพระราชนิเวศน์มฤคทายวัน"/>
    <n v="0"/>
    <n v="1754"/>
    <n v="1.754"/>
    <n v="2"/>
    <s v="L1"/>
    <d v="2015-04-03T00:00:00"/>
    <s v="A.C."/>
    <n v="0.92"/>
    <n v="0.45"/>
    <n v="0.19"/>
    <n v="0.19"/>
    <n v="2.8985699999999999"/>
    <n v="3"/>
    <n v="1.73"/>
    <n v="0.03"/>
    <n v="0"/>
    <n v="0"/>
    <n v="2.9865200000000001"/>
    <n v="3"/>
    <n v="0"/>
    <n v="0"/>
    <n v="1.75"/>
    <n v="1.1997100000000001"/>
    <n v="0"/>
    <n v="0"/>
    <n v="0"/>
    <x v="106"/>
    <n v="0"/>
    <n v="0"/>
    <n v="25"/>
    <n v="0.40723244828147903"/>
    <n v="0"/>
    <n v="0"/>
  </r>
  <r>
    <n v="1942"/>
    <s v="แขวงทางหลวงนครศรีธรรมราชที่ 1"/>
    <n v="321"/>
    <n v="401"/>
    <n v="503"/>
    <s v="ท่าแพ - นครศรีธรรมราช"/>
    <n v="292863"/>
    <n v="286310"/>
    <n v="6.5529999999999999"/>
    <n v="4"/>
    <s v="R2"/>
    <d v="2015-04-28T00:00:00"/>
    <s v="A.C."/>
    <n v="4.8250000000000002"/>
    <n v="1.4"/>
    <n v="0.22500000000000001"/>
    <n v="7.4999999999999997E-2"/>
    <n v="2.2305700000000002"/>
    <n v="2"/>
    <n v="6.4249999999999998"/>
    <n v="0.1"/>
    <n v="0"/>
    <n v="0"/>
    <n v="5.4412799999999999"/>
    <n v="5.5"/>
    <n v="0"/>
    <n v="0"/>
    <n v="6.5249999999999995"/>
    <n v="1.20323"/>
    <n v="0"/>
    <n v="0"/>
    <n v="0"/>
    <x v="106"/>
    <n v="11"/>
    <n v="4.7960585119138456E-2"/>
    <n v="0"/>
    <n v="0"/>
    <n v="0"/>
    <n v="0"/>
  </r>
  <r>
    <n v="1951"/>
    <s v="แขวงทางหลวงนครศรีธรรมราชที่ 1"/>
    <n v="321"/>
    <n v="4016"/>
    <n v="101"/>
    <s v="นครศรีธรรมราช - พรหมคีรี"/>
    <n v="13500"/>
    <s v="18+729"/>
    <n v="5.2290000000000001"/>
    <n v="4"/>
    <s v="L1"/>
    <d v="2015-04-30T00:00:00"/>
    <s v="A.C."/>
    <n v="3.25"/>
    <n v="1.5"/>
    <n v="0.52500000000000002"/>
    <n v="0"/>
    <n v="2.6389999999999998"/>
    <n v="2.5"/>
    <n v="5.2750000000000004"/>
    <n v="0"/>
    <n v="0"/>
    <n v="0"/>
    <n v="2.9630000000000001"/>
    <n v="3"/>
    <n v="0"/>
    <n v="0"/>
    <n v="5.2750000000000004"/>
    <n v="1.321"/>
    <n v="0"/>
    <n v="0"/>
    <n v="0"/>
    <x v="106"/>
    <n v="16.2"/>
    <n v="8.8517334644701254E-2"/>
    <n v="0"/>
    <n v="0"/>
    <n v="0"/>
    <n v="0"/>
  </r>
  <r>
    <n v="1985"/>
    <s v="แขวงทางหลวงตรัง"/>
    <n v="322"/>
    <n v="4124"/>
    <n v="100"/>
    <s v="นาโยงเหนือ - ย่านตาขาว"/>
    <s v="0+000"/>
    <s v="24+035"/>
    <n v="24.035"/>
    <n v="2"/>
    <s v="L2"/>
    <d v="2015-05-07T00:00:00"/>
    <s v="A.C."/>
    <n v="21.45"/>
    <n v="2.125"/>
    <n v="0.72499999999999998"/>
    <n v="0.35"/>
    <n v="1.8493900000000001"/>
    <n v="2"/>
    <n v="24.65"/>
    <n v="0"/>
    <n v="0"/>
    <n v="0"/>
    <n v="1.45373"/>
    <n v="1.5"/>
    <n v="0"/>
    <n v="0"/>
    <n v="24.650000000000002"/>
    <n v="1.3594599999999999"/>
    <n v="0"/>
    <n v="0"/>
    <n v="0"/>
    <x v="106"/>
    <n v="0"/>
    <n v="0"/>
    <n v="12.21"/>
    <n v="8.2802958120420321E-6"/>
    <n v="0"/>
    <n v="0"/>
  </r>
  <r>
    <n v="1996"/>
    <s v="แขวงทางหลวงตรัง"/>
    <n v="322"/>
    <n v="4268"/>
    <n v="100"/>
    <s v="ควนตอ - บ้านควน"/>
    <n v="9414"/>
    <n v="0"/>
    <n v="9.4139999999999997"/>
    <n v="2"/>
    <s v="R2"/>
    <d v="2015-05-03T00:00:00"/>
    <s v="A.C."/>
    <n v="8"/>
    <n v="1"/>
    <n v="0.2"/>
    <n v="0.15"/>
    <n v="1.9223300000000001"/>
    <n v="2"/>
    <n v="9.3249999999999993"/>
    <n v="2.5000000000000001E-2"/>
    <n v="0"/>
    <n v="0"/>
    <n v="2.0070199999999998"/>
    <n v="2"/>
    <n v="0"/>
    <n v="0"/>
    <n v="9.35"/>
    <n v="1.11145"/>
    <n v="0"/>
    <n v="0"/>
    <n v="0"/>
    <x v="106"/>
    <n v="0"/>
    <n v="0"/>
    <n v="19.399999999999999"/>
    <n v="5.8878873410422167E-2"/>
    <n v="0"/>
    <n v="0"/>
  </r>
  <r>
    <n v="2015"/>
    <s v="แขวงทางหลวงสุราษฎร์ธานี ที่ 1 (พุนพิน)"/>
    <n v="325"/>
    <n v="4185"/>
    <n v="100"/>
    <s v="คชาธาร - วัดมูลเหล็ก"/>
    <n v="4800"/>
    <n v="0"/>
    <n v="4.8"/>
    <n v="2"/>
    <s v="R1"/>
    <d v="2015-04-23T00:00:00"/>
    <s v="A.C."/>
    <n v="3.63"/>
    <n v="0.67"/>
    <n v="0.32"/>
    <n v="0.19"/>
    <n v="2.2378300000000002"/>
    <n v="2"/>
    <n v="4.21"/>
    <n v="0.56000000000000005"/>
    <n v="0.03"/>
    <n v="0"/>
    <n v="5.5958399999999999"/>
    <n v="5.5"/>
    <n v="0"/>
    <n v="0"/>
    <n v="4.8"/>
    <n v="1.35043"/>
    <n v="0"/>
    <n v="0"/>
    <n v="0"/>
    <x v="106"/>
    <n v="0"/>
    <n v="0"/>
    <n v="8.9"/>
    <n v="5.2976190476190475E-2"/>
    <n v="0"/>
    <n v="0"/>
  </r>
  <r>
    <n v="2067"/>
    <s v="แขวงทางหลวงสุราษฎร์ธานีที่ 2 (กาญจนดิษฐ์)"/>
    <n v="328"/>
    <n v="4339"/>
    <n v="100"/>
    <s v="ดอนเนาว์ - บ้านพอด"/>
    <n v="0"/>
    <n v="3525"/>
    <n v="3.5249999999999999"/>
    <n v="2"/>
    <s v="L1"/>
    <d v="2015-04-25T00:00:00"/>
    <s v="A.C."/>
    <n v="2.0750000000000002"/>
    <n v="1.1000000000000001"/>
    <n v="0.27500000000000002"/>
    <n v="7.4999999999999997E-2"/>
    <n v="2.5295000000000001"/>
    <n v="2.5"/>
    <n v="3.5249999999999999"/>
    <n v="0"/>
    <n v="0"/>
    <n v="0"/>
    <n v="2.3470200000000001"/>
    <n v="2.5"/>
    <n v="0"/>
    <n v="0"/>
    <n v="3.5250000000000004"/>
    <n v="1.39253"/>
    <n v="0"/>
    <n v="0"/>
    <n v="0"/>
    <x v="106"/>
    <n v="1.5"/>
    <n v="1.2158054711246201E-2"/>
    <n v="0"/>
    <n v="0"/>
    <n v="0"/>
    <n v="0"/>
  </r>
  <r>
    <n v="2085"/>
    <s v="แขวงทางหลวงสุราษฎร์ธานีที่ 3 (เวียงสระ)"/>
    <n v="329"/>
    <n v="4344"/>
    <n v="100"/>
    <s v="ห้วยกลาง  - กะทูน"/>
    <n v="0"/>
    <n v="1611"/>
    <n v="1.611"/>
    <n v="2"/>
    <s v="L1"/>
    <d v="2015-04-27T00:00:00"/>
    <s v="A.C."/>
    <n v="1.175"/>
    <n v="0.375"/>
    <n v="7.4999999999999997E-2"/>
    <n v="2.5000000000000001E-2"/>
    <n v="2.3347000000000002"/>
    <n v="2.5"/>
    <n v="1.625"/>
    <n v="0"/>
    <n v="2.5000000000000001E-2"/>
    <n v="0"/>
    <n v="2.5350299999999999"/>
    <n v="2.5"/>
    <n v="0"/>
    <n v="0"/>
    <n v="1.65"/>
    <n v="1.0848800000000001"/>
    <n v="0"/>
    <n v="0"/>
    <n v="0"/>
    <x v="106"/>
    <n v="212.47"/>
    <n v="3.7682007626141703"/>
    <n v="0"/>
    <n v="0"/>
    <n v="0"/>
    <n v="0"/>
  </r>
  <r>
    <n v="2086"/>
    <s v="แขวงทางหลวงกระบี่"/>
    <n v="323"/>
    <n v="4033"/>
    <n v="100"/>
    <s v="ในช่อง - ในไร่"/>
    <n v="0"/>
    <n v="5310"/>
    <n v="5.31"/>
    <n v="2"/>
    <s v="L1"/>
    <d v="2015-05-08T00:00:00"/>
    <s v="A.C."/>
    <n v="4.96"/>
    <n v="0.15"/>
    <n v="0.1"/>
    <n v="0.1"/>
    <n v="1.66289"/>
    <n v="1.5"/>
    <n v="4.9800000000000004"/>
    <n v="0.28000000000000003"/>
    <n v="0"/>
    <n v="0.05"/>
    <n v="4.5550899999999999"/>
    <n v="4.5"/>
    <n v="0"/>
    <n v="0"/>
    <n v="5.31"/>
    <n v="1.14628"/>
    <n v="0"/>
    <n v="0"/>
    <n v="0"/>
    <x v="106"/>
    <n v="2.48"/>
    <n v="1.3344094700026905E-2"/>
    <n v="0"/>
    <n v="0"/>
    <n v="0"/>
    <n v="0"/>
  </r>
  <r>
    <n v="2141"/>
    <s v="แขวงทางหลวงพังงา"/>
    <n v="327"/>
    <n v="415"/>
    <n v="100"/>
    <s v="นาเหนือ - บางคราม"/>
    <n v="0"/>
    <n v="21381"/>
    <n v="21.381"/>
    <n v="2"/>
    <s v="L1"/>
    <d v="2015-05-11T00:00:00"/>
    <s v="A.C."/>
    <n v="14.5"/>
    <n v="4.125"/>
    <n v="2.1"/>
    <n v="0.67500000000000004"/>
    <n v="2.35622"/>
    <n v="2.5"/>
    <n v="21.225000000000001"/>
    <n v="0.17499999999999999"/>
    <n v="0"/>
    <n v="0"/>
    <n v="2.8455400000000002"/>
    <n v="3"/>
    <n v="0"/>
    <n v="0"/>
    <n v="21.400000000000002"/>
    <n v="1.51023"/>
    <n v="0"/>
    <n v="0"/>
    <n v="0"/>
    <x v="106"/>
    <n v="0"/>
    <n v="0"/>
    <n v="61"/>
    <n v="8.1514295068385145E-2"/>
    <n v="0"/>
    <n v="0"/>
  </r>
  <r>
    <n v="2161"/>
    <s v="แขวงทางหลวงสงขลาที่ 1"/>
    <n v="311"/>
    <n v="408"/>
    <n v="201"/>
    <s v="ปากระวะ - สทิงพระ"/>
    <n v="70891"/>
    <n v="131600"/>
    <n v="60.71"/>
    <n v="4"/>
    <s v="L1"/>
    <d v="2015-05-22T00:00:00"/>
    <s v="A.C."/>
    <n v="44.8"/>
    <n v="11.59"/>
    <n v="3.56"/>
    <n v="0.79"/>
    <n v="2.1971799999999999"/>
    <n v="2"/>
    <n v="58.64"/>
    <n v="1.55"/>
    <n v="0.37"/>
    <n v="0.17"/>
    <n v="3.3856600000000001"/>
    <n v="3.5"/>
    <n v="0"/>
    <n v="0"/>
    <n v="60.71"/>
    <n v="1.19347"/>
    <n v="0"/>
    <n v="0"/>
    <n v="0"/>
    <x v="106"/>
    <n v="0"/>
    <n v="0"/>
    <n v="19.22"/>
    <n v="9.0453443772501585E-3"/>
    <n v="0"/>
    <n v="0"/>
  </r>
  <r>
    <n v="2162"/>
    <s v="แขวงทางหลวงสงขลาที่ 1"/>
    <n v="311"/>
    <n v="408"/>
    <n v="201"/>
    <s v="ปากระวะ - สทิงพระ"/>
    <n v="131600"/>
    <n v="70891"/>
    <n v="60.71"/>
    <n v="4"/>
    <s v="R1"/>
    <d v="2015-05-22T00:00:00"/>
    <s v="A.C."/>
    <n v="45.42"/>
    <n v="11.39"/>
    <n v="2.6749999999999998"/>
    <n v="0.8"/>
    <n v="2.1964999999999999"/>
    <n v="2"/>
    <n v="59.81"/>
    <n v="0.77"/>
    <n v="0.15"/>
    <n v="0"/>
    <n v="3.24857"/>
    <n v="3"/>
    <n v="0"/>
    <n v="0"/>
    <n v="60.71"/>
    <n v="1.17049"/>
    <n v="0"/>
    <n v="0"/>
    <n v="0"/>
    <x v="106"/>
    <n v="0"/>
    <n v="0"/>
    <n v="25.55"/>
    <n v="1.2024378191401747E-2"/>
    <n v="0"/>
    <n v="0"/>
  </r>
  <r>
    <n v="2173"/>
    <s v="แขวงทางหลวงสงขลาที่ 1"/>
    <n v="311"/>
    <n v="414"/>
    <n v="102"/>
    <s v="คลองวง - ท่าท้อน"/>
    <s v="22+020"/>
    <s v="22+250"/>
    <n v="0.23"/>
    <n v="8"/>
    <s v="L1"/>
    <d v="2015-05-20T00:00:00"/>
    <s v="A.C."/>
    <n v="7.0000000000000007E-2"/>
    <n v="0.04"/>
    <n v="7.0000000000000007E-2"/>
    <n v="0.11"/>
    <n v="5.5981800000000002"/>
    <n v="5.5"/>
    <n v="0.17499999999999999"/>
    <n v="0.08"/>
    <n v="0"/>
    <n v="0.08"/>
    <n v="7.7415500000000002"/>
    <n v="7.5"/>
    <n v="0"/>
    <n v="0"/>
    <n v="0.25"/>
    <n v="1.018"/>
    <n v="0"/>
    <n v="0"/>
    <n v="0"/>
    <x v="106"/>
    <n v="0"/>
    <n v="0"/>
    <n v="16.55"/>
    <n v="2.0559006211180129"/>
    <n v="0"/>
    <n v="0"/>
  </r>
  <r>
    <n v="2190"/>
    <s v="แขวงทางหลวงพัทลุง"/>
    <n v="314"/>
    <n v="4047"/>
    <n v="100"/>
    <s v="ลำปำ - พัทลุง"/>
    <n v="0"/>
    <n v="7312"/>
    <n v="7.3120000000000003"/>
    <n v="2"/>
    <s v="L2"/>
    <d v="2015-05-20T00:00:00"/>
    <s v="A.C."/>
    <n v="3.125"/>
    <n v="2.35"/>
    <n v="1.2749999999999999"/>
    <n v="0.6"/>
    <n v="3.07456"/>
    <n v="3"/>
    <n v="6.5"/>
    <n v="0.625"/>
    <n v="0.125"/>
    <n v="0.1"/>
    <n v="5.39534"/>
    <n v="5.5"/>
    <n v="0"/>
    <n v="0"/>
    <n v="7.35"/>
    <n v="1.1632499999999999"/>
    <n v="0"/>
    <n v="0"/>
    <n v="0"/>
    <x v="106"/>
    <n v="26.59"/>
    <n v="0.10389965614254454"/>
    <n v="40.18"/>
    <n v="0.15700218818380701"/>
    <n v="0"/>
    <n v="0"/>
  </r>
  <r>
    <n v="2198"/>
    <s v="แขวงทางหลวงพัทลุง"/>
    <n v="314"/>
    <n v="4138"/>
    <n v="100"/>
    <s v="โคกสัก - หาดไข่เต่า"/>
    <s v="15+986"/>
    <n v="0"/>
    <n v="15.986000000000001"/>
    <n v="1"/>
    <s v="R1"/>
    <d v="2015-05-20T00:00:00"/>
    <s v="A.C."/>
    <n v="10.875"/>
    <n v="3.5"/>
    <n v="1.2"/>
    <n v="0.5"/>
    <n v="2.4409999999999998"/>
    <n v="2.5"/>
    <n v="15.625"/>
    <n v="0.32500000000000001"/>
    <n v="0.1"/>
    <n v="2.5000000000000001E-2"/>
    <n v="3.8639999999999999"/>
    <n v="4"/>
    <n v="0"/>
    <n v="0"/>
    <n v="16.074999999999999"/>
    <n v="1.1419999999999999"/>
    <n v="0"/>
    <n v="0"/>
    <n v="0"/>
    <x v="106"/>
    <n v="26.55"/>
    <n v="4.74522349913317E-2"/>
    <n v="0"/>
    <n v="0"/>
    <n v="0"/>
    <n v="0"/>
  </r>
  <r>
    <n v="2222"/>
    <s v="แขวงทางหลวงสตูล"/>
    <n v="318"/>
    <n v="4111"/>
    <n v="100"/>
    <s v="ทางเข้าท่าเรือเกาะนก"/>
    <n v="0"/>
    <n v="75"/>
    <n v="7.4999999999999997E-2"/>
    <n v="2"/>
    <s v="L1"/>
    <d v="2015-05-25T00:00:00"/>
    <s v="A.C."/>
    <n v="0"/>
    <n v="2.5000000000000001E-2"/>
    <n v="2.5000000000000001E-2"/>
    <n v="0.05"/>
    <n v="4.9749999999999996"/>
    <n v="5"/>
    <n v="0.1"/>
    <n v="0"/>
    <n v="0"/>
    <n v="0"/>
    <n v="1.1652499999999999"/>
    <n v="1"/>
    <n v="0"/>
    <n v="0"/>
    <n v="0.1"/>
    <n v="1.38975"/>
    <n v="0"/>
    <n v="0"/>
    <n v="0"/>
    <x v="106"/>
    <n v="0"/>
    <n v="0"/>
    <n v="10.050000000000001"/>
    <n v="3.8285714285714292"/>
    <n v="2.5952633538646431E-6"/>
    <n v="9.8867175385319753E-7"/>
  </r>
  <r>
    <n v="2232"/>
    <s v="แขวงทางหลวงสงขลาที่ 2"/>
    <n v="319"/>
    <n v="430"/>
    <n v="202"/>
    <s v="จะนะ - ปาแด"/>
    <n v="74397"/>
    <n v="42939"/>
    <n v="31.457999999999998"/>
    <n v="4"/>
    <s v="R2"/>
    <d v="2015-05-25T00:00:00"/>
    <s v="A.C."/>
    <n v="19.899999999999999"/>
    <n v="8.2249999999999996"/>
    <n v="2.8250000000000002"/>
    <n v="0.77500000000000002"/>
    <n v="2.4522900000000001"/>
    <n v="2.5"/>
    <n v="25.95"/>
    <n v="5.3"/>
    <n v="0.47499999999999998"/>
    <n v="0"/>
    <n v="7.0701200000000002"/>
    <n v="7"/>
    <n v="0"/>
    <n v="0"/>
    <n v="31.724999999999998"/>
    <n v="1.4244399999999999"/>
    <n v="0"/>
    <n v="0"/>
    <n v="0"/>
    <x v="106"/>
    <n v="0"/>
    <n v="0"/>
    <n v="50.6"/>
    <n v="4.5956967566732967E-2"/>
    <n v="0"/>
    <n v="0"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0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outline="1" outlineData="1" multipleFieldFilters="0">
  <location ref="A3:B125" firstHeaderRow="1" firstDataRow="1" firstDataCol="1"/>
  <pivotFields count="39"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axis="axisRow" showAll="0" sortType="ascending">
      <items count="138">
        <item x="106"/>
        <item x="119"/>
        <item x="118"/>
        <item x="117"/>
        <item x="116"/>
        <item x="115"/>
        <item x="114"/>
        <item x="113"/>
        <item x="112"/>
        <item x="111"/>
        <item x="110"/>
        <item x="0"/>
        <item x="109"/>
        <item x="108"/>
        <item x="107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m="1" x="123"/>
        <item x="28"/>
        <item m="1" x="124"/>
        <item x="27"/>
        <item x="26"/>
        <item x="25"/>
        <item x="24"/>
        <item m="1" x="128"/>
        <item x="23"/>
        <item m="1" x="129"/>
        <item x="22"/>
        <item x="21"/>
        <item x="20"/>
        <item x="19"/>
        <item m="1" x="130"/>
        <item x="18"/>
        <item x="17"/>
        <item m="1" x="132"/>
        <item m="1" x="133"/>
        <item x="16"/>
        <item x="15"/>
        <item x="14"/>
        <item m="1" x="135"/>
        <item x="13"/>
        <item m="1" x="136"/>
        <item x="12"/>
        <item m="1" x="122"/>
        <item x="11"/>
        <item x="10"/>
        <item x="9"/>
        <item x="8"/>
        <item m="1" x="125"/>
        <item x="7"/>
        <item x="6"/>
        <item m="1" x="127"/>
        <item x="5"/>
        <item m="1" x="121"/>
        <item x="4"/>
        <item m="1" x="126"/>
        <item m="1" x="131"/>
        <item x="3"/>
        <item m="1" x="134"/>
        <item x="2"/>
        <item x="1"/>
        <item x="12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2"/>
  </rowFields>
  <rowItems count="1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3"/>
    </i>
    <i>
      <x v="95"/>
    </i>
    <i>
      <x v="96"/>
    </i>
    <i>
      <x v="97"/>
    </i>
    <i>
      <x v="98"/>
    </i>
    <i>
      <x v="100"/>
    </i>
    <i>
      <x v="102"/>
    </i>
    <i>
      <x v="103"/>
    </i>
    <i>
      <x v="104"/>
    </i>
    <i>
      <x v="105"/>
    </i>
    <i>
      <x v="107"/>
    </i>
    <i>
      <x v="108"/>
    </i>
    <i>
      <x v="111"/>
    </i>
    <i>
      <x v="112"/>
    </i>
    <i>
      <x v="113"/>
    </i>
    <i>
      <x v="115"/>
    </i>
    <i>
      <x v="117"/>
    </i>
    <i>
      <x v="119"/>
    </i>
    <i>
      <x v="120"/>
    </i>
    <i>
      <x v="121"/>
    </i>
    <i>
      <x v="122"/>
    </i>
    <i>
      <x v="124"/>
    </i>
    <i>
      <x v="125"/>
    </i>
    <i>
      <x v="127"/>
    </i>
    <i>
      <x v="129"/>
    </i>
    <i>
      <x v="132"/>
    </i>
    <i>
      <x v="134"/>
    </i>
    <i>
      <x v="135"/>
    </i>
    <i>
      <x v="136"/>
    </i>
    <i t="grand">
      <x/>
    </i>
  </rowItems>
  <colItems count="1">
    <i/>
  </colItems>
  <dataFields count="1">
    <dataField name="Sum of ระยะทาง" fld="8" baseField="3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25"/>
  <sheetViews>
    <sheetView workbookViewId="0">
      <selection activeCell="A3" sqref="A3"/>
    </sheetView>
  </sheetViews>
  <sheetFormatPr defaultColWidth="11.42578125" defaultRowHeight="15"/>
  <cols>
    <col min="1" max="1" width="13.140625" bestFit="1" customWidth="1"/>
    <col min="2" max="2" width="16.140625" bestFit="1" customWidth="1"/>
    <col min="3" max="3" width="15.28515625" customWidth="1"/>
    <col min="4" max="20" width="14.85546875" bestFit="1" customWidth="1"/>
    <col min="21" max="21" width="10" customWidth="1"/>
  </cols>
  <sheetData>
    <row r="3" spans="1:2">
      <c r="A3" s="279" t="s">
        <v>2886</v>
      </c>
      <c r="B3" t="s">
        <v>2891</v>
      </c>
    </row>
    <row r="4" spans="1:2">
      <c r="A4" s="280">
        <v>0</v>
      </c>
      <c r="B4" s="278">
        <v>13373.191000000006</v>
      </c>
    </row>
    <row r="5" spans="1:2">
      <c r="A5" s="280">
        <v>0.1</v>
      </c>
      <c r="B5" s="278">
        <v>9267.5880000000016</v>
      </c>
    </row>
    <row r="6" spans="1:2">
      <c r="A6" s="280">
        <v>0.2</v>
      </c>
      <c r="B6" s="278">
        <v>3752.4960000000005</v>
      </c>
    </row>
    <row r="7" spans="1:2">
      <c r="A7" s="280">
        <v>0.3</v>
      </c>
      <c r="B7" s="278">
        <v>2679.415</v>
      </c>
    </row>
    <row r="8" spans="1:2">
      <c r="A8" s="280">
        <v>0.4</v>
      </c>
      <c r="B8" s="278">
        <v>1335.4550000000004</v>
      </c>
    </row>
    <row r="9" spans="1:2">
      <c r="A9" s="280">
        <v>0.5</v>
      </c>
      <c r="B9" s="278">
        <v>1274.3050000000001</v>
      </c>
    </row>
    <row r="10" spans="1:2">
      <c r="A10" s="280">
        <v>0.6</v>
      </c>
      <c r="B10" s="278">
        <v>633.15599999999984</v>
      </c>
    </row>
    <row r="11" spans="1:2">
      <c r="A11" s="280">
        <v>0.7</v>
      </c>
      <c r="B11" s="278">
        <v>784.40200000000004</v>
      </c>
    </row>
    <row r="12" spans="1:2">
      <c r="A12" s="280">
        <v>0.8</v>
      </c>
      <c r="B12" s="278">
        <v>414.45499999999993</v>
      </c>
    </row>
    <row r="13" spans="1:2">
      <c r="A13" s="280">
        <v>0.9</v>
      </c>
      <c r="B13" s="278">
        <v>525.80100000000004</v>
      </c>
    </row>
    <row r="14" spans="1:2">
      <c r="A14" s="280">
        <v>1</v>
      </c>
      <c r="B14" s="278">
        <v>649.22499999999991</v>
      </c>
    </row>
    <row r="15" spans="1:2">
      <c r="A15" s="280">
        <v>1.1000000000000001</v>
      </c>
      <c r="B15" s="278">
        <v>356.82999999999993</v>
      </c>
    </row>
    <row r="16" spans="1:2">
      <c r="A16" s="280">
        <v>1.2</v>
      </c>
      <c r="B16" s="278">
        <v>411.75200000000007</v>
      </c>
    </row>
    <row r="17" spans="1:2">
      <c r="A17" s="280">
        <v>1.3</v>
      </c>
      <c r="B17" s="278">
        <v>207.10499999999999</v>
      </c>
    </row>
    <row r="18" spans="1:2">
      <c r="A18" s="280">
        <v>1.4</v>
      </c>
      <c r="B18" s="278">
        <v>297.58100000000002</v>
      </c>
    </row>
    <row r="19" spans="1:2">
      <c r="A19" s="280">
        <v>1.5</v>
      </c>
      <c r="B19" s="278">
        <v>190.22499999999999</v>
      </c>
    </row>
    <row r="20" spans="1:2">
      <c r="A20" s="280">
        <v>1.6</v>
      </c>
      <c r="B20" s="278">
        <v>211.45500000000004</v>
      </c>
    </row>
    <row r="21" spans="1:2">
      <c r="A21" s="280">
        <v>1.7</v>
      </c>
      <c r="B21" s="278">
        <v>97.21299999999998</v>
      </c>
    </row>
    <row r="22" spans="1:2">
      <c r="A22" s="280">
        <v>1.8</v>
      </c>
      <c r="B22" s="278">
        <v>120.77499999999999</v>
      </c>
    </row>
    <row r="23" spans="1:2">
      <c r="A23" s="280">
        <v>1.9</v>
      </c>
      <c r="B23" s="278">
        <v>102.95899999999999</v>
      </c>
    </row>
    <row r="24" spans="1:2">
      <c r="A24" s="280">
        <v>2</v>
      </c>
      <c r="B24" s="278">
        <v>88.846999999999994</v>
      </c>
    </row>
    <row r="25" spans="1:2">
      <c r="A25" s="280">
        <v>2.1</v>
      </c>
      <c r="B25" s="278">
        <v>183.06899999999999</v>
      </c>
    </row>
    <row r="26" spans="1:2">
      <c r="A26" s="280">
        <v>2.2000000000000002</v>
      </c>
      <c r="B26" s="278">
        <v>21.439999999999998</v>
      </c>
    </row>
    <row r="27" spans="1:2">
      <c r="A27" s="280">
        <v>2.2999999999999998</v>
      </c>
      <c r="B27" s="278">
        <v>32.576999999999998</v>
      </c>
    </row>
    <row r="28" spans="1:2">
      <c r="A28" s="280">
        <v>2.4</v>
      </c>
      <c r="B28" s="278">
        <v>79.88300000000001</v>
      </c>
    </row>
    <row r="29" spans="1:2">
      <c r="A29" s="280">
        <v>2.5</v>
      </c>
      <c r="B29" s="278">
        <v>113.175</v>
      </c>
    </row>
    <row r="30" spans="1:2">
      <c r="A30" s="280">
        <v>2.6</v>
      </c>
      <c r="B30" s="278">
        <v>63.518999999999998</v>
      </c>
    </row>
    <row r="31" spans="1:2">
      <c r="A31" s="280">
        <v>2.7</v>
      </c>
      <c r="B31" s="278">
        <v>26.855999999999998</v>
      </c>
    </row>
    <row r="32" spans="1:2">
      <c r="A32" s="280">
        <v>2.8</v>
      </c>
      <c r="B32" s="278">
        <v>98.144999999999996</v>
      </c>
    </row>
    <row r="33" spans="1:2">
      <c r="A33" s="280">
        <v>2.9</v>
      </c>
      <c r="B33" s="278">
        <v>64.66</v>
      </c>
    </row>
    <row r="34" spans="1:2">
      <c r="A34" s="280">
        <v>3</v>
      </c>
      <c r="B34" s="278">
        <v>184.34499999999997</v>
      </c>
    </row>
    <row r="35" spans="1:2">
      <c r="A35" s="280">
        <v>3.1</v>
      </c>
      <c r="B35" s="278">
        <v>58.814999999999998</v>
      </c>
    </row>
    <row r="36" spans="1:2">
      <c r="A36" s="280">
        <v>3.2</v>
      </c>
      <c r="B36" s="278">
        <v>139.55000000000001</v>
      </c>
    </row>
    <row r="37" spans="1:2">
      <c r="A37" s="280">
        <v>3.3</v>
      </c>
      <c r="B37" s="278">
        <v>20.5</v>
      </c>
    </row>
    <row r="38" spans="1:2">
      <c r="A38" s="280">
        <v>3.5</v>
      </c>
      <c r="B38" s="278">
        <v>61.518000000000001</v>
      </c>
    </row>
    <row r="39" spans="1:2">
      <c r="A39" s="280">
        <v>3.6</v>
      </c>
      <c r="B39" s="278">
        <v>26.767999999999997</v>
      </c>
    </row>
    <row r="40" spans="1:2">
      <c r="A40" s="280">
        <v>3.7</v>
      </c>
      <c r="B40" s="278">
        <v>20.280999999999999</v>
      </c>
    </row>
    <row r="41" spans="1:2">
      <c r="A41" s="280">
        <v>3.8</v>
      </c>
      <c r="B41" s="278">
        <v>46.546999999999997</v>
      </c>
    </row>
    <row r="42" spans="1:2">
      <c r="A42" s="280">
        <v>3.9</v>
      </c>
      <c r="B42" s="278">
        <v>18.812000000000001</v>
      </c>
    </row>
    <row r="43" spans="1:2">
      <c r="A43" s="280">
        <v>4</v>
      </c>
      <c r="B43" s="278">
        <v>67.626999999999995</v>
      </c>
    </row>
    <row r="44" spans="1:2">
      <c r="A44" s="280">
        <v>4.0999999999999996</v>
      </c>
      <c r="B44" s="278">
        <v>29.742000000000001</v>
      </c>
    </row>
    <row r="45" spans="1:2">
      <c r="A45" s="280">
        <v>4.2</v>
      </c>
      <c r="B45" s="278">
        <v>46.795999999999999</v>
      </c>
    </row>
    <row r="46" spans="1:2">
      <c r="A46" s="280">
        <v>4.3</v>
      </c>
      <c r="B46" s="278">
        <v>93.497</v>
      </c>
    </row>
    <row r="47" spans="1:2">
      <c r="A47" s="280">
        <v>4.4000000000000004</v>
      </c>
      <c r="B47" s="278">
        <v>1.04</v>
      </c>
    </row>
    <row r="48" spans="1:2">
      <c r="A48" s="280">
        <v>4.5999999999999996</v>
      </c>
      <c r="B48" s="278">
        <v>3.5830000000000002</v>
      </c>
    </row>
    <row r="49" spans="1:2">
      <c r="A49" s="280">
        <v>4.7</v>
      </c>
      <c r="B49" s="278">
        <v>3.67</v>
      </c>
    </row>
    <row r="50" spans="1:2">
      <c r="A50" s="280">
        <v>4.8</v>
      </c>
      <c r="B50" s="278">
        <v>9.9079999999999995</v>
      </c>
    </row>
    <row r="51" spans="1:2">
      <c r="A51" s="280">
        <v>4.9000000000000004</v>
      </c>
      <c r="B51" s="278">
        <v>1.8580000000000001</v>
      </c>
    </row>
    <row r="52" spans="1:2">
      <c r="A52" s="280">
        <v>5</v>
      </c>
      <c r="B52" s="278">
        <v>5.4409999999999989</v>
      </c>
    </row>
    <row r="53" spans="1:2">
      <c r="A53" s="280">
        <v>5.0999999999999996</v>
      </c>
      <c r="B53" s="278">
        <v>16.811</v>
      </c>
    </row>
    <row r="54" spans="1:2">
      <c r="A54" s="280">
        <v>5.2</v>
      </c>
      <c r="B54" s="278">
        <v>7.649</v>
      </c>
    </row>
    <row r="55" spans="1:2">
      <c r="A55" s="280">
        <v>5.3</v>
      </c>
      <c r="B55" s="278">
        <v>9.572000000000001</v>
      </c>
    </row>
    <row r="56" spans="1:2">
      <c r="A56" s="280">
        <v>5.4</v>
      </c>
      <c r="B56" s="278">
        <v>19.686999999999998</v>
      </c>
    </row>
    <row r="57" spans="1:2">
      <c r="A57" s="280">
        <v>5.5</v>
      </c>
      <c r="B57" s="278">
        <v>13.83</v>
      </c>
    </row>
    <row r="58" spans="1:2">
      <c r="A58" s="280">
        <v>5.6</v>
      </c>
      <c r="B58" s="278">
        <v>4.0259999999999998</v>
      </c>
    </row>
    <row r="59" spans="1:2">
      <c r="A59" s="280">
        <v>5.7</v>
      </c>
      <c r="B59" s="278">
        <v>5.0389999999999997</v>
      </c>
    </row>
    <row r="60" spans="1:2">
      <c r="A60" s="280">
        <v>6</v>
      </c>
      <c r="B60" s="278">
        <v>3.3029999999999999</v>
      </c>
    </row>
    <row r="61" spans="1:2">
      <c r="A61" s="280">
        <v>6.3</v>
      </c>
      <c r="B61" s="278">
        <v>22.041</v>
      </c>
    </row>
    <row r="62" spans="1:2">
      <c r="A62" s="280">
        <v>6.5</v>
      </c>
      <c r="B62" s="278">
        <v>76.352999999999994</v>
      </c>
    </row>
    <row r="63" spans="1:2">
      <c r="A63" s="280">
        <v>6.6</v>
      </c>
      <c r="B63" s="278">
        <v>6</v>
      </c>
    </row>
    <row r="64" spans="1:2">
      <c r="A64" s="280">
        <v>6.9</v>
      </c>
      <c r="B64" s="278">
        <v>71.656000000000006</v>
      </c>
    </row>
    <row r="65" spans="1:2">
      <c r="A65" s="280">
        <v>7</v>
      </c>
      <c r="B65" s="278">
        <v>0.5</v>
      </c>
    </row>
    <row r="66" spans="1:2">
      <c r="A66" s="280">
        <v>7.5</v>
      </c>
      <c r="B66" s="278">
        <v>1.4339999999999999</v>
      </c>
    </row>
    <row r="67" spans="1:2">
      <c r="A67" s="280">
        <v>7.6</v>
      </c>
      <c r="B67" s="278">
        <v>0.72599999999999998</v>
      </c>
    </row>
    <row r="68" spans="1:2">
      <c r="A68" s="280">
        <v>7.7</v>
      </c>
      <c r="B68" s="278">
        <v>1.2949999999999999</v>
      </c>
    </row>
    <row r="69" spans="1:2">
      <c r="A69" s="280">
        <v>7.8</v>
      </c>
      <c r="B69" s="278">
        <v>6.7000000000000004E-2</v>
      </c>
    </row>
    <row r="70" spans="1:2">
      <c r="A70" s="280">
        <v>7.9</v>
      </c>
      <c r="B70" s="278">
        <v>41.413999999999994</v>
      </c>
    </row>
    <row r="71" spans="1:2">
      <c r="A71" s="280">
        <v>8</v>
      </c>
      <c r="B71" s="278">
        <v>16.350000000000001</v>
      </c>
    </row>
    <row r="72" spans="1:2">
      <c r="A72" s="280">
        <v>8.4</v>
      </c>
      <c r="B72" s="278">
        <v>1</v>
      </c>
    </row>
    <row r="73" spans="1:2">
      <c r="A73" s="280">
        <v>8.9</v>
      </c>
      <c r="B73" s="278">
        <v>26.678000000000001</v>
      </c>
    </row>
    <row r="74" spans="1:2">
      <c r="A74" s="280">
        <v>9</v>
      </c>
      <c r="B74" s="278">
        <v>0.44600000000000001</v>
      </c>
    </row>
    <row r="75" spans="1:2">
      <c r="A75" s="280">
        <v>9.1</v>
      </c>
      <c r="B75" s="278">
        <v>0.156</v>
      </c>
    </row>
    <row r="76" spans="1:2">
      <c r="A76" s="280">
        <v>9.6999999999999993</v>
      </c>
      <c r="B76" s="278">
        <v>24.509</v>
      </c>
    </row>
    <row r="77" spans="1:2">
      <c r="A77" s="280">
        <v>9.9</v>
      </c>
      <c r="B77" s="278">
        <v>0.19500000000000001</v>
      </c>
    </row>
    <row r="78" spans="1:2">
      <c r="A78" s="280">
        <v>10</v>
      </c>
      <c r="B78" s="278">
        <v>1.1839999999999999</v>
      </c>
    </row>
    <row r="79" spans="1:2">
      <c r="A79" s="280">
        <v>10.199999999999999</v>
      </c>
      <c r="B79" s="278">
        <v>0.436</v>
      </c>
    </row>
    <row r="80" spans="1:2">
      <c r="A80" s="280">
        <v>10.4</v>
      </c>
      <c r="B80" s="278">
        <v>6.7000000000000004E-2</v>
      </c>
    </row>
    <row r="81" spans="1:2">
      <c r="A81" s="280">
        <v>10.5</v>
      </c>
      <c r="B81" s="278">
        <v>0.44600000000000001</v>
      </c>
    </row>
    <row r="82" spans="1:2">
      <c r="A82" s="280">
        <v>10.6</v>
      </c>
      <c r="B82" s="278">
        <v>0.19500000000000001</v>
      </c>
    </row>
    <row r="83" spans="1:2">
      <c r="A83" s="280">
        <v>11</v>
      </c>
      <c r="B83" s="278">
        <v>1.79</v>
      </c>
    </row>
    <row r="84" spans="1:2">
      <c r="A84" s="280">
        <v>11.1</v>
      </c>
      <c r="B84" s="278">
        <v>6.9969999999999999</v>
      </c>
    </row>
    <row r="85" spans="1:2">
      <c r="A85" s="280">
        <v>12</v>
      </c>
      <c r="B85" s="278">
        <v>0.315</v>
      </c>
    </row>
    <row r="86" spans="1:2">
      <c r="A86" s="280">
        <v>12.4</v>
      </c>
      <c r="B86" s="278">
        <v>1.335</v>
      </c>
    </row>
    <row r="87" spans="1:2">
      <c r="A87" s="280">
        <v>13</v>
      </c>
      <c r="B87" s="278">
        <v>1.218</v>
      </c>
    </row>
    <row r="88" spans="1:2">
      <c r="A88" s="280">
        <v>13.1</v>
      </c>
      <c r="B88" s="278">
        <v>0.501</v>
      </c>
    </row>
    <row r="89" spans="1:2">
      <c r="A89" s="280">
        <v>13.2</v>
      </c>
      <c r="B89" s="278">
        <v>7.3440000000000003</v>
      </c>
    </row>
    <row r="90" spans="1:2">
      <c r="A90" s="280">
        <v>14</v>
      </c>
      <c r="B90" s="278">
        <v>0.17799999999999999</v>
      </c>
    </row>
    <row r="91" spans="1:2">
      <c r="A91" s="280">
        <v>14.4</v>
      </c>
      <c r="B91" s="278">
        <v>7.9420000000000002</v>
      </c>
    </row>
    <row r="92" spans="1:2">
      <c r="A92" s="280">
        <v>14.5</v>
      </c>
      <c r="B92" s="278">
        <v>0.23300000000000001</v>
      </c>
    </row>
    <row r="93" spans="1:2">
      <c r="A93" s="280">
        <v>15</v>
      </c>
      <c r="B93" s="278">
        <v>0.436</v>
      </c>
    </row>
    <row r="94" spans="1:2">
      <c r="A94" s="280">
        <v>15.3</v>
      </c>
      <c r="B94" s="278">
        <v>0.23300000000000001</v>
      </c>
    </row>
    <row r="95" spans="1:2">
      <c r="A95" s="280">
        <v>15.9</v>
      </c>
      <c r="B95" s="278">
        <v>9.593</v>
      </c>
    </row>
    <row r="96" spans="1:2">
      <c r="A96" s="280">
        <v>16.7</v>
      </c>
      <c r="B96" s="278">
        <v>2.371</v>
      </c>
    </row>
    <row r="97" spans="1:2">
      <c r="A97" s="280">
        <v>17.100000000000001</v>
      </c>
      <c r="B97" s="278">
        <v>0.15</v>
      </c>
    </row>
    <row r="98" spans="1:2">
      <c r="A98" s="280">
        <v>17.3</v>
      </c>
      <c r="B98" s="278">
        <v>0.115</v>
      </c>
    </row>
    <row r="99" spans="1:2">
      <c r="A99" s="280">
        <v>17.399999999999999</v>
      </c>
      <c r="B99" s="278">
        <v>0.16800000000000001</v>
      </c>
    </row>
    <row r="100" spans="1:2">
      <c r="A100" s="280">
        <v>18</v>
      </c>
      <c r="B100" s="278">
        <v>0.55600000000000005</v>
      </c>
    </row>
    <row r="101" spans="1:2">
      <c r="A101" s="280">
        <v>20.3</v>
      </c>
      <c r="B101" s="278">
        <v>5.3360000000000003</v>
      </c>
    </row>
    <row r="102" spans="1:2">
      <c r="A102" s="280">
        <v>21.1</v>
      </c>
      <c r="B102" s="278">
        <v>0.224</v>
      </c>
    </row>
    <row r="103" spans="1:2">
      <c r="A103" s="280">
        <v>24</v>
      </c>
      <c r="B103" s="278">
        <v>0.6</v>
      </c>
    </row>
    <row r="104" spans="1:2">
      <c r="A104" s="280">
        <v>24.1</v>
      </c>
      <c r="B104" s="278">
        <v>14</v>
      </c>
    </row>
    <row r="105" spans="1:2">
      <c r="A105" s="280">
        <v>24.8</v>
      </c>
      <c r="B105" s="278">
        <v>12.063000000000001</v>
      </c>
    </row>
    <row r="106" spans="1:2">
      <c r="A106" s="280">
        <v>25.5</v>
      </c>
      <c r="B106" s="278">
        <v>0.65100000000000002</v>
      </c>
    </row>
    <row r="107" spans="1:2">
      <c r="A107" s="280">
        <v>25.6</v>
      </c>
      <c r="B107" s="278">
        <v>12.475</v>
      </c>
    </row>
    <row r="108" spans="1:2">
      <c r="A108" s="280">
        <v>27.1</v>
      </c>
      <c r="B108" s="278">
        <v>14.768000000000001</v>
      </c>
    </row>
    <row r="109" spans="1:2">
      <c r="A109" s="280">
        <v>27.6</v>
      </c>
      <c r="B109" s="278">
        <v>13.7</v>
      </c>
    </row>
    <row r="110" spans="1:2">
      <c r="A110" s="280">
        <v>27.7</v>
      </c>
      <c r="B110" s="278">
        <v>6.6000000000000003E-2</v>
      </c>
    </row>
    <row r="111" spans="1:2">
      <c r="A111" s="280">
        <v>28.5</v>
      </c>
      <c r="B111" s="278">
        <v>11.6</v>
      </c>
    </row>
    <row r="112" spans="1:2">
      <c r="A112" s="280">
        <v>39.799999999999997</v>
      </c>
      <c r="B112" s="278">
        <v>38.216999999999999</v>
      </c>
    </row>
    <row r="113" spans="1:2">
      <c r="A113" s="280">
        <v>40.4</v>
      </c>
      <c r="B113" s="278">
        <v>0.15</v>
      </c>
    </row>
    <row r="114" spans="1:2">
      <c r="A114" s="280">
        <v>41</v>
      </c>
      <c r="B114" s="278">
        <v>1.1839999999999999</v>
      </c>
    </row>
    <row r="115" spans="1:2">
      <c r="A115" s="280">
        <v>49</v>
      </c>
      <c r="B115" s="278">
        <v>1</v>
      </c>
    </row>
    <row r="116" spans="1:2">
      <c r="A116" s="280">
        <v>49.3</v>
      </c>
      <c r="B116" s="278">
        <v>6.6529999999999996</v>
      </c>
    </row>
    <row r="117" spans="1:2">
      <c r="A117" s="280">
        <v>50.2</v>
      </c>
      <c r="B117" s="278">
        <v>1.26</v>
      </c>
    </row>
    <row r="118" spans="1:2">
      <c r="A118" s="280">
        <v>53.6</v>
      </c>
      <c r="B118" s="278">
        <v>0.18</v>
      </c>
    </row>
    <row r="119" spans="1:2">
      <c r="A119" s="280">
        <v>62.7</v>
      </c>
      <c r="B119" s="278">
        <v>0.34200000000000003</v>
      </c>
    </row>
    <row r="120" spans="1:2">
      <c r="A120" s="280">
        <v>64.7</v>
      </c>
      <c r="B120" s="278">
        <v>3.4000000000000002E-2</v>
      </c>
    </row>
    <row r="121" spans="1:2">
      <c r="A121" s="280">
        <v>68.400000000000006</v>
      </c>
      <c r="B121" s="278">
        <v>13.55</v>
      </c>
    </row>
    <row r="122" spans="1:2">
      <c r="A122" s="280">
        <v>76.400000000000006</v>
      </c>
      <c r="B122" s="278">
        <v>14.367000000000001</v>
      </c>
    </row>
    <row r="123" spans="1:2">
      <c r="A123" s="280">
        <v>89</v>
      </c>
      <c r="B123" s="278">
        <v>5.2549999999999999</v>
      </c>
    </row>
    <row r="124" spans="1:2">
      <c r="A124" s="280" t="s">
        <v>2884</v>
      </c>
      <c r="B124" s="278"/>
    </row>
    <row r="125" spans="1:2">
      <c r="A125" s="280" t="s">
        <v>2885</v>
      </c>
      <c r="B125" s="278">
        <v>38880.068000000028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topLeftCell="A16" zoomScale="80" zoomScaleNormal="80" workbookViewId="0">
      <selection activeCell="J7" sqref="J7"/>
    </sheetView>
  </sheetViews>
  <sheetFormatPr defaultColWidth="11.42578125" defaultRowHeight="15"/>
  <sheetData>
    <row r="1" spans="1:10">
      <c r="A1" t="s">
        <v>2888</v>
      </c>
      <c r="B1" t="s">
        <v>2887</v>
      </c>
      <c r="E1" t="s">
        <v>2889</v>
      </c>
      <c r="F1" t="s">
        <v>2887</v>
      </c>
      <c r="I1" t="s">
        <v>2890</v>
      </c>
      <c r="J1" t="s">
        <v>2887</v>
      </c>
    </row>
    <row r="2" spans="1:10">
      <c r="A2">
        <v>0</v>
      </c>
      <c r="B2">
        <v>37.016000000000005</v>
      </c>
      <c r="E2" s="280">
        <v>0</v>
      </c>
      <c r="F2" s="278">
        <v>165.35900000000004</v>
      </c>
      <c r="I2" s="280">
        <v>0</v>
      </c>
      <c r="J2">
        <v>31208.588000000014</v>
      </c>
    </row>
    <row r="3" spans="1:10">
      <c r="A3">
        <v>0.5</v>
      </c>
      <c r="B3">
        <v>10.212</v>
      </c>
      <c r="E3" s="280">
        <v>0.5</v>
      </c>
      <c r="F3" s="278">
        <v>0.434</v>
      </c>
      <c r="I3" s="280">
        <v>1</v>
      </c>
      <c r="J3">
        <v>4940.7179999999989</v>
      </c>
    </row>
    <row r="4" spans="1:10">
      <c r="A4">
        <v>1</v>
      </c>
      <c r="B4">
        <v>13.287000000000003</v>
      </c>
      <c r="E4" s="280">
        <v>1</v>
      </c>
      <c r="F4" s="278">
        <v>83.89200000000001</v>
      </c>
      <c r="I4" s="280">
        <v>2</v>
      </c>
      <c r="J4">
        <v>998.12099999999964</v>
      </c>
    </row>
    <row r="5" spans="1:10">
      <c r="A5">
        <v>1.5</v>
      </c>
      <c r="B5">
        <v>304.12999999999994</v>
      </c>
      <c r="E5" s="280">
        <v>1.5</v>
      </c>
      <c r="F5" s="278">
        <v>298.50199999999995</v>
      </c>
      <c r="I5" s="280">
        <v>3</v>
      </c>
      <c r="J5">
        <v>726.26300000000003</v>
      </c>
    </row>
    <row r="6" spans="1:10">
      <c r="A6">
        <v>2</v>
      </c>
      <c r="B6">
        <v>6638.7639999999983</v>
      </c>
      <c r="E6" s="280">
        <v>2</v>
      </c>
      <c r="F6" s="278">
        <v>1041.0300000000002</v>
      </c>
      <c r="I6" s="280">
        <v>4</v>
      </c>
      <c r="J6">
        <v>399.70299999999992</v>
      </c>
    </row>
    <row r="7" spans="1:10">
      <c r="A7">
        <v>2.5</v>
      </c>
      <c r="B7">
        <v>15785.248999999987</v>
      </c>
      <c r="E7" s="280">
        <v>2.5</v>
      </c>
      <c r="F7" s="278">
        <v>2462.2740000000008</v>
      </c>
      <c r="I7" s="280">
        <v>5</v>
      </c>
      <c r="J7">
        <v>92.009</v>
      </c>
    </row>
    <row r="8" spans="1:10">
      <c r="A8">
        <v>3</v>
      </c>
      <c r="B8">
        <v>10282.482</v>
      </c>
      <c r="E8" s="280">
        <v>3</v>
      </c>
      <c r="F8" s="278">
        <v>4396.3059999999996</v>
      </c>
      <c r="I8" s="280">
        <v>6</v>
      </c>
      <c r="J8">
        <v>110.76199999999999</v>
      </c>
    </row>
    <row r="9" spans="1:10">
      <c r="A9">
        <v>3.5</v>
      </c>
      <c r="B9">
        <v>3428.3760000000025</v>
      </c>
      <c r="E9" s="280">
        <v>3.5</v>
      </c>
      <c r="F9" s="278">
        <v>3744.0240000000008</v>
      </c>
      <c r="I9" s="280">
        <v>7</v>
      </c>
      <c r="J9">
        <v>79.59</v>
      </c>
    </row>
    <row r="10" spans="1:10">
      <c r="A10">
        <v>4</v>
      </c>
      <c r="B10">
        <v>1494.8240000000003</v>
      </c>
      <c r="E10" s="280">
        <v>4</v>
      </c>
      <c r="F10" s="278">
        <v>4903.3600000000015</v>
      </c>
      <c r="I10" s="280">
        <v>8</v>
      </c>
      <c r="J10">
        <v>60.851999999999997</v>
      </c>
    </row>
    <row r="11" spans="1:10">
      <c r="A11">
        <v>4.5</v>
      </c>
      <c r="B11">
        <v>480.84399999999994</v>
      </c>
      <c r="E11" s="280">
        <v>4.5</v>
      </c>
      <c r="F11" s="278">
        <v>5060.8009999999995</v>
      </c>
      <c r="I11" s="280">
        <v>9</v>
      </c>
      <c r="J11">
        <v>27.28</v>
      </c>
    </row>
    <row r="12" spans="1:10">
      <c r="A12">
        <v>5</v>
      </c>
      <c r="B12">
        <v>318.54100000000011</v>
      </c>
      <c r="E12" s="280">
        <v>5</v>
      </c>
      <c r="F12" s="278">
        <v>4493.0310000000045</v>
      </c>
      <c r="I12" s="280">
        <v>10</v>
      </c>
      <c r="J12">
        <v>26.837</v>
      </c>
    </row>
    <row r="13" spans="1:10">
      <c r="A13">
        <v>5.5</v>
      </c>
      <c r="B13">
        <v>37.544999999999995</v>
      </c>
      <c r="E13" s="280">
        <v>5.5</v>
      </c>
      <c r="F13" s="278">
        <v>3032.0080000000012</v>
      </c>
      <c r="I13" s="280">
        <v>11</v>
      </c>
      <c r="J13">
        <v>8.9819999999999993</v>
      </c>
    </row>
    <row r="14" spans="1:10">
      <c r="A14">
        <v>6</v>
      </c>
      <c r="B14">
        <v>3.4780000000000002</v>
      </c>
      <c r="E14" s="280">
        <v>6</v>
      </c>
      <c r="F14" s="278">
        <v>2518.0240000000003</v>
      </c>
      <c r="I14" s="280">
        <v>12</v>
      </c>
      <c r="J14">
        <v>1.65</v>
      </c>
    </row>
    <row r="15" spans="1:10">
      <c r="A15">
        <v>6.5</v>
      </c>
      <c r="B15">
        <v>1.7880000000000003</v>
      </c>
      <c r="E15" s="280">
        <v>6.5</v>
      </c>
      <c r="F15" s="278">
        <v>1586.1539999999993</v>
      </c>
      <c r="I15" s="280">
        <v>13</v>
      </c>
      <c r="J15">
        <v>9.0630000000000006</v>
      </c>
    </row>
    <row r="16" spans="1:10">
      <c r="A16">
        <v>7</v>
      </c>
      <c r="B16">
        <v>35.991</v>
      </c>
      <c r="E16" s="280">
        <v>7</v>
      </c>
      <c r="F16" s="278">
        <v>1078.021</v>
      </c>
      <c r="I16" s="280">
        <v>14</v>
      </c>
      <c r="J16">
        <v>8.3530000000000015</v>
      </c>
    </row>
    <row r="17" spans="1:10">
      <c r="A17">
        <v>7.5</v>
      </c>
      <c r="B17">
        <v>2.6109999999999998</v>
      </c>
      <c r="E17" s="280">
        <v>7.5</v>
      </c>
      <c r="F17" s="278">
        <v>806.20899999999995</v>
      </c>
      <c r="I17" s="280">
        <v>15</v>
      </c>
      <c r="J17">
        <v>0.66900000000000004</v>
      </c>
    </row>
    <row r="18" spans="1:10">
      <c r="A18">
        <v>8</v>
      </c>
      <c r="B18">
        <v>3.4020000000000001</v>
      </c>
      <c r="E18" s="280">
        <v>8</v>
      </c>
      <c r="F18" s="278">
        <v>576.91599999999994</v>
      </c>
      <c r="I18" s="280">
        <v>16</v>
      </c>
      <c r="J18">
        <v>9.593</v>
      </c>
    </row>
    <row r="19" spans="1:10">
      <c r="A19">
        <v>8.5</v>
      </c>
      <c r="B19">
        <v>0.83099999999999996</v>
      </c>
      <c r="E19" s="280">
        <v>8.5</v>
      </c>
      <c r="F19" s="278">
        <v>420.23299999999995</v>
      </c>
      <c r="I19" s="280">
        <v>17</v>
      </c>
      <c r="J19">
        <v>2.8040000000000003</v>
      </c>
    </row>
    <row r="20" spans="1:10">
      <c r="A20">
        <v>10</v>
      </c>
      <c r="B20">
        <v>6.7000000000000004E-2</v>
      </c>
      <c r="E20" s="280">
        <v>9</v>
      </c>
      <c r="F20" s="278">
        <v>216.19200000000001</v>
      </c>
      <c r="I20" s="280">
        <v>18</v>
      </c>
      <c r="J20">
        <v>0.55600000000000005</v>
      </c>
    </row>
    <row r="21" spans="1:10">
      <c r="A21">
        <v>11</v>
      </c>
      <c r="B21">
        <v>0.63</v>
      </c>
      <c r="E21" s="280">
        <v>9.5</v>
      </c>
      <c r="F21" s="278">
        <v>147.834</v>
      </c>
      <c r="I21" s="280">
        <v>20</v>
      </c>
      <c r="J21">
        <v>5.3360000000000003</v>
      </c>
    </row>
    <row r="22" spans="1:10">
      <c r="A22" t="s">
        <v>2884</v>
      </c>
      <c r="E22" s="280">
        <v>10</v>
      </c>
      <c r="F22" s="278">
        <v>144.34500000000003</v>
      </c>
      <c r="I22" s="280">
        <v>21</v>
      </c>
      <c r="J22">
        <v>0.224</v>
      </c>
    </row>
    <row r="23" spans="1:10">
      <c r="A23" t="s">
        <v>2885</v>
      </c>
      <c r="B23">
        <v>38880.067999999985</v>
      </c>
      <c r="E23" s="280">
        <v>10.5</v>
      </c>
      <c r="F23" s="278">
        <v>120.146</v>
      </c>
      <c r="I23" s="280">
        <v>24</v>
      </c>
      <c r="J23">
        <v>14.6</v>
      </c>
    </row>
    <row r="24" spans="1:10">
      <c r="E24" s="280">
        <v>11</v>
      </c>
      <c r="F24" s="278">
        <v>93.416999999999987</v>
      </c>
      <c r="I24" s="280">
        <v>25</v>
      </c>
      <c r="J24">
        <v>12.063000000000001</v>
      </c>
    </row>
    <row r="25" spans="1:10">
      <c r="E25" s="280">
        <v>11.5</v>
      </c>
      <c r="F25" s="278">
        <v>11.6</v>
      </c>
      <c r="I25" s="280">
        <v>26</v>
      </c>
      <c r="J25">
        <v>13.125999999999999</v>
      </c>
    </row>
    <row r="26" spans="1:10">
      <c r="E26" s="280">
        <v>12</v>
      </c>
      <c r="F26" s="278">
        <v>53.527000000000008</v>
      </c>
      <c r="I26" s="280">
        <v>27</v>
      </c>
      <c r="J26">
        <v>14.768000000000001</v>
      </c>
    </row>
    <row r="27" spans="1:10">
      <c r="E27" s="280">
        <v>12.5</v>
      </c>
      <c r="F27" s="278">
        <v>170.386</v>
      </c>
      <c r="I27" s="280">
        <v>28</v>
      </c>
      <c r="J27">
        <v>13.766</v>
      </c>
    </row>
    <row r="28" spans="1:10">
      <c r="E28" s="280">
        <v>13</v>
      </c>
      <c r="F28" s="278">
        <v>43</v>
      </c>
      <c r="I28" s="280">
        <v>29</v>
      </c>
      <c r="J28">
        <v>11.6</v>
      </c>
    </row>
    <row r="29" spans="1:10">
      <c r="E29" s="280">
        <v>13.5</v>
      </c>
      <c r="F29" s="278">
        <v>13.55</v>
      </c>
      <c r="I29" s="280">
        <v>40</v>
      </c>
      <c r="J29">
        <v>38.366999999999997</v>
      </c>
    </row>
    <row r="30" spans="1:10">
      <c r="E30" s="280">
        <v>14</v>
      </c>
      <c r="F30" s="278">
        <v>29.635999999999999</v>
      </c>
      <c r="I30" s="280">
        <v>41</v>
      </c>
      <c r="J30">
        <v>1.1839999999999999</v>
      </c>
    </row>
    <row r="31" spans="1:10">
      <c r="E31" s="280">
        <v>14.5</v>
      </c>
      <c r="F31" s="278">
        <v>132.654</v>
      </c>
      <c r="I31" s="280">
        <v>49</v>
      </c>
      <c r="J31">
        <v>7.6529999999999996</v>
      </c>
    </row>
    <row r="32" spans="1:10">
      <c r="E32" s="280">
        <v>15</v>
      </c>
      <c r="F32" s="278">
        <v>117.89</v>
      </c>
      <c r="I32" s="280">
        <v>50</v>
      </c>
      <c r="J32">
        <v>1.26</v>
      </c>
    </row>
    <row r="33" spans="5:10">
      <c r="E33" s="280">
        <v>15.5</v>
      </c>
      <c r="F33" s="278">
        <v>12.590999999999999</v>
      </c>
      <c r="I33" s="280">
        <v>54</v>
      </c>
      <c r="J33">
        <v>0.18</v>
      </c>
    </row>
    <row r="34" spans="5:10">
      <c r="E34" s="280">
        <v>16</v>
      </c>
      <c r="F34" s="278">
        <v>65.054000000000002</v>
      </c>
      <c r="I34" s="280">
        <v>63</v>
      </c>
      <c r="J34">
        <v>0.34200000000000003</v>
      </c>
    </row>
    <row r="35" spans="5:10">
      <c r="E35" s="280">
        <v>16.5</v>
      </c>
      <c r="F35" s="278">
        <v>12</v>
      </c>
      <c r="I35" s="280">
        <v>65</v>
      </c>
      <c r="J35">
        <v>3.4000000000000002E-2</v>
      </c>
    </row>
    <row r="36" spans="5:10">
      <c r="E36" s="280">
        <v>17</v>
      </c>
      <c r="F36" s="278">
        <v>21.077999999999999</v>
      </c>
      <c r="I36" s="280">
        <v>68</v>
      </c>
      <c r="J36">
        <v>13.55</v>
      </c>
    </row>
    <row r="37" spans="5:10">
      <c r="E37" s="280">
        <v>17.5</v>
      </c>
      <c r="F37" s="278">
        <v>37.881</v>
      </c>
      <c r="I37" s="280">
        <v>76</v>
      </c>
      <c r="J37">
        <v>14.367000000000001</v>
      </c>
    </row>
    <row r="38" spans="5:10">
      <c r="E38" s="280">
        <v>18</v>
      </c>
      <c r="F38" s="278">
        <v>45.4</v>
      </c>
      <c r="I38" s="280">
        <v>89</v>
      </c>
      <c r="J38">
        <v>5.2549999999999999</v>
      </c>
    </row>
    <row r="39" spans="5:10">
      <c r="E39" s="280">
        <v>18.5</v>
      </c>
      <c r="F39" s="278">
        <v>36.08</v>
      </c>
      <c r="I39" t="s">
        <v>2884</v>
      </c>
    </row>
    <row r="40" spans="5:10">
      <c r="E40" s="280">
        <v>19</v>
      </c>
      <c r="F40" s="278">
        <v>37.468000000000004</v>
      </c>
      <c r="I40" t="s">
        <v>2885</v>
      </c>
      <c r="J40">
        <v>38880.068000000007</v>
      </c>
    </row>
    <row r="41" spans="5:10">
      <c r="E41" s="280">
        <v>19.5</v>
      </c>
      <c r="F41" s="278">
        <v>66.316000000000003</v>
      </c>
    </row>
    <row r="42" spans="5:10">
      <c r="E42" s="280">
        <v>20</v>
      </c>
      <c r="F42" s="278">
        <v>21.734999999999999</v>
      </c>
    </row>
    <row r="43" spans="5:10">
      <c r="E43" s="280">
        <v>20.5</v>
      </c>
      <c r="F43" s="278">
        <v>40.554000000000002</v>
      </c>
    </row>
    <row r="44" spans="5:10">
      <c r="E44" s="280">
        <v>21</v>
      </c>
      <c r="F44" s="278">
        <v>68</v>
      </c>
    </row>
    <row r="45" spans="5:10">
      <c r="E45" s="280">
        <v>21.5</v>
      </c>
      <c r="F45" s="278">
        <v>15</v>
      </c>
    </row>
    <row r="46" spans="5:10">
      <c r="E46" s="280">
        <v>22</v>
      </c>
      <c r="F46" s="278">
        <v>54.908000000000001</v>
      </c>
    </row>
    <row r="47" spans="5:10">
      <c r="E47" s="280">
        <v>22.5</v>
      </c>
      <c r="F47" s="278">
        <v>10.88</v>
      </c>
    </row>
    <row r="48" spans="5:10">
      <c r="E48" s="280">
        <v>23.5</v>
      </c>
      <c r="F48" s="278">
        <v>23.652000000000001</v>
      </c>
    </row>
    <row r="49" spans="5:6">
      <c r="E49" s="280">
        <v>24</v>
      </c>
      <c r="F49" s="278">
        <v>25.503</v>
      </c>
    </row>
    <row r="50" spans="5:6">
      <c r="E50" s="280">
        <v>26</v>
      </c>
      <c r="F50" s="278">
        <v>109.761</v>
      </c>
    </row>
    <row r="51" spans="5:6">
      <c r="E51" s="280">
        <v>35.5</v>
      </c>
      <c r="F51" s="278">
        <v>20.722000000000001</v>
      </c>
    </row>
    <row r="52" spans="5:6">
      <c r="E52" s="280">
        <v>38</v>
      </c>
      <c r="F52" s="278">
        <v>38.216999999999999</v>
      </c>
    </row>
    <row r="53" spans="5:6">
      <c r="E53" s="280">
        <v>39</v>
      </c>
      <c r="F53" s="278">
        <v>1.1539999999999999</v>
      </c>
    </row>
    <row r="54" spans="5:6">
      <c r="E54" s="280">
        <v>40.5</v>
      </c>
      <c r="F54" s="278">
        <v>26.074999999999999</v>
      </c>
    </row>
    <row r="55" spans="5:6">
      <c r="E55" s="280">
        <v>45.5</v>
      </c>
      <c r="F55" s="278">
        <v>91.852000000000004</v>
      </c>
    </row>
    <row r="56" spans="5:6">
      <c r="E56" s="280">
        <v>54</v>
      </c>
      <c r="F56" s="278">
        <v>3.1970000000000001</v>
      </c>
    </row>
    <row r="57" spans="5:6">
      <c r="E57" s="280">
        <v>69.5</v>
      </c>
      <c r="F57" s="278">
        <v>14.423999999999999</v>
      </c>
    </row>
    <row r="58" spans="5:6">
      <c r="E58" s="280">
        <v>73</v>
      </c>
      <c r="F58" s="278">
        <v>5.2549999999999999</v>
      </c>
    </row>
    <row r="59" spans="5:6">
      <c r="E59" s="280">
        <v>139</v>
      </c>
      <c r="F59" s="278">
        <v>9.3010000000000002</v>
      </c>
    </row>
    <row r="60" spans="5:6">
      <c r="E60" s="280">
        <v>231</v>
      </c>
      <c r="F60" s="278">
        <v>5.2549999999999999</v>
      </c>
    </row>
    <row r="61" spans="5:6">
      <c r="E61" s="280" t="s">
        <v>2884</v>
      </c>
      <c r="F61" s="278"/>
    </row>
    <row r="62" spans="5:6">
      <c r="E62" s="281" t="s">
        <v>2885</v>
      </c>
      <c r="F62" s="282">
        <v>38880.068000000007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J2235"/>
  <sheetViews>
    <sheetView tabSelected="1" topLeftCell="Y1" zoomScale="80" zoomScaleNormal="80" zoomScalePageLayoutView="80" workbookViewId="0">
      <selection activeCell="AG2" sqref="AG2:AG2235"/>
    </sheetView>
  </sheetViews>
  <sheetFormatPr defaultColWidth="8.85546875" defaultRowHeight="18.75"/>
  <cols>
    <col min="1" max="1" width="8.85546875" style="1"/>
    <col min="2" max="2" width="28.42578125" style="1" customWidth="1"/>
    <col min="3" max="5" width="9.42578125" style="1" bestFit="1" customWidth="1"/>
    <col min="6" max="6" width="29.42578125" style="1" customWidth="1"/>
    <col min="7" max="8" width="11.140625" style="1" bestFit="1" customWidth="1"/>
    <col min="9" max="9" width="10.140625" style="1" customWidth="1"/>
    <col min="10" max="10" width="10.7109375" style="1" customWidth="1"/>
    <col min="11" max="11" width="9.140625" style="1" customWidth="1"/>
    <col min="12" max="12" width="10.7109375" style="1" customWidth="1"/>
    <col min="13" max="14" width="9.140625" style="1" customWidth="1"/>
    <col min="15" max="15" width="13.140625" style="1" customWidth="1"/>
    <col min="16" max="16" width="12" style="1" customWidth="1"/>
    <col min="17" max="17" width="9.140625" style="1" customWidth="1"/>
    <col min="18" max="19" width="14.140625" style="1" customWidth="1"/>
    <col min="20" max="20" width="10.85546875" style="1" customWidth="1"/>
    <col min="21" max="21" width="16.42578125" style="1" customWidth="1"/>
    <col min="22" max="22" width="13" style="1" customWidth="1"/>
    <col min="23" max="23" width="11.7109375" style="1" customWidth="1"/>
    <col min="24" max="25" width="12.42578125" style="1" customWidth="1"/>
    <col min="26" max="26" width="13.42578125" style="1" customWidth="1"/>
    <col min="27" max="27" width="16.140625" style="1" customWidth="1"/>
    <col min="28" max="28" width="10.7109375" style="1" customWidth="1"/>
    <col min="29" max="29" width="11.140625" style="1" customWidth="1"/>
    <col min="30" max="30" width="12.28515625" style="1" customWidth="1"/>
    <col min="31" max="31" width="10.42578125" style="1" customWidth="1"/>
    <col min="32" max="33" width="21.140625" style="1" customWidth="1"/>
    <col min="34" max="34" width="12" style="1" customWidth="1"/>
    <col min="35" max="35" width="9.140625" style="1" customWidth="1"/>
    <col min="36" max="36" width="14.28515625" style="1" customWidth="1"/>
    <col min="37" max="37" width="11" style="1" customWidth="1"/>
    <col min="38" max="38" width="11.7109375" style="1" customWidth="1"/>
    <col min="39" max="42" width="9" style="1" customWidth="1"/>
    <col min="43" max="43" width="11.42578125" style="1" bestFit="1" customWidth="1"/>
    <col min="44" max="54" width="9.42578125" style="1" bestFit="1" customWidth="1"/>
    <col min="55" max="16384" width="8.85546875" style="1"/>
  </cols>
  <sheetData>
    <row r="1" spans="1:88" ht="52.5" customHeight="1">
      <c r="A1" s="1" t="s">
        <v>2880</v>
      </c>
      <c r="B1" s="212" t="s">
        <v>190</v>
      </c>
      <c r="C1" s="212" t="s">
        <v>0</v>
      </c>
      <c r="D1" s="213" t="s">
        <v>1</v>
      </c>
      <c r="E1" s="214" t="s">
        <v>2</v>
      </c>
      <c r="F1" s="212" t="s">
        <v>3</v>
      </c>
      <c r="G1" s="212" t="s">
        <v>254</v>
      </c>
      <c r="H1" s="212" t="s">
        <v>255</v>
      </c>
      <c r="I1" s="215" t="s">
        <v>256</v>
      </c>
      <c r="J1" s="212" t="s">
        <v>4</v>
      </c>
      <c r="K1" s="212" t="s">
        <v>5</v>
      </c>
      <c r="L1" s="216" t="s">
        <v>6</v>
      </c>
      <c r="M1" s="212" t="s">
        <v>7</v>
      </c>
      <c r="N1" s="2" t="s">
        <v>239</v>
      </c>
      <c r="O1" s="3" t="s">
        <v>240</v>
      </c>
      <c r="P1" s="3" t="s">
        <v>241</v>
      </c>
      <c r="Q1" s="2" t="s">
        <v>242</v>
      </c>
      <c r="R1" s="217" t="s">
        <v>257</v>
      </c>
      <c r="S1" s="217" t="s">
        <v>2883</v>
      </c>
      <c r="T1" s="2" t="s">
        <v>243</v>
      </c>
      <c r="U1" s="3" t="s">
        <v>244</v>
      </c>
      <c r="V1" s="3" t="s">
        <v>245</v>
      </c>
      <c r="W1" s="2" t="s">
        <v>246</v>
      </c>
      <c r="X1" s="217" t="s">
        <v>258</v>
      </c>
      <c r="Y1" s="217" t="s">
        <v>2882</v>
      </c>
      <c r="Z1" s="2" t="s">
        <v>247</v>
      </c>
      <c r="AA1" s="3" t="s">
        <v>248</v>
      </c>
      <c r="AB1" s="2" t="s">
        <v>249</v>
      </c>
      <c r="AC1" s="217" t="s">
        <v>259</v>
      </c>
      <c r="AD1" s="218" t="s">
        <v>260</v>
      </c>
      <c r="AE1" s="218" t="s">
        <v>261</v>
      </c>
      <c r="AF1" s="219" t="s">
        <v>250</v>
      </c>
      <c r="AG1" s="219" t="s">
        <v>2881</v>
      </c>
      <c r="AH1" s="218" t="s">
        <v>262</v>
      </c>
      <c r="AI1" s="217" t="s">
        <v>251</v>
      </c>
      <c r="AJ1" s="218" t="s">
        <v>263</v>
      </c>
      <c r="AK1" s="219" t="s">
        <v>252</v>
      </c>
      <c r="AL1" s="218" t="s">
        <v>264</v>
      </c>
      <c r="AM1" s="218" t="s">
        <v>253</v>
      </c>
    </row>
    <row r="2" spans="1:88">
      <c r="A2" s="1">
        <v>1063</v>
      </c>
      <c r="B2" s="88" t="s">
        <v>1447</v>
      </c>
      <c r="C2" s="88">
        <v>618</v>
      </c>
      <c r="D2" s="8">
        <v>3627</v>
      </c>
      <c r="E2" s="88">
        <v>100</v>
      </c>
      <c r="F2" s="34" t="s">
        <v>1463</v>
      </c>
      <c r="G2" s="58">
        <v>0</v>
      </c>
      <c r="H2" s="58">
        <v>6122</v>
      </c>
      <c r="I2" s="35">
        <v>6.1219999999999999</v>
      </c>
      <c r="J2" s="9">
        <v>2</v>
      </c>
      <c r="K2" s="88" t="s">
        <v>238</v>
      </c>
      <c r="L2" s="116">
        <v>42114</v>
      </c>
      <c r="M2" s="9" t="s">
        <v>191</v>
      </c>
      <c r="N2" s="38">
        <v>1.5</v>
      </c>
      <c r="O2" s="38">
        <v>1.5249999999999999</v>
      </c>
      <c r="P2" s="38">
        <v>1.075</v>
      </c>
      <c r="Q2" s="38">
        <v>1.55</v>
      </c>
      <c r="R2" s="38">
        <v>4.0868099999999998</v>
      </c>
      <c r="S2" s="38">
        <f>ROUND(R2/5,1)*5</f>
        <v>4</v>
      </c>
      <c r="T2" s="38">
        <v>5.4619999999999997</v>
      </c>
      <c r="U2" s="38">
        <v>0.46500000000000002</v>
      </c>
      <c r="V2" s="38">
        <v>0.108</v>
      </c>
      <c r="W2" s="38">
        <v>8.6999999999999994E-2</v>
      </c>
      <c r="X2" s="38">
        <f t="shared" ref="X2:X7" si="0">T2+U2+V2+W2</f>
        <v>6.121999999999999</v>
      </c>
      <c r="Y2" s="38">
        <f>ROUND(X2/5,1)*5</f>
        <v>6</v>
      </c>
      <c r="Z2" s="38">
        <f t="shared" ref="Z2:Z7" si="1">(X2-I2)/I2*100</f>
        <v>-1.4507978106829879E-14</v>
      </c>
      <c r="AA2" s="117">
        <v>6.0151500000000002</v>
      </c>
      <c r="AB2" s="38">
        <v>0</v>
      </c>
      <c r="AC2" s="38">
        <v>0</v>
      </c>
      <c r="AD2" s="38">
        <f t="shared" ref="AD2:AD7" si="2">SUM(T2:W2)</f>
        <v>6.121999999999999</v>
      </c>
      <c r="AE2" s="117">
        <v>1.417</v>
      </c>
      <c r="AF2" s="38">
        <v>1.1399999999999999</v>
      </c>
      <c r="AG2" s="38">
        <f>ROUND(AF2,1)</f>
        <v>1.1000000000000001</v>
      </c>
      <c r="AH2" s="38">
        <v>0</v>
      </c>
      <c r="AI2" s="169">
        <f t="shared" ref="AI2:AI7" si="3">(AF2+AH2*0.5)/(3.5*I2*1000)*100</f>
        <v>5.3203901619452093E-3</v>
      </c>
      <c r="AJ2" s="38">
        <v>4.68</v>
      </c>
      <c r="AK2" s="99">
        <f t="shared" ref="AK2:AK7" si="4">AJ2/(3.5*I2*1000)*100</f>
        <v>2.1841601717459278E-2</v>
      </c>
      <c r="AL2" s="38">
        <v>0</v>
      </c>
      <c r="AM2" s="99">
        <f t="shared" ref="AM2:AM7" si="5">AL2/(3.5*I2*1000)*100</f>
        <v>0</v>
      </c>
      <c r="AN2" s="56">
        <v>0</v>
      </c>
      <c r="AO2" s="267">
        <f t="shared" ref="AO2:AO7" si="6">AN2/(3.5*I2*1000)*100</f>
        <v>0</v>
      </c>
      <c r="AP2" s="176"/>
      <c r="AQ2" s="41">
        <f t="shared" ref="AQ2:AQ7" si="7">AH2*0.5</f>
        <v>0</v>
      </c>
      <c r="AR2" s="41">
        <f t="shared" ref="AR2:AR7" si="8">(AF2+AJ2+AL2+AN2+AQ2)*I2</f>
        <v>35.630039999999994</v>
      </c>
      <c r="AS2" s="138">
        <f t="shared" ref="AS2:AS7" si="9">SUM(N2:Q2)</f>
        <v>5.6499999999999995</v>
      </c>
      <c r="AT2" s="138">
        <f t="shared" ref="AT2:AT7" si="10">SUM(T2:W2)</f>
        <v>6.121999999999999</v>
      </c>
      <c r="AU2" s="268">
        <v>6.1219999999999999</v>
      </c>
      <c r="AV2" s="41"/>
      <c r="AW2" s="41"/>
      <c r="AX2" s="41"/>
      <c r="AY2" s="41"/>
      <c r="AZ2" s="177"/>
      <c r="BA2" s="177"/>
      <c r="BB2" s="177"/>
      <c r="BC2" s="177"/>
      <c r="BD2" s="177"/>
      <c r="BE2" s="177"/>
      <c r="BF2" s="177"/>
      <c r="BG2" s="177"/>
      <c r="BH2" s="177"/>
      <c r="BI2" s="177"/>
      <c r="BJ2" s="177"/>
      <c r="BK2" s="177"/>
      <c r="BL2" s="177"/>
      <c r="BM2" s="177"/>
      <c r="BN2" s="177"/>
      <c r="BO2" s="177"/>
      <c r="BP2" s="177"/>
      <c r="BQ2" s="177"/>
      <c r="BR2" s="177"/>
      <c r="BS2" s="177"/>
      <c r="BT2" s="177"/>
      <c r="BU2" s="177"/>
      <c r="BV2" s="177"/>
      <c r="BW2" s="177"/>
      <c r="BX2" s="177"/>
      <c r="BY2" s="177"/>
      <c r="BZ2" s="177"/>
      <c r="CA2" s="177"/>
      <c r="CB2" s="177"/>
      <c r="CC2" s="177"/>
      <c r="CD2" s="177"/>
      <c r="CE2" s="177"/>
      <c r="CF2" s="177"/>
      <c r="CG2" s="177"/>
      <c r="CH2" s="177"/>
      <c r="CI2" s="177"/>
      <c r="CJ2" s="177"/>
    </row>
    <row r="3" spans="1:88">
      <c r="A3" s="1">
        <v>1057</v>
      </c>
      <c r="B3" s="34" t="s">
        <v>1447</v>
      </c>
      <c r="C3" s="34">
        <v>618</v>
      </c>
      <c r="D3" s="8">
        <v>3078</v>
      </c>
      <c r="E3" s="34">
        <v>100</v>
      </c>
      <c r="F3" s="34" t="s">
        <v>1455</v>
      </c>
      <c r="G3" s="58">
        <v>0</v>
      </c>
      <c r="H3" s="58">
        <v>26887</v>
      </c>
      <c r="I3" s="35">
        <v>23.652000000000001</v>
      </c>
      <c r="J3" s="9">
        <v>2</v>
      </c>
      <c r="K3" s="34" t="s">
        <v>238</v>
      </c>
      <c r="L3" s="10">
        <v>42113</v>
      </c>
      <c r="M3" s="9" t="s">
        <v>191</v>
      </c>
      <c r="N3" s="38">
        <v>14</v>
      </c>
      <c r="O3" s="38">
        <v>6.2249999999999996</v>
      </c>
      <c r="P3" s="38">
        <v>2.4249999999999998</v>
      </c>
      <c r="Q3" s="38">
        <v>1.0249999999999999</v>
      </c>
      <c r="R3" s="38">
        <v>2.5830000000000002</v>
      </c>
      <c r="S3" s="38">
        <f t="shared" ref="S3:S66" si="11">ROUND(R3/5,1)*5</f>
        <v>2.5</v>
      </c>
      <c r="T3" s="38">
        <v>21.65</v>
      </c>
      <c r="U3" s="38">
        <v>1.425</v>
      </c>
      <c r="V3" s="38">
        <v>0.42499999999999999</v>
      </c>
      <c r="W3" s="38">
        <v>0.17499999999999999</v>
      </c>
      <c r="X3" s="38">
        <f t="shared" si="0"/>
        <v>23.675000000000001</v>
      </c>
      <c r="Y3" s="38">
        <f t="shared" ref="Y3:Y66" si="12">ROUND(X3/5,1)*5</f>
        <v>23.5</v>
      </c>
      <c r="Z3" s="38">
        <f t="shared" si="1"/>
        <v>9.7243362083543408E-2</v>
      </c>
      <c r="AA3" s="38">
        <v>5.5721400000000001</v>
      </c>
      <c r="AB3" s="38">
        <v>0</v>
      </c>
      <c r="AC3" s="38">
        <v>0</v>
      </c>
      <c r="AD3" s="38">
        <f t="shared" si="2"/>
        <v>23.675000000000001</v>
      </c>
      <c r="AE3" s="38">
        <v>1.10636</v>
      </c>
      <c r="AF3" s="38">
        <v>1.1399999999999999</v>
      </c>
      <c r="AG3" s="38">
        <f t="shared" ref="AG3:AG66" si="13">ROUND(AF3,1)</f>
        <v>1.1000000000000001</v>
      </c>
      <c r="AH3" s="38">
        <v>0</v>
      </c>
      <c r="AI3" s="11">
        <f t="shared" si="3"/>
        <v>1.3771109661520617E-3</v>
      </c>
      <c r="AJ3" s="38">
        <v>1.52</v>
      </c>
      <c r="AK3" s="38">
        <f t="shared" si="4"/>
        <v>1.8361479548694157E-3</v>
      </c>
      <c r="AL3" s="38">
        <v>0</v>
      </c>
      <c r="AM3" s="38">
        <f t="shared" si="5"/>
        <v>0</v>
      </c>
      <c r="AN3" s="56">
        <v>0</v>
      </c>
      <c r="AO3" s="56">
        <f t="shared" si="6"/>
        <v>0</v>
      </c>
      <c r="AP3" s="41"/>
      <c r="AQ3" s="41">
        <f t="shared" si="7"/>
        <v>0</v>
      </c>
      <c r="AR3" s="41">
        <f t="shared" si="8"/>
        <v>62.914320000000004</v>
      </c>
      <c r="AS3" s="41">
        <f t="shared" si="9"/>
        <v>23.675000000000001</v>
      </c>
      <c r="AT3" s="41">
        <f t="shared" si="10"/>
        <v>23.675000000000001</v>
      </c>
      <c r="AU3" s="268">
        <v>26.887</v>
      </c>
      <c r="AV3" s="41"/>
      <c r="AW3" s="41"/>
      <c r="AX3" s="41"/>
      <c r="AY3" s="41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</row>
    <row r="4" spans="1:88">
      <c r="A4" s="1">
        <v>1053</v>
      </c>
      <c r="B4" s="34" t="s">
        <v>1447</v>
      </c>
      <c r="C4" s="34">
        <v>618</v>
      </c>
      <c r="D4" s="8">
        <v>359</v>
      </c>
      <c r="E4" s="34">
        <v>200</v>
      </c>
      <c r="F4" s="34" t="s">
        <v>1451</v>
      </c>
      <c r="G4" s="58">
        <v>72719</v>
      </c>
      <c r="H4" s="58">
        <v>26793</v>
      </c>
      <c r="I4" s="35">
        <v>45.926000000000002</v>
      </c>
      <c r="J4" s="9">
        <v>4</v>
      </c>
      <c r="K4" s="34" t="s">
        <v>96</v>
      </c>
      <c r="L4" s="10">
        <v>42114</v>
      </c>
      <c r="M4" s="9" t="s">
        <v>191</v>
      </c>
      <c r="N4" s="38">
        <v>33.450000000000003</v>
      </c>
      <c r="O4" s="38">
        <v>8.125</v>
      </c>
      <c r="P4" s="38">
        <v>3.05</v>
      </c>
      <c r="Q4" s="38">
        <v>1</v>
      </c>
      <c r="R4" s="38">
        <v>2.19076</v>
      </c>
      <c r="S4" s="38">
        <f t="shared" si="11"/>
        <v>2</v>
      </c>
      <c r="T4" s="38">
        <v>42.975000000000001</v>
      </c>
      <c r="U4" s="38">
        <v>2.2999999999999998</v>
      </c>
      <c r="V4" s="38">
        <v>0.3</v>
      </c>
      <c r="W4" s="38">
        <v>0.05</v>
      </c>
      <c r="X4" s="38">
        <f t="shared" si="0"/>
        <v>45.624999999999993</v>
      </c>
      <c r="Y4" s="38">
        <f t="shared" si="12"/>
        <v>45.5</v>
      </c>
      <c r="Z4" s="38">
        <f t="shared" si="1"/>
        <v>-0.65540216870619916</v>
      </c>
      <c r="AA4" s="38">
        <v>4.8790300000000002</v>
      </c>
      <c r="AB4" s="38">
        <v>0</v>
      </c>
      <c r="AC4" s="38">
        <v>0</v>
      </c>
      <c r="AD4" s="38">
        <f t="shared" si="2"/>
        <v>45.624999999999993</v>
      </c>
      <c r="AE4" s="38">
        <v>1.2909299999999999</v>
      </c>
      <c r="AF4" s="38">
        <v>1.1399999999999999</v>
      </c>
      <c r="AG4" s="38">
        <f t="shared" si="13"/>
        <v>1.1000000000000001</v>
      </c>
      <c r="AH4" s="38">
        <v>0</v>
      </c>
      <c r="AI4" s="11">
        <f t="shared" si="3"/>
        <v>7.0921544596587048E-4</v>
      </c>
      <c r="AJ4" s="38">
        <v>0</v>
      </c>
      <c r="AK4" s="38">
        <f t="shared" si="4"/>
        <v>0</v>
      </c>
      <c r="AL4" s="38">
        <v>0</v>
      </c>
      <c r="AM4" s="38">
        <f t="shared" si="5"/>
        <v>0</v>
      </c>
      <c r="AN4" s="56">
        <v>1</v>
      </c>
      <c r="AO4" s="56">
        <f t="shared" si="6"/>
        <v>6.2211881225076367E-4</v>
      </c>
      <c r="AP4" s="41"/>
      <c r="AQ4" s="41">
        <f t="shared" si="7"/>
        <v>0</v>
      </c>
      <c r="AR4" s="41">
        <f t="shared" si="8"/>
        <v>98.281639999999996</v>
      </c>
      <c r="AS4" s="41">
        <f t="shared" si="9"/>
        <v>45.625</v>
      </c>
      <c r="AT4" s="41">
        <f t="shared" si="10"/>
        <v>45.624999999999993</v>
      </c>
      <c r="AU4" s="268">
        <v>45.926000000000002</v>
      </c>
      <c r="AV4" s="41"/>
      <c r="AW4" s="41"/>
      <c r="AX4" s="41"/>
      <c r="AY4" s="41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</row>
    <row r="5" spans="1:88">
      <c r="A5" s="1">
        <v>1052</v>
      </c>
      <c r="B5" s="34" t="s">
        <v>1447</v>
      </c>
      <c r="C5" s="34">
        <v>618</v>
      </c>
      <c r="D5" s="8">
        <v>359</v>
      </c>
      <c r="E5" s="34">
        <v>200</v>
      </c>
      <c r="F5" s="34" t="s">
        <v>1451</v>
      </c>
      <c r="G5" s="58">
        <v>26793</v>
      </c>
      <c r="H5" s="58">
        <v>72719</v>
      </c>
      <c r="I5" s="35">
        <v>45.926000000000002</v>
      </c>
      <c r="J5" s="9">
        <v>4</v>
      </c>
      <c r="K5" s="34" t="s">
        <v>237</v>
      </c>
      <c r="L5" s="10">
        <v>42114</v>
      </c>
      <c r="M5" s="9" t="s">
        <v>191</v>
      </c>
      <c r="N5" s="38">
        <v>33.549999999999997</v>
      </c>
      <c r="O5" s="38">
        <v>8.4749999999999996</v>
      </c>
      <c r="P5" s="38">
        <v>3.125</v>
      </c>
      <c r="Q5" s="38">
        <v>0.52500000000000002</v>
      </c>
      <c r="R5" s="38">
        <v>2.0924100000000001</v>
      </c>
      <c r="S5" s="38">
        <f t="shared" si="11"/>
        <v>2</v>
      </c>
      <c r="T5" s="38">
        <v>37.725000000000001</v>
      </c>
      <c r="U5" s="38">
        <v>6.4249999999999998</v>
      </c>
      <c r="V5" s="38">
        <v>1.325</v>
      </c>
      <c r="W5" s="38">
        <v>0.2</v>
      </c>
      <c r="X5" s="38">
        <f t="shared" si="0"/>
        <v>45.675000000000004</v>
      </c>
      <c r="Y5" s="38">
        <f t="shared" si="12"/>
        <v>45.5</v>
      </c>
      <c r="Z5" s="38">
        <f t="shared" si="1"/>
        <v>-0.54653137656229078</v>
      </c>
      <c r="AA5" s="38">
        <v>7.2148199999999996</v>
      </c>
      <c r="AB5" s="38">
        <v>0</v>
      </c>
      <c r="AC5" s="38">
        <v>0</v>
      </c>
      <c r="AD5" s="38">
        <f t="shared" si="2"/>
        <v>45.675000000000004</v>
      </c>
      <c r="AE5" s="38">
        <v>1.42371</v>
      </c>
      <c r="AF5" s="38">
        <v>1.1399999999999999</v>
      </c>
      <c r="AG5" s="38">
        <f t="shared" si="13"/>
        <v>1.1000000000000001</v>
      </c>
      <c r="AH5" s="38">
        <v>0</v>
      </c>
      <c r="AI5" s="169">
        <f t="shared" si="3"/>
        <v>7.0921544596587048E-4</v>
      </c>
      <c r="AJ5" s="38">
        <v>0</v>
      </c>
      <c r="AK5" s="99">
        <f t="shared" si="4"/>
        <v>0</v>
      </c>
      <c r="AL5" s="38">
        <v>0</v>
      </c>
      <c r="AM5" s="99">
        <f t="shared" si="5"/>
        <v>0</v>
      </c>
      <c r="AN5" s="56">
        <v>0</v>
      </c>
      <c r="AO5" s="267">
        <f t="shared" si="6"/>
        <v>0</v>
      </c>
      <c r="AP5" s="41"/>
      <c r="AQ5" s="41">
        <f t="shared" si="7"/>
        <v>0</v>
      </c>
      <c r="AR5" s="41">
        <f t="shared" si="8"/>
        <v>52.355640000000001</v>
      </c>
      <c r="AS5" s="138">
        <f t="shared" si="9"/>
        <v>45.674999999999997</v>
      </c>
      <c r="AT5" s="138">
        <f t="shared" si="10"/>
        <v>45.675000000000004</v>
      </c>
      <c r="AU5" s="268">
        <v>45.926000000000002</v>
      </c>
      <c r="AV5" s="41"/>
      <c r="AW5" s="41"/>
      <c r="AX5" s="41"/>
      <c r="AY5" s="41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</row>
    <row r="6" spans="1:88">
      <c r="A6" s="1">
        <v>1058</v>
      </c>
      <c r="B6" s="34" t="s">
        <v>1447</v>
      </c>
      <c r="C6" s="34">
        <v>618</v>
      </c>
      <c r="D6" s="8">
        <v>3079</v>
      </c>
      <c r="E6" s="34">
        <v>101</v>
      </c>
      <c r="F6" s="34" t="s">
        <v>1456</v>
      </c>
      <c r="G6" s="58">
        <v>2395</v>
      </c>
      <c r="H6" s="58">
        <v>19858</v>
      </c>
      <c r="I6" s="35">
        <v>17.463000000000001</v>
      </c>
      <c r="J6" s="9">
        <v>2</v>
      </c>
      <c r="K6" s="34" t="s">
        <v>238</v>
      </c>
      <c r="L6" s="10">
        <v>42114</v>
      </c>
      <c r="M6" s="9" t="s">
        <v>191</v>
      </c>
      <c r="N6" s="38">
        <v>7.3</v>
      </c>
      <c r="O6" s="38">
        <v>5.875</v>
      </c>
      <c r="P6" s="38">
        <v>2.2749999999999999</v>
      </c>
      <c r="Q6" s="38">
        <v>1.9</v>
      </c>
      <c r="R6" s="38">
        <v>3.1182099999999999</v>
      </c>
      <c r="S6" s="38">
        <f t="shared" si="11"/>
        <v>3</v>
      </c>
      <c r="T6" s="38">
        <v>16.149999999999999</v>
      </c>
      <c r="U6" s="38">
        <v>1</v>
      </c>
      <c r="V6" s="38">
        <v>0.125</v>
      </c>
      <c r="W6" s="38">
        <v>7.4999999999999997E-2</v>
      </c>
      <c r="X6" s="38">
        <f t="shared" si="0"/>
        <v>17.349999999999998</v>
      </c>
      <c r="Y6" s="38">
        <f t="shared" si="12"/>
        <v>17.5</v>
      </c>
      <c r="Z6" s="38">
        <f t="shared" si="1"/>
        <v>-0.64708240279449747</v>
      </c>
      <c r="AA6" s="38">
        <v>5.2284899999999999</v>
      </c>
      <c r="AB6" s="38">
        <v>0</v>
      </c>
      <c r="AC6" s="38">
        <v>0</v>
      </c>
      <c r="AD6" s="38">
        <f t="shared" si="2"/>
        <v>17.349999999999998</v>
      </c>
      <c r="AE6" s="38">
        <v>1.3463499999999999</v>
      </c>
      <c r="AF6" s="38">
        <v>1.1399999999999999</v>
      </c>
      <c r="AG6" s="38">
        <f t="shared" si="13"/>
        <v>1.1000000000000001</v>
      </c>
      <c r="AH6" s="38">
        <v>0</v>
      </c>
      <c r="AI6" s="11">
        <f t="shared" si="3"/>
        <v>1.8651679878273243E-3</v>
      </c>
      <c r="AJ6" s="38">
        <v>3.51</v>
      </c>
      <c r="AK6" s="38">
        <f t="shared" si="4"/>
        <v>5.74275406778413E-3</v>
      </c>
      <c r="AL6" s="38">
        <v>0</v>
      </c>
      <c r="AM6" s="38">
        <f t="shared" si="5"/>
        <v>0</v>
      </c>
      <c r="AN6" s="56">
        <v>0</v>
      </c>
      <c r="AO6" s="56">
        <f t="shared" si="6"/>
        <v>0</v>
      </c>
      <c r="AP6" s="41"/>
      <c r="AQ6" s="41">
        <f t="shared" si="7"/>
        <v>0</v>
      </c>
      <c r="AR6" s="41">
        <f t="shared" si="8"/>
        <v>81.202950000000001</v>
      </c>
      <c r="AS6" s="41">
        <f t="shared" si="9"/>
        <v>17.350000000000001</v>
      </c>
      <c r="AT6" s="41">
        <f t="shared" si="10"/>
        <v>17.349999999999998</v>
      </c>
      <c r="AU6" s="268">
        <v>17.463000000000001</v>
      </c>
      <c r="AV6" s="41"/>
      <c r="AW6" s="41"/>
      <c r="AX6" s="41"/>
      <c r="AY6" s="41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</row>
    <row r="7" spans="1:88">
      <c r="A7" s="1">
        <v>1059</v>
      </c>
      <c r="B7" s="34" t="s">
        <v>1447</v>
      </c>
      <c r="C7" s="34">
        <v>618</v>
      </c>
      <c r="D7" s="8">
        <v>3079</v>
      </c>
      <c r="E7" s="34">
        <v>102</v>
      </c>
      <c r="F7" s="34" t="s">
        <v>1457</v>
      </c>
      <c r="G7" s="58" t="s">
        <v>1458</v>
      </c>
      <c r="H7" s="20" t="s">
        <v>1459</v>
      </c>
      <c r="I7" s="35">
        <v>25.503</v>
      </c>
      <c r="J7" s="9">
        <v>2</v>
      </c>
      <c r="K7" s="34" t="s">
        <v>238</v>
      </c>
      <c r="L7" s="10">
        <v>42114</v>
      </c>
      <c r="M7" s="9" t="s">
        <v>191</v>
      </c>
      <c r="N7" s="38">
        <v>15.53</v>
      </c>
      <c r="O7" s="38">
        <v>4.75</v>
      </c>
      <c r="P7" s="38">
        <v>2.35</v>
      </c>
      <c r="Q7" s="38">
        <v>1.25</v>
      </c>
      <c r="R7" s="38">
        <v>2.5795400000000002</v>
      </c>
      <c r="S7" s="38">
        <f t="shared" si="11"/>
        <v>2.5</v>
      </c>
      <c r="T7" s="38">
        <v>23.024999999999999</v>
      </c>
      <c r="U7" s="38">
        <v>0.75</v>
      </c>
      <c r="V7" s="38">
        <v>0.05</v>
      </c>
      <c r="W7" s="38">
        <v>0.05</v>
      </c>
      <c r="X7" s="38">
        <f t="shared" si="0"/>
        <v>23.875</v>
      </c>
      <c r="Y7" s="38">
        <f t="shared" si="12"/>
        <v>24</v>
      </c>
      <c r="Z7" s="38">
        <f t="shared" si="1"/>
        <v>-6.3835627181115946</v>
      </c>
      <c r="AA7" s="38">
        <v>4.5893600000000001</v>
      </c>
      <c r="AB7" s="38">
        <v>0</v>
      </c>
      <c r="AC7" s="38">
        <v>0</v>
      </c>
      <c r="AD7" s="38">
        <f t="shared" si="2"/>
        <v>23.875</v>
      </c>
      <c r="AE7" s="38">
        <v>1.23933</v>
      </c>
      <c r="AF7" s="38">
        <v>1.1399999999999999</v>
      </c>
      <c r="AG7" s="38">
        <f t="shared" si="13"/>
        <v>1.1000000000000001</v>
      </c>
      <c r="AH7" s="38">
        <v>328.13</v>
      </c>
      <c r="AI7" s="11">
        <f t="shared" si="3"/>
        <v>0.18508186711927443</v>
      </c>
      <c r="AJ7" s="38">
        <v>3.51</v>
      </c>
      <c r="AK7" s="38">
        <f t="shared" si="4"/>
        <v>3.9323104844808162E-3</v>
      </c>
      <c r="AL7" s="38">
        <v>1027.8900000000001</v>
      </c>
      <c r="AM7" s="38">
        <f t="shared" si="5"/>
        <v>1.1515620011091132</v>
      </c>
      <c r="AN7" s="56">
        <v>0</v>
      </c>
      <c r="AO7" s="56">
        <f t="shared" si="6"/>
        <v>0</v>
      </c>
      <c r="AP7" s="41"/>
      <c r="AQ7" s="41">
        <f t="shared" si="7"/>
        <v>164.065</v>
      </c>
      <c r="AR7" s="41">
        <f t="shared" si="8"/>
        <v>30517.017315000005</v>
      </c>
      <c r="AS7" s="41">
        <f t="shared" si="9"/>
        <v>23.880000000000003</v>
      </c>
      <c r="AT7" s="41">
        <f t="shared" si="10"/>
        <v>23.875</v>
      </c>
      <c r="AU7" s="268">
        <v>25.503</v>
      </c>
      <c r="AV7" s="41"/>
      <c r="AW7" s="41"/>
      <c r="AX7" s="41"/>
      <c r="AY7" s="41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</row>
    <row r="8" spans="1:88">
      <c r="A8" s="1">
        <v>1608</v>
      </c>
      <c r="B8" s="34" t="s">
        <v>2137</v>
      </c>
      <c r="C8" s="5">
        <v>416</v>
      </c>
      <c r="D8" s="5">
        <v>346</v>
      </c>
      <c r="E8" s="5">
        <v>103</v>
      </c>
      <c r="F8" s="5" t="s">
        <v>2175</v>
      </c>
      <c r="G8" s="53" t="s">
        <v>379</v>
      </c>
      <c r="H8" s="53" t="s">
        <v>2176</v>
      </c>
      <c r="I8" s="198">
        <v>9.3010000000000002</v>
      </c>
      <c r="J8" s="78">
        <v>4</v>
      </c>
      <c r="K8" s="5" t="s">
        <v>237</v>
      </c>
      <c r="L8" s="10">
        <v>42248</v>
      </c>
      <c r="M8" s="34" t="s">
        <v>218</v>
      </c>
      <c r="N8" s="147">
        <v>0.22500000000000001</v>
      </c>
      <c r="O8" s="147">
        <v>2.8</v>
      </c>
      <c r="P8" s="147">
        <v>4.5</v>
      </c>
      <c r="Q8" s="147">
        <v>1.4750000000000001</v>
      </c>
      <c r="R8" s="147">
        <v>4.1164699999999996</v>
      </c>
      <c r="S8" s="38">
        <f t="shared" si="11"/>
        <v>4</v>
      </c>
      <c r="T8" s="147">
        <v>0</v>
      </c>
      <c r="U8" s="147">
        <v>0</v>
      </c>
      <c r="V8" s="147">
        <f>SUM(N8:Q8)</f>
        <v>9</v>
      </c>
      <c r="W8" s="147">
        <v>1.3158399999999999</v>
      </c>
      <c r="X8" s="201">
        <v>139</v>
      </c>
      <c r="Y8" s="38">
        <f t="shared" si="12"/>
        <v>139</v>
      </c>
      <c r="Z8" s="201">
        <v>0</v>
      </c>
      <c r="AA8" s="201">
        <v>51</v>
      </c>
      <c r="AB8" s="201">
        <v>22</v>
      </c>
      <c r="AC8" s="201">
        <v>0</v>
      </c>
      <c r="AD8" s="147">
        <v>216.06</v>
      </c>
      <c r="AE8" s="147">
        <v>0.67613831951181347</v>
      </c>
      <c r="AF8" s="38">
        <v>1.1399999999999999</v>
      </c>
      <c r="AG8" s="38">
        <f t="shared" si="13"/>
        <v>1.1000000000000001</v>
      </c>
      <c r="AH8" s="198"/>
      <c r="AI8" s="198"/>
      <c r="AJ8" s="198"/>
      <c r="AK8" s="34"/>
      <c r="AL8" s="34"/>
      <c r="AM8" s="34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</row>
    <row r="9" spans="1:88" s="22" customFormat="1">
      <c r="A9" s="1">
        <v>1055</v>
      </c>
      <c r="B9" s="34" t="s">
        <v>1447</v>
      </c>
      <c r="C9" s="34">
        <v>618</v>
      </c>
      <c r="D9" s="148">
        <v>3076</v>
      </c>
      <c r="E9" s="34">
        <v>200</v>
      </c>
      <c r="F9" s="34" t="s">
        <v>1453</v>
      </c>
      <c r="G9" s="58">
        <v>22041</v>
      </c>
      <c r="H9" s="58">
        <v>43521</v>
      </c>
      <c r="I9" s="35">
        <v>21.274999999999999</v>
      </c>
      <c r="J9" s="9">
        <v>2</v>
      </c>
      <c r="K9" s="34" t="s">
        <v>238</v>
      </c>
      <c r="L9" s="10">
        <v>42114</v>
      </c>
      <c r="M9" s="9" t="s">
        <v>191</v>
      </c>
      <c r="N9" s="38">
        <v>9.875</v>
      </c>
      <c r="O9" s="38">
        <v>6.5250000000000004</v>
      </c>
      <c r="P9" s="38">
        <v>3.1749999999999998</v>
      </c>
      <c r="Q9" s="38">
        <v>1.575</v>
      </c>
      <c r="R9" s="38">
        <v>3.2467000000000001</v>
      </c>
      <c r="S9" s="38">
        <f t="shared" si="11"/>
        <v>3</v>
      </c>
      <c r="T9" s="38">
        <v>20.175000000000001</v>
      </c>
      <c r="U9" s="38">
        <v>0.82499999999999996</v>
      </c>
      <c r="V9" s="38">
        <v>0.125</v>
      </c>
      <c r="W9" s="38">
        <v>2.5000000000000001E-2</v>
      </c>
      <c r="X9" s="38">
        <f>T9+U9+V9+W9</f>
        <v>21.15</v>
      </c>
      <c r="Y9" s="38">
        <f t="shared" si="12"/>
        <v>21</v>
      </c>
      <c r="Z9" s="38">
        <f>(X9-I9)/I9*100</f>
        <v>-0.58754406580493534</v>
      </c>
      <c r="AA9" s="38">
        <v>5.3170500000000001</v>
      </c>
      <c r="AB9" s="38">
        <v>0</v>
      </c>
      <c r="AC9" s="38">
        <v>0</v>
      </c>
      <c r="AD9" s="38">
        <f>SUM(T9:W9)</f>
        <v>21.15</v>
      </c>
      <c r="AE9" s="38">
        <v>1.2529399999999999</v>
      </c>
      <c r="AF9" s="38">
        <v>1.1399999999999999</v>
      </c>
      <c r="AG9" s="38">
        <f t="shared" si="13"/>
        <v>1.1000000000000001</v>
      </c>
      <c r="AH9" s="38">
        <v>0</v>
      </c>
      <c r="AI9" s="11">
        <f>(AF9+AH9*0.5)/(3.5*I9*1000)*100</f>
        <v>1.5309719657545747E-3</v>
      </c>
      <c r="AJ9" s="38">
        <v>8.14</v>
      </c>
      <c r="AK9" s="38">
        <f>AJ9/(3.5*I9*1000)*100</f>
        <v>1.0931677018633543E-2</v>
      </c>
      <c r="AL9" s="38">
        <v>0</v>
      </c>
      <c r="AM9" s="38">
        <f>AL9/(3.5*I9*1000)*100</f>
        <v>0</v>
      </c>
      <c r="AN9" s="56">
        <v>0</v>
      </c>
      <c r="AO9" s="56">
        <f>AN9/(3.5*I9*1000)*100</f>
        <v>0</v>
      </c>
      <c r="AP9" s="41"/>
      <c r="AQ9" s="41">
        <f>AH9*0.5</f>
        <v>0</v>
      </c>
      <c r="AR9" s="41">
        <f>(AF9+AJ9+AL9+AN9+AQ9)*I9</f>
        <v>197.43200000000002</v>
      </c>
      <c r="AS9" s="41">
        <f>SUM(N9:Q9)</f>
        <v>21.15</v>
      </c>
      <c r="AT9" s="41">
        <f>SUM(T9:W9)</f>
        <v>21.15</v>
      </c>
      <c r="AU9" s="268">
        <v>21.48</v>
      </c>
      <c r="AV9" s="41"/>
      <c r="AW9" s="41"/>
      <c r="AX9" s="41"/>
      <c r="AY9" s="41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</row>
    <row r="10" spans="1:88" s="22" customFormat="1">
      <c r="A10" s="1">
        <v>1566</v>
      </c>
      <c r="B10" s="34" t="s">
        <v>2137</v>
      </c>
      <c r="C10" s="5">
        <v>416</v>
      </c>
      <c r="D10" s="5">
        <v>9</v>
      </c>
      <c r="E10" s="5">
        <v>302</v>
      </c>
      <c r="F10" s="5" t="s">
        <v>2148</v>
      </c>
      <c r="G10" s="53" t="s">
        <v>2147</v>
      </c>
      <c r="H10" s="53" t="s">
        <v>2149</v>
      </c>
      <c r="I10" s="198">
        <v>5.2549999999999999</v>
      </c>
      <c r="J10" s="78">
        <v>4</v>
      </c>
      <c r="K10" s="5" t="s">
        <v>237</v>
      </c>
      <c r="L10" s="10">
        <v>42249</v>
      </c>
      <c r="M10" s="34" t="s">
        <v>218</v>
      </c>
      <c r="N10" s="147">
        <v>2.0750000000000002</v>
      </c>
      <c r="O10" s="147">
        <v>1.675</v>
      </c>
      <c r="P10" s="147">
        <v>0.9</v>
      </c>
      <c r="Q10" s="147">
        <v>0.65</v>
      </c>
      <c r="R10" s="147">
        <v>3.1545800000000002</v>
      </c>
      <c r="S10" s="38">
        <f t="shared" si="11"/>
        <v>3</v>
      </c>
      <c r="T10" s="147">
        <v>0</v>
      </c>
      <c r="U10" s="147">
        <v>0</v>
      </c>
      <c r="V10" s="147">
        <f>SUM(N10:Q10)</f>
        <v>5.3000000000000007</v>
      </c>
      <c r="W10" s="147">
        <v>1.11846</v>
      </c>
      <c r="X10" s="201">
        <v>231</v>
      </c>
      <c r="Y10" s="38">
        <f t="shared" si="12"/>
        <v>231</v>
      </c>
      <c r="Z10" s="201">
        <v>35</v>
      </c>
      <c r="AA10" s="201">
        <v>11</v>
      </c>
      <c r="AB10" s="201">
        <v>7</v>
      </c>
      <c r="AC10" s="201">
        <v>4</v>
      </c>
      <c r="AD10" s="147">
        <v>1100.1300000000001</v>
      </c>
      <c r="AE10" s="147">
        <v>5.9814054641837711</v>
      </c>
      <c r="AF10" s="201">
        <v>89</v>
      </c>
      <c r="AG10" s="38">
        <f t="shared" si="13"/>
        <v>89</v>
      </c>
      <c r="AH10" s="198"/>
      <c r="AI10" s="198"/>
      <c r="AJ10" s="198"/>
      <c r="AK10" s="34"/>
      <c r="AL10" s="34"/>
      <c r="AM10" s="34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</row>
    <row r="11" spans="1:88" s="22" customFormat="1">
      <c r="A11" s="1">
        <v>1060</v>
      </c>
      <c r="B11" s="88" t="s">
        <v>1447</v>
      </c>
      <c r="C11" s="88">
        <v>618</v>
      </c>
      <c r="D11" s="8">
        <v>3452</v>
      </c>
      <c r="E11" s="88">
        <v>100</v>
      </c>
      <c r="F11" s="34" t="s">
        <v>1460</v>
      </c>
      <c r="G11" s="58">
        <v>1490</v>
      </c>
      <c r="H11" s="58">
        <v>15857</v>
      </c>
      <c r="I11" s="35">
        <v>14.367000000000001</v>
      </c>
      <c r="J11" s="9">
        <v>2</v>
      </c>
      <c r="K11" s="88" t="s">
        <v>12</v>
      </c>
      <c r="L11" s="116">
        <v>42113</v>
      </c>
      <c r="M11" s="9" t="s">
        <v>191</v>
      </c>
      <c r="N11" s="38">
        <v>7.1749999999999998</v>
      </c>
      <c r="O11" s="38">
        <v>4.2249999999999996</v>
      </c>
      <c r="P11" s="38">
        <v>2.25</v>
      </c>
      <c r="Q11" s="38">
        <v>0.7</v>
      </c>
      <c r="R11" s="38">
        <v>2.9089299999999998</v>
      </c>
      <c r="S11" s="38">
        <f t="shared" si="11"/>
        <v>3</v>
      </c>
      <c r="T11" s="38">
        <v>13.85</v>
      </c>
      <c r="U11" s="38">
        <v>0.32500000000000001</v>
      </c>
      <c r="V11" s="38">
        <v>0.125</v>
      </c>
      <c r="W11" s="38">
        <v>0.05</v>
      </c>
      <c r="X11" s="38">
        <f>T11+U11+V11+W11</f>
        <v>14.35</v>
      </c>
      <c r="Y11" s="38">
        <f t="shared" si="12"/>
        <v>14.5</v>
      </c>
      <c r="Z11" s="38">
        <f>(X11-I11)/I11*100</f>
        <v>-0.11832672095775901</v>
      </c>
      <c r="AA11" s="117">
        <v>5.6430600000000002</v>
      </c>
      <c r="AB11" s="38">
        <v>0</v>
      </c>
      <c r="AC11" s="38">
        <v>0</v>
      </c>
      <c r="AD11" s="38">
        <f>SUM(T11:W11)</f>
        <v>14.35</v>
      </c>
      <c r="AE11" s="117">
        <v>1.2518800000000001</v>
      </c>
      <c r="AF11" s="38">
        <v>76.41</v>
      </c>
      <c r="AG11" s="38">
        <f t="shared" si="13"/>
        <v>76.400000000000006</v>
      </c>
      <c r="AH11" s="38">
        <v>0</v>
      </c>
      <c r="AI11" s="169">
        <f>(AF11+AH11*0.5)/(3.5*I11*1000)*100</f>
        <v>0.15195537392238165</v>
      </c>
      <c r="AJ11" s="38">
        <v>0</v>
      </c>
      <c r="AK11" s="99">
        <f>AJ11/(3.5*I11*1000)*100</f>
        <v>0</v>
      </c>
      <c r="AL11" s="38">
        <v>0</v>
      </c>
      <c r="AM11" s="99">
        <f>AL11/(3.5*I11*1000)*100</f>
        <v>0</v>
      </c>
      <c r="AN11" s="56">
        <v>0</v>
      </c>
      <c r="AO11" s="267">
        <f>AN11/(3.5*I11*1000)*100</f>
        <v>0</v>
      </c>
      <c r="AP11" s="176"/>
      <c r="AQ11" s="41">
        <f>AH11*0.5</f>
        <v>0</v>
      </c>
      <c r="AR11" s="41">
        <f>(AF11+AJ11+AL11+AN11+AQ11)*I11</f>
        <v>1097.7824700000001</v>
      </c>
      <c r="AS11" s="138">
        <f>SUM(N11:Q11)</f>
        <v>14.349999999999998</v>
      </c>
      <c r="AT11" s="138">
        <f>SUM(T11:W11)</f>
        <v>14.35</v>
      </c>
      <c r="AU11" s="268">
        <v>14.367000000000001</v>
      </c>
      <c r="AV11" s="41"/>
      <c r="AW11" s="41"/>
      <c r="AX11" s="41"/>
      <c r="AY11" s="41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  <c r="BQ11" s="177"/>
      <c r="BR11" s="177"/>
      <c r="BS11" s="177"/>
      <c r="BT11" s="177"/>
      <c r="BU11" s="177"/>
      <c r="BV11" s="177"/>
      <c r="BW11" s="177"/>
      <c r="BX11" s="177"/>
      <c r="BY11" s="177"/>
      <c r="BZ11" s="177"/>
      <c r="CA11" s="177"/>
      <c r="CB11" s="177"/>
      <c r="CC11" s="177"/>
      <c r="CD11" s="177"/>
      <c r="CE11" s="177"/>
      <c r="CF11" s="177"/>
      <c r="CG11" s="177"/>
      <c r="CH11" s="177"/>
      <c r="CI11" s="177"/>
      <c r="CJ11" s="177"/>
    </row>
    <row r="12" spans="1:88" s="22" customFormat="1">
      <c r="A12" s="1">
        <v>1054</v>
      </c>
      <c r="B12" s="34" t="s">
        <v>1447</v>
      </c>
      <c r="C12" s="34">
        <v>618</v>
      </c>
      <c r="D12" s="8">
        <v>3070</v>
      </c>
      <c r="E12" s="34">
        <v>100</v>
      </c>
      <c r="F12" s="34" t="s">
        <v>1452</v>
      </c>
      <c r="G12" s="58">
        <v>0</v>
      </c>
      <c r="H12" s="58">
        <v>13550</v>
      </c>
      <c r="I12" s="35">
        <v>13.55</v>
      </c>
      <c r="J12" s="9">
        <v>2</v>
      </c>
      <c r="K12" s="34" t="s">
        <v>238</v>
      </c>
      <c r="L12" s="10">
        <v>42113</v>
      </c>
      <c r="M12" s="9" t="s">
        <v>191</v>
      </c>
      <c r="N12" s="38">
        <v>8.4749999999999996</v>
      </c>
      <c r="O12" s="38">
        <v>2.7749999999999999</v>
      </c>
      <c r="P12" s="38">
        <v>1.375</v>
      </c>
      <c r="Q12" s="38">
        <v>0.82499999999999996</v>
      </c>
      <c r="R12" s="38">
        <v>2.6321699999999999</v>
      </c>
      <c r="S12" s="38">
        <f t="shared" si="11"/>
        <v>2.5</v>
      </c>
      <c r="T12" s="38">
        <v>13.05</v>
      </c>
      <c r="U12" s="38">
        <v>0.375</v>
      </c>
      <c r="V12" s="38">
        <v>2.5000000000000001E-2</v>
      </c>
      <c r="W12" s="38">
        <v>0</v>
      </c>
      <c r="X12" s="38">
        <f>T12+U12+V12+W12</f>
        <v>13.450000000000001</v>
      </c>
      <c r="Y12" s="38">
        <f t="shared" si="12"/>
        <v>13.5</v>
      </c>
      <c r="Z12" s="38">
        <f>(X12-I12)/I12*100</f>
        <v>-0.73800738007379807</v>
      </c>
      <c r="AA12" s="38">
        <v>3.6704500000000002</v>
      </c>
      <c r="AB12" s="38">
        <v>0</v>
      </c>
      <c r="AC12" s="38">
        <v>0</v>
      </c>
      <c r="AD12" s="38">
        <f>SUM(T12:W12)</f>
        <v>13.450000000000001</v>
      </c>
      <c r="AE12" s="38">
        <v>1.1237299999999999</v>
      </c>
      <c r="AF12" s="38">
        <v>68.39</v>
      </c>
      <c r="AG12" s="38">
        <f t="shared" si="13"/>
        <v>68.400000000000006</v>
      </c>
      <c r="AH12" s="38">
        <v>0</v>
      </c>
      <c r="AI12" s="11">
        <f>(AF12+AH12*0.5)/(3.5*I12*1000)*100</f>
        <v>0.14420664206642064</v>
      </c>
      <c r="AJ12" s="38">
        <v>6.81</v>
      </c>
      <c r="AK12" s="38">
        <f>AJ12/(3.5*I12*1000)*100</f>
        <v>1.4359515023721663E-2</v>
      </c>
      <c r="AL12" s="38">
        <v>0</v>
      </c>
      <c r="AM12" s="38">
        <f>AL12/(3.5*I12*1000)*100</f>
        <v>0</v>
      </c>
      <c r="AN12" s="56">
        <v>4</v>
      </c>
      <c r="AO12" s="56">
        <f>AN12/(3.5*I12*1000)*100</f>
        <v>8.4343700579862929E-3</v>
      </c>
      <c r="AP12" s="41"/>
      <c r="AQ12" s="41">
        <f>AH12*0.5</f>
        <v>0</v>
      </c>
      <c r="AR12" s="41">
        <f>(AF12+AJ12+AL12+AN12+AQ12)*I12</f>
        <v>1073.1600000000001</v>
      </c>
      <c r="AS12" s="41">
        <f>SUM(N12:Q12)</f>
        <v>13.45</v>
      </c>
      <c r="AT12" s="41">
        <f>SUM(T12:W12)</f>
        <v>13.450000000000001</v>
      </c>
      <c r="AU12" s="268">
        <v>13.55</v>
      </c>
      <c r="AV12" s="41"/>
      <c r="AW12" s="41"/>
      <c r="AX12" s="41"/>
      <c r="AY12" s="41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</row>
    <row r="13" spans="1:88" s="22" customFormat="1">
      <c r="A13" s="1">
        <v>1407</v>
      </c>
      <c r="B13" s="34" t="s">
        <v>1957</v>
      </c>
      <c r="C13" s="34">
        <v>447</v>
      </c>
      <c r="D13" s="75">
        <v>3012</v>
      </c>
      <c r="E13" s="69">
        <v>100</v>
      </c>
      <c r="F13" s="9" t="s">
        <v>1963</v>
      </c>
      <c r="G13" s="20">
        <v>0</v>
      </c>
      <c r="H13" s="20">
        <v>34</v>
      </c>
      <c r="I13" s="21">
        <v>3.4000000000000002E-2</v>
      </c>
      <c r="J13" s="8">
        <v>6</v>
      </c>
      <c r="K13" s="34" t="s">
        <v>238</v>
      </c>
      <c r="L13" s="10">
        <v>42216</v>
      </c>
      <c r="M13" s="9" t="s">
        <v>191</v>
      </c>
      <c r="N13" s="38">
        <v>0</v>
      </c>
      <c r="O13" s="38">
        <v>0</v>
      </c>
      <c r="P13" s="38">
        <v>2.5000000000000001E-2</v>
      </c>
      <c r="Q13" s="38">
        <v>2.5000000000000001E-2</v>
      </c>
      <c r="R13" s="38">
        <v>8.26</v>
      </c>
      <c r="S13" s="38">
        <f t="shared" si="11"/>
        <v>8.5</v>
      </c>
      <c r="T13" s="38">
        <v>0.05</v>
      </c>
      <c r="U13" s="38">
        <v>0</v>
      </c>
      <c r="V13" s="38">
        <v>0</v>
      </c>
      <c r="W13" s="38">
        <v>0</v>
      </c>
      <c r="X13" s="38">
        <v>4.3975</v>
      </c>
      <c r="Y13" s="38">
        <f t="shared" si="12"/>
        <v>4.5</v>
      </c>
      <c r="Z13" s="38">
        <v>0</v>
      </c>
      <c r="AA13" s="38">
        <v>0</v>
      </c>
      <c r="AB13" s="38">
        <v>0.05</v>
      </c>
      <c r="AC13" s="38">
        <v>1.2084999999999999</v>
      </c>
      <c r="AD13" s="38">
        <v>4</v>
      </c>
      <c r="AE13" s="38">
        <v>146</v>
      </c>
      <c r="AF13" s="38">
        <v>64.705882352941174</v>
      </c>
      <c r="AG13" s="38">
        <f t="shared" si="13"/>
        <v>64.7</v>
      </c>
      <c r="AH13" s="38">
        <v>0</v>
      </c>
      <c r="AI13" s="38">
        <f>AH13/(3.5*I13*1000)*100</f>
        <v>0</v>
      </c>
      <c r="AJ13" s="38">
        <v>0</v>
      </c>
      <c r="AK13" s="38">
        <f>AJ13/(3.5*I13*1000)*100</f>
        <v>0</v>
      </c>
      <c r="AL13" s="38">
        <v>0</v>
      </c>
      <c r="AM13" s="38">
        <f>AL13/(3.5*I13*1000)*100</f>
        <v>0</v>
      </c>
      <c r="AN13" s="41"/>
    </row>
    <row r="14" spans="1:88" s="22" customFormat="1">
      <c r="A14" s="1">
        <v>1091</v>
      </c>
      <c r="B14" s="34" t="s">
        <v>1467</v>
      </c>
      <c r="C14" s="34">
        <v>619</v>
      </c>
      <c r="D14" s="8">
        <v>3616</v>
      </c>
      <c r="E14" s="34">
        <v>100</v>
      </c>
      <c r="F14" s="34" t="s">
        <v>1508</v>
      </c>
      <c r="G14" s="58" t="s">
        <v>1509</v>
      </c>
      <c r="H14" s="58" t="s">
        <v>92</v>
      </c>
      <c r="I14" s="35">
        <v>0.34200000000000003</v>
      </c>
      <c r="J14" s="9">
        <v>2</v>
      </c>
      <c r="K14" s="34" t="s">
        <v>12</v>
      </c>
      <c r="L14" s="10">
        <v>42093</v>
      </c>
      <c r="M14" s="9" t="s">
        <v>191</v>
      </c>
      <c r="N14" s="38">
        <v>0.03</v>
      </c>
      <c r="O14" s="38">
        <v>0.15</v>
      </c>
      <c r="P14" s="38">
        <v>0.05</v>
      </c>
      <c r="Q14" s="38">
        <v>0.13</v>
      </c>
      <c r="R14" s="38">
        <v>5.5250000000000004</v>
      </c>
      <c r="S14" s="38">
        <f t="shared" si="11"/>
        <v>5.5</v>
      </c>
      <c r="T14" s="38">
        <v>0.34</v>
      </c>
      <c r="U14" s="38">
        <v>0</v>
      </c>
      <c r="V14" s="38">
        <v>0</v>
      </c>
      <c r="W14" s="38">
        <v>0</v>
      </c>
      <c r="X14" s="38">
        <v>1.6120000000000001</v>
      </c>
      <c r="Y14" s="38">
        <f t="shared" si="12"/>
        <v>1.5</v>
      </c>
      <c r="Z14" s="117">
        <v>0</v>
      </c>
      <c r="AA14" s="117">
        <v>0</v>
      </c>
      <c r="AB14" s="117">
        <v>0.34</v>
      </c>
      <c r="AC14" s="38">
        <v>1.2897099999999999</v>
      </c>
      <c r="AD14" s="38">
        <v>750.87</v>
      </c>
      <c r="AE14" s="38">
        <v>0</v>
      </c>
      <c r="AF14" s="11">
        <f>(AD14+AE14*0.5)/(3.5*I14*1000)*100</f>
        <v>62.729323308270679</v>
      </c>
      <c r="AG14" s="38">
        <f t="shared" si="13"/>
        <v>62.7</v>
      </c>
      <c r="AH14" s="38">
        <v>17.22</v>
      </c>
      <c r="AI14" s="38">
        <f>AH14/(3.5*I14*1000)*100</f>
        <v>1.43859649122807</v>
      </c>
      <c r="AJ14" s="38">
        <v>0</v>
      </c>
      <c r="AK14" s="38">
        <f>AJ14/(3.5*I14*1000)*100</f>
        <v>0</v>
      </c>
      <c r="AL14" s="38">
        <v>0</v>
      </c>
      <c r="AM14" s="38">
        <f>AL14/(3.5*I14*1000)*100</f>
        <v>0</v>
      </c>
      <c r="AN14" s="25"/>
      <c r="AO14" s="25"/>
      <c r="AP14" s="12">
        <f>AE14*0.5</f>
        <v>0</v>
      </c>
      <c r="AQ14" s="12">
        <f>(AD14+AH14+AJ14+AL14+AP14)*I14</f>
        <v>262.68678000000006</v>
      </c>
      <c r="AR14" s="25"/>
      <c r="AS14" s="25">
        <f>SUM(N14:Q14)</f>
        <v>0.36</v>
      </c>
      <c r="AT14" s="22">
        <f>SUM(T14:W14)</f>
        <v>0.34</v>
      </c>
      <c r="AU14" s="268">
        <v>0.34200000000000003</v>
      </c>
      <c r="AV14" s="41">
        <f>SUM(N14:Q14)</f>
        <v>0.36</v>
      </c>
      <c r="AW14" s="41">
        <f>SUM(T14:W14)</f>
        <v>0.34</v>
      </c>
      <c r="AX14" s="41">
        <f>SUM(Z14:AB14)</f>
        <v>0.34</v>
      </c>
      <c r="AZ14" s="22">
        <f>I14/AV14</f>
        <v>0.95000000000000007</v>
      </c>
      <c r="BA14" s="22">
        <f>I14/AW14</f>
        <v>1.0058823529411764</v>
      </c>
      <c r="BB14" s="22">
        <f>I14/AX14</f>
        <v>1.0058823529411764</v>
      </c>
    </row>
    <row r="15" spans="1:88" s="22" customFormat="1">
      <c r="A15" s="1">
        <v>1429</v>
      </c>
      <c r="B15" s="34" t="s">
        <v>1957</v>
      </c>
      <c r="C15" s="34">
        <v>447</v>
      </c>
      <c r="D15" s="75">
        <v>3553</v>
      </c>
      <c r="E15" s="69">
        <v>100</v>
      </c>
      <c r="F15" s="184" t="s">
        <v>1983</v>
      </c>
      <c r="G15" s="20">
        <v>0</v>
      </c>
      <c r="H15" s="20">
        <v>180</v>
      </c>
      <c r="I15" s="21">
        <v>0.18</v>
      </c>
      <c r="J15" s="8">
        <v>1</v>
      </c>
      <c r="K15" s="34" t="s">
        <v>237</v>
      </c>
      <c r="L15" s="10">
        <v>42217</v>
      </c>
      <c r="M15" s="9" t="s">
        <v>191</v>
      </c>
      <c r="N15" s="38">
        <v>0</v>
      </c>
      <c r="O15" s="38">
        <v>7.4999999999999997E-2</v>
      </c>
      <c r="P15" s="38">
        <v>0.05</v>
      </c>
      <c r="Q15" s="38">
        <v>0.05</v>
      </c>
      <c r="R15" s="38">
        <v>4.4385700000000003</v>
      </c>
      <c r="S15" s="38">
        <f t="shared" si="11"/>
        <v>4.5</v>
      </c>
      <c r="T15" s="38">
        <v>0.17499999999999999</v>
      </c>
      <c r="U15" s="38">
        <v>0</v>
      </c>
      <c r="V15" s="38">
        <v>0</v>
      </c>
      <c r="W15" s="38">
        <v>0</v>
      </c>
      <c r="X15" s="38">
        <v>2.0218600000000002</v>
      </c>
      <c r="Y15" s="38">
        <f t="shared" si="12"/>
        <v>2</v>
      </c>
      <c r="Z15" s="38">
        <v>0</v>
      </c>
      <c r="AA15" s="38">
        <v>0</v>
      </c>
      <c r="AB15" s="38">
        <v>0.17499999999999999</v>
      </c>
      <c r="AC15" s="38">
        <v>1.0189999999999999</v>
      </c>
      <c r="AD15" s="38">
        <v>300.23</v>
      </c>
      <c r="AE15" s="38">
        <v>75.44</v>
      </c>
      <c r="AF15" s="38">
        <v>53.642857142857146</v>
      </c>
      <c r="AG15" s="38">
        <f t="shared" si="13"/>
        <v>53.6</v>
      </c>
      <c r="AH15" s="38">
        <v>28.856000000000002</v>
      </c>
      <c r="AI15" s="38">
        <f>AH15/(3.5*I15*1000)*100</f>
        <v>4.5803174603174606</v>
      </c>
      <c r="AJ15" s="38">
        <v>1.2</v>
      </c>
      <c r="AK15" s="38">
        <f>AJ15/(3.5*I15*1000)*100</f>
        <v>0.19047619047619047</v>
      </c>
      <c r="AL15" s="38">
        <v>1.34</v>
      </c>
      <c r="AM15" s="38">
        <f>AL15/(3.5*I15*1000)*100</f>
        <v>0.21269841269841269</v>
      </c>
      <c r="AN15" s="41"/>
    </row>
    <row r="16" spans="1:88" s="22" customFormat="1">
      <c r="A16" s="1">
        <v>1336</v>
      </c>
      <c r="B16" s="74" t="s">
        <v>1851</v>
      </c>
      <c r="C16" s="34">
        <v>444</v>
      </c>
      <c r="D16" s="75">
        <v>3445</v>
      </c>
      <c r="E16" s="69">
        <v>100</v>
      </c>
      <c r="F16" s="34" t="s">
        <v>1883</v>
      </c>
      <c r="G16" s="20">
        <v>0</v>
      </c>
      <c r="H16" s="20">
        <v>1260</v>
      </c>
      <c r="I16" s="21">
        <v>1.26</v>
      </c>
      <c r="J16" s="8">
        <v>2</v>
      </c>
      <c r="K16" s="34" t="s">
        <v>238</v>
      </c>
      <c r="L16" s="10">
        <v>42213</v>
      </c>
      <c r="M16" s="9" t="s">
        <v>191</v>
      </c>
      <c r="N16" s="38">
        <v>0.05</v>
      </c>
      <c r="O16" s="38">
        <v>0.47499999999999998</v>
      </c>
      <c r="P16" s="38">
        <v>0.52500000000000002</v>
      </c>
      <c r="Q16" s="38">
        <v>0.22500000000000001</v>
      </c>
      <c r="R16" s="38">
        <v>4.1829400000000003</v>
      </c>
      <c r="S16" s="38">
        <f t="shared" si="11"/>
        <v>4</v>
      </c>
      <c r="T16" s="38">
        <v>1.25</v>
      </c>
      <c r="U16" s="38">
        <v>2.5000000000000001E-2</v>
      </c>
      <c r="V16" s="38">
        <v>0</v>
      </c>
      <c r="W16" s="38">
        <v>0</v>
      </c>
      <c r="X16" s="38">
        <v>2.7536299999999998</v>
      </c>
      <c r="Y16" s="38">
        <f t="shared" si="12"/>
        <v>3</v>
      </c>
      <c r="Z16" s="38">
        <v>0</v>
      </c>
      <c r="AA16" s="38">
        <v>0</v>
      </c>
      <c r="AB16" s="38">
        <v>1.2750000000000001</v>
      </c>
      <c r="AC16" s="38">
        <v>1.1689000000000001</v>
      </c>
      <c r="AD16" s="38">
        <v>2181</v>
      </c>
      <c r="AE16" s="38">
        <v>70</v>
      </c>
      <c r="AF16" s="38">
        <v>50.249433106575971</v>
      </c>
      <c r="AG16" s="38">
        <f t="shared" si="13"/>
        <v>50.2</v>
      </c>
      <c r="AH16" s="38">
        <v>0</v>
      </c>
      <c r="AI16" s="38">
        <v>0</v>
      </c>
      <c r="AJ16" s="38">
        <v>3</v>
      </c>
      <c r="AK16" s="38">
        <v>6.8027210884353734E-2</v>
      </c>
      <c r="AL16" s="38">
        <v>1</v>
      </c>
      <c r="AM16" s="38">
        <v>2.2675736961451247E-2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</row>
    <row r="17" spans="1:88" s="22" customFormat="1">
      <c r="A17" s="1">
        <v>1100</v>
      </c>
      <c r="B17" s="9" t="s">
        <v>1513</v>
      </c>
      <c r="C17" s="34">
        <v>431</v>
      </c>
      <c r="D17" s="75">
        <v>311</v>
      </c>
      <c r="E17" s="69">
        <v>100</v>
      </c>
      <c r="F17" s="34" t="s">
        <v>1522</v>
      </c>
      <c r="G17" s="20" t="s">
        <v>1523</v>
      </c>
      <c r="H17" s="20" t="s">
        <v>1524</v>
      </c>
      <c r="I17" s="21">
        <v>6.6529999999999996</v>
      </c>
      <c r="J17" s="8">
        <v>4</v>
      </c>
      <c r="K17" s="5" t="s">
        <v>237</v>
      </c>
      <c r="L17" s="18">
        <v>42282</v>
      </c>
      <c r="M17" s="9" t="s">
        <v>191</v>
      </c>
      <c r="N17" s="38">
        <v>4.125</v>
      </c>
      <c r="O17" s="38">
        <v>1.825</v>
      </c>
      <c r="P17" s="38">
        <v>0.6</v>
      </c>
      <c r="Q17" s="38">
        <v>0.1</v>
      </c>
      <c r="R17" s="38">
        <v>2.54556</v>
      </c>
      <c r="S17" s="38">
        <f t="shared" si="11"/>
        <v>2.5</v>
      </c>
      <c r="T17" s="38">
        <v>6.35</v>
      </c>
      <c r="U17" s="38">
        <v>0.3</v>
      </c>
      <c r="V17" s="38">
        <v>0</v>
      </c>
      <c r="W17" s="38">
        <v>0</v>
      </c>
      <c r="X17" s="38">
        <v>4.4173</v>
      </c>
      <c r="Y17" s="38">
        <f t="shared" si="12"/>
        <v>4.5</v>
      </c>
      <c r="Z17" s="38">
        <v>0</v>
      </c>
      <c r="AA17" s="38">
        <v>0</v>
      </c>
      <c r="AB17" s="38">
        <v>6.6499999999999995</v>
      </c>
      <c r="AC17" s="38">
        <v>1.2315100000000001</v>
      </c>
      <c r="AD17" s="38">
        <v>11485</v>
      </c>
      <c r="AE17" s="38">
        <v>6.4</v>
      </c>
      <c r="AF17" s="38">
        <f>(AD17+AE17*0.5)/(3.5*I17*1000)*100</f>
        <v>49.336282235726095</v>
      </c>
      <c r="AG17" s="38">
        <f t="shared" si="13"/>
        <v>49.3</v>
      </c>
      <c r="AH17" s="38">
        <v>26.32</v>
      </c>
      <c r="AI17" s="38">
        <f>AH17/(3.5*I17*1000)*100</f>
        <v>0.11303171501578235</v>
      </c>
      <c r="AJ17" s="38">
        <v>0</v>
      </c>
      <c r="AK17" s="38">
        <f>AJ17/(3.5*I17*1000)*100</f>
        <v>0</v>
      </c>
      <c r="AL17" s="38">
        <v>0</v>
      </c>
      <c r="AM17" s="38">
        <f>AL17/(3.5*I17*1000)*100</f>
        <v>0</v>
      </c>
      <c r="AN17" s="41"/>
      <c r="AO17" s="72"/>
      <c r="AP17" s="73"/>
      <c r="AQ17" s="73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</row>
    <row r="18" spans="1:88" s="22" customFormat="1">
      <c r="A18" s="1">
        <v>1613</v>
      </c>
      <c r="B18" s="34" t="s">
        <v>2137</v>
      </c>
      <c r="C18" s="5">
        <v>416</v>
      </c>
      <c r="D18" s="5">
        <v>3214</v>
      </c>
      <c r="E18" s="5">
        <v>100</v>
      </c>
      <c r="F18" s="5" t="s">
        <v>2179</v>
      </c>
      <c r="G18" s="53" t="s">
        <v>1691</v>
      </c>
      <c r="H18" s="53" t="s">
        <v>139</v>
      </c>
      <c r="I18" s="198">
        <v>1</v>
      </c>
      <c r="J18" s="78">
        <v>4</v>
      </c>
      <c r="K18" s="5" t="s">
        <v>237</v>
      </c>
      <c r="L18" s="10">
        <v>42249</v>
      </c>
      <c r="M18" s="34" t="s">
        <v>218</v>
      </c>
      <c r="N18" s="147">
        <v>2.5000000000000001E-2</v>
      </c>
      <c r="O18" s="147">
        <v>0.125</v>
      </c>
      <c r="P18" s="147">
        <v>0.47499999999999998</v>
      </c>
      <c r="Q18" s="147">
        <v>0.3</v>
      </c>
      <c r="R18" s="147">
        <v>4.7778400000000003</v>
      </c>
      <c r="S18" s="38">
        <f t="shared" si="11"/>
        <v>5</v>
      </c>
      <c r="T18" s="147">
        <v>0</v>
      </c>
      <c r="U18" s="147">
        <v>0</v>
      </c>
      <c r="V18" s="147">
        <f>SUM(N18:Q18)</f>
        <v>0.92500000000000004</v>
      </c>
      <c r="W18" s="147">
        <v>1.0132699999999999</v>
      </c>
      <c r="X18" s="201">
        <v>1</v>
      </c>
      <c r="Y18" s="38">
        <f t="shared" si="12"/>
        <v>1</v>
      </c>
      <c r="Z18" s="201">
        <v>0</v>
      </c>
      <c r="AA18" s="201">
        <v>0</v>
      </c>
      <c r="AB18" s="201">
        <v>0</v>
      </c>
      <c r="AC18" s="201">
        <v>0</v>
      </c>
      <c r="AD18" s="147">
        <v>0</v>
      </c>
      <c r="AE18" s="147">
        <v>0</v>
      </c>
      <c r="AF18" s="201">
        <v>49</v>
      </c>
      <c r="AG18" s="38">
        <f t="shared" si="13"/>
        <v>49</v>
      </c>
      <c r="AH18" s="198"/>
      <c r="AI18" s="198"/>
      <c r="AJ18" s="198"/>
      <c r="AK18" s="88"/>
      <c r="AL18" s="88"/>
      <c r="AM18" s="88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</row>
    <row r="19" spans="1:88" s="22" customFormat="1">
      <c r="A19" s="1">
        <v>1594</v>
      </c>
      <c r="B19" s="34" t="s">
        <v>2137</v>
      </c>
      <c r="C19" s="5">
        <v>416</v>
      </c>
      <c r="D19" s="5">
        <v>346</v>
      </c>
      <c r="E19" s="5">
        <v>101</v>
      </c>
      <c r="F19" s="5" t="s">
        <v>2166</v>
      </c>
      <c r="G19" s="53" t="s">
        <v>92</v>
      </c>
      <c r="H19" s="53" t="s">
        <v>2167</v>
      </c>
      <c r="I19" s="198">
        <v>1.1839999999999999</v>
      </c>
      <c r="J19" s="78">
        <v>10</v>
      </c>
      <c r="K19" s="5" t="s">
        <v>237</v>
      </c>
      <c r="L19" s="10">
        <v>42248</v>
      </c>
      <c r="M19" s="34" t="s">
        <v>218</v>
      </c>
      <c r="N19" s="147">
        <v>0.35</v>
      </c>
      <c r="O19" s="147">
        <v>0.4</v>
      </c>
      <c r="P19" s="147">
        <v>0.3</v>
      </c>
      <c r="Q19" s="147">
        <v>0.17499999999999999</v>
      </c>
      <c r="R19" s="147">
        <v>3.5738799999999999</v>
      </c>
      <c r="S19" s="38">
        <f t="shared" si="11"/>
        <v>3.5</v>
      </c>
      <c r="T19" s="147">
        <v>0</v>
      </c>
      <c r="U19" s="147">
        <v>0</v>
      </c>
      <c r="V19" s="147">
        <f>SUM(N19:Q19)</f>
        <v>1.2250000000000001</v>
      </c>
      <c r="W19" s="147">
        <v>0.97495900000000002</v>
      </c>
      <c r="X19" s="201">
        <v>0</v>
      </c>
      <c r="Y19" s="38">
        <f t="shared" si="12"/>
        <v>0</v>
      </c>
      <c r="Z19" s="201">
        <v>0</v>
      </c>
      <c r="AA19" s="201">
        <v>2</v>
      </c>
      <c r="AB19" s="201">
        <v>0</v>
      </c>
      <c r="AC19" s="201">
        <v>0</v>
      </c>
      <c r="AD19" s="147">
        <v>0</v>
      </c>
      <c r="AE19" s="147">
        <v>0</v>
      </c>
      <c r="AF19" s="201">
        <v>41</v>
      </c>
      <c r="AG19" s="38">
        <f t="shared" si="13"/>
        <v>41</v>
      </c>
      <c r="AH19" s="198"/>
      <c r="AI19" s="198"/>
      <c r="AJ19" s="198"/>
      <c r="AK19" s="34"/>
      <c r="AL19" s="34"/>
      <c r="AM19" s="34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</row>
    <row r="20" spans="1:88" s="22" customFormat="1">
      <c r="A20" s="1">
        <v>2041</v>
      </c>
      <c r="B20" s="34" t="s">
        <v>2678</v>
      </c>
      <c r="C20" s="34">
        <v>326</v>
      </c>
      <c r="D20" s="75">
        <v>4224</v>
      </c>
      <c r="E20" s="8">
        <v>100</v>
      </c>
      <c r="F20" s="34" t="s">
        <v>2691</v>
      </c>
      <c r="G20" s="58">
        <v>0</v>
      </c>
      <c r="H20" s="58">
        <v>150</v>
      </c>
      <c r="I20" s="21">
        <v>0.15</v>
      </c>
      <c r="J20" s="8">
        <v>2</v>
      </c>
      <c r="K20" s="8" t="s">
        <v>238</v>
      </c>
      <c r="L20" s="18">
        <v>42125</v>
      </c>
      <c r="M20" s="9" t="s">
        <v>191</v>
      </c>
      <c r="N20" s="38">
        <v>2.5000000000000001E-2</v>
      </c>
      <c r="O20" s="38">
        <v>2.5000000000000001E-2</v>
      </c>
      <c r="P20" s="38">
        <v>0.05</v>
      </c>
      <c r="Q20" s="38">
        <v>0</v>
      </c>
      <c r="R20" s="38">
        <v>3.45</v>
      </c>
      <c r="S20" s="38">
        <f t="shared" si="11"/>
        <v>3.5</v>
      </c>
      <c r="T20" s="38">
        <v>0.1</v>
      </c>
      <c r="U20" s="38">
        <v>0</v>
      </c>
      <c r="V20" s="38">
        <v>0</v>
      </c>
      <c r="W20" s="38">
        <v>0</v>
      </c>
      <c r="X20" s="38">
        <v>1.3345</v>
      </c>
      <c r="Y20" s="38">
        <f t="shared" si="12"/>
        <v>1.5</v>
      </c>
      <c r="Z20" s="38">
        <v>0</v>
      </c>
      <c r="AA20" s="38">
        <v>0</v>
      </c>
      <c r="AB20" s="38">
        <v>0.1</v>
      </c>
      <c r="AC20" s="38">
        <v>1.05325</v>
      </c>
      <c r="AD20" s="38">
        <v>195.35</v>
      </c>
      <c r="AE20" s="38">
        <v>33.64</v>
      </c>
      <c r="AF20" s="38">
        <f>(AD20+AE20*0.5)/(3.5*I20*1000)*100</f>
        <v>40.413333333333327</v>
      </c>
      <c r="AG20" s="38">
        <f t="shared" si="13"/>
        <v>40.4</v>
      </c>
      <c r="AH20" s="38">
        <v>44.68</v>
      </c>
      <c r="AI20" s="38">
        <v>8.5104761904761901</v>
      </c>
      <c r="AJ20" s="55">
        <v>0</v>
      </c>
      <c r="AK20" s="55">
        <v>0</v>
      </c>
      <c r="AL20" s="55">
        <v>0</v>
      </c>
      <c r="AM20" s="55">
        <f>AL20/(3.5*I20*1000)*100</f>
        <v>0</v>
      </c>
      <c r="AN20" s="1"/>
      <c r="AO20" s="12"/>
      <c r="AP20" s="12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</row>
    <row r="21" spans="1:88" s="22" customFormat="1">
      <c r="A21" s="1">
        <v>1061</v>
      </c>
      <c r="B21" s="88" t="s">
        <v>1447</v>
      </c>
      <c r="C21" s="88">
        <v>618</v>
      </c>
      <c r="D21" s="8">
        <v>3481</v>
      </c>
      <c r="E21" s="88">
        <v>300</v>
      </c>
      <c r="F21" s="34" t="s">
        <v>1461</v>
      </c>
      <c r="G21" s="58">
        <v>25734</v>
      </c>
      <c r="H21" s="58">
        <v>63951</v>
      </c>
      <c r="I21" s="35">
        <v>38.216999999999999</v>
      </c>
      <c r="J21" s="9">
        <v>2</v>
      </c>
      <c r="K21" s="88" t="s">
        <v>12</v>
      </c>
      <c r="L21" s="116">
        <v>42114</v>
      </c>
      <c r="M21" s="9" t="s">
        <v>191</v>
      </c>
      <c r="N21" s="38">
        <v>14.9</v>
      </c>
      <c r="O21" s="38">
        <v>10.6</v>
      </c>
      <c r="P21" s="38">
        <v>8.0749999999999993</v>
      </c>
      <c r="Q21" s="38">
        <v>4.5750000000000002</v>
      </c>
      <c r="R21" s="38">
        <v>3.5218699999999998</v>
      </c>
      <c r="S21" s="38">
        <f t="shared" si="11"/>
        <v>3.5</v>
      </c>
      <c r="T21" s="38">
        <v>30.1</v>
      </c>
      <c r="U21" s="38">
        <v>4.5</v>
      </c>
      <c r="V21" s="38">
        <v>2.0750000000000002</v>
      </c>
      <c r="W21" s="38">
        <v>1.4750000000000001</v>
      </c>
      <c r="X21" s="38">
        <f>T21+U21+V21+W21</f>
        <v>38.150000000000006</v>
      </c>
      <c r="Y21" s="38">
        <f t="shared" si="12"/>
        <v>38</v>
      </c>
      <c r="Z21" s="38">
        <f>(X21-I21)/I21*100</f>
        <v>-0.17531465054816722</v>
      </c>
      <c r="AA21" s="117">
        <v>6.0575299999999999</v>
      </c>
      <c r="AB21" s="38">
        <v>0</v>
      </c>
      <c r="AC21" s="38">
        <v>0</v>
      </c>
      <c r="AD21" s="38">
        <f>SUM(T21:W21)</f>
        <v>38.150000000000006</v>
      </c>
      <c r="AE21" s="117">
        <v>1.2468900000000001</v>
      </c>
      <c r="AF21" s="38">
        <v>39.81</v>
      </c>
      <c r="AG21" s="38">
        <f t="shared" si="13"/>
        <v>39.799999999999997</v>
      </c>
      <c r="AH21" s="38">
        <v>0</v>
      </c>
      <c r="AI21" s="169">
        <f>(AF21+AH21*0.5)/(3.5*I21*1000)*100</f>
        <v>2.9762372018436078E-2</v>
      </c>
      <c r="AJ21" s="38">
        <v>583.69000000000005</v>
      </c>
      <c r="AK21" s="99">
        <f t="shared" ref="AK21:AK29" si="14">AJ21/(3.5*I21*1000)*100</f>
        <v>0.43637274361821032</v>
      </c>
      <c r="AL21" s="38">
        <v>0</v>
      </c>
      <c r="AM21" s="99">
        <f>AL21/(3.5*I21*1000)*100</f>
        <v>0</v>
      </c>
      <c r="AN21" s="56">
        <v>3</v>
      </c>
      <c r="AO21" s="267">
        <f>AN21/(3.5*I21*1000)*100</f>
        <v>2.2428313502966144E-3</v>
      </c>
      <c r="AP21" s="176"/>
      <c r="AQ21" s="41">
        <f>AH21*0.5</f>
        <v>0</v>
      </c>
      <c r="AR21" s="41">
        <f>(AF21+AJ21+AL21+AN21+AQ21)*I21</f>
        <v>23942.950499999999</v>
      </c>
      <c r="AS21" s="138">
        <f>SUM(N21:Q21)</f>
        <v>38.150000000000006</v>
      </c>
      <c r="AT21" s="138">
        <f>SUM(T21:W21)</f>
        <v>38.150000000000006</v>
      </c>
      <c r="AU21" s="268">
        <v>38.216999999999999</v>
      </c>
      <c r="AV21" s="41"/>
      <c r="AW21" s="41"/>
      <c r="AX21" s="41"/>
      <c r="AY21" s="41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</row>
    <row r="22" spans="1:88" s="22" customFormat="1">
      <c r="A22" s="1">
        <v>1056</v>
      </c>
      <c r="B22" s="34" t="s">
        <v>1447</v>
      </c>
      <c r="C22" s="34">
        <v>618</v>
      </c>
      <c r="D22" s="8">
        <v>3077</v>
      </c>
      <c r="E22" s="34">
        <v>100</v>
      </c>
      <c r="F22" s="34" t="s">
        <v>1454</v>
      </c>
      <c r="G22" s="58">
        <v>0</v>
      </c>
      <c r="H22" s="58">
        <v>11600</v>
      </c>
      <c r="I22" s="35">
        <v>11.6</v>
      </c>
      <c r="J22" s="9">
        <v>2</v>
      </c>
      <c r="K22" s="34" t="s">
        <v>238</v>
      </c>
      <c r="L22" s="10">
        <v>42113</v>
      </c>
      <c r="M22" s="9" t="s">
        <v>191</v>
      </c>
      <c r="N22" s="38">
        <v>6.05</v>
      </c>
      <c r="O22" s="38">
        <v>3.375</v>
      </c>
      <c r="P22" s="38">
        <v>1.625</v>
      </c>
      <c r="Q22" s="38">
        <v>0.57499999999999996</v>
      </c>
      <c r="R22" s="38">
        <v>2.8919800000000002</v>
      </c>
      <c r="S22" s="38">
        <f t="shared" si="11"/>
        <v>3</v>
      </c>
      <c r="T22" s="38">
        <v>11</v>
      </c>
      <c r="U22" s="38">
        <v>0.57499999999999996</v>
      </c>
      <c r="V22" s="38">
        <v>0.05</v>
      </c>
      <c r="W22" s="38">
        <v>0</v>
      </c>
      <c r="X22" s="38">
        <f>T22+U22+V22+W22</f>
        <v>11.625</v>
      </c>
      <c r="Y22" s="38">
        <f t="shared" si="12"/>
        <v>11.5</v>
      </c>
      <c r="Z22" s="38">
        <f>(X22-I22)/I22*100</f>
        <v>0.21551724137931341</v>
      </c>
      <c r="AA22" s="38">
        <v>4.8967299999999998</v>
      </c>
      <c r="AB22" s="38">
        <v>0</v>
      </c>
      <c r="AC22" s="38">
        <v>0</v>
      </c>
      <c r="AD22" s="38">
        <f>SUM(T22:W22)</f>
        <v>11.625</v>
      </c>
      <c r="AE22" s="38">
        <v>1.4152800000000001</v>
      </c>
      <c r="AF22" s="38">
        <v>28.5</v>
      </c>
      <c r="AG22" s="38">
        <f t="shared" si="13"/>
        <v>28.5</v>
      </c>
      <c r="AH22" s="38">
        <v>0</v>
      </c>
      <c r="AI22" s="11">
        <f>(AF22+AH22*0.5)/(3.5*I22*1000)*100</f>
        <v>7.0197044334975367E-2</v>
      </c>
      <c r="AJ22" s="38">
        <v>0</v>
      </c>
      <c r="AK22" s="38">
        <f t="shared" si="14"/>
        <v>0</v>
      </c>
      <c r="AL22" s="38">
        <v>0</v>
      </c>
      <c r="AM22" s="38">
        <f>AL22/(3.5*I22*1000)*100</f>
        <v>0</v>
      </c>
      <c r="AN22" s="56">
        <v>0</v>
      </c>
      <c r="AO22" s="56">
        <f>AN22/(3.5*I22*1000)*100</f>
        <v>0</v>
      </c>
      <c r="AP22" s="41"/>
      <c r="AQ22" s="41">
        <f>AH22*0.5</f>
        <v>0</v>
      </c>
      <c r="AR22" s="41">
        <f>(AF22+AJ22+AL22+AN22+AQ22)*I22</f>
        <v>330.59999999999997</v>
      </c>
      <c r="AS22" s="41">
        <f>SUM(N22:Q22)</f>
        <v>11.625</v>
      </c>
      <c r="AT22" s="41">
        <f>SUM(T22:W22)</f>
        <v>11.625</v>
      </c>
      <c r="AU22" s="268">
        <v>11.6</v>
      </c>
      <c r="AV22" s="41"/>
      <c r="AW22" s="41"/>
      <c r="AX22" s="41"/>
      <c r="AY22" s="41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</row>
    <row r="23" spans="1:88" s="22" customFormat="1">
      <c r="A23" s="1">
        <v>1249</v>
      </c>
      <c r="B23" s="34" t="s">
        <v>1725</v>
      </c>
      <c r="C23" s="88">
        <v>437</v>
      </c>
      <c r="D23" s="88">
        <v>3561</v>
      </c>
      <c r="E23" s="88">
        <v>100</v>
      </c>
      <c r="F23" s="88" t="s">
        <v>1769</v>
      </c>
      <c r="G23" s="88" t="s">
        <v>92</v>
      </c>
      <c r="H23" s="88" t="s">
        <v>1770</v>
      </c>
      <c r="I23" s="115">
        <v>6.6000000000000003E-2</v>
      </c>
      <c r="J23" s="88">
        <v>6</v>
      </c>
      <c r="K23" s="88" t="s">
        <v>1520</v>
      </c>
      <c r="L23" s="116">
        <v>42282</v>
      </c>
      <c r="M23" s="9" t="s">
        <v>191</v>
      </c>
      <c r="N23" s="38">
        <v>0</v>
      </c>
      <c r="O23" s="38">
        <v>0</v>
      </c>
      <c r="P23" s="38">
        <v>0.05</v>
      </c>
      <c r="Q23" s="38">
        <v>2.5000000000000001E-2</v>
      </c>
      <c r="R23" s="38">
        <v>4.62</v>
      </c>
      <c r="S23" s="38">
        <f t="shared" si="11"/>
        <v>4.5</v>
      </c>
      <c r="T23" s="38">
        <v>7.4999999999999997E-2</v>
      </c>
      <c r="U23" s="38">
        <v>0</v>
      </c>
      <c r="V23" s="38">
        <v>0</v>
      </c>
      <c r="W23" s="38">
        <v>0</v>
      </c>
      <c r="X23" s="38">
        <v>2.7170000000000001</v>
      </c>
      <c r="Y23" s="38">
        <f t="shared" si="12"/>
        <v>2.5</v>
      </c>
      <c r="Z23" s="38">
        <v>0</v>
      </c>
      <c r="AA23" s="117">
        <v>0</v>
      </c>
      <c r="AB23" s="117">
        <v>6.6000000000000003E-2</v>
      </c>
      <c r="AC23" s="117">
        <v>1.67967</v>
      </c>
      <c r="AD23" s="117">
        <v>62.38</v>
      </c>
      <c r="AE23" s="117">
        <v>3.1579999999999999</v>
      </c>
      <c r="AF23" s="117">
        <f>(AD23+AE23*0.5)/(3.5*I23*1000)*100</f>
        <v>27.687878787878788</v>
      </c>
      <c r="AG23" s="38">
        <f t="shared" si="13"/>
        <v>27.7</v>
      </c>
      <c r="AH23" s="117">
        <v>47.21</v>
      </c>
      <c r="AI23" s="117">
        <f>AH23/(3.5*I23*1000)*100</f>
        <v>20.437229437229437</v>
      </c>
      <c r="AJ23" s="117">
        <v>0</v>
      </c>
      <c r="AK23" s="117">
        <f t="shared" si="14"/>
        <v>0</v>
      </c>
      <c r="AL23" s="117">
        <v>2</v>
      </c>
      <c r="AM23" s="117">
        <f>AJ23/(3.5*I23*1000)*100</f>
        <v>0</v>
      </c>
      <c r="AN23" s="12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</row>
    <row r="24" spans="1:88" s="22" customFormat="1">
      <c r="A24" s="1">
        <v>1051</v>
      </c>
      <c r="B24" s="34" t="s">
        <v>1447</v>
      </c>
      <c r="C24" s="34">
        <v>618</v>
      </c>
      <c r="D24" s="8">
        <v>319</v>
      </c>
      <c r="E24" s="34">
        <v>103</v>
      </c>
      <c r="F24" s="34" t="s">
        <v>1450</v>
      </c>
      <c r="G24" s="58">
        <v>24538</v>
      </c>
      <c r="H24" s="58">
        <v>38238</v>
      </c>
      <c r="I24" s="35">
        <v>13.7</v>
      </c>
      <c r="J24" s="9">
        <v>2</v>
      </c>
      <c r="K24" s="34" t="s">
        <v>238</v>
      </c>
      <c r="L24" s="10">
        <v>42113</v>
      </c>
      <c r="M24" s="9" t="s">
        <v>191</v>
      </c>
      <c r="N24" s="38">
        <v>8.5500000000000007</v>
      </c>
      <c r="O24" s="38">
        <v>3</v>
      </c>
      <c r="P24" s="38">
        <v>1.175</v>
      </c>
      <c r="Q24" s="38">
        <v>0.47499999999999998</v>
      </c>
      <c r="R24" s="38">
        <v>2.4547699999999999</v>
      </c>
      <c r="S24" s="38">
        <f t="shared" si="11"/>
        <v>2.5</v>
      </c>
      <c r="T24" s="38">
        <v>12.8</v>
      </c>
      <c r="U24" s="38">
        <v>0.3</v>
      </c>
      <c r="V24" s="38">
        <v>0.05</v>
      </c>
      <c r="W24" s="38">
        <v>0.05</v>
      </c>
      <c r="X24" s="38">
        <f>T24+U24+V24+W24</f>
        <v>13.200000000000003</v>
      </c>
      <c r="Y24" s="38">
        <f t="shared" si="12"/>
        <v>13</v>
      </c>
      <c r="Z24" s="38">
        <f>(X24-I24)/I24*100</f>
        <v>-3.6496350364963246</v>
      </c>
      <c r="AA24" s="38">
        <v>3.4042599999999998</v>
      </c>
      <c r="AB24" s="38">
        <v>0</v>
      </c>
      <c r="AC24" s="38">
        <v>0</v>
      </c>
      <c r="AD24" s="38">
        <f>SUM(T24:W24)</f>
        <v>13.200000000000003</v>
      </c>
      <c r="AE24" s="38">
        <v>1.16753</v>
      </c>
      <c r="AF24" s="38">
        <v>27.57</v>
      </c>
      <c r="AG24" s="38">
        <f t="shared" si="13"/>
        <v>27.6</v>
      </c>
      <c r="AH24" s="38">
        <v>0</v>
      </c>
      <c r="AI24" s="11">
        <f>(AF24+AH24*0.5)/(3.5*I24*1000)*100</f>
        <v>5.7497393117831079E-2</v>
      </c>
      <c r="AJ24" s="38">
        <v>3.2</v>
      </c>
      <c r="AK24" s="38">
        <f t="shared" si="14"/>
        <v>6.6736183524504708E-3</v>
      </c>
      <c r="AL24" s="38">
        <v>0</v>
      </c>
      <c r="AM24" s="38">
        <f t="shared" ref="AM24:AM29" si="15">AL24/(3.5*I24*1000)*100</f>
        <v>0</v>
      </c>
      <c r="AN24" s="56">
        <v>0</v>
      </c>
      <c r="AO24" s="56">
        <f>AN24/(3.5*I24*1000)*100</f>
        <v>0</v>
      </c>
      <c r="AP24" s="41"/>
      <c r="AQ24" s="41">
        <f>AH24*0.5</f>
        <v>0</v>
      </c>
      <c r="AR24" s="41">
        <f>(AF24+AJ24+AL24+AN24+AQ24)*I24</f>
        <v>421.54899999999998</v>
      </c>
      <c r="AS24" s="41">
        <f>SUM(N24:Q24)</f>
        <v>13.200000000000001</v>
      </c>
      <c r="AT24" s="41">
        <f>SUM(T24:W24)</f>
        <v>13.200000000000003</v>
      </c>
      <c r="AU24" s="268">
        <v>13.7</v>
      </c>
      <c r="AV24" s="41"/>
      <c r="AW24" s="41"/>
      <c r="AX24" s="41"/>
      <c r="AY24" s="41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</row>
    <row r="25" spans="1:88" s="22" customFormat="1">
      <c r="A25" s="1">
        <v>1089</v>
      </c>
      <c r="B25" s="34" t="s">
        <v>1467</v>
      </c>
      <c r="C25" s="34">
        <v>619</v>
      </c>
      <c r="D25" s="8">
        <v>3511</v>
      </c>
      <c r="E25" s="34">
        <v>100</v>
      </c>
      <c r="F25" s="34" t="s">
        <v>1504</v>
      </c>
      <c r="G25" s="58" t="s">
        <v>1505</v>
      </c>
      <c r="H25" s="58" t="s">
        <v>92</v>
      </c>
      <c r="I25" s="35">
        <v>14.768000000000001</v>
      </c>
      <c r="J25" s="9">
        <v>2</v>
      </c>
      <c r="K25" s="34" t="s">
        <v>12</v>
      </c>
      <c r="L25" s="10">
        <v>42093</v>
      </c>
      <c r="M25" s="9" t="s">
        <v>191</v>
      </c>
      <c r="N25" s="38">
        <v>3.54</v>
      </c>
      <c r="O25" s="38">
        <v>5.62</v>
      </c>
      <c r="P25" s="38">
        <v>3.38</v>
      </c>
      <c r="Q25" s="38">
        <v>2.2400000000000002</v>
      </c>
      <c r="R25" s="38">
        <v>3.9594200000000002</v>
      </c>
      <c r="S25" s="38">
        <f t="shared" si="11"/>
        <v>4</v>
      </c>
      <c r="T25" s="38">
        <v>14.48</v>
      </c>
      <c r="U25" s="38">
        <v>0.22</v>
      </c>
      <c r="V25" s="38">
        <v>0.08</v>
      </c>
      <c r="W25" s="38">
        <v>0</v>
      </c>
      <c r="X25" s="38">
        <v>3.5388700000000002</v>
      </c>
      <c r="Y25" s="38">
        <f t="shared" si="12"/>
        <v>3.5</v>
      </c>
      <c r="Z25" s="38">
        <v>0</v>
      </c>
      <c r="AA25" s="38">
        <v>0</v>
      </c>
      <c r="AB25" s="38">
        <v>14.77</v>
      </c>
      <c r="AC25" s="38">
        <v>1.50177</v>
      </c>
      <c r="AD25" s="38">
        <v>9726.52</v>
      </c>
      <c r="AE25" s="38">
        <v>8592.43</v>
      </c>
      <c r="AF25" s="11">
        <f>(AD25+AE25*0.5)/(3.5*I25*1000)*100</f>
        <v>27.1295755301037</v>
      </c>
      <c r="AG25" s="38">
        <f t="shared" si="13"/>
        <v>27.1</v>
      </c>
      <c r="AH25" s="38">
        <v>179.29</v>
      </c>
      <c r="AI25" s="38">
        <f>AH25/(3.5*I25*1000)*100</f>
        <v>0.3468696796161585</v>
      </c>
      <c r="AJ25" s="38">
        <v>9726.52</v>
      </c>
      <c r="AK25" s="38">
        <f t="shared" si="14"/>
        <v>18.817752669865349</v>
      </c>
      <c r="AL25" s="38">
        <v>0</v>
      </c>
      <c r="AM25" s="38">
        <f t="shared" si="15"/>
        <v>0</v>
      </c>
      <c r="AN25" s="25"/>
      <c r="AO25" s="25"/>
      <c r="AP25" s="25">
        <f>AE25*0.5</f>
        <v>4296.2150000000001</v>
      </c>
      <c r="AQ25" s="25">
        <f>(AD25+AH25+AJ25+AL25+AP25)*I25</f>
        <v>353376.75256000005</v>
      </c>
      <c r="AR25" s="25"/>
      <c r="AS25" s="25">
        <f>SUM(N25:Q25)</f>
        <v>14.78</v>
      </c>
      <c r="AT25" s="22">
        <f>SUM(T25:W25)</f>
        <v>14.780000000000001</v>
      </c>
      <c r="AU25" s="268">
        <v>14.768000000000001</v>
      </c>
      <c r="AV25" s="41">
        <f>SUM(N25:Q25)</f>
        <v>14.78</v>
      </c>
      <c r="AW25" s="41">
        <f>SUM(T25:W25)</f>
        <v>14.780000000000001</v>
      </c>
      <c r="AX25" s="41">
        <f>SUM(Z25:AB25)</f>
        <v>14.77</v>
      </c>
      <c r="AZ25" s="22">
        <f>I25/AV25</f>
        <v>0.99918809201623826</v>
      </c>
      <c r="BA25" s="22">
        <f>I25/AW25</f>
        <v>0.99918809201623815</v>
      </c>
      <c r="BB25" s="22">
        <f>I25/AX25</f>
        <v>0.99986459038591746</v>
      </c>
    </row>
    <row r="26" spans="1:88" s="22" customFormat="1">
      <c r="A26" s="1">
        <v>1050</v>
      </c>
      <c r="B26" s="34" t="s">
        <v>1447</v>
      </c>
      <c r="C26" s="34">
        <v>618</v>
      </c>
      <c r="D26" s="8">
        <v>319</v>
      </c>
      <c r="E26" s="34">
        <v>102</v>
      </c>
      <c r="F26" s="34" t="s">
        <v>1449</v>
      </c>
      <c r="G26" s="58">
        <v>12063</v>
      </c>
      <c r="H26" s="58">
        <v>24538</v>
      </c>
      <c r="I26" s="35">
        <v>12.475</v>
      </c>
      <c r="J26" s="9">
        <v>2</v>
      </c>
      <c r="K26" s="34" t="s">
        <v>238</v>
      </c>
      <c r="L26" s="10">
        <v>42113</v>
      </c>
      <c r="M26" s="9" t="s">
        <v>191</v>
      </c>
      <c r="N26" s="38">
        <v>4.7359999999999998</v>
      </c>
      <c r="O26" s="38">
        <v>4.2210000000000001</v>
      </c>
      <c r="P26" s="38">
        <v>2.5710000000000002</v>
      </c>
      <c r="Q26" s="38">
        <v>0.94699999999999995</v>
      </c>
      <c r="R26" s="38">
        <v>3.1581999999999999</v>
      </c>
      <c r="S26" s="38">
        <f t="shared" si="11"/>
        <v>3</v>
      </c>
      <c r="T26" s="38">
        <v>11.631</v>
      </c>
      <c r="U26" s="38">
        <v>0.68200000000000005</v>
      </c>
      <c r="V26" s="38">
        <v>0.16200000000000001</v>
      </c>
      <c r="W26" s="38">
        <v>0</v>
      </c>
      <c r="X26" s="38">
        <f>T26+U26+V26+W26</f>
        <v>12.475000000000001</v>
      </c>
      <c r="Y26" s="38">
        <f t="shared" si="12"/>
        <v>12.5</v>
      </c>
      <c r="Z26" s="38">
        <f>(X26-I26)/I26*100</f>
        <v>1.4239333381965934E-14</v>
      </c>
      <c r="AA26" s="38">
        <v>5.2361899999999997</v>
      </c>
      <c r="AB26" s="38">
        <v>0</v>
      </c>
      <c r="AC26" s="38">
        <v>0</v>
      </c>
      <c r="AD26" s="38">
        <f>SUM(T26:W26)</f>
        <v>12.475000000000001</v>
      </c>
      <c r="AE26" s="38">
        <v>1.2445299999999999</v>
      </c>
      <c r="AF26" s="38">
        <v>25.64</v>
      </c>
      <c r="AG26" s="38">
        <f t="shared" si="13"/>
        <v>25.6</v>
      </c>
      <c r="AH26" s="38">
        <v>2.78</v>
      </c>
      <c r="AI26" s="11">
        <f>(AF26+AH26*0.5)/(3.5*I26*1000)*100</f>
        <v>6.190667048382479E-2</v>
      </c>
      <c r="AJ26" s="38">
        <v>3</v>
      </c>
      <c r="AK26" s="38">
        <f t="shared" si="14"/>
        <v>6.8708846263956487E-3</v>
      </c>
      <c r="AL26" s="38">
        <v>0</v>
      </c>
      <c r="AM26" s="38">
        <f t="shared" si="15"/>
        <v>0</v>
      </c>
      <c r="AN26" s="56">
        <v>0</v>
      </c>
      <c r="AO26" s="56">
        <f>AN26/(3.5*I26*1000)*100</f>
        <v>0</v>
      </c>
      <c r="AP26" s="41"/>
      <c r="AQ26" s="41">
        <f>AH26*0.5</f>
        <v>1.39</v>
      </c>
      <c r="AR26" s="41">
        <f>(AF26+AJ26+AL26+AN26+AQ26)*I26</f>
        <v>374.62425000000002</v>
      </c>
      <c r="AS26" s="41">
        <f>SUM(N26:Q26)</f>
        <v>12.475</v>
      </c>
      <c r="AT26" s="41">
        <f>SUM(T26:W26)</f>
        <v>12.475000000000001</v>
      </c>
      <c r="AU26" s="268">
        <v>12.475</v>
      </c>
      <c r="AV26" s="41"/>
      <c r="AW26" s="41"/>
      <c r="AX26" s="41"/>
      <c r="AY26" s="41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</row>
    <row r="27" spans="1:88" s="22" customFormat="1">
      <c r="A27" s="1">
        <v>1433</v>
      </c>
      <c r="B27" s="34" t="s">
        <v>1957</v>
      </c>
      <c r="C27" s="34">
        <v>447</v>
      </c>
      <c r="D27" s="75">
        <v>3591</v>
      </c>
      <c r="E27" s="69">
        <v>100</v>
      </c>
      <c r="F27" s="9" t="s">
        <v>1986</v>
      </c>
      <c r="G27" s="20">
        <v>651</v>
      </c>
      <c r="H27" s="20">
        <v>0</v>
      </c>
      <c r="I27" s="21">
        <v>0.65100000000000002</v>
      </c>
      <c r="J27" s="8">
        <v>2</v>
      </c>
      <c r="K27" s="34" t="s">
        <v>12</v>
      </c>
      <c r="L27" s="10">
        <v>42217</v>
      </c>
      <c r="M27" s="9" t="s">
        <v>191</v>
      </c>
      <c r="N27" s="38">
        <v>0</v>
      </c>
      <c r="O27" s="38">
        <v>7.4999999999999997E-2</v>
      </c>
      <c r="P27" s="38">
        <v>0.15</v>
      </c>
      <c r="Q27" s="38">
        <v>0.35</v>
      </c>
      <c r="R27" s="38">
        <v>6.5895700000000001</v>
      </c>
      <c r="S27" s="38">
        <f t="shared" si="11"/>
        <v>6.5</v>
      </c>
      <c r="T27" s="38">
        <v>0.52500000000000002</v>
      </c>
      <c r="U27" s="38">
        <v>0.05</v>
      </c>
      <c r="V27" s="38">
        <v>0</v>
      </c>
      <c r="W27" s="38">
        <v>0</v>
      </c>
      <c r="X27" s="38">
        <v>3.65774</v>
      </c>
      <c r="Y27" s="38">
        <f t="shared" si="12"/>
        <v>3.5</v>
      </c>
      <c r="Z27" s="38">
        <v>0</v>
      </c>
      <c r="AA27" s="38">
        <v>0</v>
      </c>
      <c r="AB27" s="38">
        <v>0.57499999999999996</v>
      </c>
      <c r="AC27" s="38">
        <v>1.2688299999999999</v>
      </c>
      <c r="AD27" s="38">
        <v>564.32000000000005</v>
      </c>
      <c r="AE27" s="38">
        <v>34.6</v>
      </c>
      <c r="AF27" s="38">
        <v>25.526442835198601</v>
      </c>
      <c r="AG27" s="38">
        <f t="shared" si="13"/>
        <v>25.5</v>
      </c>
      <c r="AH27" s="38">
        <v>44.7</v>
      </c>
      <c r="AI27" s="38">
        <f>AH27/(3.5*I27*1000)*100</f>
        <v>1.9618169848584597</v>
      </c>
      <c r="AJ27" s="38">
        <v>0</v>
      </c>
      <c r="AK27" s="38">
        <f t="shared" si="14"/>
        <v>0</v>
      </c>
      <c r="AL27" s="38">
        <v>0</v>
      </c>
      <c r="AM27" s="38">
        <f t="shared" si="15"/>
        <v>0</v>
      </c>
      <c r="AN27" s="41"/>
    </row>
    <row r="28" spans="1:88" s="22" customFormat="1">
      <c r="A28" s="1">
        <v>1049</v>
      </c>
      <c r="B28" s="34" t="s">
        <v>1447</v>
      </c>
      <c r="C28" s="34">
        <v>618</v>
      </c>
      <c r="D28" s="8">
        <v>319</v>
      </c>
      <c r="E28" s="34">
        <v>101</v>
      </c>
      <c r="F28" s="34" t="s">
        <v>1448</v>
      </c>
      <c r="G28" s="58">
        <v>0</v>
      </c>
      <c r="H28" s="58">
        <v>12063</v>
      </c>
      <c r="I28" s="35">
        <v>12.063000000000001</v>
      </c>
      <c r="J28" s="9">
        <v>2</v>
      </c>
      <c r="K28" s="34" t="s">
        <v>238</v>
      </c>
      <c r="L28" s="10">
        <v>42113</v>
      </c>
      <c r="M28" s="9" t="s">
        <v>191</v>
      </c>
      <c r="N28" s="38">
        <v>7.45</v>
      </c>
      <c r="O28" s="38">
        <v>2.9</v>
      </c>
      <c r="P28" s="38">
        <v>1.125</v>
      </c>
      <c r="Q28" s="38">
        <v>0.625</v>
      </c>
      <c r="R28" s="38">
        <v>3.23245</v>
      </c>
      <c r="S28" s="38">
        <f t="shared" si="11"/>
        <v>3</v>
      </c>
      <c r="T28" s="38">
        <v>11.45</v>
      </c>
      <c r="U28" s="38">
        <v>0.47499999999999998</v>
      </c>
      <c r="V28" s="38">
        <v>7.4999999999999997E-2</v>
      </c>
      <c r="W28" s="38">
        <v>0.1</v>
      </c>
      <c r="X28" s="38">
        <f>T28+U28+V28+W28</f>
        <v>12.099999999999998</v>
      </c>
      <c r="Y28" s="38">
        <f t="shared" si="12"/>
        <v>12</v>
      </c>
      <c r="Z28" s="38">
        <f>(X28-I28)/I28*100</f>
        <v>0.30672303738702855</v>
      </c>
      <c r="AA28" s="38">
        <v>4.4086999999999996</v>
      </c>
      <c r="AB28" s="38">
        <v>0</v>
      </c>
      <c r="AC28" s="38">
        <v>0</v>
      </c>
      <c r="AD28" s="38">
        <f>SUM(T28:W28)</f>
        <v>12.099999999999998</v>
      </c>
      <c r="AE28" s="38">
        <v>1.25467</v>
      </c>
      <c r="AF28" s="38">
        <v>24.81</v>
      </c>
      <c r="AG28" s="38">
        <f t="shared" si="13"/>
        <v>24.8</v>
      </c>
      <c r="AH28" s="38">
        <v>0</v>
      </c>
      <c r="AI28" s="11">
        <f>(AF28+AH28*0.5)/(3.5*I28*1000)*100</f>
        <v>5.8762923224499948E-2</v>
      </c>
      <c r="AJ28" s="38">
        <v>2.88</v>
      </c>
      <c r="AK28" s="38">
        <f t="shared" si="14"/>
        <v>6.821330870074963E-3</v>
      </c>
      <c r="AL28" s="38">
        <v>0</v>
      </c>
      <c r="AM28" s="38">
        <f t="shared" si="15"/>
        <v>0</v>
      </c>
      <c r="AN28" s="56">
        <v>0</v>
      </c>
      <c r="AO28" s="56">
        <f>AN28/(3.5*I28*1000)*100</f>
        <v>0</v>
      </c>
      <c r="AP28" s="41"/>
      <c r="AQ28" s="41">
        <f>AH28*0.5</f>
        <v>0</v>
      </c>
      <c r="AR28" s="41">
        <f>(AF28+AJ28+AL28+AN28+AQ28)*I28</f>
        <v>334.02447000000001</v>
      </c>
      <c r="AS28" s="41">
        <f>SUM(N28:Q28)</f>
        <v>12.1</v>
      </c>
      <c r="AT28" s="41">
        <f>SUM(T28:W28)</f>
        <v>12.099999999999998</v>
      </c>
      <c r="AU28" s="268">
        <v>12.063000000000001</v>
      </c>
      <c r="AV28" s="41"/>
      <c r="AW28" s="41"/>
      <c r="AX28" s="41"/>
      <c r="AY28" s="41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</row>
    <row r="29" spans="1:88" s="22" customFormat="1">
      <c r="A29" s="1">
        <v>1083</v>
      </c>
      <c r="B29" s="34" t="s">
        <v>1467</v>
      </c>
      <c r="C29" s="34">
        <v>619</v>
      </c>
      <c r="D29" s="8">
        <v>3446</v>
      </c>
      <c r="E29" s="34">
        <v>101</v>
      </c>
      <c r="F29" s="34" t="s">
        <v>1494</v>
      </c>
      <c r="G29" s="58">
        <v>0</v>
      </c>
      <c r="H29" s="58">
        <v>14000</v>
      </c>
      <c r="I29" s="35">
        <v>14</v>
      </c>
      <c r="J29" s="9">
        <v>2</v>
      </c>
      <c r="K29" s="34" t="s">
        <v>238</v>
      </c>
      <c r="L29" s="10">
        <v>42093</v>
      </c>
      <c r="M29" s="9" t="s">
        <v>191</v>
      </c>
      <c r="N29" s="38">
        <v>7.25</v>
      </c>
      <c r="O29" s="38">
        <v>4.5999999999999996</v>
      </c>
      <c r="P29" s="38">
        <v>1.45</v>
      </c>
      <c r="Q29" s="38">
        <v>0.7</v>
      </c>
      <c r="R29" s="38">
        <v>3.1571400000000001</v>
      </c>
      <c r="S29" s="38">
        <f t="shared" si="11"/>
        <v>3</v>
      </c>
      <c r="T29" s="38">
        <v>13.05</v>
      </c>
      <c r="U29" s="38">
        <v>0.48</v>
      </c>
      <c r="V29" s="38">
        <v>0.25</v>
      </c>
      <c r="W29" s="38">
        <v>0.23</v>
      </c>
      <c r="X29" s="38">
        <v>2.7347199999999998</v>
      </c>
      <c r="Y29" s="38">
        <f t="shared" si="12"/>
        <v>2.5</v>
      </c>
      <c r="Z29" s="117">
        <v>0</v>
      </c>
      <c r="AA29" s="117">
        <v>0</v>
      </c>
      <c r="AB29" s="117">
        <v>14</v>
      </c>
      <c r="AC29" s="38">
        <v>1.1049100000000001</v>
      </c>
      <c r="AD29" s="38">
        <v>11810.9</v>
      </c>
      <c r="AE29" s="38">
        <v>0</v>
      </c>
      <c r="AF29" s="11">
        <f>(AD29+AE29*0.5)/(3.5*I29*1000)*100</f>
        <v>24.103877551020407</v>
      </c>
      <c r="AG29" s="38">
        <f t="shared" si="13"/>
        <v>24.1</v>
      </c>
      <c r="AH29" s="38">
        <v>259.10000000000002</v>
      </c>
      <c r="AI29" s="38">
        <f>AH29/(3.5*I29*1000)*100</f>
        <v>0.52877551020408164</v>
      </c>
      <c r="AJ29" s="38">
        <v>0</v>
      </c>
      <c r="AK29" s="38">
        <f t="shared" si="14"/>
        <v>0</v>
      </c>
      <c r="AL29" s="38">
        <v>0</v>
      </c>
      <c r="AM29" s="38">
        <f t="shared" si="15"/>
        <v>0</v>
      </c>
      <c r="AN29" s="25"/>
      <c r="AO29" s="25"/>
      <c r="AP29" s="12">
        <f>AE29*0.5</f>
        <v>0</v>
      </c>
      <c r="AQ29" s="12">
        <f>(AD29+AH29+AJ29+AL29+AP29)*I29</f>
        <v>168980</v>
      </c>
      <c r="AR29" s="25"/>
      <c r="AS29" s="25">
        <f>SUM(N29:Q29)</f>
        <v>13.999999999999998</v>
      </c>
      <c r="AT29" s="22">
        <f>SUM(T29:W29)</f>
        <v>14.010000000000002</v>
      </c>
      <c r="AU29" s="268">
        <v>14</v>
      </c>
      <c r="AV29" s="41">
        <f>SUM(N29:Q29)</f>
        <v>13.999999999999998</v>
      </c>
      <c r="AW29" s="41">
        <f>SUM(T29:W29)</f>
        <v>14.010000000000002</v>
      </c>
      <c r="AX29" s="41">
        <f>SUM(Z29:AB29)</f>
        <v>14</v>
      </c>
      <c r="AZ29" s="22">
        <f>I29/AV29</f>
        <v>1.0000000000000002</v>
      </c>
      <c r="BA29" s="22">
        <f>I29/AW29</f>
        <v>0.9992862241256244</v>
      </c>
      <c r="BB29" s="22">
        <f>I29/AX29</f>
        <v>1</v>
      </c>
    </row>
    <row r="30" spans="1:88" s="22" customFormat="1">
      <c r="A30" s="1">
        <v>1604</v>
      </c>
      <c r="B30" s="34" t="s">
        <v>2137</v>
      </c>
      <c r="C30" s="5">
        <v>416</v>
      </c>
      <c r="D30" s="5">
        <v>346</v>
      </c>
      <c r="E30" s="5">
        <v>102</v>
      </c>
      <c r="F30" s="5" t="s">
        <v>2169</v>
      </c>
      <c r="G30" s="53" t="s">
        <v>2173</v>
      </c>
      <c r="H30" s="53" t="s">
        <v>2174</v>
      </c>
      <c r="I30" s="198">
        <v>0.6</v>
      </c>
      <c r="J30" s="78">
        <v>6</v>
      </c>
      <c r="K30" s="5" t="s">
        <v>237</v>
      </c>
      <c r="L30" s="10">
        <v>42248</v>
      </c>
      <c r="M30" s="34" t="s">
        <v>218</v>
      </c>
      <c r="N30" s="147">
        <v>0.25</v>
      </c>
      <c r="O30" s="147">
        <v>0.27500000000000002</v>
      </c>
      <c r="P30" s="147">
        <v>0.1</v>
      </c>
      <c r="Q30" s="147">
        <v>2.5000000000000001E-2</v>
      </c>
      <c r="R30" s="147">
        <v>3.1361500000000002</v>
      </c>
      <c r="S30" s="38">
        <f t="shared" si="11"/>
        <v>3</v>
      </c>
      <c r="T30" s="147">
        <v>0</v>
      </c>
      <c r="U30" s="147">
        <v>0</v>
      </c>
      <c r="V30" s="147">
        <f>SUM(N30:Q30)</f>
        <v>0.65</v>
      </c>
      <c r="W30" s="147">
        <v>1.0501499999999999</v>
      </c>
      <c r="X30" s="201">
        <v>18</v>
      </c>
      <c r="Y30" s="38">
        <f t="shared" si="12"/>
        <v>18</v>
      </c>
      <c r="Z30" s="201">
        <v>0</v>
      </c>
      <c r="AA30" s="201">
        <v>8</v>
      </c>
      <c r="AB30" s="201">
        <v>0</v>
      </c>
      <c r="AC30" s="201">
        <v>0</v>
      </c>
      <c r="AD30" s="147">
        <v>36.56</v>
      </c>
      <c r="AE30" s="147">
        <v>1.7409523809523813</v>
      </c>
      <c r="AF30" s="201">
        <v>24</v>
      </c>
      <c r="AG30" s="38">
        <f t="shared" si="13"/>
        <v>24</v>
      </c>
      <c r="AH30" s="198"/>
      <c r="AI30" s="198"/>
      <c r="AJ30" s="198"/>
      <c r="AK30" s="34"/>
      <c r="AL30" s="34"/>
      <c r="AM30" s="34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</row>
    <row r="31" spans="1:88" s="22" customFormat="1">
      <c r="A31" s="1">
        <v>2129</v>
      </c>
      <c r="B31" s="34" t="s">
        <v>2754</v>
      </c>
      <c r="C31" s="34">
        <v>324</v>
      </c>
      <c r="D31" s="75">
        <v>4032</v>
      </c>
      <c r="E31" s="8">
        <v>102</v>
      </c>
      <c r="F31" s="9" t="s">
        <v>2770</v>
      </c>
      <c r="G31" s="20">
        <v>0</v>
      </c>
      <c r="H31" s="20">
        <v>224</v>
      </c>
      <c r="I31" s="21">
        <v>0.224</v>
      </c>
      <c r="J31" s="9">
        <v>2</v>
      </c>
      <c r="K31" s="34" t="s">
        <v>238</v>
      </c>
      <c r="L31" s="18">
        <v>42140</v>
      </c>
      <c r="M31" s="9" t="s">
        <v>191</v>
      </c>
      <c r="N31" s="38">
        <v>0</v>
      </c>
      <c r="O31" s="38">
        <v>0</v>
      </c>
      <c r="P31" s="38">
        <v>0</v>
      </c>
      <c r="Q31" s="38">
        <v>0.15</v>
      </c>
      <c r="R31" s="38">
        <v>8.6199999999999992</v>
      </c>
      <c r="S31" s="38">
        <f t="shared" si="11"/>
        <v>8.5</v>
      </c>
      <c r="T31" s="38">
        <v>0.15</v>
      </c>
      <c r="U31" s="38">
        <v>0</v>
      </c>
      <c r="V31" s="38">
        <v>0</v>
      </c>
      <c r="W31" s="38">
        <v>0</v>
      </c>
      <c r="X31" s="38">
        <v>3.5939999999999999</v>
      </c>
      <c r="Y31" s="38">
        <f t="shared" si="12"/>
        <v>3.5</v>
      </c>
      <c r="Z31" s="38">
        <v>0</v>
      </c>
      <c r="AA31" s="38">
        <v>0</v>
      </c>
      <c r="AB31" s="38">
        <v>0.15</v>
      </c>
      <c r="AC31" s="38">
        <v>1.25617</v>
      </c>
      <c r="AD31" s="38">
        <v>163.69</v>
      </c>
      <c r="AE31" s="38">
        <v>2.69</v>
      </c>
      <c r="AF31" s="38">
        <v>21.050382653061224</v>
      </c>
      <c r="AG31" s="38">
        <f t="shared" si="13"/>
        <v>21.1</v>
      </c>
      <c r="AH31" s="38">
        <v>34.909999999999997</v>
      </c>
      <c r="AI31" s="38">
        <v>4.4528061224489788</v>
      </c>
      <c r="AJ31" s="38">
        <v>0</v>
      </c>
      <c r="AK31" s="38">
        <v>0</v>
      </c>
      <c r="AL31" s="38">
        <v>0</v>
      </c>
      <c r="AM31" s="38">
        <v>0</v>
      </c>
      <c r="AN31" s="41"/>
      <c r="AO31" s="41"/>
      <c r="AP31" s="73"/>
      <c r="AQ31" s="73"/>
      <c r="AR31" s="73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</row>
    <row r="32" spans="1:88" s="22" customFormat="1">
      <c r="A32" s="1">
        <v>1090</v>
      </c>
      <c r="B32" s="34" t="s">
        <v>1467</v>
      </c>
      <c r="C32" s="34">
        <v>619</v>
      </c>
      <c r="D32" s="8">
        <v>3586</v>
      </c>
      <c r="E32" s="34">
        <v>100</v>
      </c>
      <c r="F32" s="34" t="s">
        <v>1506</v>
      </c>
      <c r="G32" s="58" t="s">
        <v>92</v>
      </c>
      <c r="H32" s="58" t="s">
        <v>1507</v>
      </c>
      <c r="I32" s="35">
        <v>5.3360000000000003</v>
      </c>
      <c r="J32" s="9">
        <v>2</v>
      </c>
      <c r="K32" s="34" t="s">
        <v>238</v>
      </c>
      <c r="L32" s="10">
        <v>42093</v>
      </c>
      <c r="M32" s="9" t="s">
        <v>191</v>
      </c>
      <c r="N32" s="38">
        <v>3.19</v>
      </c>
      <c r="O32" s="38">
        <v>1.04</v>
      </c>
      <c r="P32" s="38">
        <v>0.84</v>
      </c>
      <c r="Q32" s="38">
        <v>0.28000000000000003</v>
      </c>
      <c r="R32" s="38">
        <v>2.7010000000000001</v>
      </c>
      <c r="S32" s="38">
        <f t="shared" si="11"/>
        <v>2.5</v>
      </c>
      <c r="T32" s="38">
        <v>5.19</v>
      </c>
      <c r="U32" s="38">
        <v>0.15</v>
      </c>
      <c r="V32" s="38">
        <v>0</v>
      </c>
      <c r="W32" s="38">
        <v>0</v>
      </c>
      <c r="X32" s="38">
        <v>4.4269999999999996</v>
      </c>
      <c r="Y32" s="38">
        <f t="shared" si="12"/>
        <v>4.5</v>
      </c>
      <c r="Z32" s="117">
        <v>0</v>
      </c>
      <c r="AA32" s="117">
        <v>0</v>
      </c>
      <c r="AB32" s="117">
        <v>5.34</v>
      </c>
      <c r="AC32" s="38">
        <v>1.3169999999999999</v>
      </c>
      <c r="AD32" s="38">
        <v>3797.5</v>
      </c>
      <c r="AE32" s="38">
        <v>0</v>
      </c>
      <c r="AF32" s="11">
        <f>(AD32+AE32*0.5)/(3.5*I32*1000)*100</f>
        <v>20.333583208395797</v>
      </c>
      <c r="AG32" s="38">
        <f t="shared" si="13"/>
        <v>20.3</v>
      </c>
      <c r="AH32" s="38">
        <v>100.41</v>
      </c>
      <c r="AI32" s="38">
        <f>AH32/(3.5*I32*1000)*100</f>
        <v>0.53764189333904466</v>
      </c>
      <c r="AJ32" s="38">
        <v>0</v>
      </c>
      <c r="AK32" s="38">
        <f>AJ32/(3.5*I32*1000)*100</f>
        <v>0</v>
      </c>
      <c r="AL32" s="38">
        <v>0</v>
      </c>
      <c r="AM32" s="38">
        <f>AL32/(3.5*I32*1000)*100</f>
        <v>0</v>
      </c>
      <c r="AN32" s="25"/>
      <c r="AO32" s="25"/>
      <c r="AP32" s="12">
        <f>AE32*0.5</f>
        <v>0</v>
      </c>
      <c r="AQ32" s="12">
        <f>(AD32+AH32+AJ32+AL32+AP32)*I32</f>
        <v>20799.247760000002</v>
      </c>
      <c r="AR32" s="25"/>
      <c r="AS32" s="25">
        <f>SUM(N32:Q32)</f>
        <v>5.3500000000000005</v>
      </c>
      <c r="AT32" s="22">
        <f>SUM(T32:W32)</f>
        <v>5.3400000000000007</v>
      </c>
      <c r="AU32" s="268">
        <v>2.3279999999999998</v>
      </c>
      <c r="AV32" s="41">
        <f>SUM(N32:Q32)</f>
        <v>5.3500000000000005</v>
      </c>
      <c r="AW32" s="41">
        <f>SUM(T32:W32)</f>
        <v>5.3400000000000007</v>
      </c>
      <c r="AX32" s="41">
        <f>SUM(Z32:AB32)</f>
        <v>5.34</v>
      </c>
      <c r="AZ32" s="22">
        <f>I32/AV32</f>
        <v>0.99738317757009343</v>
      </c>
      <c r="BA32" s="22">
        <f>I32/AW32</f>
        <v>0.99925093632958795</v>
      </c>
      <c r="BB32" s="22">
        <f>I32/AX32</f>
        <v>0.99925093632958806</v>
      </c>
    </row>
    <row r="33" spans="1:88" s="22" customFormat="1">
      <c r="A33" s="1">
        <v>1595</v>
      </c>
      <c r="B33" s="34" t="s">
        <v>2137</v>
      </c>
      <c r="C33" s="5">
        <v>416</v>
      </c>
      <c r="D33" s="5">
        <v>346</v>
      </c>
      <c r="E33" s="5">
        <v>101</v>
      </c>
      <c r="F33" s="5" t="s">
        <v>2166</v>
      </c>
      <c r="G33" s="53" t="s">
        <v>2167</v>
      </c>
      <c r="H33" s="53" t="s">
        <v>2168</v>
      </c>
      <c r="I33" s="198">
        <v>0.55600000000000005</v>
      </c>
      <c r="J33" s="78">
        <v>10</v>
      </c>
      <c r="K33" s="5" t="s">
        <v>237</v>
      </c>
      <c r="L33" s="10">
        <v>42248</v>
      </c>
      <c r="M33" s="34" t="s">
        <v>218</v>
      </c>
      <c r="N33" s="147">
        <v>0</v>
      </c>
      <c r="O33" s="147">
        <v>0.15</v>
      </c>
      <c r="P33" s="147">
        <v>0.17499999999999999</v>
      </c>
      <c r="Q33" s="147">
        <v>0.05</v>
      </c>
      <c r="R33" s="147">
        <v>3.8733300000000002</v>
      </c>
      <c r="S33" s="38">
        <f t="shared" si="11"/>
        <v>4</v>
      </c>
      <c r="T33" s="147">
        <v>0</v>
      </c>
      <c r="U33" s="147">
        <v>0</v>
      </c>
      <c r="V33" s="147">
        <f>SUM(N33:Q33)</f>
        <v>0.37499999999999994</v>
      </c>
      <c r="W33" s="147">
        <v>1.26753</v>
      </c>
      <c r="X33" s="201">
        <v>0</v>
      </c>
      <c r="Y33" s="38">
        <f t="shared" si="12"/>
        <v>0</v>
      </c>
      <c r="Z33" s="201">
        <v>0</v>
      </c>
      <c r="AA33" s="201">
        <v>1</v>
      </c>
      <c r="AB33" s="201">
        <v>0</v>
      </c>
      <c r="AC33" s="201">
        <v>0</v>
      </c>
      <c r="AD33" s="147">
        <v>0</v>
      </c>
      <c r="AE33" s="147">
        <v>0</v>
      </c>
      <c r="AF33" s="201">
        <v>18</v>
      </c>
      <c r="AG33" s="38">
        <f t="shared" si="13"/>
        <v>18</v>
      </c>
      <c r="AH33" s="198"/>
      <c r="AI33" s="198"/>
      <c r="AJ33" s="198"/>
      <c r="AK33" s="34"/>
      <c r="AL33" s="34"/>
      <c r="AM33" s="34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</row>
    <row r="34" spans="1:88" s="22" customFormat="1">
      <c r="A34" s="1">
        <v>1264</v>
      </c>
      <c r="B34" s="34" t="s">
        <v>1775</v>
      </c>
      <c r="C34" s="88">
        <v>438</v>
      </c>
      <c r="D34" s="88">
        <v>3006</v>
      </c>
      <c r="E34" s="88">
        <v>100</v>
      </c>
      <c r="F34" s="88" t="s">
        <v>1796</v>
      </c>
      <c r="G34" s="88" t="s">
        <v>92</v>
      </c>
      <c r="H34" s="88" t="s">
        <v>1797</v>
      </c>
      <c r="I34" s="115">
        <v>0.16800000000000001</v>
      </c>
      <c r="J34" s="88">
        <v>2</v>
      </c>
      <c r="K34" s="181" t="s">
        <v>238</v>
      </c>
      <c r="L34" s="116">
        <v>42282</v>
      </c>
      <c r="M34" s="9" t="s">
        <v>191</v>
      </c>
      <c r="N34" s="117">
        <v>0</v>
      </c>
      <c r="O34" s="117">
        <v>0.05</v>
      </c>
      <c r="P34" s="117">
        <v>0.05</v>
      </c>
      <c r="Q34" s="117">
        <v>7.4999999999999997E-2</v>
      </c>
      <c r="R34" s="117">
        <v>6.9785700000000004</v>
      </c>
      <c r="S34" s="38">
        <f t="shared" si="11"/>
        <v>7</v>
      </c>
      <c r="T34" s="117">
        <v>0.17499999999999999</v>
      </c>
      <c r="U34" s="117">
        <v>0</v>
      </c>
      <c r="V34" s="117">
        <v>0</v>
      </c>
      <c r="W34" s="117">
        <v>0</v>
      </c>
      <c r="X34" s="117">
        <v>2.1742900000000001</v>
      </c>
      <c r="Y34" s="38">
        <f t="shared" si="12"/>
        <v>2</v>
      </c>
      <c r="Z34" s="117">
        <v>0</v>
      </c>
      <c r="AA34" s="117">
        <v>0</v>
      </c>
      <c r="AB34" s="115">
        <v>0.16800000000000001</v>
      </c>
      <c r="AC34" s="117">
        <v>1.0394300000000001</v>
      </c>
      <c r="AD34" s="117">
        <v>27.358000000000001</v>
      </c>
      <c r="AE34" s="117">
        <v>150.31</v>
      </c>
      <c r="AF34" s="117">
        <f>(AD34+AE34*0.5)/(3.5*I34*1000)*100</f>
        <v>17.434183673469388</v>
      </c>
      <c r="AG34" s="38">
        <f t="shared" si="13"/>
        <v>17.399999999999999</v>
      </c>
      <c r="AH34" s="117">
        <v>87.54</v>
      </c>
      <c r="AI34" s="117">
        <f>AH34/(3.5*I34*1000)*100</f>
        <v>14.887755102040815</v>
      </c>
      <c r="AJ34" s="117">
        <v>1.002</v>
      </c>
      <c r="AK34" s="117">
        <v>0.170408</v>
      </c>
      <c r="AL34" s="117">
        <v>0</v>
      </c>
      <c r="AM34" s="117">
        <v>0</v>
      </c>
      <c r="AN34" s="12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</row>
    <row r="35" spans="1:88" s="22" customFormat="1">
      <c r="A35" s="1">
        <v>1129</v>
      </c>
      <c r="B35" s="9" t="s">
        <v>1513</v>
      </c>
      <c r="C35" s="34">
        <v>431</v>
      </c>
      <c r="D35" s="75">
        <v>3563</v>
      </c>
      <c r="E35" s="69">
        <v>100</v>
      </c>
      <c r="F35" s="34" t="s">
        <v>1571</v>
      </c>
      <c r="G35" s="20" t="s">
        <v>92</v>
      </c>
      <c r="H35" s="20" t="s">
        <v>1572</v>
      </c>
      <c r="I35" s="34">
        <v>0.115</v>
      </c>
      <c r="J35" s="5">
        <v>4</v>
      </c>
      <c r="K35" s="5" t="s">
        <v>237</v>
      </c>
      <c r="L35" s="18">
        <v>42282</v>
      </c>
      <c r="M35" s="9" t="s">
        <v>191</v>
      </c>
      <c r="N35" s="38">
        <v>2.5000000000000001E-2</v>
      </c>
      <c r="O35" s="38">
        <v>7.4999999999999997E-2</v>
      </c>
      <c r="P35" s="38">
        <v>7.4999999999999997E-2</v>
      </c>
      <c r="Q35" s="38">
        <v>0.05</v>
      </c>
      <c r="R35" s="38">
        <v>3.78111</v>
      </c>
      <c r="S35" s="38">
        <f t="shared" si="11"/>
        <v>4</v>
      </c>
      <c r="T35" s="38">
        <v>0.2</v>
      </c>
      <c r="U35" s="38">
        <v>2.5000000000000001E-2</v>
      </c>
      <c r="V35" s="38">
        <v>0</v>
      </c>
      <c r="W35" s="38">
        <v>0</v>
      </c>
      <c r="X35" s="38">
        <v>3.5762200000000002</v>
      </c>
      <c r="Y35" s="38">
        <f t="shared" si="12"/>
        <v>3.5</v>
      </c>
      <c r="Z35" s="38">
        <v>0</v>
      </c>
      <c r="AA35" s="38">
        <v>0</v>
      </c>
      <c r="AB35" s="38">
        <v>0.22499999999999998</v>
      </c>
      <c r="AC35" s="38">
        <v>0.94321999999999995</v>
      </c>
      <c r="AD35" s="38">
        <v>66.3</v>
      </c>
      <c r="AE35" s="38">
        <v>6.4</v>
      </c>
      <c r="AF35" s="38">
        <f>(AD35+AE35*0.5)/(3.5*I35*1000)*100</f>
        <v>17.267080745341616</v>
      </c>
      <c r="AG35" s="38">
        <f t="shared" si="13"/>
        <v>17.3</v>
      </c>
      <c r="AH35" s="38">
        <v>45.32</v>
      </c>
      <c r="AI35" s="38">
        <f>AH35/(3.5*I35*1000)*100</f>
        <v>11.259627329192547</v>
      </c>
      <c r="AJ35" s="38">
        <v>3.5999999999999997E-2</v>
      </c>
      <c r="AK35" s="38">
        <f>AJ35/(3.5*I35*1000)*100</f>
        <v>8.944099378881987E-3</v>
      </c>
      <c r="AL35" s="38">
        <v>0</v>
      </c>
      <c r="AM35" s="38">
        <f>AL35/(3.5*I35*1000)*100</f>
        <v>0</v>
      </c>
      <c r="AN35" s="41"/>
      <c r="AO35" s="114"/>
      <c r="AP35" s="73"/>
      <c r="AQ35" s="73"/>
    </row>
    <row r="36" spans="1:88" s="22" customFormat="1">
      <c r="A36" s="1">
        <v>1341</v>
      </c>
      <c r="B36" s="74" t="s">
        <v>1851</v>
      </c>
      <c r="C36" s="34">
        <v>444</v>
      </c>
      <c r="D36" s="75">
        <v>3512</v>
      </c>
      <c r="E36" s="69">
        <v>100</v>
      </c>
      <c r="F36" s="34" t="s">
        <v>1888</v>
      </c>
      <c r="G36" s="20">
        <v>0</v>
      </c>
      <c r="H36" s="20">
        <v>150</v>
      </c>
      <c r="I36" s="21">
        <v>0.15</v>
      </c>
      <c r="J36" s="8">
        <v>2</v>
      </c>
      <c r="K36" s="34" t="s">
        <v>238</v>
      </c>
      <c r="L36" s="10">
        <v>42213</v>
      </c>
      <c r="M36" s="9" t="s">
        <v>191</v>
      </c>
      <c r="N36" s="38">
        <v>0.05</v>
      </c>
      <c r="O36" s="38">
        <v>7.4999999999999997E-2</v>
      </c>
      <c r="P36" s="38">
        <v>0</v>
      </c>
      <c r="Q36" s="38">
        <v>0.05</v>
      </c>
      <c r="R36" s="38">
        <v>5.2585699999999997</v>
      </c>
      <c r="S36" s="38">
        <f t="shared" si="11"/>
        <v>5.5</v>
      </c>
      <c r="T36" s="38">
        <v>0.17499999999999999</v>
      </c>
      <c r="U36" s="38">
        <v>0</v>
      </c>
      <c r="V36" s="38">
        <v>0</v>
      </c>
      <c r="W36" s="38">
        <v>0</v>
      </c>
      <c r="X36" s="38">
        <v>1.71071</v>
      </c>
      <c r="Y36" s="38">
        <f t="shared" si="12"/>
        <v>1.5</v>
      </c>
      <c r="Z36" s="38">
        <v>0</v>
      </c>
      <c r="AA36" s="38">
        <v>0</v>
      </c>
      <c r="AB36" s="38">
        <v>0.17499999999999999</v>
      </c>
      <c r="AC36" s="38">
        <v>1.3634299999999999</v>
      </c>
      <c r="AD36" s="38">
        <v>87.5</v>
      </c>
      <c r="AE36" s="38">
        <v>4.0999999999999996</v>
      </c>
      <c r="AF36" s="38">
        <v>17.057142857142857</v>
      </c>
      <c r="AG36" s="38">
        <f t="shared" si="13"/>
        <v>17.100000000000001</v>
      </c>
      <c r="AH36" s="38">
        <v>154.6</v>
      </c>
      <c r="AI36" s="38">
        <v>29.447619047619046</v>
      </c>
      <c r="AJ36" s="38">
        <v>0</v>
      </c>
      <c r="AK36" s="38">
        <v>0</v>
      </c>
      <c r="AL36" s="38">
        <v>0</v>
      </c>
      <c r="AM36" s="38">
        <v>0</v>
      </c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</row>
    <row r="37" spans="1:88" s="22" customFormat="1">
      <c r="A37" s="1">
        <v>1447</v>
      </c>
      <c r="B37" s="34" t="s">
        <v>1987</v>
      </c>
      <c r="C37" s="34">
        <v>448</v>
      </c>
      <c r="D37" s="75">
        <v>309</v>
      </c>
      <c r="E37" s="69">
        <v>202</v>
      </c>
      <c r="F37" s="34" t="s">
        <v>1995</v>
      </c>
      <c r="G37" s="20" t="s">
        <v>1997</v>
      </c>
      <c r="H37" s="20" t="s">
        <v>1994</v>
      </c>
      <c r="I37" s="21">
        <v>2.371</v>
      </c>
      <c r="J37" s="8">
        <v>4</v>
      </c>
      <c r="K37" s="34" t="s">
        <v>96</v>
      </c>
      <c r="L37" s="10">
        <v>42181</v>
      </c>
      <c r="M37" s="9" t="s">
        <v>191</v>
      </c>
      <c r="N37" s="38">
        <v>1.1000000000000001</v>
      </c>
      <c r="O37" s="38">
        <v>0.25</v>
      </c>
      <c r="P37" s="38">
        <v>0.35</v>
      </c>
      <c r="Q37" s="38">
        <v>0.55000000000000004</v>
      </c>
      <c r="R37" s="38">
        <v>3.7557800000000001</v>
      </c>
      <c r="S37" s="38">
        <f t="shared" si="11"/>
        <v>4</v>
      </c>
      <c r="T37" s="38">
        <v>2.125</v>
      </c>
      <c r="U37" s="38">
        <v>7.4999999999999997E-2</v>
      </c>
      <c r="V37" s="38">
        <v>0.05</v>
      </c>
      <c r="W37" s="38">
        <v>0</v>
      </c>
      <c r="X37" s="38">
        <v>4.9636100000000001</v>
      </c>
      <c r="Y37" s="38">
        <f t="shared" si="12"/>
        <v>5</v>
      </c>
      <c r="Z37" s="38">
        <v>0</v>
      </c>
      <c r="AA37" s="38">
        <v>0</v>
      </c>
      <c r="AB37" s="38">
        <v>2.25</v>
      </c>
      <c r="AC37" s="38">
        <v>0.98837799999999998</v>
      </c>
      <c r="AD37" s="38">
        <v>1356.64</v>
      </c>
      <c r="AE37" s="38">
        <v>54.7</v>
      </c>
      <c r="AF37" s="38">
        <f>(AD37+AE37*0.5)/(3.5*I37*1000)*100</f>
        <v>16.677592335964331</v>
      </c>
      <c r="AG37" s="38">
        <f t="shared" si="13"/>
        <v>16.7</v>
      </c>
      <c r="AH37" s="38">
        <v>78.400000000000006</v>
      </c>
      <c r="AI37" s="38">
        <f>AH37/(3.5*I37*1000)*100</f>
        <v>0.9447490510333193</v>
      </c>
      <c r="AJ37" s="38">
        <v>0</v>
      </c>
      <c r="AK37" s="38">
        <f>AJ37/(3.5*I37*1000)*100</f>
        <v>0</v>
      </c>
      <c r="AL37" s="38">
        <v>0</v>
      </c>
      <c r="AM37" s="38">
        <f>AL37/(3.5*I37*1000)*100</f>
        <v>0</v>
      </c>
      <c r="AN37" s="72"/>
      <c r="AO37" s="41"/>
      <c r="AP37" s="41"/>
      <c r="AQ37" s="73"/>
      <c r="AR37" s="73"/>
      <c r="AS37" s="73"/>
      <c r="AT37" s="73"/>
      <c r="AU37" s="73"/>
      <c r="AV37" s="73"/>
    </row>
    <row r="38" spans="1:88" s="22" customFormat="1">
      <c r="A38" s="1">
        <v>1323</v>
      </c>
      <c r="B38" s="74" t="s">
        <v>1851</v>
      </c>
      <c r="C38" s="34">
        <v>444</v>
      </c>
      <c r="D38" s="75">
        <v>3085</v>
      </c>
      <c r="E38" s="69">
        <v>102</v>
      </c>
      <c r="F38" s="34" t="s">
        <v>1867</v>
      </c>
      <c r="G38" s="20">
        <v>20738</v>
      </c>
      <c r="H38" s="20">
        <v>30331</v>
      </c>
      <c r="I38" s="21">
        <v>9.593</v>
      </c>
      <c r="J38" s="8">
        <v>4</v>
      </c>
      <c r="K38" s="34" t="s">
        <v>238</v>
      </c>
      <c r="L38" s="10">
        <v>42211</v>
      </c>
      <c r="M38" s="9" t="s">
        <v>191</v>
      </c>
      <c r="N38" s="38">
        <v>5.7249999999999996</v>
      </c>
      <c r="O38" s="38">
        <v>1.675</v>
      </c>
      <c r="P38" s="38">
        <v>0.82499999999999996</v>
      </c>
      <c r="Q38" s="38">
        <v>1.1000000000000001</v>
      </c>
      <c r="R38" s="38">
        <v>2.76247</v>
      </c>
      <c r="S38" s="38">
        <f t="shared" si="11"/>
        <v>3</v>
      </c>
      <c r="T38" s="38">
        <v>9.0500000000000007</v>
      </c>
      <c r="U38" s="38">
        <v>0.15</v>
      </c>
      <c r="V38" s="38">
        <v>0.1</v>
      </c>
      <c r="W38" s="38">
        <v>2.5000000000000001E-2</v>
      </c>
      <c r="X38" s="38">
        <v>2.6455500000000001</v>
      </c>
      <c r="Y38" s="38">
        <f t="shared" si="12"/>
        <v>2.5</v>
      </c>
      <c r="Z38" s="38">
        <v>0</v>
      </c>
      <c r="AA38" s="38">
        <v>0</v>
      </c>
      <c r="AB38" s="38">
        <v>9.3249999999999993</v>
      </c>
      <c r="AC38" s="38">
        <v>1.2660400000000001</v>
      </c>
      <c r="AD38" s="38">
        <v>5214</v>
      </c>
      <c r="AE38" s="38">
        <v>277</v>
      </c>
      <c r="AF38" s="38">
        <v>15.941683668150883</v>
      </c>
      <c r="AG38" s="38">
        <f t="shared" si="13"/>
        <v>15.9</v>
      </c>
      <c r="AH38" s="38">
        <v>122</v>
      </c>
      <c r="AI38" s="38">
        <v>0.36336018823249094</v>
      </c>
      <c r="AJ38" s="38">
        <v>416</v>
      </c>
      <c r="AK38" s="38">
        <v>1.2389986746288215</v>
      </c>
      <c r="AL38" s="38">
        <v>303</v>
      </c>
      <c r="AM38" s="38">
        <v>0.90244374618397349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</row>
    <row r="39" spans="1:88" s="22" customFormat="1">
      <c r="A39" s="1">
        <v>2151</v>
      </c>
      <c r="B39" s="34" t="s">
        <v>2790</v>
      </c>
      <c r="C39" s="34">
        <v>331</v>
      </c>
      <c r="D39" s="209">
        <v>412</v>
      </c>
      <c r="E39" s="8">
        <v>100</v>
      </c>
      <c r="F39" s="9" t="s">
        <v>2791</v>
      </c>
      <c r="G39" s="20">
        <v>0</v>
      </c>
      <c r="H39" s="210">
        <v>233</v>
      </c>
      <c r="I39" s="9">
        <v>0.23300000000000001</v>
      </c>
      <c r="J39" s="9">
        <v>4</v>
      </c>
      <c r="K39" s="9" t="s">
        <v>237</v>
      </c>
      <c r="L39" s="18">
        <v>42304</v>
      </c>
      <c r="M39" s="9" t="s">
        <v>191</v>
      </c>
      <c r="N39" s="38">
        <v>0.1</v>
      </c>
      <c r="O39" s="38">
        <v>0.05</v>
      </c>
      <c r="P39" s="38">
        <v>0.15</v>
      </c>
      <c r="Q39" s="38">
        <v>0.05</v>
      </c>
      <c r="R39" s="38">
        <v>4.9664299999999999</v>
      </c>
      <c r="S39" s="38">
        <f t="shared" si="11"/>
        <v>5</v>
      </c>
      <c r="T39" s="38">
        <v>0.35</v>
      </c>
      <c r="U39" s="38">
        <v>0</v>
      </c>
      <c r="V39" s="38">
        <v>0</v>
      </c>
      <c r="W39" s="38">
        <v>0</v>
      </c>
      <c r="X39" s="38">
        <v>2.1720700000000002</v>
      </c>
      <c r="Y39" s="38">
        <f t="shared" si="12"/>
        <v>2</v>
      </c>
      <c r="Z39" s="38">
        <v>0</v>
      </c>
      <c r="AA39" s="38">
        <v>0</v>
      </c>
      <c r="AB39" s="38">
        <v>0.35000000000000003</v>
      </c>
      <c r="AC39" s="38">
        <v>1.2982899999999999</v>
      </c>
      <c r="AD39" s="38">
        <v>123.65</v>
      </c>
      <c r="AE39" s="38">
        <v>2.54</v>
      </c>
      <c r="AF39" s="38">
        <f>(AD39+AE39*0.5)/(3.5*I39*1000)*100</f>
        <v>15.318209687308402</v>
      </c>
      <c r="AG39" s="38">
        <f t="shared" si="13"/>
        <v>15.3</v>
      </c>
      <c r="AH39" s="38">
        <v>54.98</v>
      </c>
      <c r="AI39" s="38">
        <f t="shared" ref="AI39:AI45" si="16">AH39/(3.5*I39*1000)*100</f>
        <v>6.7418761496014712</v>
      </c>
      <c r="AJ39" s="38">
        <v>0</v>
      </c>
      <c r="AK39" s="38">
        <f>AP39/(3.5*I39*1000)*100</f>
        <v>0</v>
      </c>
      <c r="AL39" s="38">
        <v>0.11</v>
      </c>
      <c r="AM39" s="38">
        <f>AL39/(3.5*I39*1000)*100</f>
        <v>1.34886572654813E-2</v>
      </c>
      <c r="AN39" s="25"/>
      <c r="AO39" s="25"/>
    </row>
    <row r="40" spans="1:88" s="22" customFormat="1">
      <c r="A40" s="1">
        <v>1431</v>
      </c>
      <c r="B40" s="34" t="s">
        <v>1957</v>
      </c>
      <c r="C40" s="34">
        <v>447</v>
      </c>
      <c r="D40" s="75">
        <v>3589</v>
      </c>
      <c r="E40" s="69">
        <v>100</v>
      </c>
      <c r="F40" s="184" t="s">
        <v>1984</v>
      </c>
      <c r="G40" s="20">
        <v>436</v>
      </c>
      <c r="H40" s="20">
        <v>0</v>
      </c>
      <c r="I40" s="21">
        <v>0.436</v>
      </c>
      <c r="J40" s="8">
        <v>2</v>
      </c>
      <c r="K40" s="34" t="s">
        <v>12</v>
      </c>
      <c r="L40" s="10">
        <v>42217</v>
      </c>
      <c r="M40" s="9" t="s">
        <v>191</v>
      </c>
      <c r="N40" s="38">
        <v>0.3</v>
      </c>
      <c r="O40" s="38">
        <v>7.4999999999999997E-2</v>
      </c>
      <c r="P40" s="38">
        <v>0</v>
      </c>
      <c r="Q40" s="38">
        <v>0.05</v>
      </c>
      <c r="R40" s="38">
        <v>2.82294</v>
      </c>
      <c r="S40" s="38">
        <f t="shared" si="11"/>
        <v>3</v>
      </c>
      <c r="T40" s="38">
        <v>0.42499999999999999</v>
      </c>
      <c r="U40" s="38">
        <v>0</v>
      </c>
      <c r="V40" s="38">
        <v>0</v>
      </c>
      <c r="W40" s="38">
        <v>0</v>
      </c>
      <c r="X40" s="38">
        <v>2.0358000000000001</v>
      </c>
      <c r="Y40" s="38">
        <f t="shared" si="12"/>
        <v>2</v>
      </c>
      <c r="Z40" s="117">
        <v>0.42499999999999999</v>
      </c>
      <c r="AA40" s="38">
        <v>0</v>
      </c>
      <c r="AB40" s="38">
        <v>0</v>
      </c>
      <c r="AC40" s="38">
        <v>1.3672</v>
      </c>
      <c r="AD40" s="38">
        <v>173.43</v>
      </c>
      <c r="AE40" s="38">
        <v>110.15</v>
      </c>
      <c r="AF40" s="38">
        <v>14.974115334207077</v>
      </c>
      <c r="AG40" s="38">
        <f t="shared" si="13"/>
        <v>15</v>
      </c>
      <c r="AH40" s="38">
        <v>45.3</v>
      </c>
      <c r="AI40" s="38">
        <f t="shared" si="16"/>
        <v>2.9685452162516381</v>
      </c>
      <c r="AJ40" s="38">
        <v>0</v>
      </c>
      <c r="AK40" s="38">
        <f>AJ40/(3.5*I40*1000)*100</f>
        <v>0</v>
      </c>
      <c r="AL40" s="38">
        <v>1.91</v>
      </c>
      <c r="AM40" s="38">
        <f>AL40/(3.5*I40*1000)*100</f>
        <v>0.12516382699868939</v>
      </c>
      <c r="AN40" s="41"/>
    </row>
    <row r="41" spans="1:88" s="22" customFormat="1">
      <c r="A41" s="1">
        <v>2152</v>
      </c>
      <c r="B41" s="34" t="s">
        <v>2790</v>
      </c>
      <c r="C41" s="34">
        <v>331</v>
      </c>
      <c r="D41" s="209">
        <v>412</v>
      </c>
      <c r="E41" s="8">
        <v>100</v>
      </c>
      <c r="F41" s="9" t="s">
        <v>2791</v>
      </c>
      <c r="G41" s="20">
        <v>0</v>
      </c>
      <c r="H41" s="210">
        <v>233</v>
      </c>
      <c r="I41" s="9">
        <v>0.23300000000000001</v>
      </c>
      <c r="J41" s="9">
        <v>4</v>
      </c>
      <c r="K41" s="9" t="s">
        <v>96</v>
      </c>
      <c r="L41" s="18">
        <v>42304</v>
      </c>
      <c r="M41" s="9" t="s">
        <v>191</v>
      </c>
      <c r="N41" s="38">
        <v>0.05</v>
      </c>
      <c r="O41" s="38">
        <v>0.1</v>
      </c>
      <c r="P41" s="38">
        <v>0.125</v>
      </c>
      <c r="Q41" s="38">
        <v>0.05</v>
      </c>
      <c r="R41" s="38">
        <v>4.2992299999999997</v>
      </c>
      <c r="S41" s="38">
        <f t="shared" si="11"/>
        <v>4.5</v>
      </c>
      <c r="T41" s="38">
        <v>0.32500000000000001</v>
      </c>
      <c r="U41" s="38">
        <v>0</v>
      </c>
      <c r="V41" s="38">
        <v>0</v>
      </c>
      <c r="W41" s="38">
        <v>0</v>
      </c>
      <c r="X41" s="38">
        <v>2.5230000000000001</v>
      </c>
      <c r="Y41" s="38">
        <f t="shared" si="12"/>
        <v>2.5</v>
      </c>
      <c r="Z41" s="38">
        <v>0</v>
      </c>
      <c r="AA41" s="38">
        <v>0</v>
      </c>
      <c r="AB41" s="38">
        <v>0.32500000000000001</v>
      </c>
      <c r="AC41" s="38">
        <v>1.59354</v>
      </c>
      <c r="AD41" s="38">
        <v>116.98</v>
      </c>
      <c r="AE41" s="38">
        <v>1.974</v>
      </c>
      <c r="AF41" s="38">
        <f>(AD41+AE41*0.5)/(3.5*I41*1000)*100</f>
        <v>14.465603923973022</v>
      </c>
      <c r="AG41" s="38">
        <f t="shared" si="13"/>
        <v>14.5</v>
      </c>
      <c r="AH41" s="38">
        <v>43.27</v>
      </c>
      <c r="AI41" s="38">
        <f t="shared" si="16"/>
        <v>5.3059472716125082</v>
      </c>
      <c r="AJ41" s="38">
        <v>0</v>
      </c>
      <c r="AK41" s="38">
        <f>AJ41/(3.5*I41*1000)*100</f>
        <v>0</v>
      </c>
      <c r="AL41" s="38">
        <v>5.7000000000000002E-2</v>
      </c>
      <c r="AM41" s="38">
        <f>AL41/(3.5*I41*1000)*100</f>
        <v>6.9895769466584929E-3</v>
      </c>
      <c r="AN41" s="25"/>
      <c r="AO41" s="25"/>
    </row>
    <row r="42" spans="1:88" s="22" customFormat="1">
      <c r="A42" s="1">
        <v>209</v>
      </c>
      <c r="B42" s="34" t="s">
        <v>383</v>
      </c>
      <c r="C42" s="34">
        <v>535</v>
      </c>
      <c r="D42" s="34">
        <v>1210</v>
      </c>
      <c r="E42" s="34">
        <v>100</v>
      </c>
      <c r="F42" s="34" t="s">
        <v>403</v>
      </c>
      <c r="G42" s="20">
        <v>7942</v>
      </c>
      <c r="H42" s="20">
        <v>0</v>
      </c>
      <c r="I42" s="35">
        <v>7.9420000000000002</v>
      </c>
      <c r="J42" s="36">
        <v>2</v>
      </c>
      <c r="K42" s="34" t="s">
        <v>12</v>
      </c>
      <c r="L42" s="18">
        <v>42209</v>
      </c>
      <c r="M42" s="9" t="s">
        <v>191</v>
      </c>
      <c r="N42" s="38">
        <v>1.31</v>
      </c>
      <c r="O42" s="38">
        <v>2.5499999999999998</v>
      </c>
      <c r="P42" s="38">
        <v>1.59</v>
      </c>
      <c r="Q42" s="38">
        <v>2.5</v>
      </c>
      <c r="R42" s="38">
        <v>4.5629499999999998</v>
      </c>
      <c r="S42" s="38">
        <f t="shared" si="11"/>
        <v>4.5</v>
      </c>
      <c r="T42" s="38">
        <v>7.01</v>
      </c>
      <c r="U42" s="38">
        <v>0.61</v>
      </c>
      <c r="V42" s="38">
        <v>0.18</v>
      </c>
      <c r="W42" s="38">
        <v>0.15</v>
      </c>
      <c r="X42" s="38">
        <v>4.5161100000000003</v>
      </c>
      <c r="Y42" s="38">
        <f t="shared" si="12"/>
        <v>4.5</v>
      </c>
      <c r="Z42" s="38">
        <v>0</v>
      </c>
      <c r="AA42" s="38">
        <v>0</v>
      </c>
      <c r="AB42" s="38">
        <v>7.95</v>
      </c>
      <c r="AC42" s="38">
        <v>1.28535</v>
      </c>
      <c r="AD42" s="38">
        <v>3960</v>
      </c>
      <c r="AE42" s="38">
        <v>59.56</v>
      </c>
      <c r="AF42" s="38">
        <f>(AD42+AE42*0.5)/(3.5*I42*1000)*100</f>
        <v>14.353275533330937</v>
      </c>
      <c r="AG42" s="38">
        <f t="shared" si="13"/>
        <v>14.4</v>
      </c>
      <c r="AH42" s="38">
        <v>5341</v>
      </c>
      <c r="AI42" s="38">
        <f t="shared" si="16"/>
        <v>19.214303701838329</v>
      </c>
      <c r="AJ42" s="38">
        <v>5</v>
      </c>
      <c r="AK42" s="38">
        <f>AJ42/(3.5*I42*1000)*100</f>
        <v>1.7987552613591393E-2</v>
      </c>
      <c r="AL42" s="38">
        <v>1886</v>
      </c>
      <c r="AM42" s="38">
        <f>AL42/(3.5*I42*1000)*100</f>
        <v>6.7849048458466745</v>
      </c>
      <c r="AN42" s="25"/>
      <c r="AO42" s="25"/>
      <c r="AP42" s="25">
        <f>AE42*0.5</f>
        <v>29.78</v>
      </c>
      <c r="AQ42" s="25">
        <f>(AD42+AH42+AJ42+AL42+AP42)*I42</f>
        <v>89123.376760000014</v>
      </c>
      <c r="AR42" s="25"/>
      <c r="AS42" s="25"/>
      <c r="AT42" s="25"/>
      <c r="AU42" s="41">
        <f>SUM(N42:Q42)</f>
        <v>7.95</v>
      </c>
      <c r="AV42" s="41">
        <f>SUM(T42:W42)</f>
        <v>7.95</v>
      </c>
      <c r="AW42" s="41">
        <f>SUM(Z42:AB42)</f>
        <v>7.95</v>
      </c>
      <c r="AX42" s="41"/>
      <c r="AY42" s="22">
        <f>I42/AU42</f>
        <v>0.99899371069182386</v>
      </c>
      <c r="AZ42" s="22">
        <f>I42/AV42</f>
        <v>0.99899371069182386</v>
      </c>
      <c r="BA42" s="22">
        <f>I42/AW42</f>
        <v>0.99899371069182386</v>
      </c>
    </row>
    <row r="43" spans="1:88" s="22" customFormat="1">
      <c r="A43" s="1">
        <v>1232</v>
      </c>
      <c r="B43" s="34" t="s">
        <v>1725</v>
      </c>
      <c r="C43" s="88">
        <v>437</v>
      </c>
      <c r="D43" s="88">
        <v>3001</v>
      </c>
      <c r="E43" s="88">
        <v>100</v>
      </c>
      <c r="F43" s="88" t="s">
        <v>1738</v>
      </c>
      <c r="G43" s="88" t="s">
        <v>92</v>
      </c>
      <c r="H43" s="88" t="s">
        <v>1739</v>
      </c>
      <c r="I43" s="115">
        <v>0.17799999999999999</v>
      </c>
      <c r="J43" s="88">
        <v>2</v>
      </c>
      <c r="K43" s="88" t="s">
        <v>237</v>
      </c>
      <c r="L43" s="116">
        <v>42282</v>
      </c>
      <c r="M43" s="9" t="s">
        <v>191</v>
      </c>
      <c r="N43" s="38">
        <v>0</v>
      </c>
      <c r="O43" s="38">
        <v>0.05</v>
      </c>
      <c r="P43" s="38">
        <v>0.1</v>
      </c>
      <c r="Q43" s="38">
        <v>0.05</v>
      </c>
      <c r="R43" s="38">
        <v>5.0875000000000004</v>
      </c>
      <c r="S43" s="38">
        <f t="shared" si="11"/>
        <v>5</v>
      </c>
      <c r="T43" s="38">
        <v>0.2</v>
      </c>
      <c r="U43" s="38">
        <v>0</v>
      </c>
      <c r="V43" s="38">
        <v>0</v>
      </c>
      <c r="W43" s="38">
        <v>0</v>
      </c>
      <c r="X43" s="38">
        <v>2.5209999999999999</v>
      </c>
      <c r="Y43" s="38">
        <f t="shared" si="12"/>
        <v>2.5</v>
      </c>
      <c r="Z43" s="38">
        <v>0</v>
      </c>
      <c r="AA43" s="117">
        <v>0</v>
      </c>
      <c r="AB43" s="117">
        <v>0.17799999999999999</v>
      </c>
      <c r="AC43" s="117">
        <v>1.2553799999999999</v>
      </c>
      <c r="AD43" s="117">
        <v>84.665000000000006</v>
      </c>
      <c r="AE43" s="117">
        <v>4.9800000000000004</v>
      </c>
      <c r="AF43" s="117">
        <f>(AD43+AE43*0.5)/(3.5*I43*1000)*100</f>
        <v>13.989566613162118</v>
      </c>
      <c r="AG43" s="38">
        <f t="shared" si="13"/>
        <v>14</v>
      </c>
      <c r="AH43" s="117">
        <v>16.39</v>
      </c>
      <c r="AI43" s="117">
        <f t="shared" si="16"/>
        <v>2.6308186195826648</v>
      </c>
      <c r="AJ43" s="117">
        <v>2.5000000000000001E-3</v>
      </c>
      <c r="AK43" s="117">
        <f>AJ43/(3.5*I43*1000)*100</f>
        <v>4.0128410914927769E-4</v>
      </c>
      <c r="AL43" s="117">
        <v>6.6</v>
      </c>
      <c r="AM43" s="117">
        <f>AJ43/(3.5*I43*1000)*100</f>
        <v>4.0128410914927769E-4</v>
      </c>
      <c r="AN43" s="12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</row>
    <row r="44" spans="1:88" s="22" customFormat="1">
      <c r="A44" s="1">
        <v>277</v>
      </c>
      <c r="B44" s="34" t="s">
        <v>484</v>
      </c>
      <c r="C44" s="34">
        <v>641</v>
      </c>
      <c r="D44" s="34">
        <v>2287</v>
      </c>
      <c r="E44" s="34">
        <v>200</v>
      </c>
      <c r="F44" s="34" t="s">
        <v>501</v>
      </c>
      <c r="G44" s="58">
        <v>78035</v>
      </c>
      <c r="H44" s="58">
        <v>85379</v>
      </c>
      <c r="I44" s="35">
        <v>7.3440000000000003</v>
      </c>
      <c r="J44" s="59">
        <v>2</v>
      </c>
      <c r="K44" s="34" t="s">
        <v>238</v>
      </c>
      <c r="L44" s="10">
        <v>42160</v>
      </c>
      <c r="M44" s="9" t="s">
        <v>191</v>
      </c>
      <c r="N44" s="38">
        <v>5</v>
      </c>
      <c r="O44" s="38">
        <v>1.4</v>
      </c>
      <c r="P44" s="38">
        <v>0.47499999999999998</v>
      </c>
      <c r="Q44" s="38">
        <v>0.3</v>
      </c>
      <c r="R44" s="38">
        <v>3.4081100000000002</v>
      </c>
      <c r="S44" s="38">
        <f t="shared" si="11"/>
        <v>3.5</v>
      </c>
      <c r="T44" s="38">
        <v>7.05</v>
      </c>
      <c r="U44" s="38">
        <v>0.125</v>
      </c>
      <c r="V44" s="38">
        <v>0</v>
      </c>
      <c r="W44" s="38">
        <v>0</v>
      </c>
      <c r="X44" s="38">
        <v>4.0069699999999999</v>
      </c>
      <c r="Y44" s="38">
        <f t="shared" si="12"/>
        <v>4</v>
      </c>
      <c r="Z44" s="38">
        <v>0</v>
      </c>
      <c r="AA44" s="38">
        <v>0</v>
      </c>
      <c r="AB44" s="38">
        <f>T44+U44+V44+W44</f>
        <v>7.1749999999999998</v>
      </c>
      <c r="AC44" s="38">
        <v>1.43926</v>
      </c>
      <c r="AD44" s="38">
        <v>814</v>
      </c>
      <c r="AE44" s="38">
        <v>5134</v>
      </c>
      <c r="AF44" s="38">
        <f>(AD44+AE44*0.5)/(3.5*I44*1000)*100</f>
        <v>13.153594771241831</v>
      </c>
      <c r="AG44" s="38">
        <f t="shared" si="13"/>
        <v>13.2</v>
      </c>
      <c r="AH44" s="38">
        <v>35</v>
      </c>
      <c r="AI44" s="38">
        <f t="shared" si="16"/>
        <v>0.13616557734204793</v>
      </c>
      <c r="AJ44" s="38">
        <v>35.11</v>
      </c>
      <c r="AK44" s="38">
        <v>0</v>
      </c>
      <c r="AL44" s="38">
        <v>0</v>
      </c>
      <c r="AM44" s="38">
        <f>AL44/(3.5*I44*1000)*100</f>
        <v>0</v>
      </c>
      <c r="AN44" s="60"/>
      <c r="AO44" s="60">
        <f>AE44*0.5</f>
        <v>2567</v>
      </c>
      <c r="AP44" s="60">
        <f>(AD44+AH44+AJ44+AL44+AO44)*I44</f>
        <v>25344.951840000002</v>
      </c>
      <c r="AQ44" s="25">
        <f>SUM(N44:Q44)</f>
        <v>7.1749999999999998</v>
      </c>
      <c r="AR44" s="25">
        <f>SUM(T44:W44)</f>
        <v>7.1749999999999998</v>
      </c>
      <c r="AS44" s="61"/>
      <c r="AT44" s="40"/>
      <c r="AU44" s="41">
        <f>SUM(N44:Q44)</f>
        <v>7.1749999999999998</v>
      </c>
      <c r="AV44" s="41">
        <f>SUM(T44:W44)</f>
        <v>7.1749999999999998</v>
      </c>
      <c r="AW44" s="41">
        <f>SUM(Z44:AB44)</f>
        <v>7.1749999999999998</v>
      </c>
      <c r="AX44" s="61"/>
      <c r="AY44" s="22">
        <f>I44/AU44</f>
        <v>1.0235540069686411</v>
      </c>
      <c r="AZ44" s="22">
        <f>I44/AV44</f>
        <v>1.0235540069686411</v>
      </c>
      <c r="BA44" s="22">
        <f>I44/AW44</f>
        <v>1.0235540069686411</v>
      </c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</row>
    <row r="45" spans="1:88" s="22" customFormat="1">
      <c r="A45" s="1">
        <v>1106</v>
      </c>
      <c r="B45" s="9" t="s">
        <v>1513</v>
      </c>
      <c r="C45" s="34">
        <v>431</v>
      </c>
      <c r="D45" s="75">
        <v>2321</v>
      </c>
      <c r="E45" s="69">
        <v>200</v>
      </c>
      <c r="F45" s="34" t="s">
        <v>1533</v>
      </c>
      <c r="G45" s="20" t="s">
        <v>1534</v>
      </c>
      <c r="H45" s="20" t="s">
        <v>1535</v>
      </c>
      <c r="I45" s="21">
        <v>0.501</v>
      </c>
      <c r="J45" s="8">
        <v>2</v>
      </c>
      <c r="K45" s="5" t="s">
        <v>238</v>
      </c>
      <c r="L45" s="18">
        <v>42282</v>
      </c>
      <c r="M45" s="9" t="s">
        <v>191</v>
      </c>
      <c r="N45" s="38">
        <v>0.125</v>
      </c>
      <c r="O45" s="38">
        <v>0.22500000000000001</v>
      </c>
      <c r="P45" s="38">
        <v>0.1</v>
      </c>
      <c r="Q45" s="38">
        <v>0.05</v>
      </c>
      <c r="R45" s="38">
        <v>3.3079999999999998</v>
      </c>
      <c r="S45" s="38">
        <f t="shared" si="11"/>
        <v>3.5</v>
      </c>
      <c r="T45" s="38">
        <v>0.5</v>
      </c>
      <c r="U45" s="38">
        <v>0</v>
      </c>
      <c r="V45" s="38">
        <v>0</v>
      </c>
      <c r="W45" s="38">
        <v>0</v>
      </c>
      <c r="X45" s="38">
        <v>3.1901000000000002</v>
      </c>
      <c r="Y45" s="38">
        <f t="shared" si="12"/>
        <v>3</v>
      </c>
      <c r="Z45" s="38">
        <v>0</v>
      </c>
      <c r="AA45" s="38">
        <v>0</v>
      </c>
      <c r="AB45" s="38">
        <v>0.49999999999999994</v>
      </c>
      <c r="AC45" s="38">
        <v>1.5828</v>
      </c>
      <c r="AD45" s="38">
        <v>225.96799999999999</v>
      </c>
      <c r="AE45" s="38">
        <v>7.29</v>
      </c>
      <c r="AF45" s="38">
        <f>(AD45+AE45*0.5)/(3.5*I45*1000)*100</f>
        <v>13.09455374964357</v>
      </c>
      <c r="AG45" s="38">
        <f t="shared" si="13"/>
        <v>13.1</v>
      </c>
      <c r="AH45" s="38">
        <v>93.21</v>
      </c>
      <c r="AI45" s="38">
        <f t="shared" si="16"/>
        <v>5.3156544054747643</v>
      </c>
      <c r="AJ45" s="38">
        <v>0</v>
      </c>
      <c r="AK45" s="38">
        <f>AJ45/(3.5*I45*1000)*100</f>
        <v>0</v>
      </c>
      <c r="AL45" s="38">
        <v>1.0049999999999999</v>
      </c>
      <c r="AM45" s="38">
        <f>AL45/(3.5*I45*1000)*100</f>
        <v>5.7313943541488444E-2</v>
      </c>
      <c r="AN45" s="41"/>
      <c r="AO45" s="72"/>
      <c r="AP45" s="73"/>
      <c r="AQ45" s="73"/>
    </row>
    <row r="46" spans="1:88" s="22" customFormat="1">
      <c r="A46" s="1">
        <v>1344</v>
      </c>
      <c r="B46" s="74" t="s">
        <v>1851</v>
      </c>
      <c r="C46" s="34">
        <v>444</v>
      </c>
      <c r="D46" s="75">
        <v>3548</v>
      </c>
      <c r="E46" s="69">
        <v>100</v>
      </c>
      <c r="F46" s="34" t="s">
        <v>1889</v>
      </c>
      <c r="G46" s="53" t="s">
        <v>1893</v>
      </c>
      <c r="H46" s="53" t="s">
        <v>1894</v>
      </c>
      <c r="I46" s="5">
        <v>1.218</v>
      </c>
      <c r="J46" s="8">
        <v>2</v>
      </c>
      <c r="K46" s="34" t="s">
        <v>238</v>
      </c>
      <c r="L46" s="10">
        <v>42214</v>
      </c>
      <c r="M46" s="9" t="s">
        <v>191</v>
      </c>
      <c r="N46" s="38">
        <v>0</v>
      </c>
      <c r="O46" s="38">
        <v>0.17499999999999999</v>
      </c>
      <c r="P46" s="38">
        <v>0.52500000000000002</v>
      </c>
      <c r="Q46" s="38">
        <v>0.47499999999999998</v>
      </c>
      <c r="R46" s="38">
        <v>5.5161699999999998</v>
      </c>
      <c r="S46" s="38">
        <f t="shared" si="11"/>
        <v>5.5</v>
      </c>
      <c r="T46" s="38">
        <v>2.5000000000000001E-2</v>
      </c>
      <c r="U46" s="38">
        <v>0.67500000000000004</v>
      </c>
      <c r="V46" s="38">
        <v>0.4</v>
      </c>
      <c r="W46" s="38">
        <v>7.4999999999999997E-2</v>
      </c>
      <c r="X46" s="38">
        <v>14.8185</v>
      </c>
      <c r="Y46" s="38">
        <f t="shared" si="12"/>
        <v>15</v>
      </c>
      <c r="Z46" s="38">
        <v>0</v>
      </c>
      <c r="AA46" s="38">
        <v>0</v>
      </c>
      <c r="AB46" s="38">
        <v>1.1749999999999998</v>
      </c>
      <c r="AC46" s="38">
        <v>1.4393</v>
      </c>
      <c r="AD46" s="38">
        <v>543.6</v>
      </c>
      <c r="AE46" s="38">
        <v>23.32</v>
      </c>
      <c r="AF46" s="38">
        <v>13.025099695050436</v>
      </c>
      <c r="AG46" s="38">
        <f t="shared" si="13"/>
        <v>13</v>
      </c>
      <c r="AH46" s="38">
        <v>143.44</v>
      </c>
      <c r="AI46" s="38">
        <v>3.3647665962936899</v>
      </c>
      <c r="AJ46" s="38">
        <v>1.944</v>
      </c>
      <c r="AK46" s="38">
        <v>4.5601688951442641E-2</v>
      </c>
      <c r="AL46" s="38">
        <v>0</v>
      </c>
      <c r="AM46" s="38">
        <v>0</v>
      </c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</row>
    <row r="47" spans="1:88" s="22" customFormat="1">
      <c r="A47" s="1">
        <v>1350</v>
      </c>
      <c r="B47" s="74" t="s">
        <v>1851</v>
      </c>
      <c r="C47" s="34">
        <v>444</v>
      </c>
      <c r="D47" s="75">
        <v>3581</v>
      </c>
      <c r="E47" s="69">
        <v>100</v>
      </c>
      <c r="F47" s="34" t="s">
        <v>1901</v>
      </c>
      <c r="G47" s="20">
        <v>0</v>
      </c>
      <c r="H47" s="20">
        <v>1335</v>
      </c>
      <c r="I47" s="21">
        <v>1.335</v>
      </c>
      <c r="J47" s="8">
        <v>2</v>
      </c>
      <c r="K47" s="34" t="s">
        <v>238</v>
      </c>
      <c r="L47" s="10">
        <v>42212</v>
      </c>
      <c r="M47" s="9" t="s">
        <v>191</v>
      </c>
      <c r="N47" s="38">
        <v>0.5</v>
      </c>
      <c r="O47" s="38">
        <v>0.5</v>
      </c>
      <c r="P47" s="38">
        <v>0.25</v>
      </c>
      <c r="Q47" s="38">
        <v>0.1</v>
      </c>
      <c r="R47" s="38">
        <v>3.1092599999999999</v>
      </c>
      <c r="S47" s="38">
        <f t="shared" si="11"/>
        <v>3</v>
      </c>
      <c r="T47" s="38">
        <v>1.325</v>
      </c>
      <c r="U47" s="38">
        <v>2.5000000000000001E-2</v>
      </c>
      <c r="V47" s="38">
        <v>0</v>
      </c>
      <c r="W47" s="38">
        <v>0</v>
      </c>
      <c r="X47" s="38">
        <v>1.83778</v>
      </c>
      <c r="Y47" s="38">
        <f t="shared" si="12"/>
        <v>2</v>
      </c>
      <c r="Z47" s="38">
        <v>0</v>
      </c>
      <c r="AA47" s="38">
        <v>0</v>
      </c>
      <c r="AB47" s="38">
        <v>1.35</v>
      </c>
      <c r="AC47" s="38">
        <v>1.06724</v>
      </c>
      <c r="AD47" s="38">
        <v>329</v>
      </c>
      <c r="AE47" s="38">
        <v>503</v>
      </c>
      <c r="AF47" s="38">
        <v>12.423756019261639</v>
      </c>
      <c r="AG47" s="38">
        <f t="shared" si="13"/>
        <v>12.4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</row>
    <row r="48" spans="1:88" s="22" customFormat="1">
      <c r="A48" s="1">
        <v>1885</v>
      </c>
      <c r="B48" s="34" t="s">
        <v>2495</v>
      </c>
      <c r="C48" s="34">
        <v>335</v>
      </c>
      <c r="D48" s="75">
        <v>3357</v>
      </c>
      <c r="E48" s="8">
        <v>100</v>
      </c>
      <c r="F48" s="9" t="s">
        <v>2520</v>
      </c>
      <c r="G48" s="20" t="s">
        <v>2521</v>
      </c>
      <c r="H48" s="20" t="s">
        <v>92</v>
      </c>
      <c r="I48" s="21">
        <v>0.315</v>
      </c>
      <c r="J48" s="34">
        <v>2</v>
      </c>
      <c r="K48" s="34" t="s">
        <v>12</v>
      </c>
      <c r="L48" s="18">
        <v>42093</v>
      </c>
      <c r="M48" s="207" t="s">
        <v>191</v>
      </c>
      <c r="N48" s="38">
        <v>0</v>
      </c>
      <c r="O48" s="38">
        <v>0</v>
      </c>
      <c r="P48" s="38">
        <v>0</v>
      </c>
      <c r="Q48" s="38">
        <v>0.32</v>
      </c>
      <c r="R48" s="38">
        <v>11.0425</v>
      </c>
      <c r="S48" s="38">
        <f t="shared" si="11"/>
        <v>11</v>
      </c>
      <c r="T48" s="38">
        <v>0.32</v>
      </c>
      <c r="U48" s="38">
        <v>0</v>
      </c>
      <c r="V48" s="38">
        <v>0</v>
      </c>
      <c r="W48" s="38">
        <v>0</v>
      </c>
      <c r="X48" s="38">
        <v>5.6269999999999998</v>
      </c>
      <c r="Y48" s="38">
        <f t="shared" si="12"/>
        <v>5.5</v>
      </c>
      <c r="Z48" s="38">
        <v>0</v>
      </c>
      <c r="AA48" s="38">
        <v>0</v>
      </c>
      <c r="AB48" s="38">
        <v>0.32</v>
      </c>
      <c r="AC48" s="38">
        <v>1.7909999999999999</v>
      </c>
      <c r="AD48" s="38">
        <v>126.35</v>
      </c>
      <c r="AE48" s="38">
        <v>12.96</v>
      </c>
      <c r="AF48" s="38">
        <f>(AD48+AE48*0.5)/(3.5*I48*1000)*100</f>
        <v>12.048072562358275</v>
      </c>
      <c r="AG48" s="38">
        <f t="shared" si="13"/>
        <v>12</v>
      </c>
      <c r="AH48" s="38">
        <v>63.21</v>
      </c>
      <c r="AI48" s="38">
        <f>AH48/(3.5*I48*1000)*100</f>
        <v>5.7333333333333334</v>
      </c>
      <c r="AJ48" s="38">
        <v>0</v>
      </c>
      <c r="AK48" s="38">
        <f>AJ48/(3.5*I48*1000)*100</f>
        <v>0</v>
      </c>
      <c r="AL48" s="38">
        <v>0</v>
      </c>
      <c r="AM48" s="38">
        <f>AL48/(3.5*I48*1000)*100</f>
        <v>0</v>
      </c>
      <c r="AN48" s="73"/>
      <c r="AO48" s="73"/>
      <c r="AP48" s="73"/>
      <c r="AQ48" s="41">
        <f>SUM(N48:Q48)</f>
        <v>0.32</v>
      </c>
      <c r="AR48" s="41">
        <f>SUM(T48:W48)</f>
        <v>0.32</v>
      </c>
      <c r="AS48" s="12">
        <f>SUM(Z48:AB48)</f>
        <v>0.32</v>
      </c>
      <c r="AT48" s="1"/>
      <c r="AU48" s="1">
        <f>I48/AQ48</f>
        <v>0.984375</v>
      </c>
      <c r="AV48" s="1">
        <f>I48/AR48</f>
        <v>0.984375</v>
      </c>
      <c r="AW48" s="1">
        <f>I48/AS48</f>
        <v>0.984375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</row>
    <row r="49" spans="1:88" s="22" customFormat="1">
      <c r="A49" s="1">
        <v>530</v>
      </c>
      <c r="B49" s="88" t="s">
        <v>871</v>
      </c>
      <c r="C49" s="88">
        <v>557</v>
      </c>
      <c r="D49" s="88">
        <v>1383</v>
      </c>
      <c r="E49" s="88">
        <v>100</v>
      </c>
      <c r="F49" s="88" t="s">
        <v>911</v>
      </c>
      <c r="G49" s="88" t="s">
        <v>912</v>
      </c>
      <c r="H49" s="88" t="s">
        <v>92</v>
      </c>
      <c r="I49" s="115">
        <v>0.30199999999999999</v>
      </c>
      <c r="J49" s="88" t="s">
        <v>12</v>
      </c>
      <c r="K49" s="88">
        <v>2</v>
      </c>
      <c r="L49" s="116">
        <v>42270</v>
      </c>
      <c r="M49" s="9" t="s">
        <v>191</v>
      </c>
      <c r="N49" s="117">
        <v>0</v>
      </c>
      <c r="O49" s="117">
        <v>0</v>
      </c>
      <c r="P49" s="117">
        <v>0.05</v>
      </c>
      <c r="Q49" s="117">
        <v>0.25</v>
      </c>
      <c r="R49" s="117">
        <v>6.915</v>
      </c>
      <c r="S49" s="38">
        <f t="shared" si="11"/>
        <v>7</v>
      </c>
      <c r="T49" s="117">
        <v>0.25</v>
      </c>
      <c r="U49" s="117">
        <v>0.05</v>
      </c>
      <c r="V49" s="117">
        <v>0</v>
      </c>
      <c r="W49" s="117">
        <v>0</v>
      </c>
      <c r="X49" s="117">
        <v>5.6433299999999997</v>
      </c>
      <c r="Y49" s="38">
        <f t="shared" si="12"/>
        <v>5.5</v>
      </c>
      <c r="Z49" s="117">
        <v>0</v>
      </c>
      <c r="AA49" s="117">
        <v>0</v>
      </c>
      <c r="AB49" s="117">
        <v>0.3</v>
      </c>
      <c r="AC49" s="117">
        <v>1.0660000000000001</v>
      </c>
      <c r="AD49" s="117">
        <v>113.59</v>
      </c>
      <c r="AE49" s="117">
        <v>8.2100000000000009</v>
      </c>
      <c r="AF49" s="117">
        <v>11.134819999999999</v>
      </c>
      <c r="AG49" s="38">
        <f t="shared" si="13"/>
        <v>11.1</v>
      </c>
      <c r="AH49" s="117">
        <v>77.569999999999993</v>
      </c>
      <c r="AI49" s="117">
        <v>7.3386940000000003</v>
      </c>
      <c r="AJ49" s="117">
        <v>0</v>
      </c>
      <c r="AK49" s="117">
        <v>0</v>
      </c>
      <c r="AL49" s="117">
        <v>0</v>
      </c>
      <c r="AM49" s="117">
        <v>0</v>
      </c>
      <c r="AN49" s="25"/>
      <c r="AO49" s="25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</row>
    <row r="50" spans="1:88" s="22" customFormat="1">
      <c r="A50" s="1">
        <v>1137</v>
      </c>
      <c r="B50" s="74" t="s">
        <v>1577</v>
      </c>
      <c r="C50" s="34">
        <v>432</v>
      </c>
      <c r="D50" s="34">
        <v>2089</v>
      </c>
      <c r="E50" s="34">
        <v>100</v>
      </c>
      <c r="F50" s="34" t="s">
        <v>1583</v>
      </c>
      <c r="G50" s="34" t="s">
        <v>1584</v>
      </c>
      <c r="H50" s="34" t="s">
        <v>1585</v>
      </c>
      <c r="I50" s="55">
        <v>0.19500000000000001</v>
      </c>
      <c r="J50" s="5">
        <v>2</v>
      </c>
      <c r="K50" s="34" t="s">
        <v>12</v>
      </c>
      <c r="L50" s="10">
        <v>42282</v>
      </c>
      <c r="M50" s="9" t="s">
        <v>191</v>
      </c>
      <c r="N50" s="38">
        <v>10.25</v>
      </c>
      <c r="O50" s="38">
        <v>3.4</v>
      </c>
      <c r="P50" s="38">
        <v>1.35</v>
      </c>
      <c r="Q50" s="38">
        <v>0.67500000000000004</v>
      </c>
      <c r="R50" s="38">
        <v>2.5606900000000001</v>
      </c>
      <c r="S50" s="38">
        <f t="shared" si="11"/>
        <v>2.5</v>
      </c>
      <c r="T50" s="38">
        <v>14.824999999999999</v>
      </c>
      <c r="U50" s="38">
        <v>0.8</v>
      </c>
      <c r="V50" s="38">
        <v>0.05</v>
      </c>
      <c r="W50" s="38">
        <v>0</v>
      </c>
      <c r="X50" s="38">
        <v>5.0292500000000002</v>
      </c>
      <c r="Y50" s="38">
        <f t="shared" si="12"/>
        <v>5</v>
      </c>
      <c r="Z50" s="38">
        <v>0</v>
      </c>
      <c r="AA50" s="38">
        <v>0</v>
      </c>
      <c r="AB50" s="38">
        <v>15.675000000000001</v>
      </c>
      <c r="AC50" s="38">
        <v>1.7336100000000001</v>
      </c>
      <c r="AD50" s="38">
        <v>75.325000000000003</v>
      </c>
      <c r="AE50" s="38">
        <v>0.35</v>
      </c>
      <c r="AF50" s="38">
        <v>11.06227</v>
      </c>
      <c r="AG50" s="38">
        <f t="shared" si="13"/>
        <v>11.1</v>
      </c>
      <c r="AH50" s="38">
        <v>103.65</v>
      </c>
      <c r="AI50" s="38">
        <v>15.186809999999999</v>
      </c>
      <c r="AJ50" s="38">
        <v>0</v>
      </c>
      <c r="AK50" s="38">
        <v>0</v>
      </c>
      <c r="AL50" s="38">
        <v>0</v>
      </c>
      <c r="AM50" s="38">
        <v>0</v>
      </c>
      <c r="AN50" s="114"/>
      <c r="AO50" s="73"/>
    </row>
    <row r="51" spans="1:88" s="22" customFormat="1">
      <c r="A51" s="1">
        <v>305</v>
      </c>
      <c r="B51" s="34" t="s">
        <v>529</v>
      </c>
      <c r="C51" s="34">
        <v>643</v>
      </c>
      <c r="D51" s="34">
        <v>2142</v>
      </c>
      <c r="E51" s="34">
        <v>100</v>
      </c>
      <c r="F51" s="34" t="s">
        <v>538</v>
      </c>
      <c r="G51" s="58">
        <v>0</v>
      </c>
      <c r="H51" s="58">
        <v>6500</v>
      </c>
      <c r="I51" s="35">
        <v>6.5</v>
      </c>
      <c r="J51" s="62">
        <v>2</v>
      </c>
      <c r="K51" s="34" t="s">
        <v>238</v>
      </c>
      <c r="L51" s="10">
        <v>42163</v>
      </c>
      <c r="M51" s="9" t="s">
        <v>191</v>
      </c>
      <c r="N51" s="38">
        <v>4.125</v>
      </c>
      <c r="O51" s="38">
        <v>1.85</v>
      </c>
      <c r="P51" s="38">
        <v>0.42499999999999999</v>
      </c>
      <c r="Q51" s="38">
        <v>7.4999999999999997E-2</v>
      </c>
      <c r="R51" s="38">
        <v>2.4165999999999999</v>
      </c>
      <c r="S51" s="38">
        <f t="shared" si="11"/>
        <v>2.5</v>
      </c>
      <c r="T51" s="38">
        <v>6.4</v>
      </c>
      <c r="U51" s="38">
        <v>7.4999999999999997E-2</v>
      </c>
      <c r="V51" s="38">
        <v>0</v>
      </c>
      <c r="W51" s="38">
        <v>0</v>
      </c>
      <c r="X51" s="38">
        <v>2.6825299999999999</v>
      </c>
      <c r="Y51" s="38">
        <f t="shared" si="12"/>
        <v>2.5</v>
      </c>
      <c r="Z51" s="38">
        <v>0</v>
      </c>
      <c r="AA51" s="38">
        <v>0</v>
      </c>
      <c r="AB51" s="38">
        <f>T51+U51+V51+W51</f>
        <v>6.4750000000000005</v>
      </c>
      <c r="AC51" s="38">
        <v>1.2168699999999999</v>
      </c>
      <c r="AD51" s="38">
        <v>431</v>
      </c>
      <c r="AE51" s="38">
        <v>4166</v>
      </c>
      <c r="AF51" s="38">
        <v>11.0505</v>
      </c>
      <c r="AG51" s="38">
        <f t="shared" si="13"/>
        <v>11.1</v>
      </c>
      <c r="AH51" s="38">
        <v>0</v>
      </c>
      <c r="AI51" s="38">
        <v>0</v>
      </c>
      <c r="AJ51" s="38">
        <v>103.46</v>
      </c>
      <c r="AK51" s="38">
        <v>0.45476899999999998</v>
      </c>
      <c r="AL51" s="38">
        <v>0</v>
      </c>
      <c r="AM51" s="38">
        <v>1</v>
      </c>
      <c r="AN51" s="25"/>
      <c r="AO51" s="25"/>
      <c r="AP51" s="25">
        <f>AE51*0.5</f>
        <v>2083</v>
      </c>
      <c r="AQ51" s="25">
        <f>(AD51+AH51+AJ51+AL51+AP51)*I51</f>
        <v>17013.490000000002</v>
      </c>
      <c r="AR51" s="25">
        <f>SUM(N51:Q51)</f>
        <v>6.4749999999999996</v>
      </c>
      <c r="AS51" s="25">
        <f>SUM(T51:W51)</f>
        <v>6.4750000000000005</v>
      </c>
      <c r="AU51" s="41">
        <f>SUM(N51:Q51)</f>
        <v>6.4749999999999996</v>
      </c>
      <c r="AV51" s="41">
        <f>SUM(T51:W51)</f>
        <v>6.4750000000000005</v>
      </c>
      <c r="AW51" s="41">
        <f>SUM(Z51:AB51)</f>
        <v>6.4750000000000005</v>
      </c>
      <c r="AY51" s="22">
        <f>I51/AU51</f>
        <v>1.0038610038610039</v>
      </c>
      <c r="AZ51" s="22">
        <f>I51/AV51</f>
        <v>1.0038610038610039</v>
      </c>
      <c r="BA51" s="22">
        <f>I51/AW51</f>
        <v>1.0038610038610039</v>
      </c>
    </row>
    <row r="52" spans="1:88" s="22" customFormat="1">
      <c r="A52" s="1">
        <v>1400</v>
      </c>
      <c r="B52" s="34" t="s">
        <v>1940</v>
      </c>
      <c r="C52" s="34">
        <v>446</v>
      </c>
      <c r="D52" s="75">
        <v>3583</v>
      </c>
      <c r="E52" s="69">
        <v>100</v>
      </c>
      <c r="F52" s="34" t="s">
        <v>1956</v>
      </c>
      <c r="G52" s="20">
        <v>0</v>
      </c>
      <c r="H52" s="20">
        <v>365</v>
      </c>
      <c r="I52" s="21">
        <v>0.36499999999999999</v>
      </c>
      <c r="J52" s="8">
        <v>4</v>
      </c>
      <c r="K52" s="34" t="s">
        <v>237</v>
      </c>
      <c r="L52" s="10">
        <v>42220</v>
      </c>
      <c r="M52" s="9" t="s">
        <v>191</v>
      </c>
      <c r="N52" s="38">
        <v>0.16</v>
      </c>
      <c r="O52" s="38">
        <v>0.1</v>
      </c>
      <c r="P52" s="38">
        <v>0.08</v>
      </c>
      <c r="Q52" s="38">
        <v>0.03</v>
      </c>
      <c r="R52" s="38">
        <v>3.36571</v>
      </c>
      <c r="S52" s="38">
        <f t="shared" si="11"/>
        <v>3.5</v>
      </c>
      <c r="T52" s="38">
        <v>0.36</v>
      </c>
      <c r="U52" s="38">
        <v>0</v>
      </c>
      <c r="V52" s="38">
        <v>0</v>
      </c>
      <c r="W52" s="38">
        <v>0</v>
      </c>
      <c r="X52" s="38">
        <v>2.0029300000000001</v>
      </c>
      <c r="Y52" s="38">
        <f t="shared" si="12"/>
        <v>2</v>
      </c>
      <c r="Z52" s="38">
        <v>0</v>
      </c>
      <c r="AA52" s="38">
        <v>0</v>
      </c>
      <c r="AB52" s="11">
        <v>0.37</v>
      </c>
      <c r="AC52" s="38">
        <v>1.1763600000000001</v>
      </c>
      <c r="AD52" s="38">
        <v>100.32</v>
      </c>
      <c r="AE52" s="38">
        <v>81.25</v>
      </c>
      <c r="AF52" s="38">
        <v>11.032876712328768</v>
      </c>
      <c r="AG52" s="38">
        <f t="shared" si="13"/>
        <v>11</v>
      </c>
      <c r="AH52" s="38">
        <v>92.540999999999997</v>
      </c>
      <c r="AI52" s="38">
        <v>7.2439138943248551</v>
      </c>
      <c r="AJ52" s="38">
        <v>0</v>
      </c>
      <c r="AK52" s="38">
        <v>0</v>
      </c>
      <c r="AL52" s="38">
        <v>0</v>
      </c>
      <c r="AM52" s="38">
        <v>0</v>
      </c>
      <c r="AN52" s="12"/>
      <c r="AO52" s="1"/>
      <c r="AP52" s="12">
        <f>SUM(N52:Q52)</f>
        <v>0.37</v>
      </c>
      <c r="AQ52" s="12">
        <f>SUM(T52:W52)</f>
        <v>0.36</v>
      </c>
      <c r="AR52" s="12">
        <f>SUM(Z52:AB52)</f>
        <v>0.37</v>
      </c>
      <c r="AS52" s="1"/>
      <c r="AT52" s="1">
        <f>I52/AP52</f>
        <v>0.98648648648648651</v>
      </c>
      <c r="AU52" s="1">
        <f>I52/AQ52</f>
        <v>1.0138888888888888</v>
      </c>
      <c r="AV52" s="1">
        <f>I52/AR52</f>
        <v>0.98648648648648651</v>
      </c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</row>
    <row r="53" spans="1:88" s="22" customFormat="1">
      <c r="A53" s="1">
        <v>1601</v>
      </c>
      <c r="B53" s="34" t="s">
        <v>2137</v>
      </c>
      <c r="C53" s="5">
        <v>416</v>
      </c>
      <c r="D53" s="5">
        <v>346</v>
      </c>
      <c r="E53" s="5">
        <v>102</v>
      </c>
      <c r="F53" s="5" t="s">
        <v>2169</v>
      </c>
      <c r="G53" s="53" t="s">
        <v>2171</v>
      </c>
      <c r="H53" s="53" t="s">
        <v>2172</v>
      </c>
      <c r="I53" s="198">
        <v>1.244</v>
      </c>
      <c r="J53" s="78">
        <v>6</v>
      </c>
      <c r="K53" s="5" t="s">
        <v>237</v>
      </c>
      <c r="L53" s="10">
        <v>42248</v>
      </c>
      <c r="M53" s="34" t="s">
        <v>218</v>
      </c>
      <c r="N53" s="147">
        <v>2.5000000000000001E-2</v>
      </c>
      <c r="O53" s="147">
        <v>0.42499999999999999</v>
      </c>
      <c r="P53" s="147">
        <v>0.67500000000000004</v>
      </c>
      <c r="Q53" s="147">
        <v>0.17499999999999999</v>
      </c>
      <c r="R53" s="147">
        <v>3.9948100000000002</v>
      </c>
      <c r="S53" s="38">
        <f t="shared" si="11"/>
        <v>4</v>
      </c>
      <c r="T53" s="147">
        <v>0</v>
      </c>
      <c r="U53" s="147">
        <v>0</v>
      </c>
      <c r="V53" s="147">
        <f>SUM(N53:Q53)</f>
        <v>1.3</v>
      </c>
      <c r="W53" s="147">
        <v>1.0241199999999999</v>
      </c>
      <c r="X53" s="201">
        <v>7</v>
      </c>
      <c r="Y53" s="38">
        <f t="shared" si="12"/>
        <v>7</v>
      </c>
      <c r="Z53" s="201">
        <v>7</v>
      </c>
      <c r="AA53" s="201">
        <v>0</v>
      </c>
      <c r="AB53" s="201">
        <v>5</v>
      </c>
      <c r="AC53" s="201">
        <v>0</v>
      </c>
      <c r="AD53" s="147">
        <v>8.4600000000000009</v>
      </c>
      <c r="AE53" s="147">
        <v>0.19430408819476344</v>
      </c>
      <c r="AF53" s="201">
        <v>11</v>
      </c>
      <c r="AG53" s="38">
        <f t="shared" si="13"/>
        <v>11</v>
      </c>
      <c r="AH53" s="198"/>
      <c r="AI53" s="198"/>
      <c r="AJ53" s="198"/>
      <c r="AK53" s="34"/>
      <c r="AL53" s="34"/>
      <c r="AM53" s="34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</row>
    <row r="54" spans="1:88" s="22" customFormat="1">
      <c r="A54" s="1">
        <v>1251</v>
      </c>
      <c r="B54" s="34" t="s">
        <v>1725</v>
      </c>
      <c r="C54" s="88">
        <v>437</v>
      </c>
      <c r="D54" s="88">
        <v>3621</v>
      </c>
      <c r="E54" s="88">
        <v>100</v>
      </c>
      <c r="F54" s="88" t="s">
        <v>1771</v>
      </c>
      <c r="G54" s="88" t="s">
        <v>92</v>
      </c>
      <c r="H54" s="88" t="s">
        <v>1772</v>
      </c>
      <c r="I54" s="115">
        <v>0.18099999999999999</v>
      </c>
      <c r="J54" s="88">
        <v>2</v>
      </c>
      <c r="K54" s="181" t="s">
        <v>238</v>
      </c>
      <c r="L54" s="116">
        <v>42282</v>
      </c>
      <c r="M54" s="9" t="s">
        <v>191</v>
      </c>
      <c r="N54" s="38">
        <v>0.05</v>
      </c>
      <c r="O54" s="38">
        <v>7.4999999999999997E-2</v>
      </c>
      <c r="P54" s="38">
        <v>0.05</v>
      </c>
      <c r="Q54" s="38">
        <v>2.5000000000000001E-2</v>
      </c>
      <c r="R54" s="38">
        <v>3.3737499999999998</v>
      </c>
      <c r="S54" s="38">
        <f t="shared" si="11"/>
        <v>3.5</v>
      </c>
      <c r="T54" s="38">
        <v>0.2</v>
      </c>
      <c r="U54" s="38">
        <v>0</v>
      </c>
      <c r="V54" s="38">
        <v>0</v>
      </c>
      <c r="W54" s="38">
        <v>0</v>
      </c>
      <c r="X54" s="38">
        <v>2.2562500000000001</v>
      </c>
      <c r="Y54" s="38">
        <f t="shared" si="12"/>
        <v>2.5</v>
      </c>
      <c r="Z54" s="38">
        <v>0</v>
      </c>
      <c r="AA54" s="117">
        <v>0</v>
      </c>
      <c r="AB54" s="117">
        <v>0.18099999999999999</v>
      </c>
      <c r="AC54" s="117">
        <v>1.23688</v>
      </c>
      <c r="AD54" s="117">
        <v>68.98</v>
      </c>
      <c r="AE54" s="117">
        <v>1.226</v>
      </c>
      <c r="AF54" s="117">
        <f>(AD54+AE54*0.5)/(3.5*I54*1000)*100</f>
        <v>10.985477505919496</v>
      </c>
      <c r="AG54" s="38">
        <f t="shared" si="13"/>
        <v>11</v>
      </c>
      <c r="AH54" s="117">
        <v>47.51</v>
      </c>
      <c r="AI54" s="117">
        <f>AH54/(3.5*I54*1000)*100</f>
        <v>7.4996053670086811</v>
      </c>
      <c r="AJ54" s="117">
        <v>1.75</v>
      </c>
      <c r="AK54" s="117">
        <f>AJ54/(3.5*I54*1000)*100</f>
        <v>0.27624309392265189</v>
      </c>
      <c r="AL54" s="117">
        <v>0</v>
      </c>
      <c r="AM54" s="117">
        <f>AJ54/(3.5*I54*1000)*100</f>
        <v>0.27624309392265189</v>
      </c>
      <c r="AN54" s="1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</row>
    <row r="55" spans="1:88" s="22" customFormat="1">
      <c r="A55" s="1">
        <v>2062</v>
      </c>
      <c r="B55" s="34" t="s">
        <v>2697</v>
      </c>
      <c r="C55" s="34">
        <v>328</v>
      </c>
      <c r="D55" s="75">
        <v>4294</v>
      </c>
      <c r="E55" s="8">
        <v>100</v>
      </c>
      <c r="F55" s="34" t="s">
        <v>2709</v>
      </c>
      <c r="G55" s="58">
        <v>0</v>
      </c>
      <c r="H55" s="58">
        <v>195</v>
      </c>
      <c r="I55" s="21">
        <v>0.19500000000000001</v>
      </c>
      <c r="J55" s="8">
        <v>4</v>
      </c>
      <c r="K55" s="8" t="s">
        <v>237</v>
      </c>
      <c r="L55" s="18">
        <v>42120</v>
      </c>
      <c r="M55" s="9" t="s">
        <v>191</v>
      </c>
      <c r="N55" s="38">
        <v>2.5000000000000001E-2</v>
      </c>
      <c r="O55" s="38">
        <v>7.4999999999999997E-2</v>
      </c>
      <c r="P55" s="38">
        <v>0.1</v>
      </c>
      <c r="Q55" s="38">
        <v>2.5000000000000001E-2</v>
      </c>
      <c r="R55" s="38">
        <v>4.18222</v>
      </c>
      <c r="S55" s="38">
        <f t="shared" si="11"/>
        <v>4</v>
      </c>
      <c r="T55" s="38">
        <v>0.22500000000000001</v>
      </c>
      <c r="U55" s="38">
        <v>0</v>
      </c>
      <c r="V55" s="38">
        <v>0</v>
      </c>
      <c r="W55" s="38">
        <v>0</v>
      </c>
      <c r="X55" s="38">
        <v>1.8793299999999999</v>
      </c>
      <c r="Y55" s="38">
        <f t="shared" si="12"/>
        <v>2</v>
      </c>
      <c r="Z55" s="38">
        <v>0</v>
      </c>
      <c r="AA55" s="38">
        <v>0</v>
      </c>
      <c r="AB55" s="38">
        <v>0.22500000000000001</v>
      </c>
      <c r="AC55" s="38">
        <v>1.10633</v>
      </c>
      <c r="AD55" s="38">
        <v>62.95</v>
      </c>
      <c r="AE55" s="38">
        <v>18.369</v>
      </c>
      <c r="AF55" s="38">
        <v>10.56915750915751</v>
      </c>
      <c r="AG55" s="38">
        <f t="shared" si="13"/>
        <v>10.6</v>
      </c>
      <c r="AH55" s="38">
        <v>0</v>
      </c>
      <c r="AI55" s="38">
        <v>0</v>
      </c>
      <c r="AJ55" s="38">
        <v>0.65800000000000003</v>
      </c>
      <c r="AK55" s="38">
        <v>9.6410256410256412E-2</v>
      </c>
      <c r="AL55" s="38">
        <v>0</v>
      </c>
      <c r="AM55" s="38">
        <f>AL55/(3.5*I55*1000)*100</f>
        <v>0</v>
      </c>
      <c r="AN55" s="72"/>
      <c r="AO55" s="41"/>
      <c r="AP55" s="41"/>
      <c r="AQ55" s="73"/>
      <c r="AR55" s="73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</row>
    <row r="56" spans="1:88" s="22" customFormat="1">
      <c r="A56" s="1">
        <v>1250</v>
      </c>
      <c r="B56" s="34" t="s">
        <v>1725</v>
      </c>
      <c r="C56" s="88">
        <v>437</v>
      </c>
      <c r="D56" s="88">
        <v>3561</v>
      </c>
      <c r="E56" s="88">
        <v>100</v>
      </c>
      <c r="F56" s="88" t="s">
        <v>1769</v>
      </c>
      <c r="G56" s="88" t="s">
        <v>1770</v>
      </c>
      <c r="H56" s="88" t="s">
        <v>92</v>
      </c>
      <c r="I56" s="115">
        <v>6.6000000000000003E-2</v>
      </c>
      <c r="J56" s="88">
        <v>6</v>
      </c>
      <c r="K56" s="88" t="s">
        <v>1521</v>
      </c>
      <c r="L56" s="116">
        <v>42282</v>
      </c>
      <c r="M56" s="9" t="s">
        <v>191</v>
      </c>
      <c r="N56" s="38">
        <v>0</v>
      </c>
      <c r="O56" s="38">
        <v>0</v>
      </c>
      <c r="P56" s="38">
        <v>0</v>
      </c>
      <c r="Q56" s="38">
        <v>7.4999999999999997E-2</v>
      </c>
      <c r="R56" s="38">
        <v>7.16</v>
      </c>
      <c r="S56" s="38">
        <f t="shared" si="11"/>
        <v>7</v>
      </c>
      <c r="T56" s="38">
        <v>7.4999999999999997E-2</v>
      </c>
      <c r="U56" s="38">
        <v>0</v>
      </c>
      <c r="V56" s="38">
        <v>0</v>
      </c>
      <c r="W56" s="38">
        <v>0</v>
      </c>
      <c r="X56" s="38">
        <v>4.6136699999999999</v>
      </c>
      <c r="Y56" s="38">
        <f t="shared" si="12"/>
        <v>4.5</v>
      </c>
      <c r="Z56" s="38">
        <v>0</v>
      </c>
      <c r="AA56" s="117">
        <v>0</v>
      </c>
      <c r="AB56" s="117">
        <v>6.6000000000000003E-2</v>
      </c>
      <c r="AC56" s="117">
        <v>1.6763300000000001</v>
      </c>
      <c r="AD56" s="117">
        <v>19.350000000000001</v>
      </c>
      <c r="AE56" s="117">
        <v>9.65</v>
      </c>
      <c r="AF56" s="117">
        <f>(AD56+AE56*0.5)/(3.5*I56*1000)*100</f>
        <v>10.465367965367966</v>
      </c>
      <c r="AG56" s="38">
        <f t="shared" si="13"/>
        <v>10.5</v>
      </c>
      <c r="AH56" s="117">
        <v>3.26</v>
      </c>
      <c r="AI56" s="117">
        <f>AH56/(3.5*I56*1000)*100</f>
        <v>1.4112554112554112</v>
      </c>
      <c r="AJ56" s="117">
        <v>0</v>
      </c>
      <c r="AK56" s="117">
        <f>AJ56/(3.5*I56*1000)*100</f>
        <v>0</v>
      </c>
      <c r="AL56" s="117">
        <v>3.5</v>
      </c>
      <c r="AM56" s="117">
        <f>AJ56/(3.5*I56*1000)*100</f>
        <v>0</v>
      </c>
      <c r="AN56" s="1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</row>
    <row r="57" spans="1:88" s="22" customFormat="1">
      <c r="A57" s="1">
        <v>2131</v>
      </c>
      <c r="B57" s="34" t="s">
        <v>2754</v>
      </c>
      <c r="C57" s="34">
        <v>324</v>
      </c>
      <c r="D57" s="75">
        <v>4129</v>
      </c>
      <c r="E57" s="8">
        <v>100</v>
      </c>
      <c r="F57" s="9" t="s">
        <v>2772</v>
      </c>
      <c r="G57" s="20">
        <v>0</v>
      </c>
      <c r="H57" s="20">
        <v>380</v>
      </c>
      <c r="I57" s="21">
        <v>0.38</v>
      </c>
      <c r="J57" s="9">
        <v>2</v>
      </c>
      <c r="K57" s="34" t="s">
        <v>238</v>
      </c>
      <c r="L57" s="18">
        <v>42138</v>
      </c>
      <c r="M57" s="9" t="s">
        <v>191</v>
      </c>
      <c r="N57" s="38">
        <v>0</v>
      </c>
      <c r="O57" s="38">
        <v>2.5000000000000001E-2</v>
      </c>
      <c r="P57" s="38">
        <v>0.15</v>
      </c>
      <c r="Q57" s="38">
        <v>0.2</v>
      </c>
      <c r="R57" s="38">
        <v>6.30267</v>
      </c>
      <c r="S57" s="38">
        <f t="shared" si="11"/>
        <v>6.5</v>
      </c>
      <c r="T57" s="38">
        <v>0.35</v>
      </c>
      <c r="U57" s="38">
        <v>2.5000000000000001E-2</v>
      </c>
      <c r="V57" s="38">
        <v>0</v>
      </c>
      <c r="W57" s="38">
        <v>0</v>
      </c>
      <c r="X57" s="38">
        <v>2.8915999999999999</v>
      </c>
      <c r="Y57" s="38">
        <f t="shared" si="12"/>
        <v>3</v>
      </c>
      <c r="Z57" s="38">
        <v>0</v>
      </c>
      <c r="AA57" s="38">
        <v>0</v>
      </c>
      <c r="AB57" s="38">
        <v>0.375</v>
      </c>
      <c r="AC57" s="38">
        <v>1.2410000000000001</v>
      </c>
      <c r="AD57" s="38">
        <v>139</v>
      </c>
      <c r="AE57" s="38">
        <v>0</v>
      </c>
      <c r="AF57" s="38">
        <v>10.451127819548873</v>
      </c>
      <c r="AG57" s="38">
        <f t="shared" si="13"/>
        <v>10.5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41"/>
      <c r="AO57" s="41"/>
      <c r="AP57" s="73"/>
      <c r="AQ57" s="73"/>
      <c r="AR57" s="73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</row>
    <row r="58" spans="1:88" s="22" customFormat="1">
      <c r="A58" s="1">
        <v>477</v>
      </c>
      <c r="B58" s="74" t="s">
        <v>780</v>
      </c>
      <c r="C58" s="34">
        <v>515</v>
      </c>
      <c r="D58" s="34">
        <v>2467</v>
      </c>
      <c r="E58" s="34">
        <v>100</v>
      </c>
      <c r="F58" s="34" t="s">
        <v>817</v>
      </c>
      <c r="G58" s="34" t="s">
        <v>818</v>
      </c>
      <c r="H58" s="34" t="s">
        <v>92</v>
      </c>
      <c r="I58" s="55">
        <v>6.7000000000000004E-2</v>
      </c>
      <c r="J58" s="5" t="s">
        <v>96</v>
      </c>
      <c r="K58" s="34">
        <v>2</v>
      </c>
      <c r="L58" s="10">
        <v>42268</v>
      </c>
      <c r="M58" s="9" t="s">
        <v>191</v>
      </c>
      <c r="N58" s="38">
        <v>0</v>
      </c>
      <c r="O58" s="38">
        <v>0.02</v>
      </c>
      <c r="P58" s="38">
        <v>0.01</v>
      </c>
      <c r="Q58" s="38">
        <v>0.04</v>
      </c>
      <c r="R58" s="38">
        <v>9.8740000000000006</v>
      </c>
      <c r="S58" s="38">
        <f t="shared" si="11"/>
        <v>10</v>
      </c>
      <c r="T58" s="38">
        <v>0.06</v>
      </c>
      <c r="U58" s="38">
        <v>0.01</v>
      </c>
      <c r="V58" s="38">
        <v>0</v>
      </c>
      <c r="W58" s="38">
        <v>0</v>
      </c>
      <c r="X58" s="38">
        <v>7.4946700000000002</v>
      </c>
      <c r="Y58" s="38">
        <f t="shared" si="12"/>
        <v>7.5</v>
      </c>
      <c r="Z58" s="38">
        <v>0</v>
      </c>
      <c r="AA58" s="38">
        <v>0</v>
      </c>
      <c r="AB58" s="38">
        <v>0.15500000000000003</v>
      </c>
      <c r="AC58" s="38">
        <v>1.1823300000000001</v>
      </c>
      <c r="AD58" s="38">
        <v>20.57</v>
      </c>
      <c r="AE58" s="38">
        <v>7.67</v>
      </c>
      <c r="AF58" s="38">
        <f>(AD58+AE58*0.5)/(3.5*I58*1000)*100</f>
        <v>10.40724946695096</v>
      </c>
      <c r="AG58" s="38">
        <f t="shared" si="13"/>
        <v>10.4</v>
      </c>
      <c r="AH58" s="38">
        <v>97.528000000000006</v>
      </c>
      <c r="AI58" s="38">
        <f>AH58/(3.5*I58*1000)*100</f>
        <v>41.589765458422178</v>
      </c>
      <c r="AJ58" s="38">
        <v>0</v>
      </c>
      <c r="AK58" s="38">
        <f>AJ58/(3.5*I58*1000)*100</f>
        <v>0</v>
      </c>
      <c r="AL58" s="38">
        <v>0</v>
      </c>
      <c r="AM58" s="38">
        <f>AL58/(3.5*I58*1000)*100</f>
        <v>0</v>
      </c>
      <c r="AN58" s="41"/>
      <c r="AO58" s="41"/>
      <c r="AP58" s="114"/>
      <c r="AQ58" s="73"/>
      <c r="AR58" s="73"/>
      <c r="AS58" s="73"/>
    </row>
    <row r="59" spans="1:88" s="22" customFormat="1">
      <c r="A59" s="1">
        <v>1430</v>
      </c>
      <c r="B59" s="34" t="s">
        <v>1957</v>
      </c>
      <c r="C59" s="34">
        <v>447</v>
      </c>
      <c r="D59" s="75">
        <v>3589</v>
      </c>
      <c r="E59" s="69">
        <v>100</v>
      </c>
      <c r="F59" s="184" t="s">
        <v>1984</v>
      </c>
      <c r="G59" s="20">
        <v>0</v>
      </c>
      <c r="H59" s="20">
        <v>436</v>
      </c>
      <c r="I59" s="21">
        <v>0.436</v>
      </c>
      <c r="J59" s="8">
        <v>2</v>
      </c>
      <c r="K59" s="34" t="s">
        <v>1520</v>
      </c>
      <c r="L59" s="10">
        <v>42217</v>
      </c>
      <c r="M59" s="9" t="s">
        <v>191</v>
      </c>
      <c r="N59" s="38">
        <v>0.1</v>
      </c>
      <c r="O59" s="38">
        <v>0.17499999999999999</v>
      </c>
      <c r="P59" s="38">
        <v>7.4999999999999997E-2</v>
      </c>
      <c r="Q59" s="38">
        <v>7.4999999999999997E-2</v>
      </c>
      <c r="R59" s="38">
        <v>5.8864700000000001</v>
      </c>
      <c r="S59" s="38">
        <f t="shared" si="11"/>
        <v>6</v>
      </c>
      <c r="T59" s="38">
        <v>0.42499999999999999</v>
      </c>
      <c r="U59" s="38">
        <v>0</v>
      </c>
      <c r="V59" s="38">
        <v>0</v>
      </c>
      <c r="W59" s="38">
        <v>0</v>
      </c>
      <c r="X59" s="38">
        <v>2.1023000000000001</v>
      </c>
      <c r="Y59" s="38">
        <f t="shared" si="12"/>
        <v>2</v>
      </c>
      <c r="Z59" s="117">
        <v>0.42499999999999999</v>
      </c>
      <c r="AA59" s="38">
        <v>0</v>
      </c>
      <c r="AB59" s="38">
        <v>0</v>
      </c>
      <c r="AC59" s="38">
        <v>1.2457</v>
      </c>
      <c r="AD59" s="38">
        <v>130.25399999999999</v>
      </c>
      <c r="AE59" s="38">
        <v>50.21</v>
      </c>
      <c r="AF59" s="38">
        <v>10.180799475753604</v>
      </c>
      <c r="AG59" s="38">
        <f t="shared" si="13"/>
        <v>10.199999999999999</v>
      </c>
      <c r="AH59" s="38">
        <v>7.39</v>
      </c>
      <c r="AI59" s="38">
        <f>AH59/(3.5*I59*1000)*100</f>
        <v>0.48427260812581913</v>
      </c>
      <c r="AJ59" s="38">
        <v>1.1000000000000001</v>
      </c>
      <c r="AK59" s="38">
        <f>AJ59/(3.5*I59*1000)*100</f>
        <v>7.2083879423328973E-2</v>
      </c>
      <c r="AL59" s="38">
        <v>0</v>
      </c>
      <c r="AM59" s="38">
        <f>AL59/(3.5*I59*1000)*100</f>
        <v>0</v>
      </c>
      <c r="AN59" s="41"/>
    </row>
    <row r="60" spans="1:88" s="22" customFormat="1">
      <c r="A60" s="1">
        <v>1598</v>
      </c>
      <c r="B60" s="34" t="s">
        <v>2137</v>
      </c>
      <c r="C60" s="5">
        <v>416</v>
      </c>
      <c r="D60" s="5">
        <v>346</v>
      </c>
      <c r="E60" s="5">
        <v>102</v>
      </c>
      <c r="F60" s="5" t="s">
        <v>2169</v>
      </c>
      <c r="G60" s="53" t="s">
        <v>2168</v>
      </c>
      <c r="H60" s="53" t="s">
        <v>2170</v>
      </c>
      <c r="I60" s="198">
        <v>1.1839999999999999</v>
      </c>
      <c r="J60" s="78">
        <v>6</v>
      </c>
      <c r="K60" s="5" t="s">
        <v>237</v>
      </c>
      <c r="L60" s="10">
        <v>42248</v>
      </c>
      <c r="M60" s="34" t="s">
        <v>218</v>
      </c>
      <c r="N60" s="147">
        <v>0.27500000000000002</v>
      </c>
      <c r="O60" s="147">
        <v>0.35</v>
      </c>
      <c r="P60" s="147">
        <v>0.3</v>
      </c>
      <c r="Q60" s="147">
        <v>0.32500000000000001</v>
      </c>
      <c r="R60" s="147">
        <v>4.1280000000000001</v>
      </c>
      <c r="S60" s="38">
        <f t="shared" si="11"/>
        <v>4</v>
      </c>
      <c r="T60" s="147">
        <v>0</v>
      </c>
      <c r="U60" s="147">
        <v>0</v>
      </c>
      <c r="V60" s="147">
        <f>SUM(N60:Q60)</f>
        <v>1.25</v>
      </c>
      <c r="W60" s="147">
        <v>1.3187599999999999</v>
      </c>
      <c r="X60" s="201">
        <v>7</v>
      </c>
      <c r="Y60" s="38">
        <f t="shared" si="12"/>
        <v>7</v>
      </c>
      <c r="Z60" s="201">
        <v>0</v>
      </c>
      <c r="AA60" s="201">
        <v>1</v>
      </c>
      <c r="AB60" s="201">
        <v>2</v>
      </c>
      <c r="AC60" s="201">
        <v>0</v>
      </c>
      <c r="AD60" s="147">
        <v>1.55</v>
      </c>
      <c r="AE60" s="147">
        <v>3.7403474903474905E-2</v>
      </c>
      <c r="AF60" s="201">
        <v>10</v>
      </c>
      <c r="AG60" s="38">
        <f t="shared" si="13"/>
        <v>10</v>
      </c>
      <c r="AH60" s="198"/>
      <c r="AI60" s="198"/>
      <c r="AJ60" s="198"/>
      <c r="AK60" s="34"/>
      <c r="AL60" s="34"/>
      <c r="AM60" s="34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</row>
    <row r="61" spans="1:88" s="22" customFormat="1">
      <c r="A61" s="1">
        <v>2063</v>
      </c>
      <c r="B61" s="34" t="s">
        <v>2697</v>
      </c>
      <c r="C61" s="34">
        <v>328</v>
      </c>
      <c r="D61" s="75">
        <v>4294</v>
      </c>
      <c r="E61" s="8">
        <v>100</v>
      </c>
      <c r="F61" s="34" t="s">
        <v>2709</v>
      </c>
      <c r="G61" s="58">
        <v>195</v>
      </c>
      <c r="H61" s="58">
        <v>0</v>
      </c>
      <c r="I61" s="21">
        <v>0.19500000000000001</v>
      </c>
      <c r="J61" s="8">
        <v>4</v>
      </c>
      <c r="K61" s="8" t="s">
        <v>96</v>
      </c>
      <c r="L61" s="18">
        <v>42120</v>
      </c>
      <c r="M61" s="9" t="s">
        <v>191</v>
      </c>
      <c r="N61" s="38">
        <v>2.5000000000000001E-2</v>
      </c>
      <c r="O61" s="38">
        <v>0.05</v>
      </c>
      <c r="P61" s="38">
        <v>0.05</v>
      </c>
      <c r="Q61" s="38">
        <v>7.4999999999999997E-2</v>
      </c>
      <c r="R61" s="38">
        <v>4.8600000000000003</v>
      </c>
      <c r="S61" s="38">
        <f t="shared" si="11"/>
        <v>5</v>
      </c>
      <c r="T61" s="38">
        <v>0.2</v>
      </c>
      <c r="U61" s="38">
        <v>0</v>
      </c>
      <c r="V61" s="38">
        <v>0</v>
      </c>
      <c r="W61" s="38">
        <v>0</v>
      </c>
      <c r="X61" s="38">
        <v>2.6021299999999998</v>
      </c>
      <c r="Y61" s="38">
        <f t="shared" si="12"/>
        <v>2.5</v>
      </c>
      <c r="Z61" s="38">
        <v>0</v>
      </c>
      <c r="AA61" s="38">
        <v>0</v>
      </c>
      <c r="AB61" s="38">
        <v>0.2</v>
      </c>
      <c r="AC61" s="38">
        <v>1.0694999999999999</v>
      </c>
      <c r="AD61" s="38">
        <v>62.39</v>
      </c>
      <c r="AE61" s="38">
        <v>10.28</v>
      </c>
      <c r="AF61" s="38">
        <v>9.8945054945054949</v>
      </c>
      <c r="AG61" s="38">
        <f t="shared" si="13"/>
        <v>9.9</v>
      </c>
      <c r="AH61" s="38">
        <v>0</v>
      </c>
      <c r="AI61" s="38">
        <v>0</v>
      </c>
      <c r="AJ61" s="38">
        <v>0</v>
      </c>
      <c r="AK61" s="38">
        <v>0</v>
      </c>
      <c r="AL61" s="38">
        <v>2.36</v>
      </c>
      <c r="AM61" s="38">
        <f>AL61/(3.5*I61*1000)*100</f>
        <v>0.34578754578754578</v>
      </c>
      <c r="AN61" s="72"/>
      <c r="AO61" s="41"/>
      <c r="AP61" s="41"/>
      <c r="AQ61" s="73"/>
      <c r="AR61" s="73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</row>
    <row r="62" spans="1:88" s="22" customFormat="1">
      <c r="A62" s="1">
        <v>976</v>
      </c>
      <c r="B62" s="9" t="s">
        <v>1359</v>
      </c>
      <c r="C62" s="9">
        <v>612</v>
      </c>
      <c r="D62" s="8">
        <v>2247</v>
      </c>
      <c r="E62" s="9">
        <v>200</v>
      </c>
      <c r="F62" s="9" t="s">
        <v>1375</v>
      </c>
      <c r="G62" s="20">
        <v>47126</v>
      </c>
      <c r="H62" s="20">
        <v>66663</v>
      </c>
      <c r="I62" s="35">
        <v>19.536999999999999</v>
      </c>
      <c r="J62" s="9">
        <v>2</v>
      </c>
      <c r="K62" s="9" t="s">
        <v>238</v>
      </c>
      <c r="L62" s="18">
        <v>42117</v>
      </c>
      <c r="M62" s="9" t="s">
        <v>191</v>
      </c>
      <c r="N62" s="11">
        <v>11.3</v>
      </c>
      <c r="O62" s="11">
        <v>5.0250000000000004</v>
      </c>
      <c r="P62" s="11">
        <v>2.4</v>
      </c>
      <c r="Q62" s="11">
        <v>0.75</v>
      </c>
      <c r="R62" s="11">
        <v>2.1533600000000002</v>
      </c>
      <c r="S62" s="38">
        <f t="shared" si="11"/>
        <v>2</v>
      </c>
      <c r="T62" s="11">
        <v>16.8</v>
      </c>
      <c r="U62" s="11">
        <v>1.7250000000000001</v>
      </c>
      <c r="V62" s="11">
        <v>0.8</v>
      </c>
      <c r="W62" s="11">
        <v>0.15</v>
      </c>
      <c r="X62" s="11">
        <v>5.1591800000000001</v>
      </c>
      <c r="Y62" s="38">
        <f t="shared" si="12"/>
        <v>5</v>
      </c>
      <c r="Z62" s="11">
        <v>0</v>
      </c>
      <c r="AA62" s="11">
        <v>0</v>
      </c>
      <c r="AB62" s="11">
        <f>SUM(N62:Q62)</f>
        <v>19.475000000000001</v>
      </c>
      <c r="AC62" s="11">
        <v>1.1750700000000001</v>
      </c>
      <c r="AD62" s="11">
        <v>6624.26</v>
      </c>
      <c r="AE62" s="11">
        <v>0</v>
      </c>
      <c r="AF62" s="11">
        <v>9.6874900000000004</v>
      </c>
      <c r="AG62" s="38">
        <f t="shared" si="13"/>
        <v>9.6999999999999993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0</v>
      </c>
      <c r="AN62" s="72"/>
      <c r="AO62" s="72"/>
      <c r="AP62" s="72">
        <f>AE62*0.5</f>
        <v>0</v>
      </c>
      <c r="AQ62" s="25">
        <f>(AD61+AH61+AJ61+AL61+AP62)*I61</f>
        <v>12.626250000000001</v>
      </c>
      <c r="AR62" s="25"/>
      <c r="AS62" s="25"/>
      <c r="AT62" s="25"/>
      <c r="AU62" s="25">
        <f>SUM(N62:Q62)</f>
        <v>19.475000000000001</v>
      </c>
      <c r="AV62" s="41">
        <f>SUM(T62:W62)</f>
        <v>19.475000000000001</v>
      </c>
      <c r="AW62" s="41"/>
      <c r="AX62" s="41"/>
      <c r="AY62" s="4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</row>
    <row r="63" spans="1:88" s="22" customFormat="1">
      <c r="A63" s="1">
        <v>288</v>
      </c>
      <c r="B63" s="34" t="s">
        <v>509</v>
      </c>
      <c r="C63" s="34">
        <v>642</v>
      </c>
      <c r="D63" s="34">
        <v>227</v>
      </c>
      <c r="E63" s="34">
        <v>301</v>
      </c>
      <c r="F63" s="34" t="s">
        <v>513</v>
      </c>
      <c r="G63" s="58" t="s">
        <v>515</v>
      </c>
      <c r="H63" s="58" t="s">
        <v>516</v>
      </c>
      <c r="I63" s="35">
        <v>4.9720000000000004</v>
      </c>
      <c r="J63" s="63">
        <v>2</v>
      </c>
      <c r="K63" s="34" t="s">
        <v>96</v>
      </c>
      <c r="L63" s="10">
        <v>42160</v>
      </c>
      <c r="M63" s="9" t="s">
        <v>191</v>
      </c>
      <c r="N63" s="38">
        <v>1.575</v>
      </c>
      <c r="O63" s="38">
        <v>1.7</v>
      </c>
      <c r="P63" s="38">
        <v>1.175</v>
      </c>
      <c r="Q63" s="38">
        <v>0.57499999999999996</v>
      </c>
      <c r="R63" s="38">
        <v>3.3218899999999998</v>
      </c>
      <c r="S63" s="38">
        <f t="shared" si="11"/>
        <v>3.5</v>
      </c>
      <c r="T63" s="38">
        <v>4.3250000000000002</v>
      </c>
      <c r="U63" s="38">
        <v>0.55000000000000004</v>
      </c>
      <c r="V63" s="38">
        <v>0.125</v>
      </c>
      <c r="W63" s="38">
        <v>2.5000000000000001E-2</v>
      </c>
      <c r="X63" s="38">
        <v>5.0994200000000003</v>
      </c>
      <c r="Y63" s="38">
        <f t="shared" si="12"/>
        <v>5</v>
      </c>
      <c r="Z63" s="38">
        <v>0</v>
      </c>
      <c r="AA63" s="38">
        <v>0</v>
      </c>
      <c r="AB63" s="38">
        <f>T63+U63+V63+W63</f>
        <v>5.0250000000000004</v>
      </c>
      <c r="AC63" s="38">
        <v>1.08754</v>
      </c>
      <c r="AD63" s="38">
        <v>1681</v>
      </c>
      <c r="AE63" s="38">
        <v>0</v>
      </c>
      <c r="AF63" s="38">
        <v>9.6598089999999992</v>
      </c>
      <c r="AG63" s="38">
        <f t="shared" si="13"/>
        <v>9.6999999999999993</v>
      </c>
      <c r="AH63" s="38">
        <v>0</v>
      </c>
      <c r="AI63" s="38">
        <v>0</v>
      </c>
      <c r="AJ63" s="38">
        <v>67.33</v>
      </c>
      <c r="AK63" s="38">
        <v>0.38690999999999998</v>
      </c>
      <c r="AL63" s="38">
        <v>0</v>
      </c>
      <c r="AM63" s="38">
        <v>0</v>
      </c>
      <c r="AN63" s="60"/>
      <c r="AO63" s="60"/>
      <c r="AP63" s="60">
        <f>AE63*0.5</f>
        <v>0</v>
      </c>
      <c r="AQ63" s="64">
        <f>(AD63+AH63+AJ63+AL63+AP63)*I63</f>
        <v>8692.6967600000007</v>
      </c>
      <c r="AR63" s="60"/>
      <c r="AS63" s="25">
        <f>SUM(N63:Q63)</f>
        <v>5.0250000000000004</v>
      </c>
      <c r="AT63" s="25"/>
      <c r="AU63" s="41">
        <f>SUM(N63:Q63)</f>
        <v>5.0250000000000004</v>
      </c>
      <c r="AV63" s="41">
        <f>SUM(T63:W63)</f>
        <v>5.0250000000000004</v>
      </c>
      <c r="AW63" s="41">
        <f>SUM(Z63:AB63)</f>
        <v>5.0250000000000004</v>
      </c>
      <c r="AY63" s="22">
        <f>I63/AU63</f>
        <v>0.98945273631840802</v>
      </c>
      <c r="AZ63" s="22">
        <f>I63/AV63</f>
        <v>0.98945273631840802</v>
      </c>
      <c r="BA63" s="22">
        <f>I63/AW63</f>
        <v>0.98945273631840802</v>
      </c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</row>
    <row r="64" spans="1:88" s="22" customFormat="1">
      <c r="A64" s="1">
        <v>2226</v>
      </c>
      <c r="B64" s="34" t="s">
        <v>2853</v>
      </c>
      <c r="C64" s="34">
        <v>318</v>
      </c>
      <c r="D64" s="75">
        <v>4183</v>
      </c>
      <c r="E64" s="8">
        <v>100</v>
      </c>
      <c r="F64" s="9" t="s">
        <v>2873</v>
      </c>
      <c r="G64" s="20">
        <v>0</v>
      </c>
      <c r="H64" s="20">
        <v>156</v>
      </c>
      <c r="I64" s="21">
        <v>0.156</v>
      </c>
      <c r="J64" s="8">
        <v>2</v>
      </c>
      <c r="K64" s="8" t="s">
        <v>238</v>
      </c>
      <c r="L64" s="18">
        <v>42149</v>
      </c>
      <c r="M64" s="9" t="s">
        <v>191</v>
      </c>
      <c r="N64" s="38">
        <v>0</v>
      </c>
      <c r="O64" s="38">
        <v>2.5000000000000001E-2</v>
      </c>
      <c r="P64" s="38">
        <v>0.05</v>
      </c>
      <c r="Q64" s="38">
        <v>0.05</v>
      </c>
      <c r="R64" s="38">
        <v>4.5199999999999996</v>
      </c>
      <c r="S64" s="38">
        <f t="shared" si="11"/>
        <v>4.5</v>
      </c>
      <c r="T64" s="38">
        <v>0.05</v>
      </c>
      <c r="U64" s="38">
        <v>0.05</v>
      </c>
      <c r="V64" s="38">
        <v>2.5000000000000001E-2</v>
      </c>
      <c r="W64" s="38">
        <v>0</v>
      </c>
      <c r="X64" s="38">
        <v>9.7523999999999997</v>
      </c>
      <c r="Y64" s="38">
        <f t="shared" si="12"/>
        <v>10</v>
      </c>
      <c r="Z64" s="38">
        <v>0</v>
      </c>
      <c r="AA64" s="38">
        <v>0</v>
      </c>
      <c r="AB64" s="38">
        <v>0.125</v>
      </c>
      <c r="AC64" s="38">
        <v>1.8557999999999999</v>
      </c>
      <c r="AD64" s="38">
        <v>49.8</v>
      </c>
      <c r="AE64" s="38">
        <v>0</v>
      </c>
      <c r="AF64" s="38">
        <v>9.1208791208791204</v>
      </c>
      <c r="AG64" s="38">
        <f t="shared" si="13"/>
        <v>9.1</v>
      </c>
      <c r="AH64" s="38">
        <v>0</v>
      </c>
      <c r="AI64" s="38">
        <v>0</v>
      </c>
      <c r="AJ64" s="38">
        <v>21.47</v>
      </c>
      <c r="AK64" s="38">
        <v>3.932234432234432</v>
      </c>
      <c r="AL64" s="38">
        <v>0</v>
      </c>
      <c r="AM64" s="38">
        <f>AL64/(3.5*I64*1000)*100</f>
        <v>0</v>
      </c>
      <c r="AO64" s="25"/>
      <c r="AP64" s="25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</row>
    <row r="65" spans="1:88" s="22" customFormat="1">
      <c r="A65" s="1">
        <v>531</v>
      </c>
      <c r="B65" s="88" t="s">
        <v>871</v>
      </c>
      <c r="C65" s="88">
        <v>557</v>
      </c>
      <c r="D65" s="88">
        <v>1403</v>
      </c>
      <c r="E65" s="88">
        <v>100</v>
      </c>
      <c r="F65" s="88" t="s">
        <v>913</v>
      </c>
      <c r="G65" s="88" t="s">
        <v>914</v>
      </c>
      <c r="H65" s="88" t="s">
        <v>92</v>
      </c>
      <c r="I65" s="115">
        <v>0.44600000000000001</v>
      </c>
      <c r="J65" s="88" t="s">
        <v>12</v>
      </c>
      <c r="K65" s="88">
        <v>2</v>
      </c>
      <c r="L65" s="116">
        <v>42270</v>
      </c>
      <c r="M65" s="9" t="s">
        <v>191</v>
      </c>
      <c r="N65" s="117">
        <v>7.4999999999999997E-2</v>
      </c>
      <c r="O65" s="117">
        <v>0.2</v>
      </c>
      <c r="P65" s="117">
        <v>0.1</v>
      </c>
      <c r="Q65" s="117">
        <v>0.08</v>
      </c>
      <c r="R65" s="117">
        <v>3.9155600000000002</v>
      </c>
      <c r="S65" s="38">
        <f t="shared" si="11"/>
        <v>4</v>
      </c>
      <c r="T65" s="117">
        <v>0.35</v>
      </c>
      <c r="U65" s="117">
        <v>0.05</v>
      </c>
      <c r="V65" s="117">
        <v>0.05</v>
      </c>
      <c r="W65" s="117">
        <v>0</v>
      </c>
      <c r="X65" s="117">
        <v>7.0826099999999999</v>
      </c>
      <c r="Y65" s="38">
        <f t="shared" si="12"/>
        <v>7</v>
      </c>
      <c r="Z65" s="117">
        <v>0</v>
      </c>
      <c r="AA65" s="117">
        <v>0</v>
      </c>
      <c r="AB65" s="117">
        <v>0.45500000000000002</v>
      </c>
      <c r="AC65" s="117">
        <v>1.1214999999999999</v>
      </c>
      <c r="AD65" s="117">
        <v>136.56</v>
      </c>
      <c r="AE65" s="117">
        <v>8.4670000000000005</v>
      </c>
      <c r="AF65" s="117">
        <v>9.0194430000000008</v>
      </c>
      <c r="AG65" s="38">
        <f t="shared" si="13"/>
        <v>9</v>
      </c>
      <c r="AH65" s="117">
        <v>84.67</v>
      </c>
      <c r="AI65" s="117">
        <v>5.4240870000000001</v>
      </c>
      <c r="AJ65" s="117">
        <v>1.48</v>
      </c>
      <c r="AK65" s="117">
        <v>9.4811000000000006E-2</v>
      </c>
      <c r="AL65" s="117">
        <v>0</v>
      </c>
      <c r="AM65" s="117">
        <v>0</v>
      </c>
      <c r="AN65" s="25"/>
      <c r="AO65" s="25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</row>
    <row r="66" spans="1:88" s="22" customFormat="1">
      <c r="A66" s="1">
        <v>1076</v>
      </c>
      <c r="B66" s="34" t="s">
        <v>1467</v>
      </c>
      <c r="C66" s="34">
        <v>619</v>
      </c>
      <c r="D66" s="8">
        <v>3366</v>
      </c>
      <c r="E66" s="34">
        <v>100</v>
      </c>
      <c r="F66" s="34" t="s">
        <v>1484</v>
      </c>
      <c r="G66" s="58">
        <v>0</v>
      </c>
      <c r="H66" s="58">
        <v>26678</v>
      </c>
      <c r="I66" s="35">
        <v>26.678000000000001</v>
      </c>
      <c r="J66" s="9">
        <v>2</v>
      </c>
      <c r="K66" s="34" t="s">
        <v>12</v>
      </c>
      <c r="L66" s="10">
        <v>42093</v>
      </c>
      <c r="M66" s="9" t="s">
        <v>191</v>
      </c>
      <c r="N66" s="38">
        <v>14.32</v>
      </c>
      <c r="O66" s="38">
        <v>7.32</v>
      </c>
      <c r="P66" s="38">
        <v>2.65</v>
      </c>
      <c r="Q66" s="38">
        <v>2.4</v>
      </c>
      <c r="R66" s="38">
        <v>2.90001</v>
      </c>
      <c r="S66" s="38">
        <f t="shared" si="11"/>
        <v>3</v>
      </c>
      <c r="T66" s="38">
        <v>24.41</v>
      </c>
      <c r="U66" s="38">
        <v>1.58</v>
      </c>
      <c r="V66" s="38">
        <v>0.48</v>
      </c>
      <c r="W66" s="38">
        <v>0.23</v>
      </c>
      <c r="X66" s="38">
        <v>4.91608</v>
      </c>
      <c r="Y66" s="38">
        <f t="shared" si="12"/>
        <v>5</v>
      </c>
      <c r="Z66" s="117">
        <v>0</v>
      </c>
      <c r="AA66" s="117">
        <v>0</v>
      </c>
      <c r="AB66" s="117">
        <v>26.68</v>
      </c>
      <c r="AC66" s="38">
        <v>1.18699</v>
      </c>
      <c r="AD66" s="38">
        <v>5812.54</v>
      </c>
      <c r="AE66" s="38">
        <v>4931.63</v>
      </c>
      <c r="AF66" s="11">
        <f>(AD66+AE66*0.5)/(3.5*I66*1000)*100</f>
        <v>8.8658980647510521</v>
      </c>
      <c r="AG66" s="38">
        <f t="shared" si="13"/>
        <v>8.9</v>
      </c>
      <c r="AH66" s="38">
        <v>1557.53</v>
      </c>
      <c r="AI66" s="38">
        <f>AH66/(3.5*I66*1000)*100</f>
        <v>1.6680732117421524</v>
      </c>
      <c r="AJ66" s="38">
        <v>5812.54</v>
      </c>
      <c r="AK66" s="38">
        <f>AJ66/(3.5*I66*1000)*100</f>
        <v>6.2250757713685969</v>
      </c>
      <c r="AL66" s="38">
        <v>0</v>
      </c>
      <c r="AM66" s="38">
        <f>AL66/(3.5*I66*1000)*100</f>
        <v>0</v>
      </c>
      <c r="AN66" s="25"/>
      <c r="AO66" s="25"/>
      <c r="AP66" s="12">
        <f>AE66*0.5</f>
        <v>2465.8150000000001</v>
      </c>
      <c r="AQ66" s="12">
        <f>(AD66+AH66+AJ66+AL66+AP66)*I66</f>
        <v>417468.68215000007</v>
      </c>
      <c r="AR66" s="25"/>
      <c r="AS66" s="25">
        <f>SUM(N66:Q66)</f>
        <v>26.689999999999998</v>
      </c>
      <c r="AT66" s="22">
        <f>SUM(T66:W66)</f>
        <v>26.700000000000003</v>
      </c>
      <c r="AU66" s="268">
        <v>26.678000000000001</v>
      </c>
      <c r="AV66" s="41">
        <f>SUM(N66:Q66)</f>
        <v>26.689999999999998</v>
      </c>
      <c r="AW66" s="41">
        <f>SUM(T66:W66)</f>
        <v>26.700000000000003</v>
      </c>
      <c r="AX66" s="41">
        <f>SUM(Z66:AB66)</f>
        <v>26.68</v>
      </c>
      <c r="AZ66" s="22">
        <f>I66/AV66</f>
        <v>0.99955039340577012</v>
      </c>
      <c r="BA66" s="22">
        <f>I66/AW66</f>
        <v>0.99917602996254673</v>
      </c>
      <c r="BB66" s="22">
        <f>I66/AX66</f>
        <v>0.99992503748125938</v>
      </c>
    </row>
    <row r="67" spans="1:88" s="22" customFormat="1">
      <c r="A67" s="1">
        <v>2029</v>
      </c>
      <c r="B67" s="34" t="s">
        <v>2646</v>
      </c>
      <c r="C67" s="34">
        <v>325</v>
      </c>
      <c r="D67" s="75">
        <v>4352</v>
      </c>
      <c r="E67" s="8">
        <v>100</v>
      </c>
      <c r="F67" s="34" t="s">
        <v>2677</v>
      </c>
      <c r="G67" s="58">
        <v>0</v>
      </c>
      <c r="H67" s="58">
        <v>1000</v>
      </c>
      <c r="I67" s="21">
        <v>1</v>
      </c>
      <c r="J67" s="8">
        <v>2</v>
      </c>
      <c r="K67" s="8" t="s">
        <v>238</v>
      </c>
      <c r="L67" s="18">
        <v>42117</v>
      </c>
      <c r="M67" s="9" t="s">
        <v>191</v>
      </c>
      <c r="N67" s="38">
        <v>0.33</v>
      </c>
      <c r="O67" s="38">
        <v>0.35</v>
      </c>
      <c r="P67" s="38">
        <v>0.21</v>
      </c>
      <c r="Q67" s="38">
        <v>0.11</v>
      </c>
      <c r="R67" s="38">
        <v>3.3978700000000002</v>
      </c>
      <c r="S67" s="38">
        <f t="shared" ref="S67:S130" si="17">ROUND(R67/5,1)*5</f>
        <v>3.5</v>
      </c>
      <c r="T67" s="38">
        <v>0.55000000000000004</v>
      </c>
      <c r="U67" s="38">
        <v>0.2</v>
      </c>
      <c r="V67" s="38">
        <v>0.1</v>
      </c>
      <c r="W67" s="38">
        <v>0.15</v>
      </c>
      <c r="X67" s="38">
        <v>10.743600000000001</v>
      </c>
      <c r="Y67" s="38">
        <f t="shared" ref="Y67:Y130" si="18">ROUND(X67/5,1)*5</f>
        <v>10.5</v>
      </c>
      <c r="Z67" s="38">
        <v>0</v>
      </c>
      <c r="AA67" s="38">
        <v>0</v>
      </c>
      <c r="AB67" s="38">
        <v>1</v>
      </c>
      <c r="AC67" s="38">
        <v>1.42754</v>
      </c>
      <c r="AD67" s="38">
        <v>269.14999999999998</v>
      </c>
      <c r="AE67" s="38">
        <v>52.1</v>
      </c>
      <c r="AF67" s="38">
        <f>(AD67+AE67*0.5)/(3.5*I67*1000)*100</f>
        <v>8.4342857142857142</v>
      </c>
      <c r="AG67" s="38">
        <f t="shared" ref="AG67:AG130" si="19">ROUND(AF67,1)</f>
        <v>8.4</v>
      </c>
      <c r="AH67" s="38">
        <v>651</v>
      </c>
      <c r="AI67" s="38">
        <f>AH67/(3.5*I67*1000)*100</f>
        <v>18.600000000000001</v>
      </c>
      <c r="AJ67" s="38">
        <v>231.1</v>
      </c>
      <c r="AK67" s="38">
        <f>AJ67/(3.5*I67*1000)*100</f>
        <v>6.6028571428571423</v>
      </c>
      <c r="AL67" s="38">
        <v>2</v>
      </c>
      <c r="AM67" s="38">
        <f>AL67/(3.5*I67*1000)*100</f>
        <v>5.7142857142857148E-2</v>
      </c>
      <c r="AN67" s="12"/>
      <c r="AO67" s="12"/>
      <c r="AP67" s="1"/>
      <c r="AQ67" s="41">
        <f>SUM(N67:Q67)</f>
        <v>0.99999999999999989</v>
      </c>
      <c r="AR67" s="41">
        <f>SUM(T67:W67)</f>
        <v>1</v>
      </c>
      <c r="AS67" s="12">
        <f>SUM(Z67:AB67)</f>
        <v>1</v>
      </c>
      <c r="AT67" s="1"/>
      <c r="AU67" s="1">
        <f>I67/AQ67</f>
        <v>1</v>
      </c>
      <c r="AV67" s="1">
        <f>I67/AR67</f>
        <v>1</v>
      </c>
      <c r="AW67" s="1">
        <f>I67/AS67</f>
        <v>1</v>
      </c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</row>
    <row r="68" spans="1:88" s="22" customFormat="1">
      <c r="A68" s="1">
        <v>905</v>
      </c>
      <c r="B68" s="34" t="s">
        <v>1285</v>
      </c>
      <c r="C68" s="34">
        <v>634</v>
      </c>
      <c r="D68" s="162">
        <v>2454</v>
      </c>
      <c r="E68" s="34">
        <v>101</v>
      </c>
      <c r="F68" s="34" t="s">
        <v>1299</v>
      </c>
      <c r="G68" s="58">
        <v>0</v>
      </c>
      <c r="H68" s="58">
        <v>1433</v>
      </c>
      <c r="I68" s="35">
        <v>1.4330000000000001</v>
      </c>
      <c r="J68" s="9">
        <v>2</v>
      </c>
      <c r="K68" s="34" t="s">
        <v>238</v>
      </c>
      <c r="L68" s="10">
        <v>42146</v>
      </c>
      <c r="M68" s="9" t="s">
        <v>191</v>
      </c>
      <c r="N68" s="38">
        <v>0.35</v>
      </c>
      <c r="O68" s="38">
        <v>0.57499999999999996</v>
      </c>
      <c r="P68" s="38">
        <v>0.25</v>
      </c>
      <c r="Q68" s="38">
        <v>0.27500000000000002</v>
      </c>
      <c r="R68" s="38">
        <v>3.9079299999999999</v>
      </c>
      <c r="S68" s="38">
        <f t="shared" si="17"/>
        <v>4</v>
      </c>
      <c r="T68" s="38">
        <v>1.325</v>
      </c>
      <c r="U68" s="38">
        <v>0.125</v>
      </c>
      <c r="V68" s="38">
        <v>0</v>
      </c>
      <c r="W68" s="38">
        <v>0</v>
      </c>
      <c r="X68" s="38">
        <v>5.5839800000000004</v>
      </c>
      <c r="Y68" s="38">
        <f t="shared" si="18"/>
        <v>5.5</v>
      </c>
      <c r="Z68" s="38">
        <v>0</v>
      </c>
      <c r="AA68" s="38">
        <v>0</v>
      </c>
      <c r="AB68" s="38">
        <f>N68+O68+P68+Q68</f>
        <v>1.4499999999999997</v>
      </c>
      <c r="AC68" s="38">
        <v>1.6151199999999999</v>
      </c>
      <c r="AD68" s="38">
        <v>3.7</v>
      </c>
      <c r="AE68" s="38">
        <v>798.21</v>
      </c>
      <c r="AF68" s="38">
        <v>8.0312000000000001</v>
      </c>
      <c r="AG68" s="38">
        <f t="shared" si="19"/>
        <v>8</v>
      </c>
      <c r="AH68" s="38">
        <v>0</v>
      </c>
      <c r="AI68" s="38">
        <v>0</v>
      </c>
      <c r="AJ68" s="38">
        <v>25.25</v>
      </c>
      <c r="AK68" s="38">
        <v>0.50344</v>
      </c>
      <c r="AL68" s="38">
        <v>0</v>
      </c>
      <c r="AM68" s="38">
        <v>0</v>
      </c>
      <c r="AN68" s="25"/>
      <c r="AO68" s="25">
        <f>AE68*0.5</f>
        <v>399.10500000000002</v>
      </c>
      <c r="AP68" s="25">
        <f>(AD68+AH68+AJ68+AL68+AO68)*I68</f>
        <v>613.40281500000003</v>
      </c>
      <c r="AQ68" s="25">
        <f>SUM(N68:Q68)</f>
        <v>1.4499999999999997</v>
      </c>
      <c r="AR68" s="25">
        <f>SUM(T68:W68)</f>
        <v>1.45</v>
      </c>
      <c r="AT68" s="41"/>
      <c r="AU68" s="41"/>
      <c r="AV68" s="41"/>
      <c r="AW68" s="41"/>
    </row>
    <row r="69" spans="1:88" s="22" customFormat="1">
      <c r="A69" s="1">
        <v>2158</v>
      </c>
      <c r="B69" s="34" t="s">
        <v>2790</v>
      </c>
      <c r="C69" s="34">
        <v>331</v>
      </c>
      <c r="D69" s="209">
        <v>4281</v>
      </c>
      <c r="E69" s="211">
        <v>100</v>
      </c>
      <c r="F69" s="9" t="s">
        <v>2797</v>
      </c>
      <c r="G69" s="20">
        <v>700</v>
      </c>
      <c r="H69" s="210">
        <v>0</v>
      </c>
      <c r="I69" s="9">
        <v>0.7</v>
      </c>
      <c r="J69" s="9">
        <v>2</v>
      </c>
      <c r="K69" s="9" t="s">
        <v>12</v>
      </c>
      <c r="L69" s="18">
        <v>42304</v>
      </c>
      <c r="M69" s="9" t="s">
        <v>191</v>
      </c>
      <c r="N69" s="38">
        <v>0.42499999999999999</v>
      </c>
      <c r="O69" s="38">
        <v>0.2</v>
      </c>
      <c r="P69" s="38">
        <v>0.05</v>
      </c>
      <c r="Q69" s="38">
        <v>0</v>
      </c>
      <c r="R69" s="38">
        <v>2.4518499999999999</v>
      </c>
      <c r="S69" s="38">
        <f t="shared" si="17"/>
        <v>2.5</v>
      </c>
      <c r="T69" s="38">
        <v>0.67500000000000004</v>
      </c>
      <c r="U69" s="38">
        <v>0</v>
      </c>
      <c r="V69" s="38">
        <v>0</v>
      </c>
      <c r="W69" s="38">
        <v>0</v>
      </c>
      <c r="X69" s="38">
        <v>1.1874400000000001</v>
      </c>
      <c r="Y69" s="38">
        <f t="shared" si="18"/>
        <v>1</v>
      </c>
      <c r="Z69" s="38">
        <v>0</v>
      </c>
      <c r="AA69" s="38">
        <v>0</v>
      </c>
      <c r="AB69" s="38">
        <v>0.67500000000000004</v>
      </c>
      <c r="AC69" s="38">
        <v>1.54819</v>
      </c>
      <c r="AD69" s="38">
        <v>179.512</v>
      </c>
      <c r="AE69" s="38">
        <v>34.125</v>
      </c>
      <c r="AF69" s="38">
        <f>(AD69+AE69*0.5)/(3.5*I69*1000)*100</f>
        <v>8.0234489795918371</v>
      </c>
      <c r="AG69" s="38">
        <f t="shared" si="19"/>
        <v>8</v>
      </c>
      <c r="AH69" s="38">
        <v>167.39</v>
      </c>
      <c r="AI69" s="38">
        <f>AH69/(3.5*I69*1000)*100</f>
        <v>6.8322448979591845</v>
      </c>
      <c r="AJ69" s="38">
        <v>0.35</v>
      </c>
      <c r="AK69" s="38">
        <f>AJ69/(3.5*I69*1000)*100</f>
        <v>1.4285714285714287E-2</v>
      </c>
      <c r="AL69" s="38">
        <v>0</v>
      </c>
      <c r="AM69" s="38">
        <f>AL69/(3.5*I69*1000)*100</f>
        <v>0</v>
      </c>
      <c r="AN69" s="25"/>
      <c r="AO69" s="25"/>
    </row>
    <row r="70" spans="1:88" s="22" customFormat="1">
      <c r="A70" s="1">
        <v>1414</v>
      </c>
      <c r="B70" s="34" t="s">
        <v>1957</v>
      </c>
      <c r="C70" s="34">
        <v>447</v>
      </c>
      <c r="D70" s="75">
        <v>3220</v>
      </c>
      <c r="E70" s="69">
        <v>100</v>
      </c>
      <c r="F70" s="184" t="s">
        <v>1969</v>
      </c>
      <c r="G70" s="77">
        <v>0</v>
      </c>
      <c r="H70" s="20">
        <v>13707</v>
      </c>
      <c r="I70" s="21">
        <v>13.707000000000001</v>
      </c>
      <c r="J70" s="8">
        <v>2</v>
      </c>
      <c r="K70" s="34" t="s">
        <v>238</v>
      </c>
      <c r="L70" s="10">
        <v>42215</v>
      </c>
      <c r="M70" s="9" t="s">
        <v>191</v>
      </c>
      <c r="N70" s="38">
        <v>6.1</v>
      </c>
      <c r="O70" s="38">
        <v>4.625</v>
      </c>
      <c r="P70" s="38">
        <f>2.425/2</f>
        <v>1.2124999999999999</v>
      </c>
      <c r="Q70" s="38">
        <v>0.6</v>
      </c>
      <c r="R70" s="38">
        <v>2.8277600000000001</v>
      </c>
      <c r="S70" s="38">
        <f t="shared" si="17"/>
        <v>3</v>
      </c>
      <c r="T70" s="38">
        <v>13.2</v>
      </c>
      <c r="U70" s="38">
        <v>0.52500000000000002</v>
      </c>
      <c r="V70" s="38">
        <v>2.5000000000000001E-2</v>
      </c>
      <c r="W70" s="38">
        <v>0</v>
      </c>
      <c r="X70" s="38">
        <v>4.18262</v>
      </c>
      <c r="Y70" s="38">
        <f t="shared" si="18"/>
        <v>4</v>
      </c>
      <c r="Z70" s="38">
        <v>0</v>
      </c>
      <c r="AA70" s="38">
        <v>0</v>
      </c>
      <c r="AB70" s="38">
        <v>12.5375</v>
      </c>
      <c r="AC70" s="38">
        <v>1.2842499999999999</v>
      </c>
      <c r="AD70" s="38">
        <v>3202</v>
      </c>
      <c r="AE70" s="38">
        <v>1278</v>
      </c>
      <c r="AF70" s="38">
        <v>8.0063366997050505</v>
      </c>
      <c r="AG70" s="38">
        <f t="shared" si="19"/>
        <v>8</v>
      </c>
      <c r="AH70" s="38">
        <v>0</v>
      </c>
      <c r="AI70" s="38">
        <f>AH70/(3.5*I70*1000)*100</f>
        <v>0</v>
      </c>
      <c r="AJ70" s="38">
        <v>0</v>
      </c>
      <c r="AK70" s="38">
        <f>AJ70/(3.5*I70*1000)*100</f>
        <v>0</v>
      </c>
      <c r="AL70" s="38">
        <v>0</v>
      </c>
      <c r="AM70" s="38">
        <f>AL70/(3.5*I70*1000)*100</f>
        <v>0</v>
      </c>
      <c r="AN70" s="41"/>
    </row>
    <row r="71" spans="1:88" s="22" customFormat="1">
      <c r="A71" s="1">
        <v>1605</v>
      </c>
      <c r="B71" s="34" t="s">
        <v>2137</v>
      </c>
      <c r="C71" s="5">
        <v>416</v>
      </c>
      <c r="D71" s="5">
        <v>346</v>
      </c>
      <c r="E71" s="5">
        <v>102</v>
      </c>
      <c r="F71" s="5" t="s">
        <v>2169</v>
      </c>
      <c r="G71" s="53" t="s">
        <v>2174</v>
      </c>
      <c r="H71" s="53" t="s">
        <v>379</v>
      </c>
      <c r="I71" s="198">
        <v>0.51</v>
      </c>
      <c r="J71" s="78">
        <v>6</v>
      </c>
      <c r="K71" s="5" t="s">
        <v>237</v>
      </c>
      <c r="L71" s="10">
        <v>42248</v>
      </c>
      <c r="M71" s="34" t="s">
        <v>218</v>
      </c>
      <c r="N71" s="147">
        <v>0</v>
      </c>
      <c r="O71" s="147">
        <v>0.2</v>
      </c>
      <c r="P71" s="147">
        <v>0.25</v>
      </c>
      <c r="Q71" s="147">
        <v>0.05</v>
      </c>
      <c r="R71" s="147">
        <v>3.8614999999999999</v>
      </c>
      <c r="S71" s="38">
        <f t="shared" si="17"/>
        <v>4</v>
      </c>
      <c r="T71" s="147">
        <v>0</v>
      </c>
      <c r="U71" s="147">
        <v>0</v>
      </c>
      <c r="V71" s="147">
        <f>SUM(N71:Q71)</f>
        <v>0.5</v>
      </c>
      <c r="W71" s="147">
        <v>1.1394</v>
      </c>
      <c r="X71" s="201">
        <v>9</v>
      </c>
      <c r="Y71" s="38">
        <f t="shared" si="18"/>
        <v>9</v>
      </c>
      <c r="Z71" s="201">
        <v>0</v>
      </c>
      <c r="AA71" s="201">
        <v>5</v>
      </c>
      <c r="AB71" s="201">
        <v>0</v>
      </c>
      <c r="AC71" s="201">
        <v>0</v>
      </c>
      <c r="AD71" s="147">
        <v>20.010000000000002</v>
      </c>
      <c r="AE71" s="147">
        <v>1.1210084033613443</v>
      </c>
      <c r="AF71" s="201">
        <v>8</v>
      </c>
      <c r="AG71" s="38">
        <f t="shared" si="19"/>
        <v>8</v>
      </c>
      <c r="AH71" s="198"/>
      <c r="AI71" s="198"/>
      <c r="AJ71" s="198"/>
      <c r="AK71" s="34"/>
      <c r="AL71" s="34"/>
      <c r="AM71" s="34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</row>
    <row r="72" spans="1:88" s="22" customFormat="1">
      <c r="A72" s="1">
        <v>1093</v>
      </c>
      <c r="B72" s="34" t="s">
        <v>1467</v>
      </c>
      <c r="C72" s="34">
        <v>619</v>
      </c>
      <c r="D72" s="8">
        <v>3625</v>
      </c>
      <c r="E72" s="34">
        <v>100</v>
      </c>
      <c r="F72" s="9" t="s">
        <v>1512</v>
      </c>
      <c r="G72" s="58">
        <v>0</v>
      </c>
      <c r="H72" s="58">
        <v>428</v>
      </c>
      <c r="I72" s="35">
        <v>0.42799999999999999</v>
      </c>
      <c r="J72" s="9">
        <v>2</v>
      </c>
      <c r="K72" s="34" t="s">
        <v>238</v>
      </c>
      <c r="L72" s="10">
        <v>42093</v>
      </c>
      <c r="M72" s="9" t="s">
        <v>191</v>
      </c>
      <c r="N72" s="38">
        <v>0.1</v>
      </c>
      <c r="O72" s="38">
        <v>0.23</v>
      </c>
      <c r="P72" s="38">
        <v>0</v>
      </c>
      <c r="Q72" s="38">
        <v>0.1</v>
      </c>
      <c r="R72" s="38">
        <v>3.8188200000000001</v>
      </c>
      <c r="S72" s="38">
        <f t="shared" si="17"/>
        <v>4</v>
      </c>
      <c r="T72" s="38">
        <v>0.43</v>
      </c>
      <c r="U72" s="38">
        <v>0</v>
      </c>
      <c r="V72" s="38">
        <v>0</v>
      </c>
      <c r="W72" s="38">
        <v>0</v>
      </c>
      <c r="X72" s="38">
        <v>1.8018799999999999</v>
      </c>
      <c r="Y72" s="38">
        <f t="shared" si="18"/>
        <v>2</v>
      </c>
      <c r="Z72" s="117">
        <v>0</v>
      </c>
      <c r="AA72" s="117">
        <v>0</v>
      </c>
      <c r="AB72" s="117">
        <v>0.43</v>
      </c>
      <c r="AC72" s="38">
        <v>1.4570000000000001</v>
      </c>
      <c r="AD72" s="38">
        <v>119.01</v>
      </c>
      <c r="AE72" s="38">
        <v>0</v>
      </c>
      <c r="AF72" s="11">
        <f>(AD72+AE72*0.5)/(3.5*I72*1000)*100</f>
        <v>7.9445927903871834</v>
      </c>
      <c r="AG72" s="38">
        <f t="shared" si="19"/>
        <v>7.9</v>
      </c>
      <c r="AH72" s="38">
        <v>2.2999999999999998</v>
      </c>
      <c r="AI72" s="38">
        <f>AH72/(3.5*I72*1000)*100</f>
        <v>0.15353805073431243</v>
      </c>
      <c r="AJ72" s="38">
        <v>0</v>
      </c>
      <c r="AK72" s="38">
        <f>AJ72/(3.5*I72*1000)*100</f>
        <v>0</v>
      </c>
      <c r="AL72" s="38">
        <v>0</v>
      </c>
      <c r="AM72" s="38">
        <f>AL72/(3.5*I72*1000)*100</f>
        <v>0</v>
      </c>
      <c r="AN72" s="25"/>
      <c r="AO72" s="25"/>
      <c r="AP72" s="12">
        <f>AE72*0.5</f>
        <v>0</v>
      </c>
      <c r="AQ72" s="12">
        <f>(AD72+AH72+AJ72+AL72+AP72)*I72</f>
        <v>51.920679999999997</v>
      </c>
      <c r="AR72" s="25"/>
      <c r="AS72" s="25">
        <f>SUM(N72:Q72)</f>
        <v>0.43000000000000005</v>
      </c>
      <c r="AT72" s="22">
        <f>SUM(T72:W72)</f>
        <v>0.43</v>
      </c>
      <c r="AU72" s="268">
        <v>0.42799999999999999</v>
      </c>
      <c r="AV72" s="41">
        <f>SUM(N72:Q72)</f>
        <v>0.43000000000000005</v>
      </c>
      <c r="AW72" s="41">
        <f>SUM(T72:W72)</f>
        <v>0.43</v>
      </c>
      <c r="AX72" s="41">
        <f>SUM(Z72:AB72)</f>
        <v>0.43</v>
      </c>
      <c r="AZ72" s="22">
        <f>I72/AV72</f>
        <v>0.99534883720930223</v>
      </c>
      <c r="BA72" s="22">
        <f>I72/AW72</f>
        <v>0.99534883720930234</v>
      </c>
      <c r="BB72" s="22">
        <f>I72/AX72</f>
        <v>0.99534883720930234</v>
      </c>
    </row>
    <row r="73" spans="1:88" s="22" customFormat="1">
      <c r="A73" s="1">
        <v>1331</v>
      </c>
      <c r="B73" s="74" t="s">
        <v>1851</v>
      </c>
      <c r="C73" s="34">
        <v>444</v>
      </c>
      <c r="D73" s="75">
        <v>3272</v>
      </c>
      <c r="E73" s="69">
        <v>100</v>
      </c>
      <c r="F73" s="34" t="s">
        <v>1877</v>
      </c>
      <c r="G73" s="20">
        <v>0</v>
      </c>
      <c r="H73" s="20">
        <v>40986</v>
      </c>
      <c r="I73" s="21">
        <v>40.985999999999997</v>
      </c>
      <c r="J73" s="8">
        <v>2</v>
      </c>
      <c r="K73" s="34" t="s">
        <v>238</v>
      </c>
      <c r="L73" s="10">
        <v>42210</v>
      </c>
      <c r="M73" s="9" t="s">
        <v>191</v>
      </c>
      <c r="N73" s="38">
        <v>16.524999999999999</v>
      </c>
      <c r="O73" s="38">
        <v>13.95</v>
      </c>
      <c r="P73" s="38">
        <v>6.85</v>
      </c>
      <c r="Q73" s="38">
        <v>3.55</v>
      </c>
      <c r="R73" s="38">
        <v>3.08033</v>
      </c>
      <c r="S73" s="38">
        <f t="shared" si="17"/>
        <v>3</v>
      </c>
      <c r="T73" s="38">
        <v>39.25</v>
      </c>
      <c r="U73" s="38">
        <v>1.125</v>
      </c>
      <c r="V73" s="38">
        <v>0.32500000000000001</v>
      </c>
      <c r="W73" s="38">
        <v>0.17499999999999999</v>
      </c>
      <c r="X73" s="38">
        <v>3.2173099999999999</v>
      </c>
      <c r="Y73" s="38">
        <f t="shared" si="18"/>
        <v>3</v>
      </c>
      <c r="Z73" s="38">
        <v>0</v>
      </c>
      <c r="AA73" s="38">
        <v>0</v>
      </c>
      <c r="AB73" s="38">
        <v>40.874999999999993</v>
      </c>
      <c r="AC73" s="38">
        <v>1.3873899999999999</v>
      </c>
      <c r="AD73" s="38">
        <v>10931</v>
      </c>
      <c r="AE73" s="38">
        <v>722</v>
      </c>
      <c r="AF73" s="38">
        <v>7.8716774368948279</v>
      </c>
      <c r="AG73" s="38">
        <f t="shared" si="19"/>
        <v>7.9</v>
      </c>
      <c r="AH73" s="38">
        <v>1</v>
      </c>
      <c r="AI73" s="38">
        <v>6.9710214637750875E-4</v>
      </c>
      <c r="AJ73" s="38">
        <v>906</v>
      </c>
      <c r="AK73" s="38">
        <v>0.63157454461802287</v>
      </c>
      <c r="AL73" s="38">
        <v>5</v>
      </c>
      <c r="AM73" s="38">
        <v>3.4855107318875434E-3</v>
      </c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</row>
    <row r="74" spans="1:88" s="22" customFormat="1">
      <c r="A74" s="1">
        <v>476</v>
      </c>
      <c r="B74" s="74" t="s">
        <v>780</v>
      </c>
      <c r="C74" s="34">
        <v>515</v>
      </c>
      <c r="D74" s="34">
        <v>2467</v>
      </c>
      <c r="E74" s="34">
        <v>100</v>
      </c>
      <c r="F74" s="34" t="s">
        <v>817</v>
      </c>
      <c r="G74" s="34" t="s">
        <v>92</v>
      </c>
      <c r="H74" s="34" t="s">
        <v>818</v>
      </c>
      <c r="I74" s="55">
        <v>6.7000000000000004E-2</v>
      </c>
      <c r="J74" s="5" t="s">
        <v>237</v>
      </c>
      <c r="K74" s="34">
        <v>2</v>
      </c>
      <c r="L74" s="10">
        <v>42268</v>
      </c>
      <c r="M74" s="9" t="s">
        <v>191</v>
      </c>
      <c r="N74" s="38">
        <v>0.02</v>
      </c>
      <c r="O74" s="38">
        <v>0.01</v>
      </c>
      <c r="P74" s="38">
        <v>0.04</v>
      </c>
      <c r="Q74" s="38">
        <v>0</v>
      </c>
      <c r="R74" s="38">
        <v>3.415</v>
      </c>
      <c r="S74" s="38">
        <f t="shared" si="17"/>
        <v>3.5</v>
      </c>
      <c r="T74" s="38">
        <v>7.0000000000000007E-2</v>
      </c>
      <c r="U74" s="38">
        <v>0</v>
      </c>
      <c r="V74" s="38">
        <v>0</v>
      </c>
      <c r="W74" s="38">
        <v>0</v>
      </c>
      <c r="X74" s="38">
        <v>3.1259999999999999</v>
      </c>
      <c r="Y74" s="38">
        <f t="shared" si="18"/>
        <v>3</v>
      </c>
      <c r="Z74" s="38">
        <v>0</v>
      </c>
      <c r="AA74" s="38">
        <v>0</v>
      </c>
      <c r="AB74" s="38">
        <v>0.15000000000000002</v>
      </c>
      <c r="AC74" s="38">
        <v>1.2004999999999999</v>
      </c>
      <c r="AD74" s="38">
        <v>15.547000000000001</v>
      </c>
      <c r="AE74" s="38">
        <v>5.64</v>
      </c>
      <c r="AF74" s="38">
        <f>(AD74+AE74*0.5)/(3.5*I74*1000)*100</f>
        <v>7.8324093816631137</v>
      </c>
      <c r="AG74" s="38">
        <f t="shared" si="19"/>
        <v>7.8</v>
      </c>
      <c r="AH74" s="38">
        <v>85.677999999999997</v>
      </c>
      <c r="AI74" s="38">
        <f>AH74/(3.5*I74*1000)*100</f>
        <v>36.536460554371004</v>
      </c>
      <c r="AJ74" s="38">
        <v>0</v>
      </c>
      <c r="AK74" s="38">
        <f>AJ74/(3.5*I74*1000)*100</f>
        <v>0</v>
      </c>
      <c r="AL74" s="38">
        <v>0</v>
      </c>
      <c r="AM74" s="38">
        <f>AL74/(3.5*I74*1000)*100</f>
        <v>0</v>
      </c>
      <c r="AN74" s="41"/>
      <c r="AO74" s="41"/>
      <c r="AP74" s="114"/>
      <c r="AQ74" s="73"/>
      <c r="AR74" s="73"/>
      <c r="AS74" s="73"/>
    </row>
    <row r="75" spans="1:88" s="22" customFormat="1">
      <c r="A75" s="1">
        <v>1167</v>
      </c>
      <c r="B75" s="74" t="s">
        <v>1577</v>
      </c>
      <c r="C75" s="34">
        <v>432</v>
      </c>
      <c r="D75" s="34">
        <v>3565</v>
      </c>
      <c r="E75" s="34">
        <v>100</v>
      </c>
      <c r="F75" s="34" t="s">
        <v>1635</v>
      </c>
      <c r="G75" s="34" t="s">
        <v>92</v>
      </c>
      <c r="H75" s="34" t="s">
        <v>1636</v>
      </c>
      <c r="I75" s="55">
        <v>0.625</v>
      </c>
      <c r="J75" s="34">
        <v>2</v>
      </c>
      <c r="K75" s="181" t="s">
        <v>238</v>
      </c>
      <c r="L75" s="10">
        <v>42282</v>
      </c>
      <c r="M75" s="9" t="s">
        <v>191</v>
      </c>
      <c r="N75" s="38">
        <v>0.22500000000000001</v>
      </c>
      <c r="O75" s="38">
        <v>0.15</v>
      </c>
      <c r="P75" s="38">
        <v>0.15</v>
      </c>
      <c r="Q75" s="38">
        <v>0.05</v>
      </c>
      <c r="R75" s="38">
        <v>3.0230399999999999</v>
      </c>
      <c r="S75" s="38">
        <f t="shared" si="17"/>
        <v>3</v>
      </c>
      <c r="T75" s="38">
        <v>0.45</v>
      </c>
      <c r="U75" s="38">
        <v>7.4999999999999997E-2</v>
      </c>
      <c r="V75" s="38">
        <v>0.05</v>
      </c>
      <c r="W75" s="38">
        <v>0</v>
      </c>
      <c r="X75" s="38">
        <v>6.4569599999999996</v>
      </c>
      <c r="Y75" s="38">
        <f t="shared" si="18"/>
        <v>6.5</v>
      </c>
      <c r="Z75" s="38">
        <v>0</v>
      </c>
      <c r="AA75" s="38">
        <v>0</v>
      </c>
      <c r="AB75" s="38">
        <v>0.57500000000000007</v>
      </c>
      <c r="AC75" s="38">
        <v>1.14622</v>
      </c>
      <c r="AD75" s="38">
        <v>158.66</v>
      </c>
      <c r="AE75" s="38">
        <v>21.3</v>
      </c>
      <c r="AF75" s="38">
        <v>7.7398860000000003</v>
      </c>
      <c r="AG75" s="38">
        <f t="shared" si="19"/>
        <v>7.7</v>
      </c>
      <c r="AH75" s="38">
        <v>0</v>
      </c>
      <c r="AI75" s="38">
        <v>0</v>
      </c>
      <c r="AJ75" s="38">
        <v>0</v>
      </c>
      <c r="AK75" s="38">
        <v>0</v>
      </c>
      <c r="AL75" s="38">
        <v>0</v>
      </c>
      <c r="AM75" s="38">
        <v>0</v>
      </c>
      <c r="AN75" s="114"/>
      <c r="AO75" s="73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</row>
    <row r="76" spans="1:88" s="22" customFormat="1">
      <c r="A76" s="1">
        <v>1305</v>
      </c>
      <c r="B76" s="74" t="s">
        <v>1820</v>
      </c>
      <c r="C76" s="34">
        <v>441</v>
      </c>
      <c r="D76" s="75">
        <v>3617</v>
      </c>
      <c r="E76" s="69">
        <v>100</v>
      </c>
      <c r="F76" s="34" t="s">
        <v>1850</v>
      </c>
      <c r="G76" s="58">
        <v>0</v>
      </c>
      <c r="H76" s="58">
        <v>670</v>
      </c>
      <c r="I76" s="55">
        <v>0.67</v>
      </c>
      <c r="J76" s="34">
        <v>2</v>
      </c>
      <c r="K76" s="34" t="s">
        <v>238</v>
      </c>
      <c r="L76" s="10">
        <v>42186</v>
      </c>
      <c r="M76" s="9" t="s">
        <v>191</v>
      </c>
      <c r="N76" s="38">
        <v>0.35</v>
      </c>
      <c r="O76" s="38">
        <v>0.125</v>
      </c>
      <c r="P76" s="38">
        <v>2.5000000000000001E-2</v>
      </c>
      <c r="Q76" s="38">
        <v>0.15</v>
      </c>
      <c r="R76" s="38">
        <v>3.97885</v>
      </c>
      <c r="S76" s="38">
        <f t="shared" si="17"/>
        <v>4</v>
      </c>
      <c r="T76" s="38">
        <v>0.65</v>
      </c>
      <c r="U76" s="38">
        <v>0</v>
      </c>
      <c r="V76" s="38">
        <v>0</v>
      </c>
      <c r="W76" s="38">
        <v>0</v>
      </c>
      <c r="X76" s="38">
        <v>2.0442300000000002</v>
      </c>
      <c r="Y76" s="38">
        <f t="shared" si="18"/>
        <v>2</v>
      </c>
      <c r="Z76" s="38">
        <v>0</v>
      </c>
      <c r="AA76" s="38">
        <v>0</v>
      </c>
      <c r="AB76" s="38">
        <v>0.65</v>
      </c>
      <c r="AC76" s="38">
        <v>1.3608100000000001</v>
      </c>
      <c r="AD76" s="38">
        <v>163.5</v>
      </c>
      <c r="AE76" s="38">
        <v>33</v>
      </c>
      <c r="AF76" s="38">
        <v>7.6759061833688706</v>
      </c>
      <c r="AG76" s="38">
        <f t="shared" si="19"/>
        <v>7.7</v>
      </c>
      <c r="AH76" s="38">
        <v>252.6</v>
      </c>
      <c r="AI76" s="38">
        <v>10.77185501066098</v>
      </c>
      <c r="AJ76" s="38">
        <v>2.1</v>
      </c>
      <c r="AK76" s="38">
        <v>8.9552238805970144E-2</v>
      </c>
      <c r="AL76" s="38">
        <v>1.65</v>
      </c>
      <c r="AM76" s="38">
        <v>1.65</v>
      </c>
      <c r="AN76" s="40"/>
      <c r="AO76" s="12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</row>
    <row r="77" spans="1:88" s="22" customFormat="1">
      <c r="A77" s="1">
        <v>1299</v>
      </c>
      <c r="B77" s="74" t="s">
        <v>1820</v>
      </c>
      <c r="C77" s="34">
        <v>441</v>
      </c>
      <c r="D77" s="75">
        <v>3557</v>
      </c>
      <c r="E77" s="69">
        <v>100</v>
      </c>
      <c r="F77" s="34" t="s">
        <v>1844</v>
      </c>
      <c r="G77" s="58">
        <v>726</v>
      </c>
      <c r="H77" s="58">
        <v>0</v>
      </c>
      <c r="I77" s="55">
        <v>0.72599999999999998</v>
      </c>
      <c r="J77" s="34">
        <v>4</v>
      </c>
      <c r="K77" s="34" t="s">
        <v>96</v>
      </c>
      <c r="L77" s="10">
        <v>42187</v>
      </c>
      <c r="M77" s="9" t="s">
        <v>191</v>
      </c>
      <c r="N77" s="147">
        <v>0.18822222222222221</v>
      </c>
      <c r="O77" s="147">
        <v>0.29577777777777781</v>
      </c>
      <c r="P77" s="147">
        <v>0.13444444444444445</v>
      </c>
      <c r="Q77" s="147">
        <v>0.10755555555555557</v>
      </c>
      <c r="R77" s="38">
        <v>3.7007400000000001</v>
      </c>
      <c r="S77" s="38">
        <f t="shared" si="17"/>
        <v>3.5</v>
      </c>
      <c r="T77" s="38">
        <v>0.72599999999999998</v>
      </c>
      <c r="U77" s="38">
        <v>0</v>
      </c>
      <c r="V77" s="38">
        <v>0</v>
      </c>
      <c r="W77" s="38">
        <v>0</v>
      </c>
      <c r="X77" s="38">
        <v>4.2001900000000001</v>
      </c>
      <c r="Y77" s="38">
        <f t="shared" si="18"/>
        <v>4</v>
      </c>
      <c r="Z77" s="38">
        <v>0</v>
      </c>
      <c r="AA77" s="38">
        <v>0</v>
      </c>
      <c r="AB77" s="38">
        <v>0.67499999999999993</v>
      </c>
      <c r="AC77" s="38">
        <v>1.27281</v>
      </c>
      <c r="AD77" s="38">
        <v>175.3</v>
      </c>
      <c r="AE77" s="38">
        <v>34.299999999999997</v>
      </c>
      <c r="AF77" s="38">
        <v>7.5737898465171209</v>
      </c>
      <c r="AG77" s="38">
        <f t="shared" si="19"/>
        <v>7.6</v>
      </c>
      <c r="AH77" s="38">
        <v>155.30000000000001</v>
      </c>
      <c r="AI77" s="38">
        <v>6.1117670208579309</v>
      </c>
      <c r="AJ77" s="38">
        <v>0</v>
      </c>
      <c r="AK77" s="38">
        <v>0</v>
      </c>
      <c r="AL77" s="38">
        <v>1.4</v>
      </c>
      <c r="AM77" s="38">
        <v>1.4</v>
      </c>
      <c r="AN77" s="40"/>
      <c r="AO77" s="12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</row>
    <row r="78" spans="1:88" s="22" customFormat="1">
      <c r="A78" s="1">
        <v>1179</v>
      </c>
      <c r="B78" s="34" t="s">
        <v>1639</v>
      </c>
      <c r="C78" s="34">
        <v>433</v>
      </c>
      <c r="D78" s="34">
        <v>369</v>
      </c>
      <c r="E78" s="34">
        <v>100</v>
      </c>
      <c r="F78" s="34" t="s">
        <v>1653</v>
      </c>
      <c r="G78" s="58" t="s">
        <v>92</v>
      </c>
      <c r="H78" s="58" t="s">
        <v>1654</v>
      </c>
      <c r="I78" s="55">
        <v>1.4339999999999999</v>
      </c>
      <c r="J78" s="34">
        <v>4</v>
      </c>
      <c r="K78" s="34" t="s">
        <v>237</v>
      </c>
      <c r="L78" s="10">
        <v>42282</v>
      </c>
      <c r="M78" s="9" t="s">
        <v>191</v>
      </c>
      <c r="N78" s="38">
        <v>0.95</v>
      </c>
      <c r="O78" s="38">
        <v>0.15</v>
      </c>
      <c r="P78" s="38">
        <v>0.1</v>
      </c>
      <c r="Q78" s="38">
        <v>0.125</v>
      </c>
      <c r="R78" s="38">
        <v>2.7022599999999999</v>
      </c>
      <c r="S78" s="38">
        <f t="shared" si="17"/>
        <v>2.5</v>
      </c>
      <c r="T78" s="38">
        <v>1.325</v>
      </c>
      <c r="U78" s="38">
        <v>0</v>
      </c>
      <c r="V78" s="38">
        <v>0</v>
      </c>
      <c r="W78" s="38">
        <v>0</v>
      </c>
      <c r="X78" s="38">
        <v>2.8319800000000002</v>
      </c>
      <c r="Y78" s="38">
        <f t="shared" si="18"/>
        <v>3</v>
      </c>
      <c r="Z78" s="38">
        <v>0</v>
      </c>
      <c r="AA78" s="38">
        <v>0</v>
      </c>
      <c r="AB78" s="38">
        <v>1.4339999999999999</v>
      </c>
      <c r="AC78" s="38">
        <v>1.33589</v>
      </c>
      <c r="AD78" s="38">
        <v>368.4</v>
      </c>
      <c r="AE78" s="38">
        <v>14.2</v>
      </c>
      <c r="AF78" s="38">
        <f>(AD78+AE78*0.5)/(3.5*I78*1000)*100</f>
        <v>7.4815700338712894</v>
      </c>
      <c r="AG78" s="38">
        <f t="shared" si="19"/>
        <v>7.5</v>
      </c>
      <c r="AH78" s="38">
        <v>168.32</v>
      </c>
      <c r="AI78" s="38">
        <f>AH78/(3.5*I78*1000)*100</f>
        <v>3.3536561067941819</v>
      </c>
      <c r="AJ78" s="38">
        <v>2.16</v>
      </c>
      <c r="AK78" s="38">
        <f>AJ78/(3.5*I78*1000)*100</f>
        <v>4.3036461446503291E-2</v>
      </c>
      <c r="AL78" s="38">
        <v>0</v>
      </c>
      <c r="AM78" s="38">
        <f>AJ78/(3.5*I78*1000)*100</f>
        <v>4.3036461446503291E-2</v>
      </c>
      <c r="AN78" s="25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</row>
    <row r="79" spans="1:88" s="22" customFormat="1">
      <c r="A79" s="1">
        <v>1104</v>
      </c>
      <c r="B79" s="9" t="s">
        <v>1513</v>
      </c>
      <c r="C79" s="34">
        <v>431</v>
      </c>
      <c r="D79" s="75">
        <v>2219</v>
      </c>
      <c r="E79" s="69">
        <v>101</v>
      </c>
      <c r="F79" s="34" t="s">
        <v>1529</v>
      </c>
      <c r="G79" s="77" t="s">
        <v>92</v>
      </c>
      <c r="H79" s="20" t="s">
        <v>1530</v>
      </c>
      <c r="I79" s="21">
        <v>0.5</v>
      </c>
      <c r="J79" s="8">
        <v>4</v>
      </c>
      <c r="K79" s="5" t="s">
        <v>238</v>
      </c>
      <c r="L79" s="18">
        <v>42282</v>
      </c>
      <c r="M79" s="9" t="s">
        <v>191</v>
      </c>
      <c r="N79" s="38">
        <v>14.225</v>
      </c>
      <c r="O79" s="38">
        <v>4.8250000000000002</v>
      </c>
      <c r="P79" s="38">
        <v>1.45</v>
      </c>
      <c r="Q79" s="38">
        <v>0.25</v>
      </c>
      <c r="R79" s="38">
        <v>2.28023</v>
      </c>
      <c r="S79" s="38">
        <f t="shared" si="17"/>
        <v>2.5</v>
      </c>
      <c r="T79" s="38">
        <v>20.55</v>
      </c>
      <c r="U79" s="38">
        <v>0.17499999999999999</v>
      </c>
      <c r="V79" s="38">
        <v>2.5000000000000001E-2</v>
      </c>
      <c r="W79" s="38">
        <v>0</v>
      </c>
      <c r="X79" s="38">
        <v>2.3615300000000001</v>
      </c>
      <c r="Y79" s="38">
        <f t="shared" si="18"/>
        <v>2.5</v>
      </c>
      <c r="Z79" s="38">
        <v>0</v>
      </c>
      <c r="AA79" s="38">
        <v>0</v>
      </c>
      <c r="AB79" s="38">
        <v>0.5</v>
      </c>
      <c r="AC79" s="38">
        <v>1.19252</v>
      </c>
      <c r="AD79" s="38">
        <v>120.85</v>
      </c>
      <c r="AE79" s="38">
        <v>2.2999999999999998</v>
      </c>
      <c r="AF79" s="38">
        <f>(AD79+AE79*0.5)/(3.5*I79*1000)*100</f>
        <v>6.9714285714285715</v>
      </c>
      <c r="AG79" s="38">
        <f t="shared" si="19"/>
        <v>7</v>
      </c>
      <c r="AH79" s="38">
        <v>35.4</v>
      </c>
      <c r="AI79" s="38">
        <f>AH79/(3.5*I79*1000)*100</f>
        <v>2.0228571428571431</v>
      </c>
      <c r="AJ79" s="38">
        <v>0</v>
      </c>
      <c r="AK79" s="38">
        <f>AJ79/(3.5*I79*1000)*100</f>
        <v>0</v>
      </c>
      <c r="AL79" s="38">
        <v>1.5</v>
      </c>
      <c r="AM79" s="38">
        <f>AL79/(3.5*I79*1000)*100</f>
        <v>8.5714285714285715E-2</v>
      </c>
      <c r="AN79" s="41"/>
      <c r="AO79" s="72"/>
      <c r="AP79" s="73"/>
      <c r="AQ79" s="73"/>
    </row>
    <row r="80" spans="1:88" s="22" customFormat="1">
      <c r="A80" s="1">
        <v>592</v>
      </c>
      <c r="B80" s="34" t="s">
        <v>976</v>
      </c>
      <c r="C80" s="34">
        <v>552</v>
      </c>
      <c r="D80" s="34">
        <v>3004</v>
      </c>
      <c r="E80" s="34">
        <v>300</v>
      </c>
      <c r="F80" s="9" t="s">
        <v>993</v>
      </c>
      <c r="G80" s="118">
        <v>111889</v>
      </c>
      <c r="H80" s="118">
        <v>91666</v>
      </c>
      <c r="I80" s="35">
        <v>20.222999999999999</v>
      </c>
      <c r="J80" s="71">
        <v>2</v>
      </c>
      <c r="K80" s="34" t="s">
        <v>12</v>
      </c>
      <c r="L80" s="10">
        <v>42195</v>
      </c>
      <c r="M80" s="9" t="s">
        <v>191</v>
      </c>
      <c r="N80" s="38">
        <v>14.62</v>
      </c>
      <c r="O80" s="38">
        <v>2.4</v>
      </c>
      <c r="P80" s="38">
        <v>0.97499999999999998</v>
      </c>
      <c r="Q80" s="38">
        <v>2.41</v>
      </c>
      <c r="R80" s="38">
        <v>2.1675399999999998</v>
      </c>
      <c r="S80" s="38">
        <f t="shared" si="17"/>
        <v>2</v>
      </c>
      <c r="T80" s="38">
        <v>17.675000000000001</v>
      </c>
      <c r="U80" s="38">
        <v>1.575</v>
      </c>
      <c r="V80" s="38">
        <v>0.625</v>
      </c>
      <c r="W80" s="38">
        <v>0.375</v>
      </c>
      <c r="X80" s="38">
        <v>5.9539999999999997</v>
      </c>
      <c r="Y80" s="38">
        <f t="shared" si="18"/>
        <v>6</v>
      </c>
      <c r="Z80" s="38">
        <v>0</v>
      </c>
      <c r="AA80" s="38">
        <v>0</v>
      </c>
      <c r="AB80" s="38">
        <f>N80+O80+P80+Q80</f>
        <v>20.405000000000001</v>
      </c>
      <c r="AC80" s="38">
        <v>1.2689999999999999</v>
      </c>
      <c r="AD80" s="38">
        <v>4855</v>
      </c>
      <c r="AE80" s="38">
        <v>128.32</v>
      </c>
      <c r="AF80" s="38">
        <v>6.9498802636319343</v>
      </c>
      <c r="AG80" s="38">
        <f t="shared" si="19"/>
        <v>6.9</v>
      </c>
      <c r="AH80" s="38">
        <v>0</v>
      </c>
      <c r="AI80" s="38">
        <f>AH80/(3.5*I80*1000)*100</f>
        <v>0</v>
      </c>
      <c r="AJ80" s="38">
        <v>799</v>
      </c>
      <c r="AK80" s="38">
        <v>1.1288419833146137</v>
      </c>
      <c r="AL80" s="38">
        <v>0</v>
      </c>
      <c r="AM80" s="38">
        <f>AL80/(3.5*I80*1000)*100</f>
        <v>0</v>
      </c>
      <c r="AN80" s="25"/>
      <c r="AO80" s="25">
        <f>AE80*0.5</f>
        <v>64.16</v>
      </c>
      <c r="AP80" s="25">
        <f>(AD80+AH80+AJ80+AL80+AO80)*I80</f>
        <v>115638.34967999998</v>
      </c>
      <c r="AQ80" s="25">
        <f>SUM(N80:Q80)</f>
        <v>20.405000000000001</v>
      </c>
      <c r="AR80" s="25">
        <f>SUM(T80:W80)</f>
        <v>20.25</v>
      </c>
      <c r="AS80" s="268">
        <v>20.222999999999999</v>
      </c>
      <c r="AT80" s="41"/>
      <c r="AU80" s="41"/>
      <c r="AV80" s="41"/>
      <c r="AW80" s="4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</row>
    <row r="81" spans="1:88" s="22" customFormat="1">
      <c r="A81" s="1">
        <v>1332</v>
      </c>
      <c r="B81" s="74" t="s">
        <v>1851</v>
      </c>
      <c r="C81" s="34">
        <v>444</v>
      </c>
      <c r="D81" s="75">
        <v>3305</v>
      </c>
      <c r="E81" s="69">
        <v>101</v>
      </c>
      <c r="F81" s="34" t="s">
        <v>1878</v>
      </c>
      <c r="G81" s="20">
        <v>0</v>
      </c>
      <c r="H81" s="20">
        <v>9616</v>
      </c>
      <c r="I81" s="21">
        <v>9.6159999999999997</v>
      </c>
      <c r="J81" s="8">
        <v>2</v>
      </c>
      <c r="K81" s="34" t="s">
        <v>238</v>
      </c>
      <c r="L81" s="10">
        <v>42212</v>
      </c>
      <c r="M81" s="9" t="s">
        <v>191</v>
      </c>
      <c r="N81" s="38">
        <v>2.7250000000000001</v>
      </c>
      <c r="O81" s="38">
        <v>4.4749999999999996</v>
      </c>
      <c r="P81" s="38">
        <v>1.7250000000000001</v>
      </c>
      <c r="Q81" s="38">
        <v>0.67500000000000004</v>
      </c>
      <c r="R81" s="38">
        <v>3.1241099999999999</v>
      </c>
      <c r="S81" s="38">
        <f t="shared" si="17"/>
        <v>3</v>
      </c>
      <c r="T81" s="38">
        <v>9.0500000000000007</v>
      </c>
      <c r="U81" s="38">
        <v>0.42499999999999999</v>
      </c>
      <c r="V81" s="38">
        <v>0.1</v>
      </c>
      <c r="W81" s="38">
        <v>2.5000000000000001E-2</v>
      </c>
      <c r="X81" s="38">
        <v>4.1432099999999998</v>
      </c>
      <c r="Y81" s="38">
        <f t="shared" si="18"/>
        <v>4</v>
      </c>
      <c r="Z81" s="38">
        <v>0</v>
      </c>
      <c r="AA81" s="38">
        <v>0</v>
      </c>
      <c r="AB81" s="38">
        <v>9.6</v>
      </c>
      <c r="AC81" s="38">
        <v>1.11388</v>
      </c>
      <c r="AD81" s="38">
        <v>2314</v>
      </c>
      <c r="AE81" s="38">
        <v>43</v>
      </c>
      <c r="AF81" s="38">
        <v>6.9393273116234848</v>
      </c>
      <c r="AG81" s="38">
        <f t="shared" si="19"/>
        <v>6.9</v>
      </c>
      <c r="AH81" s="38">
        <v>0</v>
      </c>
      <c r="AI81" s="38">
        <v>0</v>
      </c>
      <c r="AJ81" s="38">
        <v>14</v>
      </c>
      <c r="AK81" s="38">
        <v>4.1597337770382693E-2</v>
      </c>
      <c r="AL81" s="38">
        <v>0</v>
      </c>
      <c r="AM81" s="38">
        <v>0</v>
      </c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</row>
    <row r="82" spans="1:88" s="22" customFormat="1">
      <c r="A82" s="1">
        <v>287</v>
      </c>
      <c r="B82" s="34" t="s">
        <v>509</v>
      </c>
      <c r="C82" s="34">
        <v>642</v>
      </c>
      <c r="D82" s="34">
        <v>227</v>
      </c>
      <c r="E82" s="34">
        <v>301</v>
      </c>
      <c r="F82" s="34" t="s">
        <v>513</v>
      </c>
      <c r="G82" s="58" t="s">
        <v>514</v>
      </c>
      <c r="H82" s="58" t="s">
        <v>515</v>
      </c>
      <c r="I82" s="35">
        <v>41.817</v>
      </c>
      <c r="J82" s="63">
        <v>2</v>
      </c>
      <c r="K82" s="34" t="s">
        <v>238</v>
      </c>
      <c r="L82" s="10">
        <v>42160</v>
      </c>
      <c r="M82" s="9" t="s">
        <v>191</v>
      </c>
      <c r="N82" s="38">
        <v>23</v>
      </c>
      <c r="O82" s="38">
        <v>11.225</v>
      </c>
      <c r="P82" s="38">
        <v>4.8</v>
      </c>
      <c r="Q82" s="38">
        <v>2.875</v>
      </c>
      <c r="R82" s="38">
        <v>3.0994100000000002</v>
      </c>
      <c r="S82" s="38">
        <f t="shared" si="17"/>
        <v>3</v>
      </c>
      <c r="T82" s="38">
        <v>39.549999999999997</v>
      </c>
      <c r="U82" s="38">
        <v>1.375</v>
      </c>
      <c r="V82" s="38">
        <v>0.65</v>
      </c>
      <c r="W82" s="38">
        <v>0.32500000000000001</v>
      </c>
      <c r="X82" s="38">
        <v>4.3660199999999998</v>
      </c>
      <c r="Y82" s="38">
        <f t="shared" si="18"/>
        <v>4.5</v>
      </c>
      <c r="Z82" s="38">
        <v>2.5000000000000001E-2</v>
      </c>
      <c r="AA82" s="38">
        <v>0.06</v>
      </c>
      <c r="AB82" s="38">
        <v>41.73</v>
      </c>
      <c r="AC82" s="38">
        <v>1.1872799999999999</v>
      </c>
      <c r="AD82" s="38">
        <v>10141</v>
      </c>
      <c r="AE82" s="38">
        <v>5</v>
      </c>
      <c r="AF82" s="38">
        <v>6.9305370000000002</v>
      </c>
      <c r="AG82" s="38">
        <f t="shared" si="19"/>
        <v>6.9</v>
      </c>
      <c r="AH82" s="38">
        <v>134.97</v>
      </c>
      <c r="AI82" s="38">
        <v>9.2217999999999994E-2</v>
      </c>
      <c r="AJ82" s="38">
        <v>530.36</v>
      </c>
      <c r="AK82" s="38">
        <v>0.36236800000000002</v>
      </c>
      <c r="AL82" s="38">
        <v>0</v>
      </c>
      <c r="AM82" s="38">
        <v>0</v>
      </c>
      <c r="AN82" s="60"/>
      <c r="AO82" s="60"/>
      <c r="AP82" s="60">
        <f>AE82*0.5</f>
        <v>2.5</v>
      </c>
      <c r="AQ82" s="64">
        <f>(AD82+AH82+AJ82+AL82+AP82)*I82</f>
        <v>451992.84411000001</v>
      </c>
      <c r="AR82" s="60"/>
      <c r="AS82" s="25">
        <f>SUM(N82:Q82)</f>
        <v>41.9</v>
      </c>
      <c r="AT82" s="25"/>
      <c r="AU82" s="41">
        <f>SUM(N82:Q82)</f>
        <v>41.9</v>
      </c>
      <c r="AV82" s="41">
        <f>SUM(T82:W82)</f>
        <v>41.9</v>
      </c>
      <c r="AW82" s="41">
        <f>SUM(Z82:AB82)</f>
        <v>41.814999999999998</v>
      </c>
      <c r="AY82" s="22">
        <f>I82/AU82</f>
        <v>0.99801909307875902</v>
      </c>
      <c r="AZ82" s="22">
        <f>I82/AV82</f>
        <v>0.99801909307875902</v>
      </c>
      <c r="BA82" s="22">
        <f>I82/AW82</f>
        <v>1.0000478297261748</v>
      </c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</row>
    <row r="83" spans="1:88" s="22" customFormat="1">
      <c r="A83" s="1">
        <v>266</v>
      </c>
      <c r="B83" s="34" t="s">
        <v>484</v>
      </c>
      <c r="C83" s="34">
        <v>641</v>
      </c>
      <c r="D83" s="34">
        <v>213</v>
      </c>
      <c r="E83" s="34">
        <v>303</v>
      </c>
      <c r="F83" s="34" t="s">
        <v>485</v>
      </c>
      <c r="G83" s="58">
        <v>168503</v>
      </c>
      <c r="H83" s="57">
        <v>162503</v>
      </c>
      <c r="I83" s="35">
        <v>6</v>
      </c>
      <c r="J83" s="59">
        <v>4</v>
      </c>
      <c r="K83" s="34" t="s">
        <v>96</v>
      </c>
      <c r="L83" s="10">
        <v>42160</v>
      </c>
      <c r="M83" s="9" t="s">
        <v>191</v>
      </c>
      <c r="N83" s="38">
        <v>2.0499999999999998</v>
      </c>
      <c r="O83" s="38">
        <v>1.7749999999999999</v>
      </c>
      <c r="P83" s="38">
        <v>1.425</v>
      </c>
      <c r="Q83" s="38">
        <v>0.7</v>
      </c>
      <c r="R83" s="38">
        <v>2.9379599999999999</v>
      </c>
      <c r="S83" s="38">
        <f t="shared" si="17"/>
        <v>3</v>
      </c>
      <c r="T83" s="38">
        <v>3.2250000000000001</v>
      </c>
      <c r="U83" s="38">
        <v>1.65</v>
      </c>
      <c r="V83" s="38">
        <v>0.77500000000000002</v>
      </c>
      <c r="W83" s="38">
        <v>0.3</v>
      </c>
      <c r="X83" s="38">
        <v>9.7766999999999999</v>
      </c>
      <c r="Y83" s="38">
        <f t="shared" si="18"/>
        <v>10</v>
      </c>
      <c r="Z83" s="38">
        <v>5.95</v>
      </c>
      <c r="AA83" s="38">
        <v>0</v>
      </c>
      <c r="AB83" s="38">
        <v>0</v>
      </c>
      <c r="AC83" s="38">
        <v>1.18451</v>
      </c>
      <c r="AD83" s="38">
        <v>1377</v>
      </c>
      <c r="AE83" s="38">
        <v>0</v>
      </c>
      <c r="AF83" s="38">
        <f>(AD83+AE83*0.5)/(3.5*I83*1000)*100</f>
        <v>6.5571428571428569</v>
      </c>
      <c r="AG83" s="38">
        <f t="shared" si="19"/>
        <v>6.6</v>
      </c>
      <c r="AH83" s="38">
        <v>0</v>
      </c>
      <c r="AI83" s="38">
        <f>AH83/(3.5*I83*1000)*100</f>
        <v>0</v>
      </c>
      <c r="AJ83" s="38">
        <v>724.94</v>
      </c>
      <c r="AK83" s="38">
        <v>0</v>
      </c>
      <c r="AL83" s="38">
        <v>0</v>
      </c>
      <c r="AM83" s="38">
        <f t="shared" ref="AM83:AM89" si="20">AL83/(3.5*I83*1000)*100</f>
        <v>0</v>
      </c>
      <c r="AN83" s="60"/>
      <c r="AO83" s="60">
        <f>AE83*0.5</f>
        <v>0</v>
      </c>
      <c r="AP83" s="60">
        <f>(AD83+AH83+AJ83+AL83+AO83)*I83</f>
        <v>12611.64</v>
      </c>
      <c r="AQ83" s="25">
        <f>SUM(N83:Q83)</f>
        <v>5.95</v>
      </c>
      <c r="AR83" s="25">
        <f>SUM(T83:W83)</f>
        <v>5.95</v>
      </c>
      <c r="AS83" s="61"/>
      <c r="AT83" s="40"/>
      <c r="AU83" s="41">
        <f>SUM(N83:Q83)</f>
        <v>5.95</v>
      </c>
      <c r="AV83" s="41">
        <f>SUM(T83:W83)</f>
        <v>5.95</v>
      </c>
      <c r="AW83" s="41">
        <f>SUM(Z83:AB83)</f>
        <v>5.95</v>
      </c>
      <c r="AX83" s="61"/>
      <c r="AY83" s="22">
        <f>I83/AU83</f>
        <v>1.0084033613445378</v>
      </c>
      <c r="AZ83" s="22">
        <f>I83/AV83</f>
        <v>1.0084033613445378</v>
      </c>
      <c r="BA83" s="22">
        <f>I83/AW83</f>
        <v>1.0084033613445378</v>
      </c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</row>
    <row r="84" spans="1:88" s="22" customFormat="1">
      <c r="A84" s="1">
        <v>1084</v>
      </c>
      <c r="B84" s="34" t="s">
        <v>1467</v>
      </c>
      <c r="C84" s="34">
        <v>619</v>
      </c>
      <c r="D84" s="8">
        <v>3446</v>
      </c>
      <c r="E84" s="34">
        <v>102</v>
      </c>
      <c r="F84" s="34" t="s">
        <v>1495</v>
      </c>
      <c r="G84" s="58">
        <v>14000</v>
      </c>
      <c r="H84" s="58">
        <v>90353</v>
      </c>
      <c r="I84" s="180">
        <v>76.352999999999994</v>
      </c>
      <c r="J84" s="9">
        <v>2</v>
      </c>
      <c r="K84" s="34" t="s">
        <v>238</v>
      </c>
      <c r="L84" s="10">
        <v>42093</v>
      </c>
      <c r="M84" s="9" t="s">
        <v>191</v>
      </c>
      <c r="N84" s="38">
        <v>32.76</v>
      </c>
      <c r="O84" s="38">
        <v>28.48</v>
      </c>
      <c r="P84" s="38">
        <v>10.38</v>
      </c>
      <c r="Q84" s="38">
        <v>4.7300000000000004</v>
      </c>
      <c r="R84" s="38">
        <v>2.85867</v>
      </c>
      <c r="S84" s="38">
        <f t="shared" si="17"/>
        <v>3</v>
      </c>
      <c r="T84" s="38">
        <v>75.53</v>
      </c>
      <c r="U84" s="38">
        <v>0.67</v>
      </c>
      <c r="V84" s="38">
        <v>0.13</v>
      </c>
      <c r="W84" s="38">
        <v>0.02</v>
      </c>
      <c r="X84" s="38">
        <v>3.3562099999999999</v>
      </c>
      <c r="Y84" s="38">
        <f t="shared" si="18"/>
        <v>3.5</v>
      </c>
      <c r="Z84" s="117">
        <v>0</v>
      </c>
      <c r="AA84" s="117">
        <v>0</v>
      </c>
      <c r="AB84" s="117">
        <v>76.349999999999994</v>
      </c>
      <c r="AC84" s="38">
        <v>1.49302</v>
      </c>
      <c r="AD84" s="38">
        <v>17353.7</v>
      </c>
      <c r="AE84" s="38">
        <v>0</v>
      </c>
      <c r="AF84" s="11">
        <f>(AD84+AE84*0.5)/(3.5*I84*1000)*100</f>
        <v>6.4937854439249278</v>
      </c>
      <c r="AG84" s="38">
        <f t="shared" si="19"/>
        <v>6.5</v>
      </c>
      <c r="AH84" s="38">
        <v>236.02</v>
      </c>
      <c r="AI84" s="38">
        <f>AH84/(3.5*I84*1000)*100</f>
        <v>8.8319104310617416E-2</v>
      </c>
      <c r="AJ84" s="38">
        <v>0</v>
      </c>
      <c r="AK84" s="38">
        <f>AJ84/(3.5*I84*1000)*100</f>
        <v>0</v>
      </c>
      <c r="AL84" s="38">
        <v>0</v>
      </c>
      <c r="AM84" s="38">
        <f t="shared" si="20"/>
        <v>0</v>
      </c>
      <c r="AN84" s="25"/>
      <c r="AO84" s="25"/>
      <c r="AP84" s="12">
        <f>AE84*0.5</f>
        <v>0</v>
      </c>
      <c r="AQ84" s="12">
        <f>(AD84+AH84+AJ84+AL84+AP84)*I84</f>
        <v>1343027.8911599999</v>
      </c>
      <c r="AR84" s="25"/>
      <c r="AS84" s="25">
        <f>SUM(N84:Q84)</f>
        <v>76.349999999999994</v>
      </c>
      <c r="AT84" s="22">
        <f>SUM(T84:W84)</f>
        <v>76.349999999999994</v>
      </c>
      <c r="AU84" s="268">
        <v>70.215999999999994</v>
      </c>
      <c r="AV84" s="41">
        <f>SUM(N84:Q84)</f>
        <v>76.349999999999994</v>
      </c>
      <c r="AW84" s="41">
        <f>SUM(T84:W84)</f>
        <v>76.349999999999994</v>
      </c>
      <c r="AX84" s="41">
        <f>SUM(Z84:AB84)</f>
        <v>76.349999999999994</v>
      </c>
      <c r="AZ84" s="22">
        <f>I84/AV84</f>
        <v>1.0000392927308448</v>
      </c>
      <c r="BA84" s="22">
        <f>I84/AW84</f>
        <v>1.0000392927308448</v>
      </c>
      <c r="BB84" s="22">
        <f>I84/AX84</f>
        <v>1.0000392927308448</v>
      </c>
    </row>
    <row r="85" spans="1:88" s="22" customFormat="1" ht="24" customHeight="1">
      <c r="A85" s="1">
        <v>1534</v>
      </c>
      <c r="B85" s="34" t="s">
        <v>2104</v>
      </c>
      <c r="C85" s="34">
        <v>414</v>
      </c>
      <c r="D85" s="69">
        <v>3076</v>
      </c>
      <c r="E85" s="34">
        <v>100</v>
      </c>
      <c r="F85" s="34" t="s">
        <v>2111</v>
      </c>
      <c r="G85" s="58">
        <v>0</v>
      </c>
      <c r="H85" s="58">
        <v>22041</v>
      </c>
      <c r="I85" s="35">
        <v>22.041</v>
      </c>
      <c r="J85" s="34">
        <v>2</v>
      </c>
      <c r="K85" s="34" t="s">
        <v>238</v>
      </c>
      <c r="L85" s="10">
        <v>42266</v>
      </c>
      <c r="M85" s="9" t="s">
        <v>191</v>
      </c>
      <c r="N85" s="38">
        <v>7.4749999999999996</v>
      </c>
      <c r="O85" s="38">
        <v>4.4249999999999998</v>
      </c>
      <c r="P85" s="38">
        <v>5.3</v>
      </c>
      <c r="Q85" s="38">
        <v>5.15</v>
      </c>
      <c r="R85" s="38">
        <v>3.2550300000000001</v>
      </c>
      <c r="S85" s="38">
        <f t="shared" si="17"/>
        <v>3.5</v>
      </c>
      <c r="T85" s="38">
        <v>13.625</v>
      </c>
      <c r="U85" s="38">
        <v>4.9249999999999998</v>
      </c>
      <c r="V85" s="38">
        <v>2</v>
      </c>
      <c r="W85" s="38">
        <v>1.8</v>
      </c>
      <c r="X85" s="38">
        <v>7.2890800000000002</v>
      </c>
      <c r="Y85" s="38">
        <f t="shared" si="18"/>
        <v>7.5</v>
      </c>
      <c r="Z85" s="38">
        <v>0</v>
      </c>
      <c r="AA85" s="38">
        <v>0</v>
      </c>
      <c r="AB85" s="38">
        <v>22.041</v>
      </c>
      <c r="AC85" s="38">
        <v>1.01542</v>
      </c>
      <c r="AD85" s="38">
        <v>4209</v>
      </c>
      <c r="AE85" s="38">
        <v>1272.04</v>
      </c>
      <c r="AF85" s="38">
        <f>(AD85+AE85*0.5)/(3.5*I85*1000)*100</f>
        <v>6.2805291437386179</v>
      </c>
      <c r="AG85" s="38">
        <f t="shared" si="19"/>
        <v>6.3</v>
      </c>
      <c r="AH85" s="38">
        <v>6735</v>
      </c>
      <c r="AI85" s="38">
        <f>AH85/(3.5*I85*1000)*100</f>
        <v>8.7304828015322098</v>
      </c>
      <c r="AJ85" s="38">
        <v>4864.88</v>
      </c>
      <c r="AK85" s="38">
        <f>AJ85/(3.5*I85*1000)*100</f>
        <v>6.3062733736478123</v>
      </c>
      <c r="AL85" s="38">
        <v>6073</v>
      </c>
      <c r="AM85" s="38">
        <f t="shared" si="20"/>
        <v>7.872341804559035</v>
      </c>
      <c r="AN85" s="25"/>
      <c r="AO85" s="25">
        <f>AE85*0.5</f>
        <v>636.02</v>
      </c>
      <c r="AP85" s="25">
        <f>(AD85+AH85+AJ85+AL85+AO85)*I85</f>
        <v>496317.03390000004</v>
      </c>
      <c r="AQ85" s="25"/>
      <c r="AR85" s="25">
        <f>SUM(N85:Q85)</f>
        <v>22.35</v>
      </c>
      <c r="AS85" s="25">
        <f>SUM(T85:W85)</f>
        <v>22.35</v>
      </c>
      <c r="AT85" s="25"/>
      <c r="AV85" s="41"/>
      <c r="AW85" s="41"/>
      <c r="AX85" s="41"/>
      <c r="AY85" s="41"/>
    </row>
    <row r="86" spans="1:88" s="22" customFormat="1" ht="24" customHeight="1">
      <c r="A86" s="1">
        <v>1488</v>
      </c>
      <c r="B86" s="34" t="s">
        <v>2016</v>
      </c>
      <c r="C86" s="34">
        <v>411</v>
      </c>
      <c r="D86" s="69">
        <v>3702</v>
      </c>
      <c r="E86" s="34">
        <v>100</v>
      </c>
      <c r="F86" s="34" t="s">
        <v>2039</v>
      </c>
      <c r="G86" s="20" t="s">
        <v>2043</v>
      </c>
      <c r="H86" s="20" t="s">
        <v>2049</v>
      </c>
      <c r="I86" s="188">
        <v>3.3029999999999999</v>
      </c>
      <c r="J86" s="34">
        <v>2</v>
      </c>
      <c r="K86" s="34" t="s">
        <v>12</v>
      </c>
      <c r="L86" s="10">
        <v>42248</v>
      </c>
      <c r="M86" s="9" t="s">
        <v>191</v>
      </c>
      <c r="N86" s="38">
        <v>0.77500000000000002</v>
      </c>
      <c r="O86" s="38">
        <v>1.0249999999999999</v>
      </c>
      <c r="P86" s="38">
        <v>0.65</v>
      </c>
      <c r="Q86" s="38">
        <v>0.9</v>
      </c>
      <c r="R86" s="38">
        <v>4.1050000000000004</v>
      </c>
      <c r="S86" s="38">
        <f t="shared" si="17"/>
        <v>4</v>
      </c>
      <c r="T86" s="38">
        <v>3</v>
      </c>
      <c r="U86" s="38">
        <v>0.32500000000000001</v>
      </c>
      <c r="V86" s="38">
        <v>2.5000000000000001E-2</v>
      </c>
      <c r="W86" s="38">
        <v>0</v>
      </c>
      <c r="X86" s="38">
        <v>5.569</v>
      </c>
      <c r="Y86" s="38">
        <f t="shared" si="18"/>
        <v>5.5</v>
      </c>
      <c r="Z86" s="38">
        <v>0</v>
      </c>
      <c r="AA86" s="38">
        <v>0</v>
      </c>
      <c r="AB86" s="38">
        <f>SUM(T86:W86)</f>
        <v>3.35</v>
      </c>
      <c r="AC86" s="38">
        <v>1.165</v>
      </c>
      <c r="AD86" s="38">
        <v>676</v>
      </c>
      <c r="AE86" s="38">
        <v>25.94</v>
      </c>
      <c r="AF86" s="38">
        <f>(AD86+AE86*0.5)/(3.5*I86*1000)*100</f>
        <v>5.9596903248129403</v>
      </c>
      <c r="AG86" s="38">
        <f t="shared" si="19"/>
        <v>6</v>
      </c>
      <c r="AH86" s="38">
        <v>4125</v>
      </c>
      <c r="AI86" s="38">
        <f>AH86/(3.5*I86*1000)*100</f>
        <v>35.681847670948493</v>
      </c>
      <c r="AJ86" s="38">
        <v>432.88</v>
      </c>
      <c r="AK86" s="38">
        <f>AJ86/(3.5*I86*1000)*100</f>
        <v>3.7444747199515591</v>
      </c>
      <c r="AL86" s="38">
        <v>2</v>
      </c>
      <c r="AM86" s="38">
        <f t="shared" si="20"/>
        <v>1.7300289779853813E-2</v>
      </c>
      <c r="AN86" s="60"/>
      <c r="AO86" s="60">
        <f>AE86*0.5</f>
        <v>12.97</v>
      </c>
      <c r="AP86" s="60">
        <f>(AD86+AH86+AJ86+AL86+AO86)*I86</f>
        <v>17336.951550000002</v>
      </c>
      <c r="AQ86" s="60"/>
      <c r="AR86" s="60"/>
      <c r="AS86" s="60"/>
      <c r="AT86" s="60"/>
      <c r="AU86" s="61"/>
      <c r="AV86" s="40"/>
      <c r="AW86" s="40"/>
      <c r="AX86" s="40"/>
      <c r="AY86" s="40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</row>
    <row r="87" spans="1:88" s="22" customFormat="1" ht="24" customHeight="1">
      <c r="A87" s="1">
        <v>283</v>
      </c>
      <c r="B87" s="34" t="s">
        <v>484</v>
      </c>
      <c r="C87" s="34">
        <v>641</v>
      </c>
      <c r="D87" s="34">
        <v>2347</v>
      </c>
      <c r="E87" s="34">
        <v>100</v>
      </c>
      <c r="F87" s="34" t="s">
        <v>507</v>
      </c>
      <c r="G87" s="58">
        <v>5039</v>
      </c>
      <c r="H87" s="58">
        <v>0</v>
      </c>
      <c r="I87" s="35">
        <v>5.0389999999999997</v>
      </c>
      <c r="J87" s="59">
        <v>4</v>
      </c>
      <c r="K87" s="34" t="s">
        <v>96</v>
      </c>
      <c r="L87" s="10">
        <v>42159</v>
      </c>
      <c r="M87" s="9" t="s">
        <v>191</v>
      </c>
      <c r="N87" s="38">
        <v>3.8250000000000002</v>
      </c>
      <c r="O87" s="38">
        <v>0.57499999999999996</v>
      </c>
      <c r="P87" s="38">
        <v>0.47499999999999998</v>
      </c>
      <c r="Q87" s="38">
        <v>0.17499999999999999</v>
      </c>
      <c r="R87" s="38">
        <v>2.3203999999999998</v>
      </c>
      <c r="S87" s="38">
        <f t="shared" si="17"/>
        <v>2.5</v>
      </c>
      <c r="T87" s="38">
        <v>4.7750000000000004</v>
      </c>
      <c r="U87" s="38">
        <v>0.27500000000000002</v>
      </c>
      <c r="V87" s="38">
        <v>0</v>
      </c>
      <c r="W87" s="38">
        <v>0</v>
      </c>
      <c r="X87" s="38">
        <v>6.2584200000000001</v>
      </c>
      <c r="Y87" s="38">
        <f t="shared" si="18"/>
        <v>6.5</v>
      </c>
      <c r="Z87" s="38">
        <v>0</v>
      </c>
      <c r="AA87" s="38">
        <v>0</v>
      </c>
      <c r="AB87" s="38">
        <f>T87+U87+V87+W87</f>
        <v>5.0500000000000007</v>
      </c>
      <c r="AC87" s="38">
        <v>1.1750100000000001</v>
      </c>
      <c r="AD87" s="11">
        <v>1000</v>
      </c>
      <c r="AE87" s="11">
        <v>0</v>
      </c>
      <c r="AF87" s="38">
        <f>(AD87+AE87*0.5)/(3.5*I87*1000)*100</f>
        <v>5.6700592521191862</v>
      </c>
      <c r="AG87" s="38">
        <f t="shared" si="19"/>
        <v>5.7</v>
      </c>
      <c r="AH87" s="38">
        <v>0</v>
      </c>
      <c r="AI87" s="38">
        <f>AH87/(3.5*I87*1000)*100</f>
        <v>0</v>
      </c>
      <c r="AJ87" s="38">
        <v>0</v>
      </c>
      <c r="AK87" s="38">
        <v>0</v>
      </c>
      <c r="AL87" s="38">
        <v>0</v>
      </c>
      <c r="AM87" s="38">
        <f t="shared" si="20"/>
        <v>0</v>
      </c>
      <c r="AN87" s="60"/>
      <c r="AO87" s="60">
        <f>AE87*0.5</f>
        <v>0</v>
      </c>
      <c r="AP87" s="60">
        <f>(AD87+AH87+AJ87+AL87+AO87)*I87</f>
        <v>5039</v>
      </c>
      <c r="AQ87" s="25">
        <f>SUM(N87:Q87)</f>
        <v>5.05</v>
      </c>
      <c r="AR87" s="25">
        <f>SUM(T87:W87)</f>
        <v>5.0500000000000007</v>
      </c>
      <c r="AS87" s="61"/>
      <c r="AT87" s="40"/>
      <c r="AU87" s="41">
        <f>SUM(N87:Q87)</f>
        <v>5.05</v>
      </c>
      <c r="AV87" s="41">
        <f>SUM(T87:W87)</f>
        <v>5.0500000000000007</v>
      </c>
      <c r="AW87" s="41">
        <f>SUM(Z87:AB87)</f>
        <v>5.0500000000000007</v>
      </c>
      <c r="AX87" s="61"/>
      <c r="AY87" s="22">
        <f>I87/AU87</f>
        <v>0.99782178217821782</v>
      </c>
      <c r="AZ87" s="22">
        <f>I87/AV87</f>
        <v>0.9978217821782176</v>
      </c>
      <c r="BA87" s="22">
        <f>I87/AW87</f>
        <v>0.9978217821782176</v>
      </c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</row>
    <row r="88" spans="1:88" s="22" customFormat="1" ht="24" customHeight="1">
      <c r="A88" s="1">
        <v>2000</v>
      </c>
      <c r="B88" s="34" t="s">
        <v>2615</v>
      </c>
      <c r="C88" s="34">
        <v>322</v>
      </c>
      <c r="D88" s="75">
        <v>4306</v>
      </c>
      <c r="E88" s="8">
        <v>100</v>
      </c>
      <c r="F88" s="34" t="s">
        <v>2643</v>
      </c>
      <c r="G88" s="58">
        <v>2262</v>
      </c>
      <c r="H88" s="58">
        <v>0</v>
      </c>
      <c r="I88" s="21">
        <v>2.262</v>
      </c>
      <c r="J88" s="8">
        <v>2</v>
      </c>
      <c r="K88" s="8" t="s">
        <v>96</v>
      </c>
      <c r="L88" s="18">
        <v>42130</v>
      </c>
      <c r="M88" s="9" t="s">
        <v>191</v>
      </c>
      <c r="N88" s="38">
        <v>1.21</v>
      </c>
      <c r="O88" s="38">
        <v>0.52</v>
      </c>
      <c r="P88" s="38">
        <v>0.35</v>
      </c>
      <c r="Q88" s="38">
        <v>0.21</v>
      </c>
      <c r="R88" s="38">
        <v>2.9568400000000001</v>
      </c>
      <c r="S88" s="38">
        <f t="shared" si="17"/>
        <v>3</v>
      </c>
      <c r="T88" s="38">
        <v>2.1800000000000002</v>
      </c>
      <c r="U88" s="38">
        <v>0.05</v>
      </c>
      <c r="V88" s="38">
        <v>2.5000000000000001E-2</v>
      </c>
      <c r="W88" s="38">
        <v>0</v>
      </c>
      <c r="X88" s="38">
        <v>2.3297599999999998</v>
      </c>
      <c r="Y88" s="38">
        <f t="shared" si="18"/>
        <v>2.5</v>
      </c>
      <c r="Z88" s="38">
        <v>0</v>
      </c>
      <c r="AA88" s="38">
        <v>0</v>
      </c>
      <c r="AB88" s="38">
        <v>2.62</v>
      </c>
      <c r="AC88" s="38">
        <v>0.94012700000000005</v>
      </c>
      <c r="AD88" s="38">
        <v>442.15</v>
      </c>
      <c r="AE88" s="38">
        <v>8.1</v>
      </c>
      <c r="AF88" s="38">
        <v>5.6359732221801186</v>
      </c>
      <c r="AG88" s="38">
        <f t="shared" si="19"/>
        <v>5.6</v>
      </c>
      <c r="AH88" s="38">
        <v>157.1</v>
      </c>
      <c r="AI88" s="38">
        <v>1.9843375015788807</v>
      </c>
      <c r="AJ88" s="38">
        <v>1.88</v>
      </c>
      <c r="AK88" s="38">
        <v>2.374636857395478E-2</v>
      </c>
      <c r="AL88" s="38">
        <v>0</v>
      </c>
      <c r="AM88" s="38">
        <f t="shared" si="20"/>
        <v>0</v>
      </c>
      <c r="AN88" s="72"/>
      <c r="AO88" s="41"/>
      <c r="AP88" s="41"/>
      <c r="AQ88" s="73"/>
      <c r="AR88" s="73"/>
      <c r="AS88" s="73"/>
      <c r="AT88" s="73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</row>
    <row r="89" spans="1:88" s="22" customFormat="1" ht="24" customHeight="1">
      <c r="A89" s="1">
        <v>1459</v>
      </c>
      <c r="B89" s="34" t="s">
        <v>1987</v>
      </c>
      <c r="C89" s="34">
        <v>448</v>
      </c>
      <c r="D89" s="75">
        <v>3298</v>
      </c>
      <c r="E89" s="69">
        <v>100</v>
      </c>
      <c r="F89" s="9" t="s">
        <v>2007</v>
      </c>
      <c r="G89" s="20">
        <v>0</v>
      </c>
      <c r="H89" s="20">
        <v>563</v>
      </c>
      <c r="I89" s="21">
        <v>0.56299999999999994</v>
      </c>
      <c r="J89" s="8">
        <v>2</v>
      </c>
      <c r="K89" s="34" t="s">
        <v>238</v>
      </c>
      <c r="L89" s="10">
        <v>42181</v>
      </c>
      <c r="M89" s="9" t="s">
        <v>191</v>
      </c>
      <c r="N89" s="38">
        <v>0.4</v>
      </c>
      <c r="O89" s="38">
        <v>0.15</v>
      </c>
      <c r="P89" s="38">
        <v>0</v>
      </c>
      <c r="Q89" s="38">
        <v>0.05</v>
      </c>
      <c r="R89" s="38">
        <v>2.4587500000000002</v>
      </c>
      <c r="S89" s="38">
        <f t="shared" si="17"/>
        <v>2.5</v>
      </c>
      <c r="T89" s="38">
        <v>0.55000000000000004</v>
      </c>
      <c r="U89" s="38">
        <v>0.05</v>
      </c>
      <c r="V89" s="38">
        <v>0</v>
      </c>
      <c r="W89" s="38">
        <v>0</v>
      </c>
      <c r="X89" s="38">
        <v>3.9117899999999999</v>
      </c>
      <c r="Y89" s="38">
        <f t="shared" si="18"/>
        <v>4</v>
      </c>
      <c r="Z89" s="38">
        <v>0</v>
      </c>
      <c r="AA89" s="38">
        <v>0</v>
      </c>
      <c r="AB89" s="38">
        <v>0.60000000000000009</v>
      </c>
      <c r="AC89" s="38">
        <v>1.4241699999999999</v>
      </c>
      <c r="AD89" s="38">
        <v>98.42</v>
      </c>
      <c r="AE89" s="38">
        <v>24.2</v>
      </c>
      <c r="AF89" s="38">
        <f>(AD89+AE89*0.5)/(3.5*I89*1000)*100</f>
        <v>5.6087287490484643</v>
      </c>
      <c r="AG89" s="38">
        <f t="shared" si="19"/>
        <v>5.6</v>
      </c>
      <c r="AH89" s="38">
        <v>185.45</v>
      </c>
      <c r="AI89" s="38">
        <f>AH89/(3.5*I89*1000)*100</f>
        <v>9.4113169246384167</v>
      </c>
      <c r="AJ89" s="38">
        <v>0</v>
      </c>
      <c r="AK89" s="38">
        <f>AJ89/(3.5*I89*1000)*100</f>
        <v>0</v>
      </c>
      <c r="AL89" s="38">
        <v>0</v>
      </c>
      <c r="AM89" s="38">
        <f t="shared" si="20"/>
        <v>0</v>
      </c>
      <c r="AN89" s="72"/>
      <c r="AO89" s="41"/>
      <c r="AP89" s="41"/>
      <c r="AQ89" s="73"/>
      <c r="AR89" s="73"/>
      <c r="AS89" s="73"/>
      <c r="AT89" s="73"/>
      <c r="AU89" s="73"/>
      <c r="AV89" s="73"/>
    </row>
    <row r="90" spans="1:88" s="22" customFormat="1" ht="24" customHeight="1">
      <c r="A90" s="1">
        <v>1247</v>
      </c>
      <c r="B90" s="34" t="s">
        <v>1725</v>
      </c>
      <c r="C90" s="88">
        <v>437</v>
      </c>
      <c r="D90" s="88">
        <v>3523</v>
      </c>
      <c r="E90" s="88">
        <v>100</v>
      </c>
      <c r="F90" s="88" t="s">
        <v>1767</v>
      </c>
      <c r="G90" s="88" t="s">
        <v>92</v>
      </c>
      <c r="H90" s="88" t="s">
        <v>1768</v>
      </c>
      <c r="I90" s="115">
        <v>1.2010000000000001</v>
      </c>
      <c r="J90" s="88">
        <v>6</v>
      </c>
      <c r="K90" s="88" t="s">
        <v>1520</v>
      </c>
      <c r="L90" s="116">
        <v>42282</v>
      </c>
      <c r="M90" s="9" t="s">
        <v>191</v>
      </c>
      <c r="N90" s="38">
        <v>0.35</v>
      </c>
      <c r="O90" s="38">
        <v>0.25</v>
      </c>
      <c r="P90" s="38">
        <v>0.32500000000000001</v>
      </c>
      <c r="Q90" s="38">
        <v>0.3</v>
      </c>
      <c r="R90" s="38">
        <v>4.6755100000000001</v>
      </c>
      <c r="S90" s="38">
        <f t="shared" si="17"/>
        <v>4.5</v>
      </c>
      <c r="T90" s="38">
        <v>0.9</v>
      </c>
      <c r="U90" s="38">
        <v>0.05</v>
      </c>
      <c r="V90" s="38">
        <v>0.125</v>
      </c>
      <c r="W90" s="38">
        <v>0.15</v>
      </c>
      <c r="X90" s="38">
        <v>10.3149</v>
      </c>
      <c r="Y90" s="38">
        <f t="shared" si="18"/>
        <v>10.5</v>
      </c>
      <c r="Z90" s="38">
        <v>0</v>
      </c>
      <c r="AA90" s="117">
        <v>0</v>
      </c>
      <c r="AB90" s="117">
        <v>1.2010000000000001</v>
      </c>
      <c r="AC90" s="117">
        <v>1.1620600000000001</v>
      </c>
      <c r="AD90" s="117">
        <v>234.2</v>
      </c>
      <c r="AE90" s="117">
        <v>1.84</v>
      </c>
      <c r="AF90" s="117">
        <f>(AD90+AE90*0.5)/(3.5*I90*1000)*100</f>
        <v>5.5934340430593545</v>
      </c>
      <c r="AG90" s="38">
        <f t="shared" si="19"/>
        <v>5.6</v>
      </c>
      <c r="AH90" s="117">
        <v>136.6</v>
      </c>
      <c r="AI90" s="117">
        <f>AH90/(3.5*I90*1000)*100</f>
        <v>3.2496728916379203</v>
      </c>
      <c r="AJ90" s="117">
        <v>0</v>
      </c>
      <c r="AK90" s="117">
        <f>AJ90/(3.5*I90*1000)*100</f>
        <v>0</v>
      </c>
      <c r="AL90" s="117">
        <v>0</v>
      </c>
      <c r="AM90" s="117">
        <f>AJ90/(3.5*I90*1000)*100</f>
        <v>0</v>
      </c>
      <c r="AN90" s="1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</row>
    <row r="91" spans="1:88" s="22" customFormat="1" ht="24" customHeight="1">
      <c r="A91" s="1">
        <v>307</v>
      </c>
      <c r="B91" s="34" t="s">
        <v>529</v>
      </c>
      <c r="C91" s="34">
        <v>643</v>
      </c>
      <c r="D91" s="34">
        <v>2229</v>
      </c>
      <c r="E91" s="34">
        <v>100</v>
      </c>
      <c r="F91" s="34" t="s">
        <v>540</v>
      </c>
      <c r="G91" s="58">
        <v>0</v>
      </c>
      <c r="H91" s="58">
        <v>13830</v>
      </c>
      <c r="I91" s="35">
        <v>13.83</v>
      </c>
      <c r="J91" s="62">
        <v>2</v>
      </c>
      <c r="K91" s="34" t="s">
        <v>238</v>
      </c>
      <c r="L91" s="10">
        <v>42163</v>
      </c>
      <c r="M91" s="9" t="s">
        <v>191</v>
      </c>
      <c r="N91" s="38">
        <v>10.125</v>
      </c>
      <c r="O91" s="38">
        <v>2.15</v>
      </c>
      <c r="P91" s="38">
        <v>0.875</v>
      </c>
      <c r="Q91" s="38">
        <v>0.65</v>
      </c>
      <c r="R91" s="38">
        <v>2.1358799999999998</v>
      </c>
      <c r="S91" s="38">
        <f t="shared" si="17"/>
        <v>2</v>
      </c>
      <c r="T91" s="38">
        <v>13.25</v>
      </c>
      <c r="U91" s="38">
        <v>0.45</v>
      </c>
      <c r="V91" s="38">
        <v>0.1</v>
      </c>
      <c r="W91" s="38">
        <v>0</v>
      </c>
      <c r="X91" s="38">
        <v>4.2120800000000003</v>
      </c>
      <c r="Y91" s="38">
        <f t="shared" si="18"/>
        <v>4</v>
      </c>
      <c r="Z91" s="38">
        <v>0</v>
      </c>
      <c r="AA91" s="38">
        <v>0</v>
      </c>
      <c r="AB91" s="38">
        <f>T91+U91+V91+W91</f>
        <v>13.799999999999999</v>
      </c>
      <c r="AC91" s="38">
        <v>1.2039200000000001</v>
      </c>
      <c r="AD91" s="38">
        <v>2535</v>
      </c>
      <c r="AE91" s="38">
        <v>251</v>
      </c>
      <c r="AF91" s="38">
        <v>5.4963300000000004</v>
      </c>
      <c r="AG91" s="38">
        <f t="shared" si="19"/>
        <v>5.5</v>
      </c>
      <c r="AH91" s="38">
        <v>0</v>
      </c>
      <c r="AI91" s="38">
        <v>0</v>
      </c>
      <c r="AJ91" s="38">
        <v>25.5</v>
      </c>
      <c r="AK91" s="38">
        <v>5.2680999999999999E-2</v>
      </c>
      <c r="AL91" s="38">
        <v>0</v>
      </c>
      <c r="AM91" s="38">
        <v>0</v>
      </c>
      <c r="AN91" s="25"/>
      <c r="AO91" s="25"/>
      <c r="AP91" s="25">
        <f>AE91*0.5</f>
        <v>125.5</v>
      </c>
      <c r="AQ91" s="25">
        <f>(AD91+AH91+AJ91+AL91+AP91)*I91</f>
        <v>37147.379999999997</v>
      </c>
      <c r="AR91" s="25">
        <f>SUM(N91:Q91)</f>
        <v>13.8</v>
      </c>
      <c r="AS91" s="25">
        <f>SUM(T91:W91)</f>
        <v>13.799999999999999</v>
      </c>
      <c r="AU91" s="41">
        <f>SUM(N91:Q91)</f>
        <v>13.8</v>
      </c>
      <c r="AV91" s="41">
        <f>SUM(T91:W91)</f>
        <v>13.799999999999999</v>
      </c>
      <c r="AW91" s="41">
        <f>SUM(Z91:AB91)</f>
        <v>13.799999999999999</v>
      </c>
      <c r="AY91" s="22">
        <f>I91/AU91</f>
        <v>1.0021739130434781</v>
      </c>
      <c r="AZ91" s="22">
        <f>I91/AV91</f>
        <v>1.0021739130434784</v>
      </c>
      <c r="BA91" s="22">
        <f>I91/AW91</f>
        <v>1.0021739130434784</v>
      </c>
    </row>
    <row r="92" spans="1:88" s="22" customFormat="1" ht="24" customHeight="1">
      <c r="A92" s="1">
        <v>510</v>
      </c>
      <c r="B92" s="88" t="s">
        <v>821</v>
      </c>
      <c r="C92" s="88">
        <v>519</v>
      </c>
      <c r="D92" s="88">
        <v>1381</v>
      </c>
      <c r="E92" s="88">
        <v>100</v>
      </c>
      <c r="F92" s="88" t="s">
        <v>869</v>
      </c>
      <c r="G92" s="88" t="s">
        <v>870</v>
      </c>
      <c r="H92" s="88" t="s">
        <v>92</v>
      </c>
      <c r="I92" s="115">
        <v>0.48699999999999999</v>
      </c>
      <c r="J92" s="88" t="s">
        <v>96</v>
      </c>
      <c r="K92" s="34">
        <v>4</v>
      </c>
      <c r="L92" s="10">
        <v>42276</v>
      </c>
      <c r="M92" s="9" t="s">
        <v>191</v>
      </c>
      <c r="N92" s="38">
        <v>0.375</v>
      </c>
      <c r="O92" s="38">
        <v>7.4999999999999997E-2</v>
      </c>
      <c r="P92" s="38">
        <v>2.5000000000000001E-2</v>
      </c>
      <c r="Q92" s="38">
        <v>0.03</v>
      </c>
      <c r="R92" s="38">
        <v>2.4990000000000001</v>
      </c>
      <c r="S92" s="38">
        <f t="shared" si="17"/>
        <v>2.5</v>
      </c>
      <c r="T92" s="38">
        <v>0.5</v>
      </c>
      <c r="U92" s="38">
        <v>0</v>
      </c>
      <c r="V92" s="38">
        <v>0</v>
      </c>
      <c r="W92" s="38">
        <v>0</v>
      </c>
      <c r="X92" s="38">
        <v>1.6211</v>
      </c>
      <c r="Y92" s="38">
        <f t="shared" si="18"/>
        <v>1.5</v>
      </c>
      <c r="Z92" s="38">
        <v>0</v>
      </c>
      <c r="AA92" s="117">
        <v>0</v>
      </c>
      <c r="AB92" s="117">
        <v>0.505</v>
      </c>
      <c r="AC92" s="117">
        <v>1.2113499999999999</v>
      </c>
      <c r="AD92" s="117">
        <v>88.14</v>
      </c>
      <c r="AE92" s="117">
        <v>9.51</v>
      </c>
      <c r="AF92" s="117">
        <v>5.4499849999999999</v>
      </c>
      <c r="AG92" s="38">
        <f t="shared" si="19"/>
        <v>5.4</v>
      </c>
      <c r="AH92" s="117">
        <v>67.98</v>
      </c>
      <c r="AI92" s="117">
        <v>3.9882659999999999</v>
      </c>
      <c r="AJ92" s="117">
        <v>0</v>
      </c>
      <c r="AK92" s="117">
        <v>0</v>
      </c>
      <c r="AL92" s="117">
        <v>0</v>
      </c>
      <c r="AM92" s="117">
        <v>0</v>
      </c>
      <c r="AN92" s="41"/>
      <c r="AO92" s="41"/>
      <c r="AP92" s="41"/>
      <c r="AQ92" s="41">
        <f>SUM(N92:Q92)</f>
        <v>0.505</v>
      </c>
      <c r="AR92" s="41">
        <f>SUM(T92:W92)</f>
        <v>0.5</v>
      </c>
      <c r="AS92" s="41">
        <f>SUM(Z92:AB92)</f>
        <v>0.505</v>
      </c>
      <c r="AU92" s="22">
        <f>I92/AQ92</f>
        <v>0.96435643564356432</v>
      </c>
      <c r="AV92" s="22">
        <f>I92/AR92</f>
        <v>0.97399999999999998</v>
      </c>
      <c r="AW92" s="22">
        <f>I92/AS92</f>
        <v>0.96435643564356432</v>
      </c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</row>
    <row r="93" spans="1:88" s="22" customFormat="1" ht="24" customHeight="1">
      <c r="A93" s="1">
        <v>1088</v>
      </c>
      <c r="B93" s="34" t="s">
        <v>1467</v>
      </c>
      <c r="C93" s="34">
        <v>619</v>
      </c>
      <c r="D93" s="8">
        <v>3486</v>
      </c>
      <c r="E93" s="34">
        <v>102</v>
      </c>
      <c r="F93" s="34" t="s">
        <v>1501</v>
      </c>
      <c r="G93" s="58" t="s">
        <v>1502</v>
      </c>
      <c r="H93" s="58" t="s">
        <v>1503</v>
      </c>
      <c r="I93" s="35">
        <v>11.941000000000001</v>
      </c>
      <c r="J93" s="9">
        <v>2</v>
      </c>
      <c r="K93" s="34" t="s">
        <v>238</v>
      </c>
      <c r="L93" s="10">
        <v>42093</v>
      </c>
      <c r="M93" s="9" t="s">
        <v>191</v>
      </c>
      <c r="N93" s="38">
        <v>7.98</v>
      </c>
      <c r="O93" s="38">
        <v>2.2599999999999998</v>
      </c>
      <c r="P93" s="38">
        <v>1.27</v>
      </c>
      <c r="Q93" s="38">
        <v>0.44</v>
      </c>
      <c r="R93" s="38">
        <v>2.3330000000000002</v>
      </c>
      <c r="S93" s="38">
        <f t="shared" si="17"/>
        <v>2.5</v>
      </c>
      <c r="T93" s="38">
        <v>11.53</v>
      </c>
      <c r="U93" s="38">
        <v>0.31</v>
      </c>
      <c r="V93" s="38">
        <v>0.1</v>
      </c>
      <c r="W93" s="38">
        <v>0</v>
      </c>
      <c r="X93" s="38">
        <v>5.6790000000000003</v>
      </c>
      <c r="Y93" s="38">
        <f t="shared" si="18"/>
        <v>5.5</v>
      </c>
      <c r="Z93" s="117">
        <v>0</v>
      </c>
      <c r="AA93" s="117">
        <v>0</v>
      </c>
      <c r="AB93" s="117">
        <v>11.94</v>
      </c>
      <c r="AC93" s="38">
        <v>1.37</v>
      </c>
      <c r="AD93" s="38">
        <v>2276.67</v>
      </c>
      <c r="AE93" s="38">
        <v>0</v>
      </c>
      <c r="AF93" s="11">
        <f>(AD93+AE93*0.5)/(3.5*I93*1000)*100</f>
        <v>5.4474260351490065</v>
      </c>
      <c r="AG93" s="38">
        <f t="shared" si="19"/>
        <v>5.4</v>
      </c>
      <c r="AH93" s="38">
        <v>126.27</v>
      </c>
      <c r="AI93" s="38">
        <f>AH93/(3.5*I93*1000)*100</f>
        <v>0.30212832138968976</v>
      </c>
      <c r="AJ93" s="38">
        <v>0</v>
      </c>
      <c r="AK93" s="38">
        <f>AJ93/(3.5*I93*1000)*100</f>
        <v>0</v>
      </c>
      <c r="AL93" s="38">
        <v>0</v>
      </c>
      <c r="AM93" s="38">
        <f>AL93/(3.5*I93*1000)*100</f>
        <v>0</v>
      </c>
      <c r="AN93" s="25"/>
      <c r="AO93" s="25"/>
      <c r="AP93" s="12">
        <f>AE93*0.5</f>
        <v>0</v>
      </c>
      <c r="AQ93" s="12">
        <f>(AD93+AH93+AJ93+AL93+AP93)*I93</f>
        <v>28693.506540000002</v>
      </c>
      <c r="AR93" s="25"/>
      <c r="AS93" s="25">
        <f>SUM(N93:Q93)</f>
        <v>11.95</v>
      </c>
      <c r="AT93" s="22">
        <f>SUM(T93:W93)</f>
        <v>11.94</v>
      </c>
      <c r="AU93" s="268">
        <v>11.941000000000001</v>
      </c>
      <c r="AV93" s="41">
        <f>SUM(N93:Q93)</f>
        <v>11.95</v>
      </c>
      <c r="AW93" s="41">
        <f>SUM(T93:W93)</f>
        <v>11.94</v>
      </c>
      <c r="AX93" s="41">
        <f>SUM(Z93:AB93)</f>
        <v>11.94</v>
      </c>
      <c r="AZ93" s="22">
        <f>I93/AV93</f>
        <v>0.99924686192468626</v>
      </c>
      <c r="BA93" s="22">
        <f>I93/AW93</f>
        <v>1.0000837520938024</v>
      </c>
      <c r="BB93" s="22">
        <f>I93/AX93</f>
        <v>1.0000837520938024</v>
      </c>
    </row>
    <row r="94" spans="1:88" s="22" customFormat="1" ht="24" customHeight="1">
      <c r="A94" s="1">
        <v>553</v>
      </c>
      <c r="B94" s="34" t="s">
        <v>948</v>
      </c>
      <c r="C94" s="34">
        <v>551</v>
      </c>
      <c r="D94" s="34">
        <v>2181</v>
      </c>
      <c r="E94" s="34">
        <v>100</v>
      </c>
      <c r="F94" s="9" t="s">
        <v>953</v>
      </c>
      <c r="G94" s="20">
        <v>0</v>
      </c>
      <c r="H94" s="20">
        <v>5875</v>
      </c>
      <c r="I94" s="35">
        <v>5.875</v>
      </c>
      <c r="J94" s="71">
        <v>2</v>
      </c>
      <c r="K94" s="34" t="s">
        <v>238</v>
      </c>
      <c r="L94" s="10">
        <v>42192</v>
      </c>
      <c r="M94" s="9" t="s">
        <v>191</v>
      </c>
      <c r="N94" s="38">
        <v>3.69</v>
      </c>
      <c r="O94" s="38">
        <v>1.05</v>
      </c>
      <c r="P94" s="38">
        <v>0.65</v>
      </c>
      <c r="Q94" s="38">
        <v>0.48</v>
      </c>
      <c r="R94" s="38">
        <v>2.5947399999999998</v>
      </c>
      <c r="S94" s="38">
        <f t="shared" si="17"/>
        <v>2.5</v>
      </c>
      <c r="T94" s="38">
        <v>5.35</v>
      </c>
      <c r="U94" s="38">
        <v>0.3</v>
      </c>
      <c r="V94" s="38">
        <v>0.18</v>
      </c>
      <c r="W94" s="38">
        <v>0.05</v>
      </c>
      <c r="X94" s="38">
        <v>4.3117299999999998</v>
      </c>
      <c r="Y94" s="38">
        <f t="shared" si="18"/>
        <v>4.5</v>
      </c>
      <c r="Z94" s="38">
        <v>0</v>
      </c>
      <c r="AA94" s="38">
        <v>0</v>
      </c>
      <c r="AB94" s="38">
        <f>T94+U94+V94+W94</f>
        <v>5.879999999999999</v>
      </c>
      <c r="AC94" s="38">
        <v>1.0569599999999999</v>
      </c>
      <c r="AD94" s="38">
        <v>1098</v>
      </c>
      <c r="AE94" s="38">
        <v>39.93</v>
      </c>
      <c r="AF94" s="38">
        <f>(AD94+AE94*0.5)/(3.5*I94*1000)*100</f>
        <v>5.436911854103343</v>
      </c>
      <c r="AG94" s="38">
        <f t="shared" si="19"/>
        <v>5.4</v>
      </c>
      <c r="AH94" s="38">
        <v>0</v>
      </c>
      <c r="AI94" s="38">
        <f>AH94/(3.5*I94*1000)*100</f>
        <v>0</v>
      </c>
      <c r="AJ94" s="38">
        <v>0</v>
      </c>
      <c r="AK94" s="38">
        <f>AJ94/(3.5*I94*1000)*100</f>
        <v>0</v>
      </c>
      <c r="AL94" s="38">
        <v>0</v>
      </c>
      <c r="AM94" s="38">
        <f>AL94/(3.5*I94*1000)*100</f>
        <v>0</v>
      </c>
      <c r="AN94" s="25"/>
      <c r="AO94" s="25">
        <f>AE94*0.5</f>
        <v>19.965</v>
      </c>
      <c r="AP94" s="25">
        <f>(AD94+AH94+AJ94+AL94+AO94)*I94</f>
        <v>6568.0443749999995</v>
      </c>
      <c r="AQ94" s="25">
        <f>SUM(N94:Q94)</f>
        <v>5.870000000000001</v>
      </c>
      <c r="AR94" s="25">
        <f>SUM(T94:W94)</f>
        <v>5.879999999999999</v>
      </c>
      <c r="AS94" s="268">
        <v>5.875</v>
      </c>
      <c r="AT94" s="41"/>
      <c r="AU94" s="41">
        <f>SUM(N94:Q94)</f>
        <v>5.870000000000001</v>
      </c>
      <c r="AV94" s="41">
        <f>SUM(T94:W94)</f>
        <v>5.879999999999999</v>
      </c>
      <c r="AW94" s="41">
        <f>SUM(Z94:AB94)</f>
        <v>5.879999999999999</v>
      </c>
      <c r="AY94" s="22">
        <f>I94/AU94</f>
        <v>1.0008517887563881</v>
      </c>
      <c r="AZ94" s="22">
        <f>I94/AV94</f>
        <v>0.99914965986394577</v>
      </c>
      <c r="BA94" s="22">
        <f>I94/AW94</f>
        <v>0.99914965986394577</v>
      </c>
    </row>
    <row r="95" spans="1:88" s="22" customFormat="1" ht="24" customHeight="1">
      <c r="A95" s="1">
        <v>1302</v>
      </c>
      <c r="B95" s="74" t="s">
        <v>1820</v>
      </c>
      <c r="C95" s="34">
        <v>441</v>
      </c>
      <c r="D95" s="75">
        <v>3597</v>
      </c>
      <c r="E95" s="69">
        <v>100</v>
      </c>
      <c r="F95" s="34" t="s">
        <v>1847</v>
      </c>
      <c r="G95" s="58">
        <v>0</v>
      </c>
      <c r="H95" s="58">
        <v>897</v>
      </c>
      <c r="I95" s="55">
        <v>0.89700000000000002</v>
      </c>
      <c r="J95" s="34">
        <v>2</v>
      </c>
      <c r="K95" s="34" t="s">
        <v>238</v>
      </c>
      <c r="L95" s="10">
        <v>42187</v>
      </c>
      <c r="M95" s="9" t="s">
        <v>191</v>
      </c>
      <c r="N95" s="38">
        <v>0.2</v>
      </c>
      <c r="O95" s="38">
        <v>0.375</v>
      </c>
      <c r="P95" s="38">
        <v>0.17499999999999999</v>
      </c>
      <c r="Q95" s="38">
        <v>0.15</v>
      </c>
      <c r="R95" s="38">
        <v>4.06778</v>
      </c>
      <c r="S95" s="38">
        <f t="shared" si="17"/>
        <v>4</v>
      </c>
      <c r="T95" s="38">
        <v>0.85</v>
      </c>
      <c r="U95" s="38">
        <v>0.05</v>
      </c>
      <c r="V95" s="38">
        <v>0</v>
      </c>
      <c r="W95" s="38">
        <v>0</v>
      </c>
      <c r="X95" s="38">
        <v>4.0443600000000002</v>
      </c>
      <c r="Y95" s="38">
        <f t="shared" si="18"/>
        <v>4</v>
      </c>
      <c r="Z95" s="38">
        <v>0</v>
      </c>
      <c r="AA95" s="38">
        <v>0</v>
      </c>
      <c r="AB95" s="38">
        <v>0.9</v>
      </c>
      <c r="AC95" s="38">
        <v>0.98269399999999996</v>
      </c>
      <c r="AD95" s="38">
        <v>153.5</v>
      </c>
      <c r="AE95" s="38">
        <v>33.5</v>
      </c>
      <c r="AF95" s="38">
        <v>5.4228380315336837</v>
      </c>
      <c r="AG95" s="38">
        <f t="shared" si="19"/>
        <v>5.4</v>
      </c>
      <c r="AH95" s="38">
        <v>117.4</v>
      </c>
      <c r="AI95" s="38">
        <v>3.7394489568402611</v>
      </c>
      <c r="AJ95" s="38">
        <v>1</v>
      </c>
      <c r="AK95" s="38">
        <v>3.185220576524924E-2</v>
      </c>
      <c r="AL95" s="38">
        <v>0</v>
      </c>
      <c r="AM95" s="38">
        <v>0</v>
      </c>
      <c r="AN95" s="40"/>
      <c r="AO95" s="12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</row>
    <row r="96" spans="1:88" s="22" customFormat="1" ht="24" customHeight="1">
      <c r="A96" s="1">
        <v>509</v>
      </c>
      <c r="B96" s="88" t="s">
        <v>821</v>
      </c>
      <c r="C96" s="88">
        <v>519</v>
      </c>
      <c r="D96" s="88">
        <v>1381</v>
      </c>
      <c r="E96" s="88">
        <v>100</v>
      </c>
      <c r="F96" s="88" t="s">
        <v>869</v>
      </c>
      <c r="G96" s="88" t="s">
        <v>92</v>
      </c>
      <c r="H96" s="88" t="s">
        <v>870</v>
      </c>
      <c r="I96" s="115">
        <v>0.48699999999999999</v>
      </c>
      <c r="J96" s="88" t="s">
        <v>237</v>
      </c>
      <c r="K96" s="34">
        <v>4</v>
      </c>
      <c r="L96" s="10">
        <v>42276</v>
      </c>
      <c r="M96" s="9" t="s">
        <v>191</v>
      </c>
      <c r="N96" s="38">
        <v>0.36</v>
      </c>
      <c r="O96" s="38">
        <v>7.0000000000000007E-2</v>
      </c>
      <c r="P96" s="38">
        <v>0.02</v>
      </c>
      <c r="Q96" s="38">
        <v>0.03</v>
      </c>
      <c r="R96" s="38">
        <v>2.2635000000000001</v>
      </c>
      <c r="S96" s="38">
        <f t="shared" si="17"/>
        <v>2.5</v>
      </c>
      <c r="T96" s="38">
        <v>0.49</v>
      </c>
      <c r="U96" s="38">
        <v>0</v>
      </c>
      <c r="V96" s="38">
        <v>0</v>
      </c>
      <c r="W96" s="38">
        <v>0</v>
      </c>
      <c r="X96" s="38">
        <v>1.5230999999999999</v>
      </c>
      <c r="Y96" s="38">
        <f t="shared" si="18"/>
        <v>1.5</v>
      </c>
      <c r="Z96" s="38">
        <v>0</v>
      </c>
      <c r="AA96" s="117">
        <v>0</v>
      </c>
      <c r="AB96" s="117">
        <v>0.49</v>
      </c>
      <c r="AC96" s="117">
        <v>1.1316999999999999</v>
      </c>
      <c r="AD96" s="117">
        <v>91.212000000000003</v>
      </c>
      <c r="AE96" s="117">
        <v>0</v>
      </c>
      <c r="AF96" s="117">
        <v>5.3512469999999999</v>
      </c>
      <c r="AG96" s="38">
        <f t="shared" si="19"/>
        <v>5.4</v>
      </c>
      <c r="AH96" s="117">
        <v>87.95</v>
      </c>
      <c r="AI96" s="117">
        <v>5.1598709999999999</v>
      </c>
      <c r="AJ96" s="117">
        <v>0</v>
      </c>
      <c r="AK96" s="117">
        <v>0</v>
      </c>
      <c r="AL96" s="117">
        <v>0</v>
      </c>
      <c r="AM96" s="117">
        <v>0</v>
      </c>
      <c r="AN96" s="41"/>
      <c r="AO96" s="41"/>
      <c r="AP96" s="41"/>
      <c r="AQ96" s="41">
        <f>SUM(N96:Q96)</f>
        <v>0.48</v>
      </c>
      <c r="AR96" s="41">
        <f>SUM(T96:W96)</f>
        <v>0.49</v>
      </c>
      <c r="AS96" s="41">
        <f>SUM(Z96:AB96)</f>
        <v>0.49</v>
      </c>
      <c r="AU96" s="22">
        <f>I96/AQ96</f>
        <v>1.0145833333333334</v>
      </c>
      <c r="AV96" s="22">
        <f>I96/AR96</f>
        <v>0.9938775510204082</v>
      </c>
      <c r="AW96" s="22">
        <f>I96/AS96</f>
        <v>0.9938775510204082</v>
      </c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</row>
    <row r="97" spans="1:88" s="22" customFormat="1" ht="24" customHeight="1">
      <c r="A97" s="1">
        <v>1392</v>
      </c>
      <c r="B97" s="34" t="s">
        <v>1940</v>
      </c>
      <c r="C97" s="34">
        <v>446</v>
      </c>
      <c r="D97" s="75">
        <v>3196</v>
      </c>
      <c r="E97" s="69">
        <v>100</v>
      </c>
      <c r="F97" s="34" t="s">
        <v>1947</v>
      </c>
      <c r="G97" s="20">
        <v>0</v>
      </c>
      <c r="H97" s="20">
        <v>2100</v>
      </c>
      <c r="I97" s="21">
        <v>2.1</v>
      </c>
      <c r="J97" s="8">
        <v>2</v>
      </c>
      <c r="K97" s="34" t="s">
        <v>238</v>
      </c>
      <c r="L97" s="10">
        <v>42220</v>
      </c>
      <c r="M97" s="9" t="s">
        <v>191</v>
      </c>
      <c r="N97" s="38">
        <v>1.8</v>
      </c>
      <c r="O97" s="38">
        <v>0.2</v>
      </c>
      <c r="P97" s="38">
        <v>0.05</v>
      </c>
      <c r="Q97" s="38">
        <v>0.05</v>
      </c>
      <c r="R97" s="38">
        <v>2.1351800000000001</v>
      </c>
      <c r="S97" s="38">
        <f t="shared" si="17"/>
        <v>2</v>
      </c>
      <c r="T97" s="38">
        <v>2.1</v>
      </c>
      <c r="U97" s="38">
        <v>0</v>
      </c>
      <c r="V97" s="38">
        <v>0</v>
      </c>
      <c r="W97" s="38">
        <v>0</v>
      </c>
      <c r="X97" s="38">
        <v>1.8328</v>
      </c>
      <c r="Y97" s="38">
        <f t="shared" si="18"/>
        <v>2</v>
      </c>
      <c r="Z97" s="38">
        <v>0</v>
      </c>
      <c r="AA97" s="38">
        <v>0</v>
      </c>
      <c r="AB97" s="11">
        <v>2.1</v>
      </c>
      <c r="AC97" s="38">
        <v>1.3117099999999999</v>
      </c>
      <c r="AD97" s="38">
        <v>354.15</v>
      </c>
      <c r="AE97" s="38">
        <v>68.400000000000006</v>
      </c>
      <c r="AF97" s="38">
        <v>5.2836734693877538</v>
      </c>
      <c r="AG97" s="38">
        <f t="shared" si="19"/>
        <v>5.3</v>
      </c>
      <c r="AH97" s="38">
        <v>97.2</v>
      </c>
      <c r="AI97" s="38">
        <v>1.3224489795918366</v>
      </c>
      <c r="AJ97" s="38">
        <v>0</v>
      </c>
      <c r="AK97" s="38">
        <v>0</v>
      </c>
      <c r="AL97" s="38">
        <v>0</v>
      </c>
      <c r="AM97" s="38">
        <v>0</v>
      </c>
      <c r="AN97" s="12"/>
      <c r="AO97" s="1"/>
      <c r="AP97" s="12">
        <f>SUM(N97:Q97)</f>
        <v>2.0999999999999996</v>
      </c>
      <c r="AQ97" s="12">
        <f>SUM(T97:W97)</f>
        <v>2.1</v>
      </c>
      <c r="AR97" s="12">
        <f>SUM(Z97:AB97)</f>
        <v>2.1</v>
      </c>
      <c r="AS97" s="1"/>
      <c r="AT97" s="1">
        <f>I97/AP97</f>
        <v>1.0000000000000002</v>
      </c>
      <c r="AU97" s="1">
        <f>I97/AQ97</f>
        <v>1</v>
      </c>
      <c r="AV97" s="1">
        <f>I97/AR97</f>
        <v>1</v>
      </c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</row>
    <row r="98" spans="1:88" s="22" customFormat="1" ht="24" customHeight="1">
      <c r="A98" s="1">
        <v>2128</v>
      </c>
      <c r="B98" s="34" t="s">
        <v>2754</v>
      </c>
      <c r="C98" s="34">
        <v>324</v>
      </c>
      <c r="D98" s="75">
        <v>4032</v>
      </c>
      <c r="E98" s="8">
        <v>101</v>
      </c>
      <c r="F98" s="9" t="s">
        <v>2769</v>
      </c>
      <c r="G98" s="20">
        <v>7472</v>
      </c>
      <c r="H98" s="20">
        <v>0</v>
      </c>
      <c r="I98" s="21">
        <v>7.4720000000000004</v>
      </c>
      <c r="J98" s="9">
        <v>2</v>
      </c>
      <c r="K98" s="34" t="s">
        <v>12</v>
      </c>
      <c r="L98" s="18">
        <v>42140</v>
      </c>
      <c r="M98" s="9" t="s">
        <v>191</v>
      </c>
      <c r="N98" s="38">
        <v>4.3250000000000002</v>
      </c>
      <c r="O98" s="38">
        <v>1.675</v>
      </c>
      <c r="P98" s="38">
        <v>0.95</v>
      </c>
      <c r="Q98" s="38">
        <v>0.5</v>
      </c>
      <c r="R98" s="38">
        <v>2.7248000000000001</v>
      </c>
      <c r="S98" s="38">
        <f t="shared" si="17"/>
        <v>2.5</v>
      </c>
      <c r="T98" s="38">
        <v>7.4</v>
      </c>
      <c r="U98" s="38">
        <v>0.05</v>
      </c>
      <c r="V98" s="38">
        <v>0</v>
      </c>
      <c r="W98" s="38">
        <v>0</v>
      </c>
      <c r="X98" s="38">
        <v>2.9858799999999999</v>
      </c>
      <c r="Y98" s="38">
        <f t="shared" si="18"/>
        <v>3</v>
      </c>
      <c r="Z98" s="38">
        <v>0</v>
      </c>
      <c r="AA98" s="38">
        <v>0</v>
      </c>
      <c r="AB98" s="38">
        <v>7.45</v>
      </c>
      <c r="AC98" s="38">
        <v>1.57369</v>
      </c>
      <c r="AD98" s="38">
        <v>1370</v>
      </c>
      <c r="AE98" s="38">
        <v>9</v>
      </c>
      <c r="AF98" s="38">
        <v>5.2558121749770574</v>
      </c>
      <c r="AG98" s="38">
        <f t="shared" si="19"/>
        <v>5.3</v>
      </c>
      <c r="AH98" s="38">
        <v>0</v>
      </c>
      <c r="AI98" s="38">
        <v>0</v>
      </c>
      <c r="AJ98" s="38">
        <v>0</v>
      </c>
      <c r="AK98" s="38">
        <v>0</v>
      </c>
      <c r="AL98" s="38">
        <v>0</v>
      </c>
      <c r="AM98" s="38">
        <v>0</v>
      </c>
      <c r="AN98" s="41"/>
      <c r="AO98" s="41"/>
      <c r="AP98" s="73"/>
      <c r="AQ98" s="73"/>
      <c r="AR98" s="73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</row>
    <row r="99" spans="1:88" s="22" customFormat="1" ht="24" customHeight="1">
      <c r="A99" s="1">
        <v>690</v>
      </c>
      <c r="B99" s="34" t="s">
        <v>1084</v>
      </c>
      <c r="C99" s="34">
        <v>624</v>
      </c>
      <c r="D99" s="34">
        <v>2318</v>
      </c>
      <c r="E99" s="34">
        <v>100</v>
      </c>
      <c r="F99" s="34" t="s">
        <v>1100</v>
      </c>
      <c r="G99" s="58">
        <v>0</v>
      </c>
      <c r="H99" s="58">
        <v>7524</v>
      </c>
      <c r="I99" s="35">
        <v>7.524</v>
      </c>
      <c r="J99" s="127">
        <v>2</v>
      </c>
      <c r="K99" s="34" t="s">
        <v>238</v>
      </c>
      <c r="L99" s="10">
        <v>42170</v>
      </c>
      <c r="M99" s="9" t="s">
        <v>191</v>
      </c>
      <c r="N99" s="38">
        <v>6.2</v>
      </c>
      <c r="O99" s="38">
        <v>1</v>
      </c>
      <c r="P99" s="38">
        <v>0.1</v>
      </c>
      <c r="Q99" s="38">
        <v>0.17499999999999999</v>
      </c>
      <c r="R99" s="38">
        <v>2.1069</v>
      </c>
      <c r="S99" s="38">
        <f t="shared" si="17"/>
        <v>2</v>
      </c>
      <c r="T99" s="38">
        <v>7.375</v>
      </c>
      <c r="U99" s="38">
        <v>0.1</v>
      </c>
      <c r="V99" s="38">
        <v>0</v>
      </c>
      <c r="W99" s="38">
        <v>0</v>
      </c>
      <c r="X99" s="38">
        <v>3.7529699999999999</v>
      </c>
      <c r="Y99" s="38">
        <f t="shared" si="18"/>
        <v>4</v>
      </c>
      <c r="Z99" s="38">
        <v>0</v>
      </c>
      <c r="AA99" s="38">
        <v>0</v>
      </c>
      <c r="AB99" s="38">
        <f>N99+O99+P99+Q99</f>
        <v>7.4749999999999996</v>
      </c>
      <c r="AC99" s="38">
        <v>1.19462</v>
      </c>
      <c r="AD99" s="38">
        <v>5.62</v>
      </c>
      <c r="AE99" s="38">
        <v>2748.53</v>
      </c>
      <c r="AF99" s="38">
        <v>5.2399399999999998</v>
      </c>
      <c r="AG99" s="38">
        <f t="shared" si="19"/>
        <v>5.2</v>
      </c>
      <c r="AH99" s="38">
        <v>0</v>
      </c>
      <c r="AI99" s="38">
        <v>0</v>
      </c>
      <c r="AJ99" s="38">
        <v>0</v>
      </c>
      <c r="AK99" s="38">
        <v>0</v>
      </c>
      <c r="AL99" s="38">
        <v>0</v>
      </c>
      <c r="AM99" s="38">
        <v>0</v>
      </c>
      <c r="AN99" s="25"/>
      <c r="AO99" s="25">
        <f>AE99*0.5</f>
        <v>1374.2650000000001</v>
      </c>
      <c r="AP99" s="25">
        <f>(AD99+AH99+AJ99+AL99+AO99)*I99</f>
        <v>10382.25474</v>
      </c>
      <c r="AQ99" s="25">
        <f>SUM(N99:Q99)</f>
        <v>7.4749999999999996</v>
      </c>
      <c r="AR99" s="25">
        <f>SUM(T99:W99)</f>
        <v>7.4749999999999996</v>
      </c>
      <c r="AT99" s="41"/>
      <c r="AU99" s="41"/>
      <c r="AV99" s="41"/>
      <c r="AW99" s="41"/>
    </row>
    <row r="100" spans="1:88" s="22" customFormat="1" ht="24" customHeight="1">
      <c r="A100" s="1">
        <v>2061</v>
      </c>
      <c r="B100" s="34" t="s">
        <v>2697</v>
      </c>
      <c r="C100" s="34">
        <v>328</v>
      </c>
      <c r="D100" s="75">
        <v>4293</v>
      </c>
      <c r="E100" s="8">
        <v>100</v>
      </c>
      <c r="F100" s="34" t="s">
        <v>2708</v>
      </c>
      <c r="G100" s="58">
        <v>0</v>
      </c>
      <c r="H100" s="58">
        <v>125</v>
      </c>
      <c r="I100" s="21">
        <v>0.125</v>
      </c>
      <c r="J100" s="8">
        <v>2</v>
      </c>
      <c r="K100" s="8" t="s">
        <v>238</v>
      </c>
      <c r="L100" s="18">
        <v>42120</v>
      </c>
      <c r="M100" s="9" t="s">
        <v>191</v>
      </c>
      <c r="N100" s="38">
        <v>0</v>
      </c>
      <c r="O100" s="38">
        <v>2.5000000000000001E-2</v>
      </c>
      <c r="P100" s="38">
        <v>0.05</v>
      </c>
      <c r="Q100" s="38">
        <v>0.05</v>
      </c>
      <c r="R100" s="38">
        <v>4.5339999999999998</v>
      </c>
      <c r="S100" s="38">
        <f t="shared" si="17"/>
        <v>4.5</v>
      </c>
      <c r="T100" s="38">
        <v>0.125</v>
      </c>
      <c r="U100" s="38">
        <v>0</v>
      </c>
      <c r="V100" s="38">
        <v>0</v>
      </c>
      <c r="W100" s="38">
        <v>0</v>
      </c>
      <c r="X100" s="38">
        <v>2.1204000000000001</v>
      </c>
      <c r="Y100" s="38">
        <f t="shared" si="18"/>
        <v>2</v>
      </c>
      <c r="Z100" s="38">
        <v>0</v>
      </c>
      <c r="AA100" s="38">
        <v>0</v>
      </c>
      <c r="AB100" s="38">
        <v>0.125</v>
      </c>
      <c r="AC100" s="38">
        <v>1.2303999999999999</v>
      </c>
      <c r="AD100" s="38">
        <v>22.85</v>
      </c>
      <c r="AE100" s="38">
        <v>0</v>
      </c>
      <c r="AF100" s="38">
        <v>5.2228571428571433</v>
      </c>
      <c r="AG100" s="38">
        <f t="shared" si="19"/>
        <v>5.2</v>
      </c>
      <c r="AH100" s="38">
        <v>24.96</v>
      </c>
      <c r="AI100" s="38">
        <v>5.7051428571428575</v>
      </c>
      <c r="AJ100" s="38">
        <v>5.36</v>
      </c>
      <c r="AK100" s="38">
        <v>1.2251428571428573</v>
      </c>
      <c r="AL100" s="38">
        <v>0</v>
      </c>
      <c r="AM100" s="38">
        <f>AL100/(3.5*I100*1000)*100</f>
        <v>0</v>
      </c>
      <c r="AN100" s="72"/>
      <c r="AO100" s="41"/>
      <c r="AP100" s="41"/>
      <c r="AQ100" s="73"/>
      <c r="AR100" s="73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</row>
    <row r="101" spans="1:88" s="22" customFormat="1" ht="24" customHeight="1">
      <c r="A101" s="1">
        <v>569</v>
      </c>
      <c r="B101" s="34" t="s">
        <v>948</v>
      </c>
      <c r="C101" s="34">
        <v>551</v>
      </c>
      <c r="D101" s="34">
        <v>2372</v>
      </c>
      <c r="E101" s="34">
        <v>100</v>
      </c>
      <c r="F101" s="9" t="s">
        <v>970</v>
      </c>
      <c r="G101" s="20">
        <v>0</v>
      </c>
      <c r="H101" s="20">
        <v>16811</v>
      </c>
      <c r="I101" s="35">
        <v>16.811</v>
      </c>
      <c r="J101" s="71">
        <v>2</v>
      </c>
      <c r="K101" s="34" t="s">
        <v>238</v>
      </c>
      <c r="L101" s="10">
        <v>42223</v>
      </c>
      <c r="M101" s="9" t="s">
        <v>191</v>
      </c>
      <c r="N101" s="38">
        <v>10.69</v>
      </c>
      <c r="O101" s="38">
        <v>3.56</v>
      </c>
      <c r="P101" s="38">
        <v>1.79</v>
      </c>
      <c r="Q101" s="38">
        <v>0.78</v>
      </c>
      <c r="R101" s="38">
        <v>2.4356599999999999</v>
      </c>
      <c r="S101" s="38">
        <f t="shared" si="17"/>
        <v>2.5</v>
      </c>
      <c r="T101" s="38">
        <v>16.59</v>
      </c>
      <c r="U101" s="38">
        <v>0.21</v>
      </c>
      <c r="V101" s="38">
        <v>0.05</v>
      </c>
      <c r="W101" s="38">
        <v>0.05</v>
      </c>
      <c r="X101" s="38">
        <v>3.9112200000000001</v>
      </c>
      <c r="Y101" s="38">
        <f t="shared" si="18"/>
        <v>4</v>
      </c>
      <c r="Z101" s="38">
        <v>0</v>
      </c>
      <c r="AA101" s="38">
        <v>0</v>
      </c>
      <c r="AB101" s="38">
        <f>T101+U101+V101+W101</f>
        <v>16.900000000000002</v>
      </c>
      <c r="AC101" s="38">
        <v>1.0947899999999999</v>
      </c>
      <c r="AD101" s="38">
        <v>2654</v>
      </c>
      <c r="AE101" s="38">
        <v>659.7</v>
      </c>
      <c r="AF101" s="38">
        <f>(AD101+AE101*0.5)/(3.5*I101*1000)*100</f>
        <v>5.071254365763914</v>
      </c>
      <c r="AG101" s="38">
        <f t="shared" si="19"/>
        <v>5.0999999999999996</v>
      </c>
      <c r="AH101" s="38">
        <v>0</v>
      </c>
      <c r="AI101" s="38">
        <f>AH101/(3.5*I101*1000)*100</f>
        <v>0</v>
      </c>
      <c r="AJ101" s="38">
        <v>72</v>
      </c>
      <c r="AK101" s="38">
        <f>AJ101/(3.5*I101*1000)*100</f>
        <v>0.12236885712586147</v>
      </c>
      <c r="AL101" s="38">
        <v>0</v>
      </c>
      <c r="AM101" s="38">
        <f>AL101/(3.5*I101*1000)*100</f>
        <v>0</v>
      </c>
      <c r="AN101" s="25"/>
      <c r="AO101" s="25">
        <f>AE101*0.5</f>
        <v>329.85</v>
      </c>
      <c r="AP101" s="25">
        <f>(AD101+AH101+AJ101+AL101+AO101)*I101</f>
        <v>51371.894349999995</v>
      </c>
      <c r="AQ101" s="25">
        <f>SUM(N101:Q101)</f>
        <v>16.82</v>
      </c>
      <c r="AR101" s="25">
        <f>SUM(T101:W101)</f>
        <v>16.900000000000002</v>
      </c>
      <c r="AS101" s="268">
        <v>12.811</v>
      </c>
      <c r="AT101" s="41"/>
      <c r="AU101" s="41">
        <f>SUM(N101:Q101)</f>
        <v>16.82</v>
      </c>
      <c r="AV101" s="41">
        <f>SUM(T101:W101)</f>
        <v>16.900000000000002</v>
      </c>
      <c r="AW101" s="41">
        <f>SUM(Z101:AB101)</f>
        <v>16.900000000000002</v>
      </c>
      <c r="AY101" s="22">
        <f>I101/AU101</f>
        <v>0.99946492271105825</v>
      </c>
      <c r="AZ101" s="22">
        <f>I101/AV101</f>
        <v>0.99473372781065073</v>
      </c>
      <c r="BA101" s="22">
        <f>I101/AW101</f>
        <v>0.99473372781065073</v>
      </c>
    </row>
    <row r="102" spans="1:88" s="22" customFormat="1" ht="24" customHeight="1">
      <c r="A102" s="1">
        <v>123</v>
      </c>
      <c r="B102" s="4" t="s">
        <v>78</v>
      </c>
      <c r="C102" s="14">
        <v>527</v>
      </c>
      <c r="D102" s="19">
        <v>1358</v>
      </c>
      <c r="E102" s="16">
        <v>100</v>
      </c>
      <c r="F102" s="31" t="s">
        <v>87</v>
      </c>
      <c r="G102" s="20" t="s">
        <v>223</v>
      </c>
      <c r="H102" s="20" t="s">
        <v>224</v>
      </c>
      <c r="I102" s="21">
        <v>0.69</v>
      </c>
      <c r="J102" s="8">
        <v>2</v>
      </c>
      <c r="K102" s="9" t="s">
        <v>238</v>
      </c>
      <c r="L102" s="18">
        <v>42242</v>
      </c>
      <c r="M102" s="9" t="s">
        <v>191</v>
      </c>
      <c r="N102" s="11">
        <v>0.05</v>
      </c>
      <c r="O102" s="11">
        <v>0.12</v>
      </c>
      <c r="P102" s="11">
        <v>0.16</v>
      </c>
      <c r="Q102" s="11">
        <v>0.37</v>
      </c>
      <c r="R102" s="11">
        <v>6.202</v>
      </c>
      <c r="S102" s="38">
        <f t="shared" si="17"/>
        <v>6</v>
      </c>
      <c r="T102" s="11">
        <v>0.67</v>
      </c>
      <c r="U102" s="11">
        <v>0.02</v>
      </c>
      <c r="V102" s="11">
        <v>0</v>
      </c>
      <c r="W102" s="11">
        <v>0</v>
      </c>
      <c r="X102" s="11">
        <v>4.12317</v>
      </c>
      <c r="Y102" s="38">
        <f t="shared" si="18"/>
        <v>4</v>
      </c>
      <c r="Z102" s="11">
        <v>0</v>
      </c>
      <c r="AA102" s="11">
        <v>0</v>
      </c>
      <c r="AB102" s="11">
        <v>0.69</v>
      </c>
      <c r="AC102" s="11">
        <v>1.58867</v>
      </c>
      <c r="AD102" s="11">
        <v>120.867</v>
      </c>
      <c r="AE102" s="11">
        <v>0</v>
      </c>
      <c r="AF102" s="11">
        <f>(AD102+AE102*0.5)/(3.5*I102*1000)*100</f>
        <v>5.0048447204968944</v>
      </c>
      <c r="AG102" s="38">
        <f t="shared" si="19"/>
        <v>5</v>
      </c>
      <c r="AH102" s="11">
        <v>103.68</v>
      </c>
      <c r="AI102" s="11">
        <f>AH102/(3.5*I102*1000)*100</f>
        <v>4.2931677018633536</v>
      </c>
      <c r="AJ102" s="11">
        <v>3.2</v>
      </c>
      <c r="AK102" s="11">
        <f>AJ102/(3.5*I102*1000)*100</f>
        <v>0.13250517598343686</v>
      </c>
      <c r="AL102" s="11">
        <v>0</v>
      </c>
      <c r="AM102" s="11">
        <f>AL102/(3.5*I102*1000)*100</f>
        <v>0</v>
      </c>
      <c r="AO102" s="25"/>
      <c r="AP102" s="25">
        <f>SUM(N102:Q102)</f>
        <v>0.7</v>
      </c>
      <c r="AQ102" s="25">
        <f>SUM(T102:W102)</f>
        <v>0.69000000000000006</v>
      </c>
      <c r="AR102" s="25">
        <f>SUM(Z102:AB102)</f>
        <v>0.69</v>
      </c>
      <c r="AT102" s="22">
        <f>I102/AP102</f>
        <v>0.98571428571428565</v>
      </c>
      <c r="AU102" s="22">
        <f>I102/AQ102</f>
        <v>0.99999999999999989</v>
      </c>
      <c r="AV102" s="22">
        <f>I102/AR102</f>
        <v>1</v>
      </c>
    </row>
    <row r="103" spans="1:88" s="22" customFormat="1" ht="24" customHeight="1">
      <c r="A103" s="1">
        <v>1599</v>
      </c>
      <c r="B103" s="34" t="s">
        <v>2137</v>
      </c>
      <c r="C103" s="5">
        <v>416</v>
      </c>
      <c r="D103" s="5">
        <v>346</v>
      </c>
      <c r="E103" s="5">
        <v>102</v>
      </c>
      <c r="F103" s="5" t="s">
        <v>2169</v>
      </c>
      <c r="G103" s="53" t="s">
        <v>2170</v>
      </c>
      <c r="H103" s="53" t="s">
        <v>2171</v>
      </c>
      <c r="I103" s="198">
        <v>4.5709999999999997</v>
      </c>
      <c r="J103" s="78">
        <v>6</v>
      </c>
      <c r="K103" s="5" t="s">
        <v>237</v>
      </c>
      <c r="L103" s="10">
        <v>42248</v>
      </c>
      <c r="M103" s="34" t="s">
        <v>218</v>
      </c>
      <c r="N103" s="147">
        <v>2.75</v>
      </c>
      <c r="O103" s="147">
        <v>0.97499999999999998</v>
      </c>
      <c r="P103" s="147">
        <v>0.45</v>
      </c>
      <c r="Q103" s="147">
        <v>0.375</v>
      </c>
      <c r="R103" s="147">
        <v>2.6434600000000001</v>
      </c>
      <c r="S103" s="38">
        <f t="shared" si="17"/>
        <v>2.5</v>
      </c>
      <c r="T103" s="147">
        <v>0</v>
      </c>
      <c r="U103" s="147">
        <v>0</v>
      </c>
      <c r="V103" s="147">
        <f>SUM(N103:Q103)</f>
        <v>4.55</v>
      </c>
      <c r="W103" s="147">
        <v>0.92758799999999997</v>
      </c>
      <c r="X103" s="201">
        <v>4</v>
      </c>
      <c r="Y103" s="38">
        <f t="shared" si="18"/>
        <v>4</v>
      </c>
      <c r="Z103" s="201">
        <v>7</v>
      </c>
      <c r="AA103" s="201">
        <v>0</v>
      </c>
      <c r="AB103" s="201">
        <v>5</v>
      </c>
      <c r="AC103" s="201">
        <v>0</v>
      </c>
      <c r="AD103" s="147">
        <v>7.37</v>
      </c>
      <c r="AE103" s="147">
        <v>4.6066818764259145E-2</v>
      </c>
      <c r="AF103" s="201">
        <v>5</v>
      </c>
      <c r="AG103" s="38">
        <f t="shared" si="19"/>
        <v>5</v>
      </c>
      <c r="AH103" s="198"/>
      <c r="AI103" s="198"/>
      <c r="AJ103" s="198"/>
      <c r="AK103" s="34"/>
      <c r="AL103" s="34"/>
      <c r="AM103" s="34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</row>
    <row r="104" spans="1:88" s="22" customFormat="1" ht="24" customHeight="1">
      <c r="A104" s="1">
        <v>2059</v>
      </c>
      <c r="B104" s="34" t="s">
        <v>2697</v>
      </c>
      <c r="C104" s="34">
        <v>328</v>
      </c>
      <c r="D104" s="75">
        <v>4292</v>
      </c>
      <c r="E104" s="8">
        <v>100</v>
      </c>
      <c r="F104" s="34" t="s">
        <v>2707</v>
      </c>
      <c r="G104" s="58">
        <v>0</v>
      </c>
      <c r="H104" s="58">
        <v>180</v>
      </c>
      <c r="I104" s="21">
        <v>0.18</v>
      </c>
      <c r="J104" s="8">
        <v>4</v>
      </c>
      <c r="K104" s="8" t="s">
        <v>237</v>
      </c>
      <c r="L104" s="18">
        <v>42120</v>
      </c>
      <c r="M104" s="9" t="s">
        <v>191</v>
      </c>
      <c r="N104" s="38">
        <v>2.5000000000000001E-2</v>
      </c>
      <c r="O104" s="38">
        <v>0.1</v>
      </c>
      <c r="P104" s="38">
        <v>2.5000000000000001E-2</v>
      </c>
      <c r="Q104" s="38">
        <v>0.05</v>
      </c>
      <c r="R104" s="38">
        <v>4.5437500000000002</v>
      </c>
      <c r="S104" s="38">
        <f t="shared" si="17"/>
        <v>4.5</v>
      </c>
      <c r="T104" s="38">
        <v>0.2</v>
      </c>
      <c r="U104" s="38">
        <v>0</v>
      </c>
      <c r="V104" s="38">
        <v>0</v>
      </c>
      <c r="W104" s="38">
        <v>0</v>
      </c>
      <c r="X104" s="38">
        <v>2.9773800000000001</v>
      </c>
      <c r="Y104" s="38">
        <f t="shared" si="18"/>
        <v>3</v>
      </c>
      <c r="Z104" s="38">
        <v>0</v>
      </c>
      <c r="AA104" s="38">
        <v>0</v>
      </c>
      <c r="AB104" s="38">
        <v>0.2</v>
      </c>
      <c r="AC104" s="38">
        <v>0.98</v>
      </c>
      <c r="AD104" s="38">
        <v>4.9000000000000004</v>
      </c>
      <c r="AE104" s="38">
        <v>52.8</v>
      </c>
      <c r="AF104" s="38">
        <v>4.9682539682539675</v>
      </c>
      <c r="AG104" s="38">
        <f t="shared" si="19"/>
        <v>5</v>
      </c>
      <c r="AH104" s="38">
        <v>0</v>
      </c>
      <c r="AI104" s="38">
        <v>0</v>
      </c>
      <c r="AJ104" s="38">
        <v>0</v>
      </c>
      <c r="AK104" s="38">
        <v>0</v>
      </c>
      <c r="AL104" s="38">
        <v>0</v>
      </c>
      <c r="AM104" s="38">
        <f>AL104/(3.5*I104*1000)*100</f>
        <v>0</v>
      </c>
      <c r="AN104" s="72"/>
      <c r="AO104" s="41"/>
      <c r="AP104" s="41"/>
      <c r="AQ104" s="73"/>
      <c r="AR104" s="73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</row>
    <row r="105" spans="1:88" s="22" customFormat="1" ht="24" customHeight="1">
      <c r="A105" s="1">
        <v>103</v>
      </c>
      <c r="B105" s="4" t="s">
        <v>61</v>
      </c>
      <c r="C105" s="14">
        <v>526</v>
      </c>
      <c r="D105" s="19">
        <v>1395</v>
      </c>
      <c r="E105" s="16">
        <v>100</v>
      </c>
      <c r="F105" s="14" t="s">
        <v>76</v>
      </c>
      <c r="G105" s="27" t="s">
        <v>166</v>
      </c>
      <c r="H105" s="27" t="s">
        <v>167</v>
      </c>
      <c r="I105" s="28">
        <v>0.65700000000000003</v>
      </c>
      <c r="J105" s="16">
        <v>2</v>
      </c>
      <c r="K105" s="14" t="s">
        <v>238</v>
      </c>
      <c r="L105" s="29">
        <v>42243</v>
      </c>
      <c r="M105" s="14" t="s">
        <v>191</v>
      </c>
      <c r="N105" s="30">
        <v>0.39</v>
      </c>
      <c r="O105" s="30">
        <v>0.1</v>
      </c>
      <c r="P105" s="30">
        <v>0.15</v>
      </c>
      <c r="Q105" s="30">
        <v>0.02</v>
      </c>
      <c r="R105" s="30">
        <v>2.8525900000000002</v>
      </c>
      <c r="S105" s="38">
        <f t="shared" si="17"/>
        <v>3</v>
      </c>
      <c r="T105" s="30">
        <v>0.66</v>
      </c>
      <c r="U105" s="30">
        <v>0</v>
      </c>
      <c r="V105" s="30">
        <v>0</v>
      </c>
      <c r="W105" s="30">
        <v>0</v>
      </c>
      <c r="X105" s="30">
        <v>2.3400400000000001</v>
      </c>
      <c r="Y105" s="38">
        <f t="shared" si="18"/>
        <v>2.5</v>
      </c>
      <c r="Z105" s="30">
        <v>0</v>
      </c>
      <c r="AA105" s="30">
        <v>0</v>
      </c>
      <c r="AB105" s="30">
        <v>0.66</v>
      </c>
      <c r="AC105" s="30">
        <v>0.95781499999999997</v>
      </c>
      <c r="AD105" s="30">
        <v>112.66</v>
      </c>
      <c r="AE105" s="30">
        <v>1.25</v>
      </c>
      <c r="AF105" s="30">
        <f>(AD105+AE105*0.5)/(3.5*I105*1000)*100</f>
        <v>4.9265057621222006</v>
      </c>
      <c r="AG105" s="38">
        <f t="shared" si="19"/>
        <v>4.9000000000000004</v>
      </c>
      <c r="AH105" s="30">
        <v>196.35</v>
      </c>
      <c r="AI105" s="30">
        <f>AH105/(3.5*I105*1000)*100</f>
        <v>8.5388127853881279</v>
      </c>
      <c r="AJ105" s="30">
        <v>0</v>
      </c>
      <c r="AK105" s="30">
        <f>AJ105/(3.5*I105*1000)*100</f>
        <v>0</v>
      </c>
      <c r="AL105" s="30">
        <v>0</v>
      </c>
      <c r="AM105" s="30">
        <f>AL105/(3.5*I105*1000)*100</f>
        <v>0</v>
      </c>
      <c r="AO105" s="25"/>
      <c r="AP105" s="25">
        <f>N105+O105+P105+Q105</f>
        <v>0.66</v>
      </c>
      <c r="AQ105" s="25">
        <f>T105+U105+V105+W105</f>
        <v>0.66</v>
      </c>
      <c r="AR105" s="25">
        <f>Z105+AA105+AB105</f>
        <v>0.66</v>
      </c>
      <c r="AT105" s="22">
        <f>I105/AP105</f>
        <v>0.99545454545454548</v>
      </c>
      <c r="AU105" s="22">
        <f>I105/AQ105</f>
        <v>0.99545454545454548</v>
      </c>
      <c r="AV105" s="22">
        <f>I105/AR105</f>
        <v>0.99545454545454548</v>
      </c>
    </row>
    <row r="106" spans="1:88" s="22" customFormat="1">
      <c r="A106" s="1">
        <v>1248</v>
      </c>
      <c r="B106" s="34" t="s">
        <v>1725</v>
      </c>
      <c r="C106" s="88">
        <v>437</v>
      </c>
      <c r="D106" s="88">
        <v>3523</v>
      </c>
      <c r="E106" s="88">
        <v>100</v>
      </c>
      <c r="F106" s="88" t="s">
        <v>1767</v>
      </c>
      <c r="G106" s="88" t="s">
        <v>1768</v>
      </c>
      <c r="H106" s="88" t="s">
        <v>92</v>
      </c>
      <c r="I106" s="115">
        <v>1.2010000000000001</v>
      </c>
      <c r="J106" s="88">
        <v>6</v>
      </c>
      <c r="K106" s="88" t="s">
        <v>1521</v>
      </c>
      <c r="L106" s="116">
        <v>42282</v>
      </c>
      <c r="M106" s="9" t="s">
        <v>191</v>
      </c>
      <c r="N106" s="38">
        <v>0.625</v>
      </c>
      <c r="O106" s="38">
        <v>0.25</v>
      </c>
      <c r="P106" s="38">
        <v>0.15</v>
      </c>
      <c r="Q106" s="38">
        <v>0.125</v>
      </c>
      <c r="R106" s="38">
        <v>4.0012999999999996</v>
      </c>
      <c r="S106" s="38">
        <f t="shared" si="17"/>
        <v>4</v>
      </c>
      <c r="T106" s="38">
        <v>1.1499999999999999</v>
      </c>
      <c r="U106" s="38">
        <v>0</v>
      </c>
      <c r="V106" s="38">
        <v>0</v>
      </c>
      <c r="W106" s="38">
        <v>0</v>
      </c>
      <c r="X106" s="38">
        <v>3.3530899999999999</v>
      </c>
      <c r="Y106" s="38">
        <f t="shared" si="18"/>
        <v>3.5</v>
      </c>
      <c r="Z106" s="38">
        <v>0</v>
      </c>
      <c r="AA106" s="117">
        <v>0</v>
      </c>
      <c r="AB106" s="117">
        <v>1.2010000000000001</v>
      </c>
      <c r="AC106" s="117">
        <v>1.2463</v>
      </c>
      <c r="AD106" s="117">
        <v>201.56</v>
      </c>
      <c r="AE106" s="117">
        <v>9.3320000000000007</v>
      </c>
      <c r="AF106" s="117">
        <f>(AD106+AE106*0.5)/(3.5*I106*1000)*100</f>
        <v>4.906054478410848</v>
      </c>
      <c r="AG106" s="38">
        <f t="shared" si="19"/>
        <v>4.9000000000000004</v>
      </c>
      <c r="AH106" s="117">
        <v>186.42</v>
      </c>
      <c r="AI106" s="117">
        <f>AH106/(3.5*I106*1000)*100</f>
        <v>4.4348756988224096</v>
      </c>
      <c r="AJ106" s="117">
        <v>0</v>
      </c>
      <c r="AK106" s="117">
        <f>AJ106/(3.5*I106*1000)*100</f>
        <v>0</v>
      </c>
      <c r="AL106" s="117">
        <v>0</v>
      </c>
      <c r="AM106" s="117">
        <f>AJ106/(3.5*I106*1000)*100</f>
        <v>0</v>
      </c>
      <c r="AN106" s="1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</row>
    <row r="107" spans="1:88" s="22" customFormat="1">
      <c r="A107" s="1">
        <v>235</v>
      </c>
      <c r="B107" s="34" t="s">
        <v>436</v>
      </c>
      <c r="C107" s="34">
        <v>537</v>
      </c>
      <c r="D107" s="34">
        <v>1128</v>
      </c>
      <c r="E107" s="34">
        <v>100</v>
      </c>
      <c r="F107" s="34" t="s">
        <v>450</v>
      </c>
      <c r="G107" s="20">
        <v>0</v>
      </c>
      <c r="H107" s="20">
        <v>9157</v>
      </c>
      <c r="I107" s="35">
        <v>9.157</v>
      </c>
      <c r="J107" s="33">
        <v>2</v>
      </c>
      <c r="K107" s="34" t="s">
        <v>238</v>
      </c>
      <c r="L107" s="10">
        <v>42198</v>
      </c>
      <c r="M107" s="9" t="s">
        <v>191</v>
      </c>
      <c r="N107" s="38">
        <v>5.33</v>
      </c>
      <c r="O107" s="38">
        <v>1.71</v>
      </c>
      <c r="P107" s="38">
        <v>1.1599999999999999</v>
      </c>
      <c r="Q107" s="38">
        <v>0.96</v>
      </c>
      <c r="R107" s="38">
        <v>2.76146</v>
      </c>
      <c r="S107" s="38">
        <f t="shared" si="17"/>
        <v>3</v>
      </c>
      <c r="T107" s="38">
        <v>8.18</v>
      </c>
      <c r="U107" s="38">
        <v>0.63</v>
      </c>
      <c r="V107" s="38">
        <v>0.13</v>
      </c>
      <c r="W107" s="38">
        <v>0.23</v>
      </c>
      <c r="X107" s="38">
        <v>6.1373100000000003</v>
      </c>
      <c r="Y107" s="38">
        <f t="shared" si="18"/>
        <v>6</v>
      </c>
      <c r="Z107" s="38">
        <v>0</v>
      </c>
      <c r="AA107" s="38">
        <v>0</v>
      </c>
      <c r="AB107" s="38">
        <v>9.16</v>
      </c>
      <c r="AC107" s="38">
        <v>1.3665499999999999</v>
      </c>
      <c r="AD107" s="38">
        <v>1526</v>
      </c>
      <c r="AE107" s="38">
        <v>12.31</v>
      </c>
      <c r="AF107" s="38">
        <v>4.7805894007706824</v>
      </c>
      <c r="AG107" s="38">
        <f t="shared" si="19"/>
        <v>4.8</v>
      </c>
      <c r="AH107" s="38">
        <v>88</v>
      </c>
      <c r="AI107" s="38">
        <v>0.27457526638481095</v>
      </c>
      <c r="AJ107" s="38">
        <v>0</v>
      </c>
      <c r="AK107" s="55">
        <v>0</v>
      </c>
      <c r="AL107" s="55">
        <v>100</v>
      </c>
      <c r="AM107" s="55">
        <v>0.31201734816455795</v>
      </c>
      <c r="AN107" s="40"/>
      <c r="AO107" s="25">
        <f>SUM(N107:Q107)</f>
        <v>9.16</v>
      </c>
      <c r="AP107" s="25">
        <f>SUM(T107:W107)</f>
        <v>9.1700000000000017</v>
      </c>
      <c r="AQ107" s="268">
        <v>9.157</v>
      </c>
      <c r="AR107" s="41"/>
      <c r="AS107" s="41"/>
      <c r="AT107" s="41"/>
      <c r="AU107" s="41">
        <f>SUM(N107:Q107)</f>
        <v>9.16</v>
      </c>
      <c r="AV107" s="41">
        <f>SUM(T107:W107)</f>
        <v>9.1700000000000017</v>
      </c>
      <c r="AW107" s="41">
        <f>SUM(Z107:AB107)</f>
        <v>9.16</v>
      </c>
      <c r="AY107" s="22">
        <f>I107/AU107</f>
        <v>0.99967248908296946</v>
      </c>
      <c r="AZ107" s="22">
        <f>I107/AV107</f>
        <v>0.99858233369683735</v>
      </c>
      <c r="BA107" s="22">
        <f>I107/AW107</f>
        <v>0.99967248908296946</v>
      </c>
    </row>
    <row r="108" spans="1:88" s="22" customFormat="1">
      <c r="A108" s="1">
        <v>1890</v>
      </c>
      <c r="B108" s="34" t="s">
        <v>2495</v>
      </c>
      <c r="C108" s="34">
        <v>335</v>
      </c>
      <c r="D108" s="75">
        <v>3630</v>
      </c>
      <c r="E108" s="8">
        <v>100</v>
      </c>
      <c r="F108" s="9" t="s">
        <v>2525</v>
      </c>
      <c r="G108" s="20">
        <v>0</v>
      </c>
      <c r="H108" s="20">
        <v>751</v>
      </c>
      <c r="I108" s="21">
        <v>0.751</v>
      </c>
      <c r="J108" s="34">
        <v>4</v>
      </c>
      <c r="K108" s="34" t="s">
        <v>237</v>
      </c>
      <c r="L108" s="18">
        <v>42095</v>
      </c>
      <c r="M108" s="207" t="s">
        <v>191</v>
      </c>
      <c r="N108" s="38">
        <v>0.75</v>
      </c>
      <c r="O108" s="38">
        <v>0</v>
      </c>
      <c r="P108" s="38">
        <v>0</v>
      </c>
      <c r="Q108" s="38">
        <v>0</v>
      </c>
      <c r="R108" s="38">
        <v>1.51067</v>
      </c>
      <c r="S108" s="38">
        <f t="shared" si="17"/>
        <v>1.5</v>
      </c>
      <c r="T108" s="38">
        <v>0.75</v>
      </c>
      <c r="U108" s="38">
        <v>0</v>
      </c>
      <c r="V108" s="38">
        <v>0</v>
      </c>
      <c r="W108" s="38">
        <v>0</v>
      </c>
      <c r="X108" s="38">
        <v>2.4488699999999999</v>
      </c>
      <c r="Y108" s="38">
        <f t="shared" si="18"/>
        <v>2.5</v>
      </c>
      <c r="Z108" s="38">
        <v>0</v>
      </c>
      <c r="AA108" s="38">
        <v>0</v>
      </c>
      <c r="AB108" s="38">
        <v>0.75</v>
      </c>
      <c r="AC108" s="38">
        <v>1.08517</v>
      </c>
      <c r="AD108" s="38">
        <v>124.36</v>
      </c>
      <c r="AE108" s="38">
        <v>2.33</v>
      </c>
      <c r="AF108" s="38">
        <f>(AD108+AE108*0.5)/(3.5*I108*1000)*100</f>
        <v>4.7755373787331177</v>
      </c>
      <c r="AG108" s="38">
        <f t="shared" si="19"/>
        <v>4.8</v>
      </c>
      <c r="AH108" s="38">
        <v>86.35</v>
      </c>
      <c r="AI108" s="38">
        <f>AH108/(3.5*I108*1000)*100</f>
        <v>3.2851436180330982</v>
      </c>
      <c r="AJ108" s="38">
        <v>1.2</v>
      </c>
      <c r="AK108" s="38">
        <f>AJ108/(3.5*I108*1000)*100</f>
        <v>4.5653414494959098E-2</v>
      </c>
      <c r="AL108" s="38">
        <v>1.29</v>
      </c>
      <c r="AM108" s="38">
        <f>AL108/(3.5*I108*1000)*100</f>
        <v>4.907742058208104E-2</v>
      </c>
      <c r="AN108" s="73"/>
      <c r="AO108" s="73"/>
      <c r="AP108" s="73"/>
      <c r="AQ108" s="41">
        <f>SUM(N108:Q108)</f>
        <v>0.75</v>
      </c>
      <c r="AR108" s="41">
        <f>SUM(T108:W108)</f>
        <v>0.75</v>
      </c>
      <c r="AS108" s="12">
        <f>SUM(Z108:AB108)</f>
        <v>0.75</v>
      </c>
      <c r="AT108" s="1"/>
      <c r="AU108" s="1">
        <f>I108/AQ108</f>
        <v>1.0013333333333334</v>
      </c>
      <c r="AV108" s="1">
        <f>I108/AR108</f>
        <v>1.0013333333333334</v>
      </c>
      <c r="AW108" s="1">
        <f>I108/AS108</f>
        <v>1.0013333333333334</v>
      </c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</row>
    <row r="109" spans="1:88" s="22" customFormat="1">
      <c r="A109" s="1">
        <v>809</v>
      </c>
      <c r="B109" s="34" t="s">
        <v>1186</v>
      </c>
      <c r="C109" s="34">
        <v>635</v>
      </c>
      <c r="D109" s="8">
        <v>2449</v>
      </c>
      <c r="E109" s="34">
        <v>100</v>
      </c>
      <c r="F109" s="34" t="s">
        <v>1202</v>
      </c>
      <c r="G109" s="58">
        <v>0</v>
      </c>
      <c r="H109" s="58">
        <v>3670</v>
      </c>
      <c r="I109" s="35">
        <v>3.67</v>
      </c>
      <c r="J109" s="9">
        <v>2</v>
      </c>
      <c r="K109" s="34" t="s">
        <v>238</v>
      </c>
      <c r="L109" s="10">
        <v>42151</v>
      </c>
      <c r="M109" s="9" t="s">
        <v>191</v>
      </c>
      <c r="N109" s="38">
        <v>2.4749999999999996</v>
      </c>
      <c r="O109" s="38">
        <v>0.5</v>
      </c>
      <c r="P109" s="38">
        <v>0.4</v>
      </c>
      <c r="Q109" s="38">
        <v>0.27500000000000002</v>
      </c>
      <c r="R109" s="38">
        <v>3.8039999999999998</v>
      </c>
      <c r="S109" s="38">
        <f t="shared" si="17"/>
        <v>4</v>
      </c>
      <c r="T109" s="38">
        <v>3.65</v>
      </c>
      <c r="U109" s="38">
        <v>0</v>
      </c>
      <c r="V109" s="38">
        <v>0</v>
      </c>
      <c r="W109" s="38">
        <v>0</v>
      </c>
      <c r="X109" s="38">
        <v>2.0619999999999998</v>
      </c>
      <c r="Y109" s="38">
        <f t="shared" si="18"/>
        <v>2</v>
      </c>
      <c r="Z109" s="38">
        <v>0</v>
      </c>
      <c r="AA109" s="38">
        <v>0</v>
      </c>
      <c r="AB109" s="35">
        <v>3.67</v>
      </c>
      <c r="AC109" s="38">
        <v>1.222</v>
      </c>
      <c r="AD109" s="38">
        <v>0</v>
      </c>
      <c r="AE109" s="38">
        <v>1195.23</v>
      </c>
      <c r="AF109" s="38">
        <v>4.6792899999999999</v>
      </c>
      <c r="AG109" s="38">
        <f t="shared" si="19"/>
        <v>4.7</v>
      </c>
      <c r="AH109" s="38">
        <v>1982.29</v>
      </c>
      <c r="AI109" s="38">
        <v>15.5212</v>
      </c>
      <c r="AJ109" s="38">
        <v>531.63</v>
      </c>
      <c r="AK109" s="38">
        <v>4.1626300000000001</v>
      </c>
      <c r="AL109" s="38">
        <v>159.5</v>
      </c>
      <c r="AM109" s="38">
        <v>1.2488699999999999</v>
      </c>
      <c r="AN109" s="25"/>
      <c r="AO109" s="25">
        <f>AE109*0.5</f>
        <v>597.61500000000001</v>
      </c>
      <c r="AP109" s="25">
        <f>(AD109+AH109+AJ109+AL109+AO109)*I109</f>
        <v>12004.69845</v>
      </c>
      <c r="AQ109" s="25">
        <f>SUM(N109:Q109)</f>
        <v>3.6499999999999995</v>
      </c>
      <c r="AR109" s="25">
        <f>SUM(T109:W109)</f>
        <v>3.65</v>
      </c>
      <c r="AT109" s="41"/>
      <c r="AU109" s="41"/>
      <c r="AV109" s="41"/>
      <c r="AW109" s="41"/>
    </row>
    <row r="110" spans="1:88" s="22" customFormat="1">
      <c r="A110" s="1">
        <v>1386</v>
      </c>
      <c r="B110" s="74" t="s">
        <v>1905</v>
      </c>
      <c r="C110" s="34">
        <v>445</v>
      </c>
      <c r="D110" s="75">
        <v>3547</v>
      </c>
      <c r="E110" s="69">
        <v>100</v>
      </c>
      <c r="F110" s="184" t="s">
        <v>1939</v>
      </c>
      <c r="G110" s="20">
        <v>0</v>
      </c>
      <c r="H110" s="20">
        <v>1684</v>
      </c>
      <c r="I110" s="21">
        <v>1.6839999999999999</v>
      </c>
      <c r="J110" s="8">
        <v>2</v>
      </c>
      <c r="K110" s="34" t="s">
        <v>238</v>
      </c>
      <c r="L110" s="10">
        <v>42188</v>
      </c>
      <c r="M110" s="9" t="s">
        <v>191</v>
      </c>
      <c r="N110" s="38">
        <v>1.25</v>
      </c>
      <c r="O110" s="38">
        <v>0.25</v>
      </c>
      <c r="P110" s="38">
        <v>0.05</v>
      </c>
      <c r="Q110" s="38">
        <v>0.125</v>
      </c>
      <c r="R110" s="38">
        <v>2.3795500000000001</v>
      </c>
      <c r="S110" s="38">
        <f t="shared" si="17"/>
        <v>2.5</v>
      </c>
      <c r="T110" s="38">
        <v>1.4</v>
      </c>
      <c r="U110" s="38">
        <v>0.17499999999999999</v>
      </c>
      <c r="V110" s="38">
        <v>7.4999999999999997E-2</v>
      </c>
      <c r="W110" s="38">
        <v>2.5000000000000001E-2</v>
      </c>
      <c r="X110" s="38">
        <v>7.1905200000000002</v>
      </c>
      <c r="Y110" s="38">
        <f t="shared" si="18"/>
        <v>7</v>
      </c>
      <c r="Z110" s="38">
        <v>0</v>
      </c>
      <c r="AA110" s="38">
        <v>0</v>
      </c>
      <c r="AB110" s="38">
        <v>1.675</v>
      </c>
      <c r="AC110" s="38">
        <v>1.7445200000000001</v>
      </c>
      <c r="AD110" s="38">
        <v>254.46</v>
      </c>
      <c r="AE110" s="38">
        <v>33.42</v>
      </c>
      <c r="AF110" s="38">
        <v>4.6007804546996951</v>
      </c>
      <c r="AG110" s="38">
        <f t="shared" si="19"/>
        <v>4.5999999999999996</v>
      </c>
      <c r="AH110" s="38">
        <v>54.22</v>
      </c>
      <c r="AI110" s="38">
        <v>0.91991856124872751</v>
      </c>
      <c r="AJ110" s="38">
        <v>1.2</v>
      </c>
      <c r="AK110" s="38">
        <v>2.0359687818120122E-2</v>
      </c>
      <c r="AL110" s="38">
        <v>0</v>
      </c>
      <c r="AM110" s="38">
        <v>0</v>
      </c>
      <c r="AN110" s="72"/>
      <c r="AO110" s="41"/>
      <c r="AP110" s="41"/>
      <c r="AQ110" s="41"/>
      <c r="AR110" s="41"/>
      <c r="AS110" s="73"/>
      <c r="AT110" s="73"/>
      <c r="AU110" s="73"/>
      <c r="AV110" s="73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</row>
    <row r="111" spans="1:88" s="22" customFormat="1">
      <c r="A111" s="1">
        <v>1062</v>
      </c>
      <c r="B111" s="88" t="s">
        <v>1447</v>
      </c>
      <c r="C111" s="88">
        <v>618</v>
      </c>
      <c r="D111" s="8">
        <v>3604</v>
      </c>
      <c r="E111" s="88">
        <v>100</v>
      </c>
      <c r="F111" s="34" t="s">
        <v>1462</v>
      </c>
      <c r="G111" s="58">
        <v>0</v>
      </c>
      <c r="H111" s="58">
        <v>1899</v>
      </c>
      <c r="I111" s="35">
        <v>1.899</v>
      </c>
      <c r="J111" s="9">
        <v>2</v>
      </c>
      <c r="K111" s="88" t="s">
        <v>238</v>
      </c>
      <c r="L111" s="116">
        <v>42114</v>
      </c>
      <c r="M111" s="9" t="s">
        <v>191</v>
      </c>
      <c r="N111" s="38">
        <v>0.45</v>
      </c>
      <c r="O111" s="38">
        <v>0.6</v>
      </c>
      <c r="P111" s="38">
        <v>0.27500000000000002</v>
      </c>
      <c r="Q111" s="38">
        <v>0.45</v>
      </c>
      <c r="R111" s="38">
        <v>4.2752100000000004</v>
      </c>
      <c r="S111" s="38">
        <f t="shared" si="17"/>
        <v>4.5</v>
      </c>
      <c r="T111" s="38">
        <v>1.625</v>
      </c>
      <c r="U111" s="38">
        <v>0.125</v>
      </c>
      <c r="V111" s="38">
        <v>0</v>
      </c>
      <c r="W111" s="38">
        <v>2.5000000000000001E-2</v>
      </c>
      <c r="X111" s="38">
        <f>T111+U111+V111+W111</f>
        <v>1.7749999999999999</v>
      </c>
      <c r="Y111" s="38">
        <f t="shared" si="18"/>
        <v>2</v>
      </c>
      <c r="Z111" s="38">
        <f>(X111-I111)/I111*100</f>
        <v>-6.5297525013164881</v>
      </c>
      <c r="AA111" s="117">
        <v>3.9789599999999998</v>
      </c>
      <c r="AB111" s="38">
        <v>0</v>
      </c>
      <c r="AC111" s="38">
        <v>0</v>
      </c>
      <c r="AD111" s="38">
        <f>SUM(T111:W111)</f>
        <v>1.7749999999999999</v>
      </c>
      <c r="AE111" s="117">
        <v>1.02528</v>
      </c>
      <c r="AF111" s="38">
        <v>4.55</v>
      </c>
      <c r="AG111" s="38">
        <f t="shared" si="19"/>
        <v>4.5999999999999996</v>
      </c>
      <c r="AH111" s="38">
        <v>0</v>
      </c>
      <c r="AI111" s="169">
        <f>(AF111+AH111*0.5)/(3.5*I111*1000)*100</f>
        <v>6.8457082675092151E-2</v>
      </c>
      <c r="AJ111" s="38">
        <v>0</v>
      </c>
      <c r="AK111" s="99">
        <f>AJ111/(3.5*I111*1000)*100</f>
        <v>0</v>
      </c>
      <c r="AL111" s="38">
        <v>0</v>
      </c>
      <c r="AM111" s="99">
        <f>AL111/(3.5*I111*1000)*100</f>
        <v>0</v>
      </c>
      <c r="AN111" s="56">
        <v>0</v>
      </c>
      <c r="AO111" s="267">
        <f>AN111/(3.5*I111*1000)*100</f>
        <v>0</v>
      </c>
      <c r="AP111" s="176"/>
      <c r="AQ111" s="41">
        <f>AH111*0.5</f>
        <v>0</v>
      </c>
      <c r="AR111" s="41">
        <f>(AF111+AJ111+AL111+AN111+AQ111)*I111</f>
        <v>8.6404499999999995</v>
      </c>
      <c r="AS111" s="138">
        <f>SUM(N111:Q111)</f>
        <v>1.7750000000000001</v>
      </c>
      <c r="AT111" s="138">
        <f>SUM(T111:W111)</f>
        <v>1.7749999999999999</v>
      </c>
      <c r="AU111" s="268">
        <v>1.899</v>
      </c>
      <c r="AV111" s="41"/>
      <c r="AW111" s="41"/>
      <c r="AX111" s="41"/>
      <c r="AY111" s="41"/>
      <c r="AZ111" s="177"/>
      <c r="BA111" s="177"/>
      <c r="BB111" s="177"/>
      <c r="BC111" s="177"/>
      <c r="BD111" s="177"/>
      <c r="BE111" s="177"/>
      <c r="BF111" s="177"/>
      <c r="BG111" s="177"/>
      <c r="BH111" s="177"/>
      <c r="BI111" s="177"/>
      <c r="BJ111" s="177"/>
      <c r="BK111" s="177"/>
      <c r="BL111" s="177"/>
      <c r="BM111" s="177"/>
      <c r="BN111" s="177"/>
      <c r="BO111" s="177"/>
      <c r="BP111" s="177"/>
      <c r="BQ111" s="177"/>
      <c r="BR111" s="177"/>
      <c r="BS111" s="177"/>
      <c r="BT111" s="177"/>
      <c r="BU111" s="177"/>
      <c r="BV111" s="177"/>
      <c r="BW111" s="177"/>
      <c r="BX111" s="177"/>
      <c r="BY111" s="177"/>
      <c r="BZ111" s="177"/>
      <c r="CA111" s="177"/>
      <c r="CB111" s="177"/>
      <c r="CC111" s="177"/>
      <c r="CD111" s="177"/>
      <c r="CE111" s="177"/>
      <c r="CF111" s="177"/>
      <c r="CG111" s="177"/>
      <c r="CH111" s="177"/>
      <c r="CI111" s="177"/>
      <c r="CJ111" s="177"/>
    </row>
    <row r="112" spans="1:88" s="22" customFormat="1">
      <c r="A112" s="1">
        <v>1177</v>
      </c>
      <c r="B112" s="34" t="s">
        <v>1639</v>
      </c>
      <c r="C112" s="34">
        <v>433</v>
      </c>
      <c r="D112" s="34">
        <v>335</v>
      </c>
      <c r="E112" s="34">
        <v>100</v>
      </c>
      <c r="F112" s="34" t="s">
        <v>1651</v>
      </c>
      <c r="G112" s="58" t="s">
        <v>92</v>
      </c>
      <c r="H112" s="58" t="s">
        <v>1652</v>
      </c>
      <c r="I112" s="55">
        <v>1.04</v>
      </c>
      <c r="J112" s="34">
        <v>5</v>
      </c>
      <c r="K112" s="34" t="s">
        <v>237</v>
      </c>
      <c r="L112" s="10">
        <v>42282</v>
      </c>
      <c r="M112" s="9" t="s">
        <v>191</v>
      </c>
      <c r="N112" s="38">
        <v>0.05</v>
      </c>
      <c r="O112" s="38">
        <v>0.42499999999999999</v>
      </c>
      <c r="P112" s="38">
        <v>0.5</v>
      </c>
      <c r="Q112" s="38">
        <v>0.125</v>
      </c>
      <c r="R112" s="38">
        <v>3.99159</v>
      </c>
      <c r="S112" s="38">
        <f t="shared" si="17"/>
        <v>4</v>
      </c>
      <c r="T112" s="38">
        <v>1.1000000000000001</v>
      </c>
      <c r="U112" s="38">
        <v>0</v>
      </c>
      <c r="V112" s="38">
        <v>0</v>
      </c>
      <c r="W112" s="38">
        <v>0</v>
      </c>
      <c r="X112" s="38">
        <v>2.0047999999999999</v>
      </c>
      <c r="Y112" s="38">
        <f t="shared" si="18"/>
        <v>2</v>
      </c>
      <c r="Z112" s="38">
        <v>0</v>
      </c>
      <c r="AA112" s="38">
        <v>0</v>
      </c>
      <c r="AB112" s="38">
        <v>1.04</v>
      </c>
      <c r="AC112" s="38">
        <v>1.3918600000000001</v>
      </c>
      <c r="AD112" s="38">
        <v>159.37</v>
      </c>
      <c r="AE112" s="38">
        <v>4.75</v>
      </c>
      <c r="AF112" s="38">
        <f>(AD112+AE112*0.5)/(3.5*I112*1000)*100</f>
        <v>4.443543956043956</v>
      </c>
      <c r="AG112" s="38">
        <f t="shared" si="19"/>
        <v>4.4000000000000004</v>
      </c>
      <c r="AH112" s="38">
        <v>69.650000000000006</v>
      </c>
      <c r="AI112" s="38">
        <f>AH112/(3.5*I112*1000)*100</f>
        <v>1.9134615384615385</v>
      </c>
      <c r="AJ112" s="38">
        <v>1.76</v>
      </c>
      <c r="AK112" s="38">
        <f>AJ112/(3.5*I112*1000)*100</f>
        <v>4.8351648351648346E-2</v>
      </c>
      <c r="AL112" s="38">
        <v>0</v>
      </c>
      <c r="AM112" s="38">
        <f>AJ112/(3.5*I112*1000)*100</f>
        <v>4.8351648351648346E-2</v>
      </c>
      <c r="AN112" s="25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</row>
    <row r="113" spans="1:88" s="22" customFormat="1">
      <c r="A113" s="1">
        <v>184</v>
      </c>
      <c r="B113" s="34" t="s">
        <v>332</v>
      </c>
      <c r="C113" s="34">
        <v>533</v>
      </c>
      <c r="D113" s="34">
        <v>1334</v>
      </c>
      <c r="E113" s="34">
        <v>100</v>
      </c>
      <c r="F113" s="34" t="s">
        <v>370</v>
      </c>
      <c r="G113" s="20" t="s">
        <v>92</v>
      </c>
      <c r="H113" s="20" t="s">
        <v>371</v>
      </c>
      <c r="I113" s="35">
        <v>33.247</v>
      </c>
      <c r="J113" s="36">
        <v>2</v>
      </c>
      <c r="K113" s="34" t="s">
        <v>12</v>
      </c>
      <c r="L113" s="10">
        <v>42201</v>
      </c>
      <c r="M113" s="9" t="s">
        <v>191</v>
      </c>
      <c r="N113" s="38">
        <v>1.88</v>
      </c>
      <c r="O113" s="38">
        <v>8.51</v>
      </c>
      <c r="P113" s="38">
        <v>10.25</v>
      </c>
      <c r="Q113" s="38">
        <v>12.62</v>
      </c>
      <c r="R113" s="38">
        <v>5.1550000000000002</v>
      </c>
      <c r="S113" s="38">
        <f t="shared" si="17"/>
        <v>5</v>
      </c>
      <c r="T113" s="38">
        <v>16.54</v>
      </c>
      <c r="U113" s="38">
        <v>6.29</v>
      </c>
      <c r="V113" s="38">
        <v>4.55</v>
      </c>
      <c r="W113" s="38">
        <v>5.87</v>
      </c>
      <c r="X113" s="38">
        <v>12.682</v>
      </c>
      <c r="Y113" s="38">
        <f t="shared" si="18"/>
        <v>12.5</v>
      </c>
      <c r="Z113" s="38">
        <v>0.15</v>
      </c>
      <c r="AA113" s="38">
        <v>0.28000000000000003</v>
      </c>
      <c r="AB113" s="38">
        <v>32.82</v>
      </c>
      <c r="AC113" s="38">
        <v>2.4609999999999999</v>
      </c>
      <c r="AD113" s="38">
        <v>4309.1000000000004</v>
      </c>
      <c r="AE113" s="38">
        <v>1370.65</v>
      </c>
      <c r="AF113" s="38">
        <f>(AD113+AE113*0.5)/(3.5*I113*1000)*100</f>
        <v>4.2920521293006031</v>
      </c>
      <c r="AG113" s="38">
        <f t="shared" si="19"/>
        <v>4.3</v>
      </c>
      <c r="AH113" s="38">
        <v>664.52</v>
      </c>
      <c r="AI113" s="38">
        <f>AH113/(3.5*I113*1000)*100</f>
        <v>0.57106763660738458</v>
      </c>
      <c r="AJ113" s="38">
        <v>639.83000000000004</v>
      </c>
      <c r="AK113" s="38">
        <f>AJ113/(3.5*I113*1000)*100</f>
        <v>0.54984982533332771</v>
      </c>
      <c r="AL113" s="38">
        <v>1345.8</v>
      </c>
      <c r="AM113" s="38">
        <f>AL113/(3.5*I113*1000)*100</f>
        <v>1.1565382913173692</v>
      </c>
      <c r="AN113" s="25"/>
      <c r="AO113" s="25">
        <f>AE113*0.5</f>
        <v>685.32500000000005</v>
      </c>
      <c r="AP113" s="25">
        <f>(AD113+AH113+AJ113+AL113+AO113)*I113</f>
        <v>254159.18502500001</v>
      </c>
      <c r="AQ113" s="25"/>
      <c r="AR113" s="25">
        <f>SUM(N113:Q113)</f>
        <v>33.26</v>
      </c>
      <c r="AS113" s="25">
        <f>SUM(T113:W113)</f>
        <v>33.25</v>
      </c>
      <c r="AU113" s="41">
        <f>SUM(N113:Q113)</f>
        <v>33.26</v>
      </c>
      <c r="AV113" s="41">
        <f>SUM(T113:W113)</f>
        <v>33.25</v>
      </c>
      <c r="AW113" s="41">
        <f>SUM(Z113:AB113)</f>
        <v>33.25</v>
      </c>
      <c r="AX113" s="41"/>
      <c r="AY113" s="22">
        <f>I113/AU113</f>
        <v>0.9996091401082382</v>
      </c>
      <c r="AZ113" s="22">
        <f>I113/AV113</f>
        <v>0.99990977443609019</v>
      </c>
      <c r="BA113" s="22">
        <f>I113/AW113</f>
        <v>0.99990977443609019</v>
      </c>
    </row>
    <row r="114" spans="1:88" s="22" customFormat="1">
      <c r="A114" s="1">
        <v>168</v>
      </c>
      <c r="B114" s="34" t="s">
        <v>332</v>
      </c>
      <c r="C114" s="34">
        <v>533</v>
      </c>
      <c r="D114" s="34">
        <v>118</v>
      </c>
      <c r="E114" s="34">
        <v>201</v>
      </c>
      <c r="F114" s="34" t="s">
        <v>343</v>
      </c>
      <c r="G114" s="20">
        <v>113</v>
      </c>
      <c r="H114" s="20" t="s">
        <v>344</v>
      </c>
      <c r="I114" s="35">
        <v>60.25</v>
      </c>
      <c r="J114" s="36">
        <v>4</v>
      </c>
      <c r="K114" s="34" t="s">
        <v>12</v>
      </c>
      <c r="L114" s="10">
        <v>42206</v>
      </c>
      <c r="M114" s="9" t="s">
        <v>191</v>
      </c>
      <c r="N114" s="38">
        <v>40.049999999999997</v>
      </c>
      <c r="O114" s="38">
        <v>13.93</v>
      </c>
      <c r="P114" s="38">
        <v>4.7699999999999996</v>
      </c>
      <c r="Q114" s="38">
        <v>1.5</v>
      </c>
      <c r="R114" s="38">
        <v>2.7211500000000002</v>
      </c>
      <c r="S114" s="38">
        <f t="shared" si="17"/>
        <v>2.5</v>
      </c>
      <c r="T114" s="38">
        <v>52.7</v>
      </c>
      <c r="U114" s="38">
        <v>5.97</v>
      </c>
      <c r="V114" s="38">
        <v>1.23</v>
      </c>
      <c r="W114" s="38">
        <v>0.35</v>
      </c>
      <c r="X114" s="38">
        <v>6.1330499999999999</v>
      </c>
      <c r="Y114" s="38">
        <f t="shared" si="18"/>
        <v>6</v>
      </c>
      <c r="Z114" s="38">
        <v>0</v>
      </c>
      <c r="AA114" s="38">
        <v>0</v>
      </c>
      <c r="AB114" s="38">
        <v>60.25</v>
      </c>
      <c r="AC114" s="38">
        <v>1.1480399999999999</v>
      </c>
      <c r="AD114" s="38">
        <v>8555</v>
      </c>
      <c r="AE114" s="38">
        <v>905.13</v>
      </c>
      <c r="AF114" s="38">
        <f>(AD114+AE114*0.5)/(3.5*I114*1000)*100</f>
        <v>4.2715186721991705</v>
      </c>
      <c r="AG114" s="38">
        <f t="shared" si="19"/>
        <v>4.3</v>
      </c>
      <c r="AH114" s="38">
        <v>4024</v>
      </c>
      <c r="AI114" s="38">
        <f>AH114/(3.5*I114*1000)*100</f>
        <v>1.9082394783639596</v>
      </c>
      <c r="AJ114" s="38">
        <v>1092</v>
      </c>
      <c r="AK114" s="38">
        <f>AJ114/(3.5*I114*1000)*100</f>
        <v>0.51784232365145233</v>
      </c>
      <c r="AL114" s="38">
        <v>899</v>
      </c>
      <c r="AM114" s="38">
        <f>AL114/(3.5*I114*1000)*100</f>
        <v>0.42631890930646121</v>
      </c>
      <c r="AN114" s="25"/>
      <c r="AO114" s="25">
        <f>AE114*0.5</f>
        <v>452.565</v>
      </c>
      <c r="AP114" s="25">
        <f>(AD114+AH114+AJ114+AL114+AO114)*I114</f>
        <v>905109.54125000001</v>
      </c>
      <c r="AQ114" s="25"/>
      <c r="AR114" s="25">
        <f>SUM(N114:Q114)</f>
        <v>60.25</v>
      </c>
      <c r="AS114" s="25">
        <f>SUM(T114:W114)</f>
        <v>60.25</v>
      </c>
      <c r="AU114" s="41">
        <f>SUM(N114:Q114)</f>
        <v>60.25</v>
      </c>
      <c r="AV114" s="41">
        <f>SUM(T114:W114)</f>
        <v>60.25</v>
      </c>
      <c r="AW114" s="41">
        <f>SUM(Z114:AB114)</f>
        <v>60.25</v>
      </c>
      <c r="AX114" s="41"/>
      <c r="AY114" s="22">
        <f>I114/AU114</f>
        <v>1</v>
      </c>
      <c r="AZ114" s="22">
        <f>I114/AV114</f>
        <v>1</v>
      </c>
      <c r="BA114" s="22">
        <f>I114/AW114</f>
        <v>1</v>
      </c>
    </row>
    <row r="115" spans="1:88" s="22" customFormat="1">
      <c r="A115" s="1">
        <v>2117</v>
      </c>
      <c r="B115" s="34" t="s">
        <v>2754</v>
      </c>
      <c r="C115" s="34">
        <v>324</v>
      </c>
      <c r="D115" s="75">
        <v>4024</v>
      </c>
      <c r="E115" s="8">
        <v>101</v>
      </c>
      <c r="F115" s="9" t="s">
        <v>2761</v>
      </c>
      <c r="G115" s="20">
        <v>11650</v>
      </c>
      <c r="H115" s="20">
        <v>0</v>
      </c>
      <c r="I115" s="21">
        <v>11.65</v>
      </c>
      <c r="J115" s="9">
        <v>4</v>
      </c>
      <c r="K115" s="34" t="s">
        <v>238</v>
      </c>
      <c r="L115" s="18">
        <v>42138</v>
      </c>
      <c r="M115" s="9" t="s">
        <v>191</v>
      </c>
      <c r="N115" s="38">
        <v>4.7750000000000004</v>
      </c>
      <c r="O115" s="38">
        <v>3.2749999999999999</v>
      </c>
      <c r="P115" s="38">
        <v>2.125</v>
      </c>
      <c r="Q115" s="38">
        <v>1.55</v>
      </c>
      <c r="R115" s="38">
        <v>3.40273</v>
      </c>
      <c r="S115" s="38">
        <f t="shared" si="17"/>
        <v>3.5</v>
      </c>
      <c r="T115" s="38">
        <v>11</v>
      </c>
      <c r="U115" s="38">
        <v>0.45</v>
      </c>
      <c r="V115" s="38">
        <v>0.1</v>
      </c>
      <c r="W115" s="38">
        <v>0.17499999999999999</v>
      </c>
      <c r="X115" s="38">
        <v>4.4558400000000002</v>
      </c>
      <c r="Y115" s="38">
        <f t="shared" si="18"/>
        <v>4.5</v>
      </c>
      <c r="Z115" s="38">
        <v>0</v>
      </c>
      <c r="AA115" s="38">
        <v>0</v>
      </c>
      <c r="AB115" s="38">
        <v>11.725000000000001</v>
      </c>
      <c r="AC115" s="38">
        <v>1.19434</v>
      </c>
      <c r="AD115" s="38">
        <v>1728</v>
      </c>
      <c r="AE115" s="38">
        <v>5</v>
      </c>
      <c r="AF115" s="38">
        <v>4.2440220723482529</v>
      </c>
      <c r="AG115" s="38">
        <f t="shared" si="19"/>
        <v>4.2</v>
      </c>
      <c r="AH115" s="38">
        <v>0</v>
      </c>
      <c r="AI115" s="38">
        <v>0</v>
      </c>
      <c r="AJ115" s="38">
        <v>0</v>
      </c>
      <c r="AK115" s="38">
        <v>0</v>
      </c>
      <c r="AL115" s="38">
        <v>0</v>
      </c>
      <c r="AM115" s="38">
        <v>0</v>
      </c>
      <c r="AN115" s="41"/>
      <c r="AO115" s="41"/>
      <c r="AP115" s="73"/>
      <c r="AQ115" s="73"/>
      <c r="AR115" s="73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</row>
    <row r="116" spans="1:88" s="22" customFormat="1">
      <c r="A116" s="1">
        <v>265</v>
      </c>
      <c r="B116" s="34" t="s">
        <v>484</v>
      </c>
      <c r="C116" s="34">
        <v>641</v>
      </c>
      <c r="D116" s="34">
        <v>213</v>
      </c>
      <c r="E116" s="34">
        <v>303</v>
      </c>
      <c r="F116" s="34" t="s">
        <v>485</v>
      </c>
      <c r="G116" s="57">
        <v>162503</v>
      </c>
      <c r="H116" s="58">
        <v>168503</v>
      </c>
      <c r="I116" s="35">
        <v>6</v>
      </c>
      <c r="J116" s="59">
        <v>4</v>
      </c>
      <c r="K116" s="34" t="s">
        <v>237</v>
      </c>
      <c r="L116" s="10">
        <v>42160</v>
      </c>
      <c r="M116" s="9" t="s">
        <v>191</v>
      </c>
      <c r="N116" s="38">
        <v>1.85</v>
      </c>
      <c r="O116" s="38">
        <v>1.325</v>
      </c>
      <c r="P116" s="38">
        <v>1.2</v>
      </c>
      <c r="Q116" s="38">
        <v>1.575</v>
      </c>
      <c r="R116" s="38">
        <v>3.9066200000000002</v>
      </c>
      <c r="S116" s="38">
        <f t="shared" si="17"/>
        <v>4</v>
      </c>
      <c r="T116" s="38">
        <v>2.35</v>
      </c>
      <c r="U116" s="38">
        <v>1.45</v>
      </c>
      <c r="V116" s="38">
        <v>1.2</v>
      </c>
      <c r="W116" s="38">
        <v>0.95</v>
      </c>
      <c r="X116" s="38">
        <v>13.1295</v>
      </c>
      <c r="Y116" s="38">
        <f t="shared" si="18"/>
        <v>13</v>
      </c>
      <c r="Z116" s="38">
        <v>0</v>
      </c>
      <c r="AA116" s="38">
        <v>0</v>
      </c>
      <c r="AB116" s="38">
        <v>5.95</v>
      </c>
      <c r="AC116" s="38">
        <v>1.2828900000000001</v>
      </c>
      <c r="AD116" s="38">
        <v>890</v>
      </c>
      <c r="AE116" s="38">
        <v>0</v>
      </c>
      <c r="AF116" s="38">
        <f>(AD116+AE116*0.5)/(3.5*I116*1000)*100</f>
        <v>4.2380952380952381</v>
      </c>
      <c r="AG116" s="38">
        <f t="shared" si="19"/>
        <v>4.2</v>
      </c>
      <c r="AH116" s="38">
        <v>4</v>
      </c>
      <c r="AI116" s="38">
        <f>AH116/(3.5*I116*1000)*100</f>
        <v>1.9047619047619049E-2</v>
      </c>
      <c r="AJ116" s="38">
        <v>2269.59</v>
      </c>
      <c r="AK116" s="38">
        <v>0</v>
      </c>
      <c r="AL116" s="38">
        <v>0</v>
      </c>
      <c r="AM116" s="38">
        <f>AL116/(3.5*I116*1000)*100</f>
        <v>0</v>
      </c>
      <c r="AN116" s="60"/>
      <c r="AO116" s="60">
        <f>AE116*0.5</f>
        <v>0</v>
      </c>
      <c r="AP116" s="60">
        <f>(AD116+AH116+AJ116+AL116+AO116)*I116</f>
        <v>18981.54</v>
      </c>
      <c r="AQ116" s="25">
        <f>SUM(N116:Q116)</f>
        <v>5.95</v>
      </c>
      <c r="AR116" s="25">
        <f>SUM(T116:W116)</f>
        <v>5.95</v>
      </c>
      <c r="AS116" s="61"/>
      <c r="AT116" s="40"/>
      <c r="AU116" s="41">
        <f>SUM(N116:Q116)</f>
        <v>5.95</v>
      </c>
      <c r="AV116" s="41">
        <f>SUM(T116:W116)</f>
        <v>5.95</v>
      </c>
      <c r="AW116" s="41">
        <f>SUM(Z116:AB116)</f>
        <v>5.95</v>
      </c>
      <c r="AY116" s="22">
        <f>I116/AU116</f>
        <v>1.0084033613445378</v>
      </c>
      <c r="AZ116" s="22">
        <f>I116/AV116</f>
        <v>1.0084033613445378</v>
      </c>
      <c r="BA116" s="22">
        <f>I116/AW116</f>
        <v>1.0084033613445378</v>
      </c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</row>
    <row r="117" spans="1:88" s="22" customFormat="1">
      <c r="A117" s="1">
        <v>546</v>
      </c>
      <c r="B117" s="34" t="s">
        <v>915</v>
      </c>
      <c r="C117" s="34">
        <v>558</v>
      </c>
      <c r="D117" s="34">
        <v>1377</v>
      </c>
      <c r="E117" s="34">
        <v>100</v>
      </c>
      <c r="F117" s="34" t="s">
        <v>946</v>
      </c>
      <c r="G117" s="34" t="s">
        <v>92</v>
      </c>
      <c r="H117" s="34" t="s">
        <v>947</v>
      </c>
      <c r="I117" s="34">
        <v>0.48399999999999999</v>
      </c>
      <c r="J117" s="34" t="s">
        <v>238</v>
      </c>
      <c r="K117" s="34">
        <v>2</v>
      </c>
      <c r="L117" s="10">
        <v>42272</v>
      </c>
      <c r="M117" s="9" t="s">
        <v>191</v>
      </c>
      <c r="N117" s="38">
        <v>0.22500000000000001</v>
      </c>
      <c r="O117" s="38">
        <v>0.17499999999999999</v>
      </c>
      <c r="P117" s="38">
        <v>0.05</v>
      </c>
      <c r="Q117" s="38">
        <v>0.05</v>
      </c>
      <c r="R117" s="38">
        <v>2.956</v>
      </c>
      <c r="S117" s="38">
        <f t="shared" si="17"/>
        <v>3</v>
      </c>
      <c r="T117" s="38">
        <v>0.5</v>
      </c>
      <c r="U117" s="38">
        <v>0</v>
      </c>
      <c r="V117" s="38">
        <v>0</v>
      </c>
      <c r="W117" s="38">
        <v>0</v>
      </c>
      <c r="X117" s="38">
        <v>1.3854</v>
      </c>
      <c r="Y117" s="38">
        <f t="shared" si="18"/>
        <v>1.5</v>
      </c>
      <c r="Z117" s="38">
        <v>0</v>
      </c>
      <c r="AA117" s="38">
        <v>0</v>
      </c>
      <c r="AB117" s="38">
        <v>0.5</v>
      </c>
      <c r="AC117" s="38">
        <v>1.14775</v>
      </c>
      <c r="AD117" s="38">
        <v>59.4</v>
      </c>
      <c r="AE117" s="38">
        <v>22.42</v>
      </c>
      <c r="AF117" s="38">
        <v>4.1682410000000001</v>
      </c>
      <c r="AG117" s="38">
        <f t="shared" si="19"/>
        <v>4.2</v>
      </c>
      <c r="AH117" s="38">
        <v>75.498000000000005</v>
      </c>
      <c r="AI117" s="38">
        <v>4.4567889999999997</v>
      </c>
      <c r="AJ117" s="38">
        <v>0</v>
      </c>
      <c r="AK117" s="38">
        <v>0</v>
      </c>
      <c r="AL117" s="38">
        <v>0</v>
      </c>
      <c r="AM117" s="38">
        <v>0</v>
      </c>
      <c r="AN117" s="41"/>
      <c r="AO117" s="41"/>
      <c r="AP117" s="73"/>
      <c r="AQ117" s="73"/>
    </row>
    <row r="118" spans="1:88" s="22" customFormat="1">
      <c r="A118" s="1">
        <v>1745</v>
      </c>
      <c r="B118" s="34" t="s">
        <v>2324</v>
      </c>
      <c r="C118" s="34">
        <v>423</v>
      </c>
      <c r="D118" s="8">
        <v>3405</v>
      </c>
      <c r="E118" s="34">
        <v>100</v>
      </c>
      <c r="F118" s="34" t="s">
        <v>2342</v>
      </c>
      <c r="G118" s="58">
        <v>28174</v>
      </c>
      <c r="H118" s="58">
        <v>0</v>
      </c>
      <c r="I118" s="35">
        <v>28.173999999999999</v>
      </c>
      <c r="J118" s="9">
        <v>2</v>
      </c>
      <c r="K118" s="34" t="s">
        <v>12</v>
      </c>
      <c r="L118" s="10">
        <v>42234</v>
      </c>
      <c r="M118" s="9" t="s">
        <v>191</v>
      </c>
      <c r="N118" s="38">
        <v>6.9989999999999997</v>
      </c>
      <c r="O118" s="38">
        <v>7.8360000000000003</v>
      </c>
      <c r="P118" s="38">
        <v>5.2240000000000002</v>
      </c>
      <c r="Q118" s="38">
        <v>8.1150000000000002</v>
      </c>
      <c r="R118" s="38">
        <v>4.9002999999999997</v>
      </c>
      <c r="S118" s="38">
        <f t="shared" si="17"/>
        <v>5</v>
      </c>
      <c r="T118" s="38">
        <v>23.925000000000001</v>
      </c>
      <c r="U118" s="38">
        <v>1.875</v>
      </c>
      <c r="V118" s="38">
        <v>1</v>
      </c>
      <c r="W118" s="38">
        <v>0.97499999999999998</v>
      </c>
      <c r="X118" s="38">
        <v>6.2749600000000001</v>
      </c>
      <c r="Y118" s="38">
        <f t="shared" si="18"/>
        <v>6.5</v>
      </c>
      <c r="Z118" s="38">
        <v>0</v>
      </c>
      <c r="AA118" s="117">
        <v>0</v>
      </c>
      <c r="AB118" s="35">
        <v>28.173999999999999</v>
      </c>
      <c r="AC118" s="38">
        <v>1.27278</v>
      </c>
      <c r="AD118" s="38">
        <v>3447.35</v>
      </c>
      <c r="AE118" s="38">
        <v>1319.87</v>
      </c>
      <c r="AF118" s="38">
        <f>(AD118+AE118*0.5)/(3.5*I118*1000)*100</f>
        <v>4.1652232554837791</v>
      </c>
      <c r="AG118" s="38">
        <f t="shared" si="19"/>
        <v>4.2</v>
      </c>
      <c r="AH118" s="38">
        <v>3595.9</v>
      </c>
      <c r="AI118" s="38">
        <f>AH118/(3.5*I118*1000)*100</f>
        <v>3.6466245474551005</v>
      </c>
      <c r="AJ118" s="38">
        <v>6451</v>
      </c>
      <c r="AK118" s="38">
        <f>AJ118/(3.5*I118*1000)*100</f>
        <v>6.5419992089971499</v>
      </c>
      <c r="AL118" s="38">
        <v>1985.25</v>
      </c>
      <c r="AM118" s="38">
        <v>2.0132500000000002</v>
      </c>
      <c r="AN118" s="25"/>
      <c r="AO118" s="12">
        <f>AE118*0.5</f>
        <v>659.93499999999995</v>
      </c>
      <c r="AP118" s="12">
        <f>(AD118+AH118+AJ118+AL118+AO118)*I118</f>
        <v>454712.44168999995</v>
      </c>
      <c r="AQ118" s="25">
        <f>SUM(N118:Q118)</f>
        <v>28.173999999999999</v>
      </c>
      <c r="AR118" s="25">
        <f>SUM(T118:W118)</f>
        <v>27.775000000000002</v>
      </c>
      <c r="AT118" s="41"/>
      <c r="AU118" s="41"/>
      <c r="AV118" s="41"/>
      <c r="AW118" s="41"/>
    </row>
    <row r="119" spans="1:88" s="22" customFormat="1">
      <c r="A119" s="1">
        <v>2113</v>
      </c>
      <c r="B119" s="34" t="s">
        <v>2754</v>
      </c>
      <c r="C119" s="34">
        <v>324</v>
      </c>
      <c r="D119" s="75">
        <v>4022</v>
      </c>
      <c r="E119" s="8">
        <v>100</v>
      </c>
      <c r="F119" s="9" t="s">
        <v>2759</v>
      </c>
      <c r="G119" s="20">
        <v>0</v>
      </c>
      <c r="H119" s="20">
        <v>488</v>
      </c>
      <c r="I119" s="21">
        <v>0.48799999999999999</v>
      </c>
      <c r="J119" s="9">
        <v>4</v>
      </c>
      <c r="K119" s="34" t="s">
        <v>237</v>
      </c>
      <c r="L119" s="18">
        <v>42139</v>
      </c>
      <c r="M119" s="9" t="s">
        <v>191</v>
      </c>
      <c r="N119" s="38">
        <v>0.17499999999999999</v>
      </c>
      <c r="O119" s="38">
        <v>2.5000000000000001E-2</v>
      </c>
      <c r="P119" s="38">
        <v>0.05</v>
      </c>
      <c r="Q119" s="38">
        <v>0.1</v>
      </c>
      <c r="R119" s="38">
        <v>4.2014300000000002</v>
      </c>
      <c r="S119" s="38">
        <f t="shared" si="17"/>
        <v>4</v>
      </c>
      <c r="T119" s="38">
        <v>0.35</v>
      </c>
      <c r="U119" s="38">
        <v>0</v>
      </c>
      <c r="V119" s="38">
        <v>0</v>
      </c>
      <c r="W119" s="38">
        <v>0</v>
      </c>
      <c r="X119" s="38">
        <v>4.4932100000000004</v>
      </c>
      <c r="Y119" s="38">
        <f t="shared" si="18"/>
        <v>4.5</v>
      </c>
      <c r="Z119" s="38">
        <v>0</v>
      </c>
      <c r="AA119" s="38">
        <v>0</v>
      </c>
      <c r="AB119" s="38">
        <v>0.35</v>
      </c>
      <c r="AC119" s="38">
        <v>1.21957</v>
      </c>
      <c r="AD119" s="38">
        <v>67.84</v>
      </c>
      <c r="AE119" s="38">
        <v>6.21</v>
      </c>
      <c r="AF119" s="38">
        <v>4.153688524590164</v>
      </c>
      <c r="AG119" s="38">
        <f t="shared" si="19"/>
        <v>4.2</v>
      </c>
      <c r="AH119" s="38">
        <v>2.6840000000000002</v>
      </c>
      <c r="AI119" s="38">
        <v>0.15714285714285714</v>
      </c>
      <c r="AJ119" s="38">
        <v>0</v>
      </c>
      <c r="AK119" s="38">
        <v>0</v>
      </c>
      <c r="AL119" s="38">
        <v>0</v>
      </c>
      <c r="AM119" s="38">
        <v>0</v>
      </c>
      <c r="AN119" s="41"/>
      <c r="AO119" s="41"/>
      <c r="AP119" s="73"/>
      <c r="AQ119" s="73"/>
      <c r="AR119" s="73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</row>
    <row r="120" spans="1:88" s="22" customFormat="1">
      <c r="A120" s="1">
        <v>1777</v>
      </c>
      <c r="B120" s="34" t="s">
        <v>2369</v>
      </c>
      <c r="C120" s="34">
        <v>426</v>
      </c>
      <c r="D120" s="8">
        <v>3376</v>
      </c>
      <c r="E120" s="34">
        <v>100</v>
      </c>
      <c r="F120" s="34" t="s">
        <v>2377</v>
      </c>
      <c r="G120" s="58">
        <v>1000</v>
      </c>
      <c r="H120" s="58">
        <v>30742</v>
      </c>
      <c r="I120" s="35">
        <v>29.742000000000001</v>
      </c>
      <c r="J120" s="9">
        <v>2</v>
      </c>
      <c r="K120" s="34" t="s">
        <v>238</v>
      </c>
      <c r="L120" s="10">
        <v>42233</v>
      </c>
      <c r="M120" s="9" t="s">
        <v>191</v>
      </c>
      <c r="N120" s="38">
        <v>10.88</v>
      </c>
      <c r="O120" s="38">
        <v>10.73</v>
      </c>
      <c r="P120" s="38">
        <v>5.15</v>
      </c>
      <c r="Q120" s="38">
        <v>2.9750000000000001</v>
      </c>
      <c r="R120" s="38">
        <v>3.7469100000000002</v>
      </c>
      <c r="S120" s="38">
        <f t="shared" si="17"/>
        <v>3.5</v>
      </c>
      <c r="T120" s="38">
        <v>28.3</v>
      </c>
      <c r="U120" s="38">
        <v>1.175</v>
      </c>
      <c r="V120" s="38">
        <v>0.125</v>
      </c>
      <c r="W120" s="38">
        <v>0.125</v>
      </c>
      <c r="X120" s="38">
        <v>4.3857600000000003</v>
      </c>
      <c r="Y120" s="38">
        <f t="shared" si="18"/>
        <v>4.5</v>
      </c>
      <c r="Z120" s="38">
        <v>0</v>
      </c>
      <c r="AA120" s="38">
        <v>0</v>
      </c>
      <c r="AB120" s="38">
        <f>SUM(T120:W120)</f>
        <v>29.725000000000001</v>
      </c>
      <c r="AC120" s="38">
        <v>1.27447</v>
      </c>
      <c r="AD120" s="38">
        <v>4270.97</v>
      </c>
      <c r="AE120" s="38">
        <v>71</v>
      </c>
      <c r="AF120" s="38">
        <v>4.1369800000000003</v>
      </c>
      <c r="AG120" s="38">
        <f t="shared" si="19"/>
        <v>4.0999999999999996</v>
      </c>
      <c r="AH120" s="38">
        <v>4490.18</v>
      </c>
      <c r="AI120" s="38">
        <v>4.3134600000000001</v>
      </c>
      <c r="AJ120" s="38">
        <v>854</v>
      </c>
      <c r="AK120" s="38">
        <v>0.82038900000000003</v>
      </c>
      <c r="AL120" s="38">
        <v>1047.8399999999999</v>
      </c>
      <c r="AM120" s="38">
        <v>1.0065999999999999</v>
      </c>
      <c r="AN120" s="25"/>
      <c r="AO120" s="25">
        <f>AE120*0.5</f>
        <v>35.5</v>
      </c>
      <c r="AP120" s="25">
        <f>(AD120+AH120+AJ120+AL120+AO120)*I120</f>
        <v>318194.48958000005</v>
      </c>
      <c r="AQ120" s="25">
        <f>SUM(N120:Q120)</f>
        <v>29.734999999999999</v>
      </c>
      <c r="AR120" s="25">
        <f>SUM(T120:W120)</f>
        <v>29.725000000000001</v>
      </c>
      <c r="AT120" s="41"/>
      <c r="AU120" s="41"/>
      <c r="AV120" s="41"/>
      <c r="AW120" s="41"/>
    </row>
    <row r="121" spans="1:88" s="22" customFormat="1">
      <c r="A121" s="1">
        <v>293</v>
      </c>
      <c r="B121" s="34" t="s">
        <v>509</v>
      </c>
      <c r="C121" s="34">
        <v>642</v>
      </c>
      <c r="D121" s="34">
        <v>2218</v>
      </c>
      <c r="E121" s="34">
        <v>100</v>
      </c>
      <c r="F121" s="34" t="s">
        <v>521</v>
      </c>
      <c r="G121" s="58">
        <v>0</v>
      </c>
      <c r="H121" s="58">
        <v>51437</v>
      </c>
      <c r="I121" s="35">
        <v>51.436999999999998</v>
      </c>
      <c r="J121" s="62">
        <v>2</v>
      </c>
      <c r="K121" s="34" t="s">
        <v>237</v>
      </c>
      <c r="L121" s="10">
        <v>42160</v>
      </c>
      <c r="M121" s="9" t="s">
        <v>191</v>
      </c>
      <c r="N121" s="38">
        <v>31.425000000000001</v>
      </c>
      <c r="O121" s="38">
        <v>12.45</v>
      </c>
      <c r="P121" s="38">
        <v>5.45</v>
      </c>
      <c r="Q121" s="38">
        <v>3.0249999999999999</v>
      </c>
      <c r="R121" s="38">
        <v>3.0318100000000001</v>
      </c>
      <c r="S121" s="38">
        <f t="shared" si="17"/>
        <v>3</v>
      </c>
      <c r="T121" s="38">
        <v>51.2</v>
      </c>
      <c r="U121" s="38">
        <v>0.97499999999999998</v>
      </c>
      <c r="V121" s="38">
        <v>7.4999999999999997E-2</v>
      </c>
      <c r="W121" s="38">
        <v>0.1</v>
      </c>
      <c r="X121" s="38">
        <v>4.1436200000000003</v>
      </c>
      <c r="Y121" s="38">
        <f t="shared" si="18"/>
        <v>4</v>
      </c>
      <c r="Z121" s="38">
        <v>0</v>
      </c>
      <c r="AA121" s="38">
        <v>2.5000000000000001E-2</v>
      </c>
      <c r="AB121" s="38">
        <v>52.3</v>
      </c>
      <c r="AC121" s="38">
        <v>1.29176</v>
      </c>
      <c r="AD121" s="38">
        <v>6481</v>
      </c>
      <c r="AE121" s="38">
        <v>1911</v>
      </c>
      <c r="AF121" s="38">
        <v>4.0494659431555498</v>
      </c>
      <c r="AG121" s="38">
        <f t="shared" si="19"/>
        <v>4</v>
      </c>
      <c r="AH121" s="38">
        <v>27.38</v>
      </c>
      <c r="AI121" s="38">
        <v>1.490948396740388E-2</v>
      </c>
      <c r="AJ121" s="38">
        <v>501.86</v>
      </c>
      <c r="AK121" s="38">
        <v>0.27328245521845557</v>
      </c>
      <c r="AL121" s="38">
        <v>0</v>
      </c>
      <c r="AM121" s="38">
        <v>0</v>
      </c>
      <c r="AN121" s="60"/>
      <c r="AO121" s="60"/>
      <c r="AP121" s="60">
        <f>AE121*0.5</f>
        <v>955.5</v>
      </c>
      <c r="AQ121" s="64">
        <f>(AD121+AH121+AJ121+AL121+AP121)*I121</f>
        <v>409733.76837999996</v>
      </c>
      <c r="AR121" s="60"/>
      <c r="AS121" s="25">
        <f>SUM(N121:Q121)</f>
        <v>52.35</v>
      </c>
      <c r="AT121" s="25"/>
      <c r="AU121" s="41">
        <f>SUM(N121:Q121)</f>
        <v>52.35</v>
      </c>
      <c r="AV121" s="41">
        <f>SUM(T121:W121)</f>
        <v>52.350000000000009</v>
      </c>
      <c r="AW121" s="41">
        <f>SUM(Z121:AB121)</f>
        <v>52.324999999999996</v>
      </c>
      <c r="AY121" s="22">
        <f>I121/AU121</f>
        <v>0.98255969436485191</v>
      </c>
      <c r="AZ121" s="22">
        <f>I121/AV121</f>
        <v>0.9825596943648518</v>
      </c>
      <c r="BA121" s="22">
        <f>I121/AW121</f>
        <v>0.98302914476827519</v>
      </c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</row>
    <row r="122" spans="1:88" s="22" customFormat="1">
      <c r="A122" s="1">
        <v>1611</v>
      </c>
      <c r="B122" s="34" t="s">
        <v>2137</v>
      </c>
      <c r="C122" s="5">
        <v>416</v>
      </c>
      <c r="D122" s="5">
        <v>3214</v>
      </c>
      <c r="E122" s="5">
        <v>100</v>
      </c>
      <c r="F122" s="5" t="s">
        <v>2179</v>
      </c>
      <c r="G122" s="53" t="s">
        <v>2180</v>
      </c>
      <c r="H122" s="53" t="s">
        <v>2181</v>
      </c>
      <c r="I122" s="198">
        <v>2.19</v>
      </c>
      <c r="J122" s="78">
        <v>4</v>
      </c>
      <c r="K122" s="5" t="s">
        <v>237</v>
      </c>
      <c r="L122" s="10">
        <v>42249</v>
      </c>
      <c r="M122" s="34" t="s">
        <v>218</v>
      </c>
      <c r="N122" s="147">
        <v>0.05</v>
      </c>
      <c r="O122" s="147">
        <v>1.125</v>
      </c>
      <c r="P122" s="147">
        <v>0.72499999999999998</v>
      </c>
      <c r="Q122" s="147">
        <v>0.1</v>
      </c>
      <c r="R122" s="147">
        <v>3.5263800000000001</v>
      </c>
      <c r="S122" s="38">
        <f t="shared" si="17"/>
        <v>3.5</v>
      </c>
      <c r="T122" s="147">
        <v>0</v>
      </c>
      <c r="U122" s="147">
        <v>0</v>
      </c>
      <c r="V122" s="147">
        <f>SUM(N122:Q122)</f>
        <v>2</v>
      </c>
      <c r="W122" s="147">
        <v>1.0162500000000001</v>
      </c>
      <c r="X122" s="201">
        <v>9</v>
      </c>
      <c r="Y122" s="38">
        <f t="shared" si="18"/>
        <v>9</v>
      </c>
      <c r="Z122" s="201">
        <v>0</v>
      </c>
      <c r="AA122" s="201">
        <v>2</v>
      </c>
      <c r="AB122" s="201">
        <v>0</v>
      </c>
      <c r="AC122" s="201">
        <v>0</v>
      </c>
      <c r="AD122" s="147">
        <v>0</v>
      </c>
      <c r="AE122" s="147">
        <v>0</v>
      </c>
      <c r="AF122" s="201">
        <v>4</v>
      </c>
      <c r="AG122" s="38">
        <f t="shared" si="19"/>
        <v>4</v>
      </c>
      <c r="AH122" s="198"/>
      <c r="AI122" s="198"/>
      <c r="AJ122" s="198"/>
      <c r="AK122" s="34"/>
      <c r="AL122" s="34"/>
      <c r="AM122" s="34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</row>
    <row r="123" spans="1:88" s="22" customFormat="1">
      <c r="A123" s="1">
        <v>1800</v>
      </c>
      <c r="B123" s="34" t="s">
        <v>2382</v>
      </c>
      <c r="C123" s="34">
        <v>428</v>
      </c>
      <c r="D123" s="8">
        <v>3574</v>
      </c>
      <c r="E123" s="34">
        <v>100</v>
      </c>
      <c r="F123" s="34" t="s">
        <v>2404</v>
      </c>
      <c r="G123" s="58">
        <v>0</v>
      </c>
      <c r="H123" s="58">
        <v>14000</v>
      </c>
      <c r="I123" s="35">
        <v>14</v>
      </c>
      <c r="J123" s="9">
        <v>2</v>
      </c>
      <c r="K123" s="34" t="s">
        <v>238</v>
      </c>
      <c r="L123" s="10">
        <v>42230</v>
      </c>
      <c r="M123" s="9" t="s">
        <v>191</v>
      </c>
      <c r="N123" s="38">
        <v>8.6</v>
      </c>
      <c r="O123" s="38">
        <v>3.2</v>
      </c>
      <c r="P123" s="38">
        <v>1.375</v>
      </c>
      <c r="Q123" s="38">
        <v>0.9</v>
      </c>
      <c r="R123" s="38">
        <v>2.9029600000000002</v>
      </c>
      <c r="S123" s="38">
        <f t="shared" si="17"/>
        <v>3</v>
      </c>
      <c r="T123" s="38">
        <v>9.4499999999999993</v>
      </c>
      <c r="U123" s="38">
        <v>3.625</v>
      </c>
      <c r="V123" s="38">
        <v>0.875</v>
      </c>
      <c r="W123" s="38">
        <v>0.125</v>
      </c>
      <c r="X123" s="38">
        <v>9.1880699999999997</v>
      </c>
      <c r="Y123" s="38">
        <f t="shared" si="18"/>
        <v>9</v>
      </c>
      <c r="Z123" s="38">
        <v>0</v>
      </c>
      <c r="AA123" s="38">
        <v>0</v>
      </c>
      <c r="AB123" s="38">
        <f>SUM(N123:Q123)</f>
        <v>14.075000000000001</v>
      </c>
      <c r="AC123" s="38">
        <v>1.1613599999999999</v>
      </c>
      <c r="AD123" s="38">
        <v>1954.69</v>
      </c>
      <c r="AE123" s="38">
        <v>0</v>
      </c>
      <c r="AF123" s="38">
        <f>(AD123+AE123*0.5)/(3.5*I123*1000)*100</f>
        <v>3.9891632653061224</v>
      </c>
      <c r="AG123" s="38">
        <f t="shared" si="19"/>
        <v>4</v>
      </c>
      <c r="AH123" s="38">
        <v>0</v>
      </c>
      <c r="AI123" s="38">
        <f>AH123/(3.5*I123*1000)*100</f>
        <v>0</v>
      </c>
      <c r="AJ123" s="38">
        <v>0</v>
      </c>
      <c r="AK123" s="38">
        <f>AJ123/(3.5*I123*1000)*100</f>
        <v>0</v>
      </c>
      <c r="AL123" s="38">
        <v>0</v>
      </c>
      <c r="AM123" s="38">
        <f>AL123/(3.5*I123*1000)*100</f>
        <v>0</v>
      </c>
      <c r="AN123" s="25"/>
      <c r="AO123" s="25">
        <f>AE123*0.5</f>
        <v>0</v>
      </c>
      <c r="AP123" s="25">
        <f>(AD123+AH123+AJ123+AL123+AO123)*I123</f>
        <v>27365.66</v>
      </c>
      <c r="AQ123" s="136">
        <f>SUM(N123:Q123)</f>
        <v>14.075000000000001</v>
      </c>
      <c r="AR123" s="12">
        <f>SUM(T123:W123)</f>
        <v>14.074999999999999</v>
      </c>
      <c r="AT123" s="41"/>
      <c r="AU123" s="41"/>
      <c r="AV123" s="41"/>
      <c r="AW123" s="41"/>
    </row>
    <row r="124" spans="1:88" s="22" customFormat="1">
      <c r="A124" s="1">
        <v>1775</v>
      </c>
      <c r="B124" s="34" t="s">
        <v>2369</v>
      </c>
      <c r="C124" s="34">
        <v>426</v>
      </c>
      <c r="D124" s="8">
        <v>3245</v>
      </c>
      <c r="E124" s="34">
        <v>100</v>
      </c>
      <c r="F124" s="34" t="s">
        <v>2376</v>
      </c>
      <c r="G124" s="58">
        <v>0</v>
      </c>
      <c r="H124" s="58">
        <v>16800</v>
      </c>
      <c r="I124" s="35">
        <v>16.8</v>
      </c>
      <c r="J124" s="9">
        <v>4</v>
      </c>
      <c r="K124" s="34" t="s">
        <v>237</v>
      </c>
      <c r="L124" s="10">
        <v>42233</v>
      </c>
      <c r="M124" s="9" t="s">
        <v>191</v>
      </c>
      <c r="N124" s="38">
        <v>10.35</v>
      </c>
      <c r="O124" s="38">
        <v>3.4750000000000001</v>
      </c>
      <c r="P124" s="38">
        <v>1.625</v>
      </c>
      <c r="Q124" s="38">
        <v>1.4750000000000001</v>
      </c>
      <c r="R124" s="38">
        <v>2.77867</v>
      </c>
      <c r="S124" s="38">
        <f t="shared" si="17"/>
        <v>3</v>
      </c>
      <c r="T124" s="38">
        <v>11.95</v>
      </c>
      <c r="U124" s="38">
        <v>3.95</v>
      </c>
      <c r="V124" s="38">
        <v>0.85</v>
      </c>
      <c r="W124" s="38">
        <v>0.17499999999999999</v>
      </c>
      <c r="X124" s="38">
        <v>8.8628099999999996</v>
      </c>
      <c r="Y124" s="38">
        <f t="shared" si="18"/>
        <v>9</v>
      </c>
      <c r="Z124" s="38">
        <v>0</v>
      </c>
      <c r="AA124" s="38">
        <v>0</v>
      </c>
      <c r="AB124" s="38">
        <f>SUM(T124:W124)</f>
        <v>16.925000000000001</v>
      </c>
      <c r="AC124" s="38">
        <v>1.25875</v>
      </c>
      <c r="AD124" s="38">
        <v>2295.09</v>
      </c>
      <c r="AE124" s="38">
        <v>52.39</v>
      </c>
      <c r="AF124" s="38">
        <v>3.9477600000000002</v>
      </c>
      <c r="AG124" s="38">
        <f t="shared" si="19"/>
        <v>3.9</v>
      </c>
      <c r="AH124" s="38">
        <v>16403.900000000001</v>
      </c>
      <c r="AI124" s="38">
        <v>27.8978</v>
      </c>
      <c r="AJ124" s="38">
        <v>1701</v>
      </c>
      <c r="AK124" s="38">
        <v>2.8928569999999998</v>
      </c>
      <c r="AL124" s="38">
        <v>256.99</v>
      </c>
      <c r="AM124" s="38">
        <v>0.43706</v>
      </c>
      <c r="AN124" s="25"/>
      <c r="AO124" s="25">
        <f>AE124*0.5</f>
        <v>26.195</v>
      </c>
      <c r="AP124" s="25">
        <f>(AD124+AH124+AJ124+AL124+AO124)*I124</f>
        <v>347477.34000000008</v>
      </c>
      <c r="AQ124" s="25">
        <f>SUM(N124:Q124)</f>
        <v>16.925000000000001</v>
      </c>
      <c r="AR124" s="25">
        <f>SUM(T124:W124)</f>
        <v>16.925000000000001</v>
      </c>
      <c r="AT124" s="41"/>
      <c r="AU124" s="41"/>
      <c r="AV124" s="41"/>
      <c r="AW124" s="41"/>
    </row>
    <row r="125" spans="1:88" s="22" customFormat="1">
      <c r="A125" s="1">
        <v>1432</v>
      </c>
      <c r="B125" s="34" t="s">
        <v>1957</v>
      </c>
      <c r="C125" s="34">
        <v>447</v>
      </c>
      <c r="D125" s="75">
        <v>3590</v>
      </c>
      <c r="E125" s="69">
        <v>100</v>
      </c>
      <c r="F125" s="184" t="s">
        <v>1985</v>
      </c>
      <c r="G125" s="20">
        <v>0</v>
      </c>
      <c r="H125" s="20">
        <v>2012</v>
      </c>
      <c r="I125" s="21">
        <v>2.012</v>
      </c>
      <c r="J125" s="8">
        <v>2</v>
      </c>
      <c r="K125" s="34" t="s">
        <v>237</v>
      </c>
      <c r="L125" s="10">
        <v>42217</v>
      </c>
      <c r="M125" s="9" t="s">
        <v>191</v>
      </c>
      <c r="N125" s="38">
        <v>1.2</v>
      </c>
      <c r="O125" s="38">
        <v>0.32500000000000001</v>
      </c>
      <c r="P125" s="38">
        <v>0.22500000000000001</v>
      </c>
      <c r="Q125" s="38">
        <v>0.1</v>
      </c>
      <c r="R125" s="38">
        <v>2.5381100000000001</v>
      </c>
      <c r="S125" s="38">
        <f t="shared" si="17"/>
        <v>2.5</v>
      </c>
      <c r="T125" s="38">
        <v>1.85</v>
      </c>
      <c r="U125" s="38">
        <v>0</v>
      </c>
      <c r="V125" s="38">
        <v>0</v>
      </c>
      <c r="W125" s="38">
        <v>0</v>
      </c>
      <c r="X125" s="38">
        <v>2.3494700000000002</v>
      </c>
      <c r="Y125" s="38">
        <f t="shared" si="18"/>
        <v>2.5</v>
      </c>
      <c r="Z125" s="38">
        <v>0</v>
      </c>
      <c r="AA125" s="38">
        <v>0</v>
      </c>
      <c r="AB125" s="38">
        <v>1.85</v>
      </c>
      <c r="AC125" s="38">
        <v>1.3525499999999999</v>
      </c>
      <c r="AD125" s="38">
        <v>201.22</v>
      </c>
      <c r="AE125" s="38">
        <v>140.25399999999999</v>
      </c>
      <c r="AF125" s="38">
        <v>3.8532661175802327</v>
      </c>
      <c r="AG125" s="38">
        <f t="shared" si="19"/>
        <v>3.9</v>
      </c>
      <c r="AH125" s="38">
        <v>64.231999999999999</v>
      </c>
      <c r="AI125" s="38">
        <f t="shared" ref="AI125:AI132" si="21">AH125/(3.5*I125*1000)*100</f>
        <v>0.91212723658051686</v>
      </c>
      <c r="AJ125" s="38">
        <v>0</v>
      </c>
      <c r="AK125" s="38">
        <f>AJ125/(3.5*I125*1000)*100</f>
        <v>0</v>
      </c>
      <c r="AL125" s="38">
        <v>0</v>
      </c>
      <c r="AM125" s="38">
        <f t="shared" ref="AM125:AM132" si="22">AL125/(3.5*I125*1000)*100</f>
        <v>0</v>
      </c>
      <c r="AN125" s="41"/>
    </row>
    <row r="126" spans="1:88" s="22" customFormat="1">
      <c r="A126" s="1">
        <v>1021</v>
      </c>
      <c r="B126" s="9" t="s">
        <v>1394</v>
      </c>
      <c r="C126" s="9">
        <v>617</v>
      </c>
      <c r="D126" s="8">
        <v>2073</v>
      </c>
      <c r="E126" s="9">
        <v>103</v>
      </c>
      <c r="F126" s="9" t="s">
        <v>1421</v>
      </c>
      <c r="G126" s="20">
        <v>45842</v>
      </c>
      <c r="H126" s="20">
        <v>60189</v>
      </c>
      <c r="I126" s="35">
        <v>14.347</v>
      </c>
      <c r="J126" s="9">
        <v>2</v>
      </c>
      <c r="K126" s="9" t="s">
        <v>238</v>
      </c>
      <c r="L126" s="18">
        <v>42130</v>
      </c>
      <c r="M126" s="9" t="s">
        <v>191</v>
      </c>
      <c r="N126" s="11">
        <v>6.15</v>
      </c>
      <c r="O126" s="11">
        <v>4.0999999999999996</v>
      </c>
      <c r="P126" s="11">
        <v>1.85</v>
      </c>
      <c r="Q126" s="11">
        <v>2.2000000000000002</v>
      </c>
      <c r="R126" s="11">
        <v>3.8788200000000002</v>
      </c>
      <c r="S126" s="38">
        <f t="shared" si="17"/>
        <v>4</v>
      </c>
      <c r="T126" s="11">
        <v>13.55</v>
      </c>
      <c r="U126" s="11">
        <v>0.65</v>
      </c>
      <c r="V126" s="11">
        <v>0.1</v>
      </c>
      <c r="W126" s="11">
        <v>0</v>
      </c>
      <c r="X126" s="11">
        <v>5.2787100000000002</v>
      </c>
      <c r="Y126" s="38">
        <f t="shared" si="18"/>
        <v>5.5</v>
      </c>
      <c r="Z126" s="11">
        <v>0</v>
      </c>
      <c r="AA126" s="11">
        <v>0</v>
      </c>
      <c r="AB126" s="11">
        <f>SUM(N126:Q126)</f>
        <v>14.3</v>
      </c>
      <c r="AC126" s="11">
        <v>1.29714</v>
      </c>
      <c r="AD126" s="11">
        <v>1902.72</v>
      </c>
      <c r="AE126" s="11">
        <v>43.71</v>
      </c>
      <c r="AF126" s="11">
        <f t="shared" ref="AF126:AF132" si="23">(AD126+AE126*0.5)/(3.5*I126*1000)*100</f>
        <v>3.8327076840354879</v>
      </c>
      <c r="AG126" s="38">
        <f t="shared" si="19"/>
        <v>3.8</v>
      </c>
      <c r="AH126" s="11">
        <v>1833.46</v>
      </c>
      <c r="AI126" s="38">
        <f t="shared" si="21"/>
        <v>3.6512561112825979</v>
      </c>
      <c r="AJ126" s="11">
        <v>381.8</v>
      </c>
      <c r="AK126" s="38">
        <f>AJ126/(3.5*I126*1000)*100</f>
        <v>0.7603381493393343</v>
      </c>
      <c r="AL126" s="11">
        <v>0</v>
      </c>
      <c r="AM126" s="38">
        <f t="shared" si="22"/>
        <v>0</v>
      </c>
      <c r="AN126" s="25"/>
      <c r="AO126" s="25">
        <f>AE126*0.5</f>
        <v>21.855</v>
      </c>
      <c r="AP126" s="25">
        <f>(AD126+AH126+AJ126+AL126+AO126)*I126</f>
        <v>59394.212744999997</v>
      </c>
      <c r="AQ126" s="25"/>
      <c r="AR126" s="25"/>
      <c r="AS126" s="25">
        <f>SUM(N126:Q126)</f>
        <v>14.3</v>
      </c>
      <c r="AT126" s="25">
        <f>SUM(T126:W126)</f>
        <v>14.3</v>
      </c>
      <c r="AU126" s="41"/>
      <c r="AV126" s="41"/>
      <c r="AW126" s="41"/>
    </row>
    <row r="127" spans="1:88" s="22" customFormat="1">
      <c r="A127" s="1">
        <v>225</v>
      </c>
      <c r="B127" s="34" t="s">
        <v>413</v>
      </c>
      <c r="C127" s="34">
        <v>536</v>
      </c>
      <c r="D127" s="34">
        <v>1243</v>
      </c>
      <c r="E127" s="34">
        <v>202</v>
      </c>
      <c r="F127" s="34" t="s">
        <v>433</v>
      </c>
      <c r="G127" s="53">
        <v>111433</v>
      </c>
      <c r="H127" s="53">
        <v>96433</v>
      </c>
      <c r="I127" s="35">
        <v>15</v>
      </c>
      <c r="J127" s="36">
        <v>2</v>
      </c>
      <c r="K127" s="34" t="s">
        <v>12</v>
      </c>
      <c r="L127" s="10">
        <v>42220</v>
      </c>
      <c r="M127" s="9" t="s">
        <v>191</v>
      </c>
      <c r="N127" s="38">
        <v>2.46</v>
      </c>
      <c r="O127" s="38">
        <v>4.46</v>
      </c>
      <c r="P127" s="38">
        <v>4.34</v>
      </c>
      <c r="Q127" s="38">
        <v>3.74</v>
      </c>
      <c r="R127" s="38">
        <v>3.8423500000000002</v>
      </c>
      <c r="S127" s="38">
        <f t="shared" si="17"/>
        <v>4</v>
      </c>
      <c r="T127" s="38">
        <v>5</v>
      </c>
      <c r="U127" s="38">
        <v>2.36</v>
      </c>
      <c r="V127" s="38">
        <v>1.28</v>
      </c>
      <c r="W127" s="38">
        <v>6.37</v>
      </c>
      <c r="X127" s="38">
        <v>21.466699999999999</v>
      </c>
      <c r="Y127" s="38">
        <f t="shared" si="18"/>
        <v>21.5</v>
      </c>
      <c r="Z127" s="38">
        <v>0</v>
      </c>
      <c r="AA127" s="38">
        <v>0</v>
      </c>
      <c r="AB127" s="38">
        <v>15</v>
      </c>
      <c r="AC127" s="38">
        <v>1.31599</v>
      </c>
      <c r="AD127" s="38">
        <v>1900</v>
      </c>
      <c r="AE127" s="38">
        <v>200.43</v>
      </c>
      <c r="AF127" s="38">
        <f t="shared" si="23"/>
        <v>3.8099333333333334</v>
      </c>
      <c r="AG127" s="38">
        <f t="shared" si="19"/>
        <v>3.8</v>
      </c>
      <c r="AH127" s="38">
        <v>6805</v>
      </c>
      <c r="AI127" s="38">
        <f t="shared" si="21"/>
        <v>12.96190476190476</v>
      </c>
      <c r="AJ127" s="38">
        <v>1237</v>
      </c>
      <c r="AK127" s="38">
        <f>AJ127/(3.5*I127*1000)*100</f>
        <v>2.3561904761904762</v>
      </c>
      <c r="AL127" s="38">
        <v>545</v>
      </c>
      <c r="AM127" s="38">
        <f t="shared" si="22"/>
        <v>1.0380952380952382</v>
      </c>
      <c r="AN127" s="25"/>
      <c r="AO127" s="25">
        <f>AE127*0.5</f>
        <v>100.215</v>
      </c>
      <c r="AP127" s="25">
        <f>(AD127+AH127+AJ127+AL127+AO127)*I127</f>
        <v>158808.22500000001</v>
      </c>
      <c r="AQ127" s="25">
        <f>SUM(N127:Q127)</f>
        <v>15</v>
      </c>
      <c r="AR127" s="25">
        <f>SUM(T127:W127)</f>
        <v>15.009999999999998</v>
      </c>
      <c r="AT127" s="41"/>
      <c r="AU127" s="41">
        <f>SUM(N127:Q127)</f>
        <v>15</v>
      </c>
      <c r="AV127" s="41">
        <f>SUM(T127:W127)</f>
        <v>15.009999999999998</v>
      </c>
      <c r="AW127" s="41">
        <f>SUM(Z127:AB127)</f>
        <v>15</v>
      </c>
      <c r="AY127" s="22">
        <f>I127/AU127</f>
        <v>1</v>
      </c>
      <c r="AZ127" s="22">
        <f>I127/AV127</f>
        <v>0.99933377748167906</v>
      </c>
      <c r="BA127" s="22">
        <f>I127/AW127</f>
        <v>1</v>
      </c>
    </row>
    <row r="128" spans="1:88" s="22" customFormat="1">
      <c r="A128" s="1">
        <v>1797</v>
      </c>
      <c r="B128" s="34" t="s">
        <v>2382</v>
      </c>
      <c r="C128" s="34">
        <v>428</v>
      </c>
      <c r="D128" s="69">
        <v>3245</v>
      </c>
      <c r="E128" s="34">
        <v>200</v>
      </c>
      <c r="F128" s="34" t="s">
        <v>2400</v>
      </c>
      <c r="G128" s="81">
        <v>16800</v>
      </c>
      <c r="H128" s="81">
        <v>34000</v>
      </c>
      <c r="I128" s="35">
        <v>17.2</v>
      </c>
      <c r="J128" s="9">
        <v>4</v>
      </c>
      <c r="K128" s="34" t="s">
        <v>96</v>
      </c>
      <c r="L128" s="10">
        <v>42230</v>
      </c>
      <c r="M128" s="9" t="s">
        <v>191</v>
      </c>
      <c r="N128" s="38">
        <v>7.2750000000000004</v>
      </c>
      <c r="O128" s="38">
        <v>3.4750000000000001</v>
      </c>
      <c r="P128" s="38">
        <v>3</v>
      </c>
      <c r="Q128" s="38">
        <v>3.15</v>
      </c>
      <c r="R128" s="38">
        <v>2.8768199999999999</v>
      </c>
      <c r="S128" s="38">
        <f t="shared" si="17"/>
        <v>3</v>
      </c>
      <c r="T128" s="38">
        <v>14.85</v>
      </c>
      <c r="U128" s="38">
        <v>1.9</v>
      </c>
      <c r="V128" s="38">
        <v>0.125</v>
      </c>
      <c r="W128" s="38">
        <v>2.5000000000000001E-2</v>
      </c>
      <c r="X128" s="38">
        <v>7.1070099999999998</v>
      </c>
      <c r="Y128" s="38">
        <f t="shared" si="18"/>
        <v>7</v>
      </c>
      <c r="Z128" s="38">
        <v>0</v>
      </c>
      <c r="AA128" s="38">
        <v>0</v>
      </c>
      <c r="AB128" s="38">
        <f>SUM(N128:Q128)</f>
        <v>16.899999999999999</v>
      </c>
      <c r="AC128" s="38">
        <v>1.4752099999999999</v>
      </c>
      <c r="AD128" s="38">
        <v>2275.98</v>
      </c>
      <c r="AE128" s="38">
        <v>0</v>
      </c>
      <c r="AF128" s="38">
        <f t="shared" si="23"/>
        <v>3.7806976744186054</v>
      </c>
      <c r="AG128" s="38">
        <f t="shared" si="19"/>
        <v>3.8</v>
      </c>
      <c r="AH128" s="38">
        <v>7.14</v>
      </c>
      <c r="AI128" s="38">
        <f t="shared" si="21"/>
        <v>1.1860465116279072E-2</v>
      </c>
      <c r="AJ128" s="38">
        <v>200</v>
      </c>
      <c r="AK128" s="38">
        <f>AJ128/(3.5*I128*1000)*100</f>
        <v>0.33222591362126253</v>
      </c>
      <c r="AL128" s="38">
        <v>2.2999999999999998</v>
      </c>
      <c r="AM128" s="38">
        <f t="shared" si="22"/>
        <v>3.8205980066445188E-3</v>
      </c>
      <c r="AN128" s="25"/>
      <c r="AO128" s="25">
        <f>AE128*0.5</f>
        <v>0</v>
      </c>
      <c r="AP128" s="25">
        <f>(AD128+AH128+AJ128+AL128+AO128)*I128</f>
        <v>42749.224000000002</v>
      </c>
      <c r="AQ128" s="136">
        <f>SUM(N128:Q128)</f>
        <v>16.899999999999999</v>
      </c>
      <c r="AR128" s="12">
        <f>SUM(T128:W128)</f>
        <v>16.899999999999999</v>
      </c>
      <c r="AT128" s="41"/>
      <c r="AU128" s="41"/>
      <c r="AV128" s="41"/>
      <c r="AW128" s="41"/>
    </row>
    <row r="129" spans="1:88" s="22" customFormat="1">
      <c r="A129" s="1">
        <v>2103</v>
      </c>
      <c r="B129" s="34" t="s">
        <v>2732</v>
      </c>
      <c r="C129" s="34">
        <v>323</v>
      </c>
      <c r="D129" s="75">
        <v>4278</v>
      </c>
      <c r="E129" s="8">
        <v>100</v>
      </c>
      <c r="F129" s="9" t="s">
        <v>2752</v>
      </c>
      <c r="G129" s="20">
        <v>6000</v>
      </c>
      <c r="H129" s="20">
        <v>6900</v>
      </c>
      <c r="I129" s="21">
        <v>0.9</v>
      </c>
      <c r="J129" s="9">
        <v>2</v>
      </c>
      <c r="K129" s="34" t="s">
        <v>238</v>
      </c>
      <c r="L129" s="18">
        <v>42103</v>
      </c>
      <c r="M129" s="9" t="s">
        <v>191</v>
      </c>
      <c r="N129" s="38">
        <v>0.45</v>
      </c>
      <c r="O129" s="38">
        <v>0.33</v>
      </c>
      <c r="P129" s="38">
        <v>0.09</v>
      </c>
      <c r="Q129" s="38">
        <v>0.02</v>
      </c>
      <c r="R129" s="38">
        <v>2.8557899999999998</v>
      </c>
      <c r="S129" s="38">
        <f t="shared" si="17"/>
        <v>3</v>
      </c>
      <c r="T129" s="38">
        <v>0.9</v>
      </c>
      <c r="U129" s="38">
        <v>0</v>
      </c>
      <c r="V129" s="38">
        <v>0</v>
      </c>
      <c r="W129" s="38">
        <v>0</v>
      </c>
      <c r="X129" s="38">
        <v>2.7531099999999999</v>
      </c>
      <c r="Y129" s="38">
        <f t="shared" si="18"/>
        <v>3</v>
      </c>
      <c r="Z129" s="38">
        <v>0</v>
      </c>
      <c r="AA129" s="38">
        <v>0</v>
      </c>
      <c r="AB129" s="38">
        <v>0.9</v>
      </c>
      <c r="AC129" s="38">
        <v>1.4515</v>
      </c>
      <c r="AD129" s="38">
        <v>96.85</v>
      </c>
      <c r="AE129" s="38">
        <v>41.95</v>
      </c>
      <c r="AF129" s="38">
        <f t="shared" si="23"/>
        <v>3.7404761904761901</v>
      </c>
      <c r="AG129" s="38">
        <f t="shared" si="19"/>
        <v>3.7</v>
      </c>
      <c r="AH129" s="38">
        <v>79.430000000000007</v>
      </c>
      <c r="AI129" s="38">
        <f t="shared" si="21"/>
        <v>2.5215873015873016</v>
      </c>
      <c r="AJ129" s="38">
        <v>0</v>
      </c>
      <c r="AK129" s="38">
        <v>0</v>
      </c>
      <c r="AL129" s="38">
        <v>6.85</v>
      </c>
      <c r="AM129" s="38">
        <f t="shared" si="22"/>
        <v>0.21746031746031746</v>
      </c>
      <c r="AN129" s="25"/>
      <c r="AO129" s="25"/>
      <c r="AQ129" s="41">
        <f>SUM(N129:Q129)</f>
        <v>0.89</v>
      </c>
      <c r="AR129" s="41">
        <f>SUM(T129:W129)</f>
        <v>0.9</v>
      </c>
      <c r="AS129" s="12">
        <f>SUM(Z129:AB129)</f>
        <v>0.9</v>
      </c>
      <c r="AT129" s="1"/>
      <c r="AU129" s="1">
        <f>I129/AQ129</f>
        <v>1.0112359550561798</v>
      </c>
      <c r="AV129" s="1">
        <f>I129/AR129</f>
        <v>1</v>
      </c>
      <c r="AW129" s="1">
        <f>I129/AS129</f>
        <v>1</v>
      </c>
    </row>
    <row r="130" spans="1:88" s="22" customFormat="1">
      <c r="A130" s="1">
        <v>1028</v>
      </c>
      <c r="B130" s="9" t="s">
        <v>1394</v>
      </c>
      <c r="C130" s="9">
        <v>617</v>
      </c>
      <c r="D130" s="8">
        <v>2117</v>
      </c>
      <c r="E130" s="9">
        <v>100</v>
      </c>
      <c r="F130" s="9" t="s">
        <v>1427</v>
      </c>
      <c r="G130" s="20" t="s">
        <v>92</v>
      </c>
      <c r="H130" s="20" t="s">
        <v>1428</v>
      </c>
      <c r="I130" s="35">
        <v>11.986000000000001</v>
      </c>
      <c r="J130" s="9">
        <v>2</v>
      </c>
      <c r="K130" s="9" t="s">
        <v>238</v>
      </c>
      <c r="L130" s="18">
        <v>42131</v>
      </c>
      <c r="M130" s="9" t="s">
        <v>191</v>
      </c>
      <c r="N130" s="11">
        <v>6.8250000000000002</v>
      </c>
      <c r="O130" s="11">
        <v>2.4750000000000001</v>
      </c>
      <c r="P130" s="11">
        <v>1.2</v>
      </c>
      <c r="Q130" s="11">
        <v>1.2250000000000001</v>
      </c>
      <c r="R130" s="11">
        <v>2.8942100000000002</v>
      </c>
      <c r="S130" s="38">
        <f t="shared" si="17"/>
        <v>3</v>
      </c>
      <c r="T130" s="11">
        <v>9.7390000000000008</v>
      </c>
      <c r="U130" s="11">
        <v>2.2469999999999999</v>
      </c>
      <c r="V130" s="11">
        <v>0</v>
      </c>
      <c r="W130" s="11">
        <v>0</v>
      </c>
      <c r="X130" s="11">
        <v>4.1280700000000001</v>
      </c>
      <c r="Y130" s="38">
        <f t="shared" si="18"/>
        <v>4</v>
      </c>
      <c r="Z130" s="11">
        <v>0</v>
      </c>
      <c r="AA130" s="11">
        <v>0</v>
      </c>
      <c r="AB130" s="11">
        <f>SUM(N130:Q130)</f>
        <v>11.725</v>
      </c>
      <c r="AC130" s="11">
        <v>1.24312</v>
      </c>
      <c r="AD130" s="11">
        <v>1552.16</v>
      </c>
      <c r="AE130" s="11">
        <v>0</v>
      </c>
      <c r="AF130" s="11">
        <f t="shared" si="23"/>
        <v>3.6999356391981126</v>
      </c>
      <c r="AG130" s="38">
        <f t="shared" si="19"/>
        <v>3.7</v>
      </c>
      <c r="AH130" s="11">
        <v>26.82</v>
      </c>
      <c r="AI130" s="38">
        <f t="shared" si="21"/>
        <v>6.3931729875330745E-2</v>
      </c>
      <c r="AJ130" s="11">
        <v>0</v>
      </c>
      <c r="AK130" s="38">
        <f>AJ130/(3.5*I130*1000)*100</f>
        <v>0</v>
      </c>
      <c r="AL130" s="11">
        <v>0</v>
      </c>
      <c r="AM130" s="38">
        <f t="shared" si="22"/>
        <v>0</v>
      </c>
      <c r="AN130" s="25"/>
      <c r="AO130" s="25">
        <f>AE130*0.5</f>
        <v>0</v>
      </c>
      <c r="AP130" s="25">
        <f>(AD130+AH130+AJ130+AL130+AO130)*I130</f>
        <v>18925.654280000002</v>
      </c>
      <c r="AQ130" s="25"/>
      <c r="AR130" s="25"/>
      <c r="AS130" s="25">
        <f>SUM(N130:Q130)</f>
        <v>11.725</v>
      </c>
      <c r="AT130" s="25">
        <f>SUM(T130:W130)</f>
        <v>11.986000000000001</v>
      </c>
      <c r="AU130" s="41"/>
      <c r="AV130" s="41"/>
      <c r="AW130" s="41"/>
    </row>
    <row r="131" spans="1:88" s="22" customFormat="1">
      <c r="A131" s="1">
        <v>1075</v>
      </c>
      <c r="B131" s="34" t="s">
        <v>1467</v>
      </c>
      <c r="C131" s="34">
        <v>619</v>
      </c>
      <c r="D131" s="8">
        <v>3308</v>
      </c>
      <c r="E131" s="34">
        <v>100</v>
      </c>
      <c r="F131" s="34" t="s">
        <v>1482</v>
      </c>
      <c r="G131" s="58" t="s">
        <v>1483</v>
      </c>
      <c r="H131" s="58" t="s">
        <v>92</v>
      </c>
      <c r="I131" s="35">
        <v>7.3949999999999996</v>
      </c>
      <c r="J131" s="9">
        <v>2</v>
      </c>
      <c r="K131" s="34" t="s">
        <v>12</v>
      </c>
      <c r="L131" s="244">
        <v>42093</v>
      </c>
      <c r="M131" s="9" t="s">
        <v>191</v>
      </c>
      <c r="N131" s="38">
        <v>1.94</v>
      </c>
      <c r="O131" s="38">
        <v>3.59</v>
      </c>
      <c r="P131" s="38">
        <v>1.18</v>
      </c>
      <c r="Q131" s="38">
        <v>0.7</v>
      </c>
      <c r="R131" s="38">
        <v>3.2610000000000001</v>
      </c>
      <c r="S131" s="38">
        <f t="shared" ref="S131:S194" si="24">ROUND(R131/5,1)*5</f>
        <v>3.5</v>
      </c>
      <c r="T131" s="38">
        <v>7.27</v>
      </c>
      <c r="U131" s="38">
        <v>0.1</v>
      </c>
      <c r="V131" s="38">
        <v>0</v>
      </c>
      <c r="W131" s="38">
        <v>0.03</v>
      </c>
      <c r="X131" s="38">
        <v>3.36</v>
      </c>
      <c r="Y131" s="38">
        <f t="shared" ref="Y131:Y194" si="25">ROUND(X131/5,1)*5</f>
        <v>3.5</v>
      </c>
      <c r="Z131" s="117">
        <v>0</v>
      </c>
      <c r="AA131" s="117">
        <v>0</v>
      </c>
      <c r="AB131" s="117">
        <v>7.4</v>
      </c>
      <c r="AC131" s="38">
        <v>1.272</v>
      </c>
      <c r="AD131" s="38">
        <v>954.21</v>
      </c>
      <c r="AE131" s="38">
        <v>0</v>
      </c>
      <c r="AF131" s="11">
        <f t="shared" si="23"/>
        <v>3.6866995073891626</v>
      </c>
      <c r="AG131" s="38">
        <f t="shared" ref="AG131:AG194" si="26">ROUND(AF131,1)</f>
        <v>3.7</v>
      </c>
      <c r="AH131" s="38">
        <v>347.75</v>
      </c>
      <c r="AI131" s="38">
        <f t="shared" si="21"/>
        <v>1.3435719115232301</v>
      </c>
      <c r="AJ131" s="38">
        <v>0</v>
      </c>
      <c r="AK131" s="38">
        <f>AJ131/(3.5*I131*1000)*100</f>
        <v>0</v>
      </c>
      <c r="AL131" s="38">
        <v>2</v>
      </c>
      <c r="AM131" s="38">
        <f t="shared" si="22"/>
        <v>7.7272288225635078E-3</v>
      </c>
      <c r="AN131" s="25"/>
      <c r="AO131" s="25"/>
      <c r="AP131" s="12">
        <f>AE131*0.5</f>
        <v>0</v>
      </c>
      <c r="AQ131" s="12">
        <f>(AD131+AH131+AJ131+AL131+AP131)*I131</f>
        <v>9642.7842000000001</v>
      </c>
      <c r="AR131" s="25"/>
      <c r="AS131" s="25">
        <f>SUM(N131:Q131)</f>
        <v>7.4099999999999993</v>
      </c>
      <c r="AT131" s="22">
        <f>SUM(T131:W131)</f>
        <v>7.3999999999999995</v>
      </c>
      <c r="AU131" s="268">
        <v>7.3949999999999996</v>
      </c>
      <c r="AV131" s="41">
        <f>SUM(N131:Q131)</f>
        <v>7.4099999999999993</v>
      </c>
      <c r="AW131" s="41">
        <f>SUM(T131:W131)</f>
        <v>7.3999999999999995</v>
      </c>
      <c r="AX131" s="41">
        <f>SUM(Z131:AB131)</f>
        <v>7.4</v>
      </c>
      <c r="AZ131" s="22">
        <f>I131/AV131</f>
        <v>0.99797570850202433</v>
      </c>
      <c r="BA131" s="22">
        <f>I131/AW131</f>
        <v>0.99932432432432439</v>
      </c>
      <c r="BB131" s="22">
        <f>I131/AX131</f>
        <v>0.99932432432432416</v>
      </c>
    </row>
    <row r="132" spans="1:88" s="22" customFormat="1">
      <c r="A132" s="1">
        <v>1963</v>
      </c>
      <c r="B132" s="34" t="s">
        <v>2586</v>
      </c>
      <c r="C132" s="34">
        <v>321</v>
      </c>
      <c r="D132" s="75">
        <v>4188</v>
      </c>
      <c r="E132" s="8">
        <v>100</v>
      </c>
      <c r="F132" s="34" t="s">
        <v>2608</v>
      </c>
      <c r="G132" s="58">
        <v>9000</v>
      </c>
      <c r="H132" s="58">
        <v>0</v>
      </c>
      <c r="I132" s="21">
        <v>9</v>
      </c>
      <c r="J132" s="8">
        <v>2</v>
      </c>
      <c r="K132" s="8" t="s">
        <v>12</v>
      </c>
      <c r="L132" s="18">
        <v>42124</v>
      </c>
      <c r="M132" s="9" t="s">
        <v>191</v>
      </c>
      <c r="N132" s="38">
        <v>3.2250000000000001</v>
      </c>
      <c r="O132" s="38">
        <v>2.5499999999999998</v>
      </c>
      <c r="P132" s="38">
        <v>2.375</v>
      </c>
      <c r="Q132" s="38">
        <v>1.0249999999999999</v>
      </c>
      <c r="R132" s="38">
        <v>3.3069799999999998</v>
      </c>
      <c r="S132" s="38">
        <f t="shared" si="24"/>
        <v>3.5</v>
      </c>
      <c r="T132" s="38">
        <v>6.9749999999999996</v>
      </c>
      <c r="U132" s="38">
        <v>0.42499999999999999</v>
      </c>
      <c r="V132" s="38">
        <v>0.3</v>
      </c>
      <c r="W132" s="38">
        <v>1.4750000000000001</v>
      </c>
      <c r="X132" s="38">
        <v>9.6199899999999996</v>
      </c>
      <c r="Y132" s="38">
        <f t="shared" si="25"/>
        <v>9.5</v>
      </c>
      <c r="Z132" s="38">
        <v>0</v>
      </c>
      <c r="AA132" s="38">
        <v>0</v>
      </c>
      <c r="AB132" s="38">
        <v>9.1749999999999989</v>
      </c>
      <c r="AC132" s="38">
        <v>1.4873000000000001</v>
      </c>
      <c r="AD132" s="38">
        <v>1126.18</v>
      </c>
      <c r="AE132" s="38">
        <v>30.14</v>
      </c>
      <c r="AF132" s="38">
        <f t="shared" si="23"/>
        <v>3.623015873015873</v>
      </c>
      <c r="AG132" s="38">
        <f t="shared" si="26"/>
        <v>3.6</v>
      </c>
      <c r="AH132" s="38">
        <v>45.8</v>
      </c>
      <c r="AI132" s="38">
        <f t="shared" si="21"/>
        <v>0.14539682539682539</v>
      </c>
      <c r="AJ132" s="38">
        <v>0</v>
      </c>
      <c r="AK132" s="38">
        <f>AH132/(3.5*L132*1000)*100</f>
        <v>3.1064747615882362E-5</v>
      </c>
      <c r="AL132" s="38">
        <v>18</v>
      </c>
      <c r="AM132" s="38">
        <f t="shared" si="22"/>
        <v>5.7142857142857148E-2</v>
      </c>
      <c r="AN132" s="73"/>
      <c r="AO132" s="72"/>
      <c r="AP132" s="41"/>
      <c r="AQ132" s="41"/>
      <c r="AR132" s="73"/>
      <c r="AS132" s="73"/>
      <c r="AT132" s="73"/>
      <c r="AU132" s="73"/>
      <c r="AV132" s="73"/>
      <c r="AW132" s="73"/>
      <c r="AX132" s="73"/>
      <c r="AY132" s="73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</row>
    <row r="133" spans="1:88" s="22" customFormat="1">
      <c r="A133" s="1">
        <v>2110</v>
      </c>
      <c r="B133" s="34" t="s">
        <v>2754</v>
      </c>
      <c r="C133" s="34">
        <v>324</v>
      </c>
      <c r="D133" s="75">
        <v>4020</v>
      </c>
      <c r="E133" s="8">
        <v>100</v>
      </c>
      <c r="F133" s="9" t="s">
        <v>2757</v>
      </c>
      <c r="G133" s="20">
        <v>1642</v>
      </c>
      <c r="H133" s="20">
        <v>0</v>
      </c>
      <c r="I133" s="21">
        <v>1.6419999999999999</v>
      </c>
      <c r="J133" s="9">
        <v>3</v>
      </c>
      <c r="K133" s="34" t="s">
        <v>96</v>
      </c>
      <c r="L133" s="18">
        <v>42139</v>
      </c>
      <c r="M133" s="9" t="s">
        <v>191</v>
      </c>
      <c r="N133" s="38">
        <v>0.45</v>
      </c>
      <c r="O133" s="38">
        <v>0.42499999999999999</v>
      </c>
      <c r="P133" s="38">
        <v>0.35</v>
      </c>
      <c r="Q133" s="38">
        <v>0.47499999999999998</v>
      </c>
      <c r="R133" s="38">
        <v>4.2879399999999999</v>
      </c>
      <c r="S133" s="38">
        <f t="shared" si="24"/>
        <v>4.5</v>
      </c>
      <c r="T133" s="38">
        <v>1.7</v>
      </c>
      <c r="U133" s="38">
        <v>0</v>
      </c>
      <c r="V133" s="38">
        <v>0</v>
      </c>
      <c r="W133" s="38">
        <v>0</v>
      </c>
      <c r="X133" s="38">
        <v>3.3044600000000002</v>
      </c>
      <c r="Y133" s="38">
        <f t="shared" si="25"/>
        <v>3.5</v>
      </c>
      <c r="Z133" s="38">
        <v>0</v>
      </c>
      <c r="AA133" s="38">
        <v>0</v>
      </c>
      <c r="AB133" s="38">
        <v>1.7000000000000002</v>
      </c>
      <c r="AC133" s="38">
        <v>1.0709</v>
      </c>
      <c r="AD133" s="38">
        <v>205.67</v>
      </c>
      <c r="AE133" s="38">
        <v>4.2</v>
      </c>
      <c r="AF133" s="38">
        <v>3.6152775361057938</v>
      </c>
      <c r="AG133" s="38">
        <f t="shared" si="26"/>
        <v>3.6</v>
      </c>
      <c r="AH133" s="38">
        <v>1.45</v>
      </c>
      <c r="AI133" s="38">
        <v>2.5230555072211589E-2</v>
      </c>
      <c r="AJ133" s="38">
        <v>0</v>
      </c>
      <c r="AK133" s="38">
        <v>0</v>
      </c>
      <c r="AL133" s="38">
        <v>0</v>
      </c>
      <c r="AM133" s="38">
        <v>0</v>
      </c>
      <c r="AN133" s="41"/>
      <c r="AO133" s="41"/>
      <c r="AP133" s="73"/>
      <c r="AQ133" s="73"/>
      <c r="AR133" s="73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</row>
    <row r="134" spans="1:88" s="22" customFormat="1">
      <c r="A134" s="1">
        <v>1684</v>
      </c>
      <c r="B134" s="34" t="s">
        <v>2279</v>
      </c>
      <c r="C134" s="34">
        <v>421</v>
      </c>
      <c r="D134" s="8">
        <v>315</v>
      </c>
      <c r="E134" s="34">
        <v>100</v>
      </c>
      <c r="F134" s="34" t="s">
        <v>2284</v>
      </c>
      <c r="G134" s="58">
        <v>10880</v>
      </c>
      <c r="H134" s="58">
        <v>0</v>
      </c>
      <c r="I134" s="35">
        <v>10.88</v>
      </c>
      <c r="J134" s="9">
        <v>6</v>
      </c>
      <c r="K134" s="34" t="s">
        <v>96</v>
      </c>
      <c r="L134" s="10">
        <v>42226</v>
      </c>
      <c r="M134" s="9" t="s">
        <v>191</v>
      </c>
      <c r="N134" s="38">
        <v>1.675</v>
      </c>
      <c r="O134" s="38">
        <v>3.2</v>
      </c>
      <c r="P134" s="38">
        <v>2.875</v>
      </c>
      <c r="Q134" s="38">
        <v>3.15</v>
      </c>
      <c r="R134" s="38">
        <v>4.3558199999999996</v>
      </c>
      <c r="S134" s="38">
        <f t="shared" si="24"/>
        <v>4.5</v>
      </c>
      <c r="T134" s="38">
        <v>2.5499999999999998</v>
      </c>
      <c r="U134" s="38">
        <v>2.2250000000000001</v>
      </c>
      <c r="V134" s="38">
        <v>1.425</v>
      </c>
      <c r="W134" s="38">
        <v>4.7</v>
      </c>
      <c r="X134" s="38">
        <v>22.648</v>
      </c>
      <c r="Y134" s="38">
        <f t="shared" si="25"/>
        <v>22.5</v>
      </c>
      <c r="Z134" s="38">
        <v>0</v>
      </c>
      <c r="AA134" s="38">
        <v>0</v>
      </c>
      <c r="AB134" s="38">
        <v>10.88</v>
      </c>
      <c r="AC134" s="38">
        <v>1.3080099999999999</v>
      </c>
      <c r="AD134" s="38">
        <v>1375.38</v>
      </c>
      <c r="AE134" s="38">
        <v>0</v>
      </c>
      <c r="AF134" s="38">
        <f>(AD134+AE134*0.5)/(3.5*I134*1000)*100</f>
        <v>3.6118172268907558</v>
      </c>
      <c r="AG134" s="38">
        <f t="shared" si="26"/>
        <v>3.6</v>
      </c>
      <c r="AH134" s="38">
        <v>227.96</v>
      </c>
      <c r="AI134" s="38">
        <f>AH134/(3.5*I134*1000)*100</f>
        <v>0.59863445378151248</v>
      </c>
      <c r="AJ134" s="38">
        <v>462</v>
      </c>
      <c r="AK134" s="38">
        <f>AJ134/(3.5*I134*1000)*100</f>
        <v>1.213235294117647</v>
      </c>
      <c r="AL134" s="38">
        <v>0</v>
      </c>
      <c r="AM134" s="38">
        <f>AL134/(3.5*I134*1000)*100</f>
        <v>0</v>
      </c>
      <c r="AN134" s="25"/>
      <c r="AO134" s="25">
        <f>AE134*0.5</f>
        <v>0</v>
      </c>
      <c r="AP134" s="25">
        <f>(AD134+AH134+AJ134+AL134+AO134)*I134</f>
        <v>22470.899200000003</v>
      </c>
      <c r="AQ134" s="25">
        <f>SUM(N134:Q134)</f>
        <v>10.9</v>
      </c>
      <c r="AR134" s="25">
        <f>SUM(T134:W134)</f>
        <v>10.9</v>
      </c>
      <c r="AT134" s="41"/>
      <c r="AU134" s="41"/>
      <c r="AV134" s="41"/>
      <c r="AW134" s="41"/>
    </row>
    <row r="135" spans="1:88" s="22" customFormat="1">
      <c r="A135" s="1">
        <v>1130</v>
      </c>
      <c r="B135" s="9" t="s">
        <v>1513</v>
      </c>
      <c r="C135" s="34">
        <v>431</v>
      </c>
      <c r="D135" s="75">
        <v>3563</v>
      </c>
      <c r="E135" s="69">
        <v>100</v>
      </c>
      <c r="F135" s="34" t="s">
        <v>1571</v>
      </c>
      <c r="G135" s="58" t="s">
        <v>1572</v>
      </c>
      <c r="H135" s="58" t="s">
        <v>92</v>
      </c>
      <c r="I135" s="34">
        <v>0.115</v>
      </c>
      <c r="J135" s="5">
        <v>4</v>
      </c>
      <c r="K135" s="5" t="s">
        <v>96</v>
      </c>
      <c r="L135" s="18">
        <v>42282</v>
      </c>
      <c r="M135" s="9" t="s">
        <v>191</v>
      </c>
      <c r="N135" s="38">
        <v>2.5000000000000001E-2</v>
      </c>
      <c r="O135" s="38">
        <v>0.05</v>
      </c>
      <c r="P135" s="38">
        <v>7.4999999999999997E-2</v>
      </c>
      <c r="Q135" s="38">
        <v>0</v>
      </c>
      <c r="R135" s="38">
        <v>3.3483299999999998</v>
      </c>
      <c r="S135" s="38">
        <f t="shared" si="24"/>
        <v>3.5</v>
      </c>
      <c r="T135" s="38">
        <v>0.1</v>
      </c>
      <c r="U135" s="38">
        <v>0.05</v>
      </c>
      <c r="V135" s="38">
        <v>0</v>
      </c>
      <c r="W135" s="38">
        <v>0</v>
      </c>
      <c r="X135" s="38">
        <v>8.3650000000000002</v>
      </c>
      <c r="Y135" s="38">
        <f t="shared" si="25"/>
        <v>8.5</v>
      </c>
      <c r="Z135" s="38">
        <v>0</v>
      </c>
      <c r="AA135" s="38">
        <v>0</v>
      </c>
      <c r="AB135" s="38">
        <v>0.15000000000000002</v>
      </c>
      <c r="AC135" s="38">
        <v>1.1583300000000001</v>
      </c>
      <c r="AD135" s="38">
        <v>10.68</v>
      </c>
      <c r="AE135" s="38">
        <v>7.61</v>
      </c>
      <c r="AF135" s="38">
        <f>(AD135+AE135*0.5)/(3.5*I135*1000)*100</f>
        <v>3.5987577639751551</v>
      </c>
      <c r="AG135" s="38">
        <f t="shared" si="26"/>
        <v>3.6</v>
      </c>
      <c r="AH135" s="38">
        <v>2.3199999999999998</v>
      </c>
      <c r="AI135" s="38">
        <f>AH135/(3.5*I135*1000)*100</f>
        <v>0.57639751552795027</v>
      </c>
      <c r="AJ135" s="38">
        <v>0</v>
      </c>
      <c r="AK135" s="38">
        <f>AJ135/(3.5*I135*1000)*100</f>
        <v>0</v>
      </c>
      <c r="AL135" s="38">
        <v>0</v>
      </c>
      <c r="AM135" s="38">
        <f>AL135/(3.5*I135*1000)*100</f>
        <v>0</v>
      </c>
      <c r="AN135" s="41"/>
      <c r="AO135" s="114"/>
      <c r="AP135" s="73"/>
      <c r="AQ135" s="73"/>
    </row>
    <row r="136" spans="1:88" s="22" customFormat="1">
      <c r="A136" s="1">
        <v>2157</v>
      </c>
      <c r="B136" s="34" t="s">
        <v>2790</v>
      </c>
      <c r="C136" s="34">
        <v>331</v>
      </c>
      <c r="D136" s="209">
        <v>4281</v>
      </c>
      <c r="E136" s="211">
        <v>100</v>
      </c>
      <c r="F136" s="9" t="s">
        <v>2797</v>
      </c>
      <c r="G136" s="20">
        <v>0</v>
      </c>
      <c r="H136" s="210">
        <v>700</v>
      </c>
      <c r="I136" s="9">
        <v>0.7</v>
      </c>
      <c r="J136" s="9">
        <v>2</v>
      </c>
      <c r="K136" s="9" t="s">
        <v>238</v>
      </c>
      <c r="L136" s="18">
        <v>42304</v>
      </c>
      <c r="M136" s="9" t="s">
        <v>191</v>
      </c>
      <c r="N136" s="38">
        <v>0.25</v>
      </c>
      <c r="O136" s="38">
        <v>0.2</v>
      </c>
      <c r="P136" s="38">
        <v>7.4999999999999997E-2</v>
      </c>
      <c r="Q136" s="38">
        <v>2.5000000000000001E-2</v>
      </c>
      <c r="R136" s="38">
        <v>2.8618199999999998</v>
      </c>
      <c r="S136" s="38">
        <f t="shared" si="24"/>
        <v>3</v>
      </c>
      <c r="T136" s="38">
        <v>0.55000000000000004</v>
      </c>
      <c r="U136" s="38">
        <v>0</v>
      </c>
      <c r="V136" s="38">
        <v>0</v>
      </c>
      <c r="W136" s="38">
        <v>0</v>
      </c>
      <c r="X136" s="38">
        <v>1.6455900000000001</v>
      </c>
      <c r="Y136" s="38">
        <f t="shared" si="25"/>
        <v>1.5</v>
      </c>
      <c r="Z136" s="38">
        <v>0</v>
      </c>
      <c r="AA136" s="38">
        <v>0</v>
      </c>
      <c r="AB136" s="38">
        <v>0.55000000000000004</v>
      </c>
      <c r="AC136" s="38">
        <v>1.33118</v>
      </c>
      <c r="AD136" s="38">
        <v>81.349999999999994</v>
      </c>
      <c r="AE136" s="38">
        <v>13.24</v>
      </c>
      <c r="AF136" s="38">
        <f>(AD136+AE136*0.5)/(3.5*I136*1000)*100</f>
        <v>3.5906122448979594</v>
      </c>
      <c r="AG136" s="38">
        <f t="shared" si="26"/>
        <v>3.6</v>
      </c>
      <c r="AH136" s="38">
        <v>99.37</v>
      </c>
      <c r="AI136" s="38">
        <f>AH136/(3.5*I136*1000)*100</f>
        <v>4.0559183673469397</v>
      </c>
      <c r="AJ136" s="38">
        <v>0</v>
      </c>
      <c r="AK136" s="38">
        <f>AJ136/(3.5*I136*1000)*100</f>
        <v>0</v>
      </c>
      <c r="AL136" s="38">
        <v>0</v>
      </c>
      <c r="AM136" s="38">
        <f>AL136/(3.5*I136*1000)*100</f>
        <v>0</v>
      </c>
      <c r="AN136" s="25"/>
      <c r="AO136" s="25"/>
    </row>
    <row r="137" spans="1:88" s="22" customFormat="1">
      <c r="A137" s="1">
        <v>101</v>
      </c>
      <c r="B137" s="4" t="s">
        <v>61</v>
      </c>
      <c r="C137" s="14">
        <v>526</v>
      </c>
      <c r="D137" s="19">
        <v>1340</v>
      </c>
      <c r="E137" s="16">
        <v>100</v>
      </c>
      <c r="F137" s="14" t="s">
        <v>75</v>
      </c>
      <c r="G137" s="27" t="s">
        <v>92</v>
      </c>
      <c r="H137" s="27" t="s">
        <v>164</v>
      </c>
      <c r="I137" s="28">
        <v>1.2310000000000001</v>
      </c>
      <c r="J137" s="16">
        <v>2</v>
      </c>
      <c r="K137" s="14" t="s">
        <v>238</v>
      </c>
      <c r="L137" s="29">
        <v>42243</v>
      </c>
      <c r="M137" s="14" t="s">
        <v>191</v>
      </c>
      <c r="N137" s="30">
        <v>0</v>
      </c>
      <c r="O137" s="30">
        <v>0.03</v>
      </c>
      <c r="P137" s="30">
        <v>0.08</v>
      </c>
      <c r="Q137" s="30">
        <v>1.1200000000000001</v>
      </c>
      <c r="R137" s="30">
        <v>7.9293300000000002</v>
      </c>
      <c r="S137" s="38">
        <f t="shared" si="24"/>
        <v>8</v>
      </c>
      <c r="T137" s="30">
        <v>0.68</v>
      </c>
      <c r="U137" s="30">
        <v>0.27</v>
      </c>
      <c r="V137" s="30">
        <v>0.08</v>
      </c>
      <c r="W137" s="30">
        <v>0.19</v>
      </c>
      <c r="X137" s="30">
        <v>10.9244</v>
      </c>
      <c r="Y137" s="38">
        <f t="shared" si="25"/>
        <v>11</v>
      </c>
      <c r="Z137" s="30">
        <v>0</v>
      </c>
      <c r="AA137" s="30">
        <v>0</v>
      </c>
      <c r="AB137" s="30">
        <v>1.23</v>
      </c>
      <c r="AC137" s="30">
        <v>2.0624699999999998</v>
      </c>
      <c r="AD137" s="30">
        <v>147.321</v>
      </c>
      <c r="AE137" s="30">
        <v>14.62</v>
      </c>
      <c r="AF137" s="30">
        <f>(AD137+AE137*0.5)/(3.5*I137*1000)*100</f>
        <v>3.5889752814204479</v>
      </c>
      <c r="AG137" s="38">
        <f t="shared" si="26"/>
        <v>3.6</v>
      </c>
      <c r="AH137" s="30">
        <v>18.32</v>
      </c>
      <c r="AI137" s="30">
        <f>AH137/(3.5*I137*1000)*100</f>
        <v>0.4252059881629337</v>
      </c>
      <c r="AJ137" s="30">
        <v>2.36</v>
      </c>
      <c r="AK137" s="30">
        <f>AJ137/(3.5*I137*1000)*100</f>
        <v>5.4775443889984912E-2</v>
      </c>
      <c r="AL137" s="30">
        <v>0</v>
      </c>
      <c r="AM137" s="30">
        <f>AL137/(3.5*I137*1000)*100</f>
        <v>0</v>
      </c>
      <c r="AO137" s="25"/>
      <c r="AP137" s="25">
        <f>N137+O137+P137+Q137</f>
        <v>1.2300000000000002</v>
      </c>
      <c r="AQ137" s="25">
        <f>T137+U137+V137+W137</f>
        <v>1.22</v>
      </c>
      <c r="AR137" s="25">
        <f>Z137+AA137+AB137</f>
        <v>1.23</v>
      </c>
      <c r="AT137" s="22">
        <f>I137/AP137</f>
        <v>1.0008130081300812</v>
      </c>
      <c r="AU137" s="22">
        <f>I137/AQ137</f>
        <v>1.0090163934426231</v>
      </c>
      <c r="AV137" s="22">
        <f>I137/AR137</f>
        <v>1.0008130081300814</v>
      </c>
    </row>
    <row r="138" spans="1:88" s="22" customFormat="1">
      <c r="A138" s="1">
        <v>563</v>
      </c>
      <c r="B138" s="34" t="s">
        <v>948</v>
      </c>
      <c r="C138" s="34">
        <v>551</v>
      </c>
      <c r="D138" s="34">
        <v>2302</v>
      </c>
      <c r="E138" s="34">
        <v>101</v>
      </c>
      <c r="F138" s="9" t="s">
        <v>964</v>
      </c>
      <c r="G138" s="20" t="s">
        <v>92</v>
      </c>
      <c r="H138" s="20">
        <v>3320</v>
      </c>
      <c r="I138" s="35">
        <v>3.2</v>
      </c>
      <c r="J138" s="71">
        <v>2</v>
      </c>
      <c r="K138" s="34" t="s">
        <v>238</v>
      </c>
      <c r="L138" s="10">
        <v>42224</v>
      </c>
      <c r="M138" s="9" t="s">
        <v>191</v>
      </c>
      <c r="N138" s="38">
        <v>1.93</v>
      </c>
      <c r="O138" s="38">
        <v>0.88</v>
      </c>
      <c r="P138" s="38">
        <v>0.23</v>
      </c>
      <c r="Q138" s="38">
        <v>0.18</v>
      </c>
      <c r="R138" s="38">
        <v>2.7149999999999999</v>
      </c>
      <c r="S138" s="38">
        <f t="shared" si="24"/>
        <v>2.5</v>
      </c>
      <c r="T138" s="38">
        <v>3.1</v>
      </c>
      <c r="U138" s="38">
        <v>0.1</v>
      </c>
      <c r="V138" s="38">
        <v>0</v>
      </c>
      <c r="W138" s="38">
        <v>0</v>
      </c>
      <c r="X138" s="38">
        <v>3.47</v>
      </c>
      <c r="Y138" s="38">
        <f t="shared" si="25"/>
        <v>3.5</v>
      </c>
      <c r="Z138" s="38">
        <v>0</v>
      </c>
      <c r="AA138" s="38">
        <v>0</v>
      </c>
      <c r="AB138" s="38">
        <f>T138+U138+V138+W138</f>
        <v>3.2</v>
      </c>
      <c r="AC138" s="38">
        <v>1.2689999999999999</v>
      </c>
      <c r="AD138" s="38">
        <v>395</v>
      </c>
      <c r="AE138" s="38">
        <v>8.34</v>
      </c>
      <c r="AF138" s="38">
        <f>(AD138+AE138*0.5)/(3.5*I138*1000)*100</f>
        <v>3.5640178571428565</v>
      </c>
      <c r="AG138" s="38">
        <f t="shared" si="26"/>
        <v>3.6</v>
      </c>
      <c r="AH138" s="38">
        <v>255</v>
      </c>
      <c r="AI138" s="38">
        <f>AH138/(3.5*I138*1000)*100</f>
        <v>2.276785714285714</v>
      </c>
      <c r="AJ138" s="38">
        <v>0</v>
      </c>
      <c r="AK138" s="38">
        <f>AJ138/(3.5*I138*1000)*100</f>
        <v>0</v>
      </c>
      <c r="AL138" s="38">
        <v>46</v>
      </c>
      <c r="AM138" s="38">
        <f>AL138/(3.5*I138*1000)*100</f>
        <v>0.41071428571428559</v>
      </c>
      <c r="AN138" s="25"/>
      <c r="AO138" s="25">
        <f>AE138*0.5</f>
        <v>4.17</v>
      </c>
      <c r="AP138" s="25">
        <f>(AD138+AH138+AJ138+AL138+AO138)*I138</f>
        <v>2240.5439999999999</v>
      </c>
      <c r="AQ138" s="25">
        <f>SUM(N138:Q138)</f>
        <v>3.22</v>
      </c>
      <c r="AR138" s="25">
        <f>SUM(T138:W138)</f>
        <v>3.2</v>
      </c>
      <c r="AS138" s="268">
        <v>3.2</v>
      </c>
      <c r="AT138" s="41"/>
      <c r="AU138" s="41">
        <f>SUM(N138:Q138)</f>
        <v>3.22</v>
      </c>
      <c r="AV138" s="41">
        <f>SUM(T138:W138)</f>
        <v>3.2</v>
      </c>
      <c r="AW138" s="41">
        <f>SUM(Z138:AB138)</f>
        <v>3.2</v>
      </c>
      <c r="AY138" s="22">
        <f>I138/AU138</f>
        <v>0.99378881987577639</v>
      </c>
      <c r="AZ138" s="22">
        <f>I138/AV138</f>
        <v>1</v>
      </c>
      <c r="BA138" s="22">
        <f>I138/AW138</f>
        <v>1</v>
      </c>
    </row>
    <row r="139" spans="1:88" s="22" customFormat="1">
      <c r="A139" s="1">
        <v>1401</v>
      </c>
      <c r="B139" s="34" t="s">
        <v>1940</v>
      </c>
      <c r="C139" s="34">
        <v>446</v>
      </c>
      <c r="D139" s="75">
        <v>3583</v>
      </c>
      <c r="E139" s="69">
        <v>100</v>
      </c>
      <c r="F139" s="34" t="s">
        <v>1956</v>
      </c>
      <c r="G139" s="20">
        <v>365</v>
      </c>
      <c r="H139" s="20">
        <v>0</v>
      </c>
      <c r="I139" s="21">
        <v>0.36499999999999999</v>
      </c>
      <c r="J139" s="8">
        <v>4</v>
      </c>
      <c r="K139" s="34" t="s">
        <v>96</v>
      </c>
      <c r="L139" s="10">
        <v>42220</v>
      </c>
      <c r="M139" s="37" t="s">
        <v>191</v>
      </c>
      <c r="N139" s="38">
        <v>0.19</v>
      </c>
      <c r="O139" s="38">
        <v>0.05</v>
      </c>
      <c r="P139" s="38">
        <v>0.05</v>
      </c>
      <c r="Q139" s="38">
        <v>7.0000000000000007E-2</v>
      </c>
      <c r="R139" s="38">
        <v>6.9206700000000003</v>
      </c>
      <c r="S139" s="38">
        <f t="shared" si="24"/>
        <v>7</v>
      </c>
      <c r="T139" s="38">
        <v>0.36</v>
      </c>
      <c r="U139" s="38">
        <v>0</v>
      </c>
      <c r="V139" s="38">
        <v>0</v>
      </c>
      <c r="W139" s="38">
        <v>0</v>
      </c>
      <c r="X139" s="38">
        <v>3.4398</v>
      </c>
      <c r="Y139" s="38">
        <f t="shared" si="25"/>
        <v>3.5</v>
      </c>
      <c r="Z139" s="38">
        <v>0</v>
      </c>
      <c r="AA139" s="38">
        <v>0</v>
      </c>
      <c r="AB139" s="11">
        <v>0.37</v>
      </c>
      <c r="AC139" s="38">
        <v>1.1603600000000001</v>
      </c>
      <c r="AD139" s="39">
        <v>42.5</v>
      </c>
      <c r="AE139" s="38">
        <v>5.55</v>
      </c>
      <c r="AF139" s="38">
        <v>3.5440313111545994</v>
      </c>
      <c r="AG139" s="38">
        <f t="shared" si="26"/>
        <v>3.5</v>
      </c>
      <c r="AH139" s="38">
        <v>54.2</v>
      </c>
      <c r="AI139" s="38">
        <v>4.2426614481409013</v>
      </c>
      <c r="AJ139" s="38">
        <v>0</v>
      </c>
      <c r="AK139" s="38">
        <v>0</v>
      </c>
      <c r="AL139" s="38">
        <v>1.891</v>
      </c>
      <c r="AM139" s="38">
        <v>0.14802348336594914</v>
      </c>
      <c r="AN139" s="12"/>
      <c r="AO139" s="1"/>
      <c r="AP139" s="12">
        <f>SUM(N139:Q139)</f>
        <v>0.36</v>
      </c>
      <c r="AQ139" s="12">
        <f>SUM(T139:W139)</f>
        <v>0.36</v>
      </c>
      <c r="AR139" s="12">
        <f>SUM(Z139:AB139)</f>
        <v>0.37</v>
      </c>
      <c r="AS139" s="1"/>
      <c r="AT139" s="1">
        <f>I139/AP139</f>
        <v>1.0138888888888888</v>
      </c>
      <c r="AU139" s="1">
        <f>I139/AQ139</f>
        <v>1.0138888888888888</v>
      </c>
      <c r="AV139" s="1">
        <f>I139/AR139</f>
        <v>0.98648648648648651</v>
      </c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</row>
    <row r="140" spans="1:88" s="22" customFormat="1" ht="23.25" customHeight="1">
      <c r="A140" s="1">
        <v>304</v>
      </c>
      <c r="B140" s="34" t="s">
        <v>529</v>
      </c>
      <c r="C140" s="34">
        <v>643</v>
      </c>
      <c r="D140" s="34">
        <v>2094</v>
      </c>
      <c r="E140" s="34">
        <v>200</v>
      </c>
      <c r="F140" s="34" t="s">
        <v>535</v>
      </c>
      <c r="G140" s="58" t="s">
        <v>536</v>
      </c>
      <c r="H140" s="58" t="s">
        <v>537</v>
      </c>
      <c r="I140" s="35">
        <v>17.599</v>
      </c>
      <c r="J140" s="62">
        <v>2</v>
      </c>
      <c r="K140" s="34" t="s">
        <v>12</v>
      </c>
      <c r="L140" s="10">
        <v>42163</v>
      </c>
      <c r="M140" s="37" t="s">
        <v>191</v>
      </c>
      <c r="N140" s="38">
        <v>10</v>
      </c>
      <c r="O140" s="38">
        <v>5</v>
      </c>
      <c r="P140" s="38">
        <v>1.875</v>
      </c>
      <c r="Q140" s="38">
        <v>0.625</v>
      </c>
      <c r="R140" s="38">
        <v>2.7221099999999998</v>
      </c>
      <c r="S140" s="38">
        <f t="shared" si="24"/>
        <v>2.5</v>
      </c>
      <c r="T140" s="38">
        <v>16.45</v>
      </c>
      <c r="U140" s="38">
        <v>0.92500000000000004</v>
      </c>
      <c r="V140" s="38">
        <v>0.125</v>
      </c>
      <c r="W140" s="38">
        <v>0</v>
      </c>
      <c r="X140" s="38">
        <v>3.5813100000000002</v>
      </c>
      <c r="Y140" s="38">
        <f t="shared" si="25"/>
        <v>3.5</v>
      </c>
      <c r="Z140" s="38">
        <v>0</v>
      </c>
      <c r="AA140" s="38">
        <v>0</v>
      </c>
      <c r="AB140" s="38">
        <f>T140+U140+V140+W140</f>
        <v>17.5</v>
      </c>
      <c r="AC140" s="38">
        <v>1.12077</v>
      </c>
      <c r="AD140" s="39">
        <v>738</v>
      </c>
      <c r="AE140" s="39">
        <v>2875</v>
      </c>
      <c r="AF140" s="38">
        <v>3.53186</v>
      </c>
      <c r="AG140" s="38">
        <f t="shared" si="26"/>
        <v>3.5</v>
      </c>
      <c r="AH140" s="39">
        <v>0</v>
      </c>
      <c r="AI140" s="38">
        <v>0</v>
      </c>
      <c r="AJ140" s="39">
        <v>3.53</v>
      </c>
      <c r="AK140" s="38">
        <v>5.731E-3</v>
      </c>
      <c r="AL140" s="39">
        <v>0</v>
      </c>
      <c r="AM140" s="38">
        <v>0</v>
      </c>
      <c r="AN140" s="25"/>
      <c r="AO140" s="25"/>
      <c r="AP140" s="25">
        <f>AE140*0.5</f>
        <v>1437.5</v>
      </c>
      <c r="AQ140" s="25">
        <f>(AD140+AH140+AJ140+AL140+AP140)*I140</f>
        <v>38348.748969999993</v>
      </c>
      <c r="AR140" s="25">
        <f>SUM(N140:Q140)</f>
        <v>17.5</v>
      </c>
      <c r="AS140" s="25">
        <f>SUM(T140:W140)</f>
        <v>17.5</v>
      </c>
      <c r="AU140" s="41">
        <f>SUM(N140:Q140)</f>
        <v>17.5</v>
      </c>
      <c r="AV140" s="41">
        <f>SUM(T140:W140)</f>
        <v>17.5</v>
      </c>
      <c r="AW140" s="41">
        <f>SUM(Z140:AB140)</f>
        <v>17.5</v>
      </c>
      <c r="AY140" s="22">
        <f>I140/AU140</f>
        <v>1.0056571428571428</v>
      </c>
      <c r="AZ140" s="22">
        <f>I140/AV140</f>
        <v>1.0056571428571428</v>
      </c>
      <c r="BA140" s="22">
        <f>I140/AW140</f>
        <v>1.0056571428571428</v>
      </c>
    </row>
    <row r="141" spans="1:88" s="22" customFormat="1" ht="23.25" customHeight="1">
      <c r="A141" s="1">
        <v>1896</v>
      </c>
      <c r="B141" s="34" t="s">
        <v>2528</v>
      </c>
      <c r="C141" s="34">
        <v>336</v>
      </c>
      <c r="D141" s="75">
        <v>3231</v>
      </c>
      <c r="E141" s="8">
        <v>100</v>
      </c>
      <c r="F141" s="9" t="s">
        <v>2535</v>
      </c>
      <c r="G141" s="20" t="s">
        <v>92</v>
      </c>
      <c r="H141" s="20" t="s">
        <v>2536</v>
      </c>
      <c r="I141" s="21">
        <v>28.629000000000001</v>
      </c>
      <c r="J141" s="8">
        <v>2</v>
      </c>
      <c r="K141" s="8" t="s">
        <v>238</v>
      </c>
      <c r="L141" s="18">
        <v>42089</v>
      </c>
      <c r="M141" s="247" t="s">
        <v>191</v>
      </c>
      <c r="N141" s="26">
        <v>16.27</v>
      </c>
      <c r="O141" s="26">
        <v>5.57</v>
      </c>
      <c r="P141" s="26">
        <v>3.61</v>
      </c>
      <c r="Q141" s="26">
        <v>3.18</v>
      </c>
      <c r="R141" s="26">
        <v>2.8639600000000001</v>
      </c>
      <c r="S141" s="38">
        <f t="shared" si="24"/>
        <v>3</v>
      </c>
      <c r="T141" s="26">
        <v>24.88</v>
      </c>
      <c r="U141" s="26">
        <v>2.4300000000000002</v>
      </c>
      <c r="V141" s="26">
        <v>0.67</v>
      </c>
      <c r="W141" s="26">
        <v>0.64</v>
      </c>
      <c r="X141" s="26">
        <v>5.9870799999999997</v>
      </c>
      <c r="Y141" s="38">
        <f t="shared" si="25"/>
        <v>6</v>
      </c>
      <c r="Z141" s="11">
        <v>0</v>
      </c>
      <c r="AA141" s="11">
        <v>0</v>
      </c>
      <c r="AB141" s="11">
        <v>28.63</v>
      </c>
      <c r="AC141" s="11">
        <v>1.1939299999999999</v>
      </c>
      <c r="AD141" s="164">
        <v>3505.31</v>
      </c>
      <c r="AE141" s="11">
        <v>53.3</v>
      </c>
      <c r="AF141" s="38">
        <f>(AD141+AE141*0.5)/(3.5*I141*1000)*100</f>
        <v>3.5248574123141863</v>
      </c>
      <c r="AG141" s="38">
        <f t="shared" si="26"/>
        <v>3.5</v>
      </c>
      <c r="AH141" s="38">
        <v>155.96</v>
      </c>
      <c r="AI141" s="38">
        <f>AH141/(3.5*I141*1000)*100</f>
        <v>0.15564637255929301</v>
      </c>
      <c r="AJ141" s="38">
        <v>597.46</v>
      </c>
      <c r="AK141" s="38">
        <f>AJ141/(3.5*I141*1000)*100</f>
        <v>0.59625853904382664</v>
      </c>
      <c r="AL141" s="38">
        <v>11.09</v>
      </c>
      <c r="AM141" s="38">
        <f>AL141/(3.5*I141*1000)*100</f>
        <v>1.1067698587346495E-2</v>
      </c>
      <c r="AN141" s="1"/>
      <c r="AO141" s="1"/>
      <c r="AQ141" s="41">
        <f>SUM(N141:Q141)</f>
        <v>28.63</v>
      </c>
      <c r="AR141" s="41">
        <f>SUM(T141:W141)</f>
        <v>28.62</v>
      </c>
      <c r="AS141" s="12">
        <f>SUM(Z141:AB141)</f>
        <v>28.63</v>
      </c>
      <c r="AT141" s="1"/>
      <c r="AU141" s="1">
        <f>I141/AQ141</f>
        <v>0.99996507160321346</v>
      </c>
      <c r="AV141" s="1">
        <f>I141/AR141</f>
        <v>1.000314465408805</v>
      </c>
      <c r="AW141" s="1">
        <f>I141/AS141</f>
        <v>0.99996507160321346</v>
      </c>
    </row>
    <row r="142" spans="1:88" s="22" customFormat="1">
      <c r="A142" s="1">
        <v>1424</v>
      </c>
      <c r="B142" s="34" t="s">
        <v>1957</v>
      </c>
      <c r="C142" s="34">
        <v>447</v>
      </c>
      <c r="D142" s="75">
        <v>3438</v>
      </c>
      <c r="E142" s="69">
        <v>102</v>
      </c>
      <c r="F142" s="184" t="s">
        <v>1976</v>
      </c>
      <c r="G142" s="20" t="s">
        <v>1977</v>
      </c>
      <c r="H142" s="20" t="s">
        <v>1978</v>
      </c>
      <c r="I142" s="21">
        <v>2</v>
      </c>
      <c r="J142" s="8">
        <v>2</v>
      </c>
      <c r="K142" s="34" t="s">
        <v>238</v>
      </c>
      <c r="L142" s="10">
        <v>42216</v>
      </c>
      <c r="M142" s="37" t="s">
        <v>191</v>
      </c>
      <c r="N142" s="38">
        <v>0.6</v>
      </c>
      <c r="O142" s="38">
        <v>0.75</v>
      </c>
      <c r="P142" s="38">
        <v>0.6</v>
      </c>
      <c r="Q142" s="38">
        <v>0.1</v>
      </c>
      <c r="R142" s="38">
        <v>3.2711000000000001</v>
      </c>
      <c r="S142" s="38">
        <f t="shared" si="24"/>
        <v>3.5</v>
      </c>
      <c r="T142" s="38">
        <v>2.0249999999999999</v>
      </c>
      <c r="U142" s="38">
        <v>2.5000000000000001E-2</v>
      </c>
      <c r="V142" s="38">
        <v>0</v>
      </c>
      <c r="W142" s="38">
        <v>0</v>
      </c>
      <c r="X142" s="11">
        <v>3.38401</v>
      </c>
      <c r="Y142" s="38">
        <f t="shared" si="25"/>
        <v>3.5</v>
      </c>
      <c r="Z142" s="38">
        <v>0</v>
      </c>
      <c r="AA142" s="38">
        <v>0</v>
      </c>
      <c r="AB142" s="38">
        <v>2.0500000000000003</v>
      </c>
      <c r="AC142" s="11">
        <v>1.37913</v>
      </c>
      <c r="AD142" s="39">
        <v>232.53</v>
      </c>
      <c r="AE142" s="38">
        <v>25.664999999999999</v>
      </c>
      <c r="AF142" s="38">
        <v>3.5051785714285715</v>
      </c>
      <c r="AG142" s="38">
        <f t="shared" si="26"/>
        <v>3.5</v>
      </c>
      <c r="AH142" s="38">
        <v>44.64</v>
      </c>
      <c r="AI142" s="38">
        <f>AH142/(3.5*I142*1000)*100</f>
        <v>0.63771428571428568</v>
      </c>
      <c r="AJ142" s="38">
        <v>0</v>
      </c>
      <c r="AK142" s="38">
        <f>AJ142/(3.5*I142*1000)*100</f>
        <v>0</v>
      </c>
      <c r="AL142" s="38">
        <v>0</v>
      </c>
      <c r="AM142" s="38">
        <f>AL142/(3.5*I142*1000)*100</f>
        <v>0</v>
      </c>
      <c r="AN142" s="41"/>
    </row>
    <row r="143" spans="1:88" s="22" customFormat="1">
      <c r="A143" s="1">
        <v>188</v>
      </c>
      <c r="B143" s="34" t="s">
        <v>332</v>
      </c>
      <c r="C143" s="34">
        <v>533</v>
      </c>
      <c r="D143" s="34">
        <v>1378</v>
      </c>
      <c r="E143" s="34">
        <v>100</v>
      </c>
      <c r="F143" s="34" t="s">
        <v>376</v>
      </c>
      <c r="G143" s="20" t="s">
        <v>92</v>
      </c>
      <c r="H143" s="20" t="s">
        <v>377</v>
      </c>
      <c r="I143" s="35">
        <v>12.925000000000001</v>
      </c>
      <c r="J143" s="36">
        <v>2</v>
      </c>
      <c r="K143" s="34" t="s">
        <v>238</v>
      </c>
      <c r="L143" s="10">
        <v>42202</v>
      </c>
      <c r="M143" s="37" t="s">
        <v>191</v>
      </c>
      <c r="N143" s="38">
        <v>0.53</v>
      </c>
      <c r="O143" s="38">
        <v>3.07</v>
      </c>
      <c r="P143" s="38">
        <v>4.57</v>
      </c>
      <c r="Q143" s="38">
        <v>4.75</v>
      </c>
      <c r="R143" s="38">
        <v>5.0119999999999996</v>
      </c>
      <c r="S143" s="38">
        <f t="shared" si="24"/>
        <v>5</v>
      </c>
      <c r="T143" s="38">
        <v>9.1300000000000008</v>
      </c>
      <c r="U143" s="38">
        <v>2.42</v>
      </c>
      <c r="V143" s="38">
        <v>0.75</v>
      </c>
      <c r="W143" s="38">
        <v>0.63</v>
      </c>
      <c r="X143" s="38">
        <v>8.7100000000000009</v>
      </c>
      <c r="Y143" s="38">
        <f t="shared" si="25"/>
        <v>8.5</v>
      </c>
      <c r="Z143" s="38">
        <v>0</v>
      </c>
      <c r="AA143" s="38">
        <v>0</v>
      </c>
      <c r="AB143" s="38">
        <v>12.93</v>
      </c>
      <c r="AC143" s="38">
        <v>2.2909999999999999</v>
      </c>
      <c r="AD143" s="39">
        <v>1122.7</v>
      </c>
      <c r="AE143" s="38">
        <v>915</v>
      </c>
      <c r="AF143" s="38">
        <f>(AD143+AE143*0.5)/(3.5*I143*1000)*100</f>
        <v>3.4931196463111354</v>
      </c>
      <c r="AG143" s="38">
        <f t="shared" si="26"/>
        <v>3.5</v>
      </c>
      <c r="AH143" s="38">
        <v>0</v>
      </c>
      <c r="AI143" s="38">
        <f>AH143/(3.5*I143*1000)*100</f>
        <v>0</v>
      </c>
      <c r="AJ143" s="38">
        <v>0</v>
      </c>
      <c r="AK143" s="38">
        <f>AJ143/(3.5*I143*1000)*100</f>
        <v>0</v>
      </c>
      <c r="AL143" s="38">
        <v>0</v>
      </c>
      <c r="AM143" s="38">
        <f>AL143/(3.5*I143*1000)*100</f>
        <v>0</v>
      </c>
      <c r="AN143" s="25"/>
      <c r="AO143" s="25">
        <f>AE143*0.5</f>
        <v>457.5</v>
      </c>
      <c r="AP143" s="25">
        <f>(AD143+AH143+AJ143+AL143+AO143)*I143</f>
        <v>20424.085000000003</v>
      </c>
      <c r="AQ143" s="25"/>
      <c r="AR143" s="25">
        <f>SUM(N143:Q143)</f>
        <v>12.92</v>
      </c>
      <c r="AS143" s="25">
        <f>SUM(T143:W143)</f>
        <v>12.930000000000001</v>
      </c>
      <c r="AU143" s="41">
        <f>SUM(N143:Q143)</f>
        <v>12.92</v>
      </c>
      <c r="AV143" s="41">
        <f>SUM(T143:W143)</f>
        <v>12.930000000000001</v>
      </c>
      <c r="AW143" s="41">
        <f>SUM(Z143:AB143)</f>
        <v>12.93</v>
      </c>
      <c r="AX143" s="41"/>
      <c r="AY143" s="22">
        <f>I143/AU143</f>
        <v>1.0003869969040249</v>
      </c>
      <c r="AZ143" s="22">
        <f>I143/AV143</f>
        <v>0.99961330239752511</v>
      </c>
      <c r="BA143" s="22">
        <f>I143/AW143</f>
        <v>0.99961330239752522</v>
      </c>
    </row>
    <row r="144" spans="1:88" s="22" customFormat="1">
      <c r="A144" s="1">
        <v>237</v>
      </c>
      <c r="B144" s="34" t="s">
        <v>436</v>
      </c>
      <c r="C144" s="34">
        <v>537</v>
      </c>
      <c r="D144" s="34">
        <v>1152</v>
      </c>
      <c r="E144" s="34">
        <v>201</v>
      </c>
      <c r="F144" s="34" t="s">
        <v>453</v>
      </c>
      <c r="G144" s="20">
        <v>19000</v>
      </c>
      <c r="H144" s="20">
        <v>39500</v>
      </c>
      <c r="I144" s="35">
        <v>20.5</v>
      </c>
      <c r="J144" s="33">
        <v>2</v>
      </c>
      <c r="K144" s="34" t="s">
        <v>12</v>
      </c>
      <c r="L144" s="10">
        <v>42198</v>
      </c>
      <c r="M144" s="37" t="s">
        <v>191</v>
      </c>
      <c r="N144" s="38">
        <v>11.7</v>
      </c>
      <c r="O144" s="38">
        <v>5.53</v>
      </c>
      <c r="P144" s="38">
        <v>2.38</v>
      </c>
      <c r="Q144" s="38">
        <v>0.9</v>
      </c>
      <c r="R144" s="38">
        <v>2.6645699999999999</v>
      </c>
      <c r="S144" s="38">
        <f t="shared" si="24"/>
        <v>2.5</v>
      </c>
      <c r="T144" s="38">
        <v>19.43</v>
      </c>
      <c r="U144" s="38">
        <v>0.85</v>
      </c>
      <c r="V144" s="38">
        <v>0.2</v>
      </c>
      <c r="W144" s="38">
        <v>0.03</v>
      </c>
      <c r="X144" s="38">
        <v>4.30593</v>
      </c>
      <c r="Y144" s="38">
        <f t="shared" si="25"/>
        <v>4.5</v>
      </c>
      <c r="Z144" s="38">
        <v>0</v>
      </c>
      <c r="AA144" s="38">
        <v>0</v>
      </c>
      <c r="AB144" s="38">
        <v>20.5</v>
      </c>
      <c r="AC144" s="38">
        <v>1.1075299999999999</v>
      </c>
      <c r="AD144" s="39">
        <v>2382</v>
      </c>
      <c r="AE144" s="38">
        <v>6.34</v>
      </c>
      <c r="AF144" s="38">
        <v>3.3242787456445995</v>
      </c>
      <c r="AG144" s="38">
        <f t="shared" si="26"/>
        <v>3.3</v>
      </c>
      <c r="AH144" s="38">
        <v>398</v>
      </c>
      <c r="AI144" s="38">
        <v>0.55470383275261326</v>
      </c>
      <c r="AJ144" s="38">
        <v>77</v>
      </c>
      <c r="AK144" s="55">
        <v>0.10731707317073172</v>
      </c>
      <c r="AL144" s="55">
        <v>9</v>
      </c>
      <c r="AM144" s="55">
        <v>1.2543554006968643E-2</v>
      </c>
      <c r="AN144" s="40"/>
      <c r="AO144" s="25">
        <f>SUM(N144:Q144)</f>
        <v>20.509999999999998</v>
      </c>
      <c r="AP144" s="25">
        <f>SUM(T144:W144)</f>
        <v>20.51</v>
      </c>
      <c r="AQ144" s="268">
        <v>20.5</v>
      </c>
      <c r="AR144" s="41"/>
      <c r="AS144" s="41"/>
      <c r="AT144" s="41"/>
      <c r="AU144" s="41">
        <f>SUM(N144:Q144)</f>
        <v>20.509999999999998</v>
      </c>
      <c r="AV144" s="41">
        <f>SUM(T144:W144)</f>
        <v>20.51</v>
      </c>
      <c r="AW144" s="41">
        <f>SUM(Z144:AB144)</f>
        <v>20.5</v>
      </c>
      <c r="AY144" s="22">
        <f>I144/AU144</f>
        <v>0.99951243295953207</v>
      </c>
      <c r="AZ144" s="22">
        <f>I144/AV144</f>
        <v>0.99951243295953185</v>
      </c>
      <c r="BA144" s="22">
        <f>I144/AW144</f>
        <v>1</v>
      </c>
    </row>
    <row r="145" spans="1:88" s="22" customFormat="1">
      <c r="A145" s="1">
        <v>1932</v>
      </c>
      <c r="B145" s="34" t="s">
        <v>2559</v>
      </c>
      <c r="C145" s="34">
        <v>338</v>
      </c>
      <c r="D145" s="75">
        <v>3416</v>
      </c>
      <c r="E145" s="8">
        <v>100</v>
      </c>
      <c r="F145" s="9" t="s">
        <v>2578</v>
      </c>
      <c r="G145" s="20">
        <v>0</v>
      </c>
      <c r="H145" s="20">
        <v>11550</v>
      </c>
      <c r="I145" s="21">
        <v>11.55</v>
      </c>
      <c r="J145" s="8">
        <v>2</v>
      </c>
      <c r="K145" s="8" t="s">
        <v>238</v>
      </c>
      <c r="L145" s="18">
        <v>42096</v>
      </c>
      <c r="M145" s="247" t="s">
        <v>191</v>
      </c>
      <c r="N145" s="38">
        <v>9.26</v>
      </c>
      <c r="O145" s="38">
        <v>1</v>
      </c>
      <c r="P145" s="38">
        <v>0.45</v>
      </c>
      <c r="Q145" s="38">
        <v>0.85</v>
      </c>
      <c r="R145" s="38">
        <v>2.1209699999999998</v>
      </c>
      <c r="S145" s="38">
        <f t="shared" si="24"/>
        <v>2</v>
      </c>
      <c r="T145" s="38">
        <v>11.33</v>
      </c>
      <c r="U145" s="38">
        <v>0.17</v>
      </c>
      <c r="V145" s="38">
        <v>0.02</v>
      </c>
      <c r="W145" s="38">
        <v>0.02</v>
      </c>
      <c r="X145" s="38">
        <v>1.4897100000000001</v>
      </c>
      <c r="Y145" s="38">
        <f t="shared" si="25"/>
        <v>1.5</v>
      </c>
      <c r="Z145" s="38">
        <v>0</v>
      </c>
      <c r="AA145" s="38">
        <v>0</v>
      </c>
      <c r="AB145" s="38">
        <v>11.55</v>
      </c>
      <c r="AC145" s="38">
        <v>1.2693700000000001</v>
      </c>
      <c r="AD145" s="39">
        <v>500</v>
      </c>
      <c r="AE145" s="38">
        <v>1620.13</v>
      </c>
      <c r="AF145" s="38">
        <v>3.2407297464440314</v>
      </c>
      <c r="AG145" s="38">
        <f t="shared" si="26"/>
        <v>3.2</v>
      </c>
      <c r="AH145" s="38">
        <v>2.79</v>
      </c>
      <c r="AI145" s="38">
        <v>6.9016697588126143E-3</v>
      </c>
      <c r="AJ145" s="38">
        <v>27</v>
      </c>
      <c r="AK145" s="38">
        <v>6.6790352504638204E-2</v>
      </c>
      <c r="AL145" s="38">
        <v>0</v>
      </c>
      <c r="AM145" s="38">
        <f>AL145/(3.5*I145*1000)*100</f>
        <v>0</v>
      </c>
      <c r="AN145" s="41"/>
      <c r="AO145" s="73"/>
      <c r="AP145" s="41"/>
      <c r="AQ145" s="41">
        <f>SUM(N145:Q145)</f>
        <v>11.559999999999999</v>
      </c>
      <c r="AR145" s="41">
        <f>SUM(T145:W145)</f>
        <v>11.54</v>
      </c>
      <c r="AS145" s="12">
        <f>SUM(Z145:AB145)</f>
        <v>11.55</v>
      </c>
      <c r="AT145" s="1"/>
      <c r="AU145" s="1">
        <f>I145/AQ145</f>
        <v>0.99913494809688597</v>
      </c>
      <c r="AV145" s="1">
        <f>I145/AR145</f>
        <v>1.0008665511265167</v>
      </c>
      <c r="AW145" s="1">
        <f>I145/AS145</f>
        <v>1</v>
      </c>
      <c r="AX145" s="1">
        <f>AT145/I170</f>
        <v>0</v>
      </c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</row>
    <row r="146" spans="1:88" s="22" customFormat="1">
      <c r="A146" s="1">
        <v>700</v>
      </c>
      <c r="B146" s="34" t="s">
        <v>1106</v>
      </c>
      <c r="C146" s="34">
        <v>626</v>
      </c>
      <c r="D146" s="34">
        <v>225</v>
      </c>
      <c r="E146" s="34">
        <v>401</v>
      </c>
      <c r="F146" s="34" t="s">
        <v>1110</v>
      </c>
      <c r="G146" s="58">
        <v>224582</v>
      </c>
      <c r="H146" s="58">
        <v>160582</v>
      </c>
      <c r="I146" s="35">
        <v>64</v>
      </c>
      <c r="J146" s="127">
        <v>4</v>
      </c>
      <c r="K146" s="34" t="s">
        <v>12</v>
      </c>
      <c r="L146" s="10">
        <v>42174</v>
      </c>
      <c r="M146" s="37" t="s">
        <v>191</v>
      </c>
      <c r="N146" s="38">
        <v>29.175000000000001</v>
      </c>
      <c r="O146" s="38">
        <v>18.725000000000001</v>
      </c>
      <c r="P146" s="38">
        <v>9.9</v>
      </c>
      <c r="Q146" s="38">
        <v>5.85</v>
      </c>
      <c r="R146" s="38">
        <v>2.9153600000000002</v>
      </c>
      <c r="S146" s="38">
        <f t="shared" si="24"/>
        <v>3</v>
      </c>
      <c r="T146" s="38">
        <v>56.174999999999997</v>
      </c>
      <c r="U146" s="38">
        <v>4.2750000000000004</v>
      </c>
      <c r="V146" s="38">
        <v>2.3250000000000002</v>
      </c>
      <c r="W146" s="38">
        <v>0.875</v>
      </c>
      <c r="X146" s="38">
        <v>5.1779799999999998</v>
      </c>
      <c r="Y146" s="38">
        <f t="shared" si="25"/>
        <v>5</v>
      </c>
      <c r="Z146" s="38">
        <v>0</v>
      </c>
      <c r="AA146" s="38">
        <v>2.5000000000000001E-2</v>
      </c>
      <c r="AB146" s="38">
        <v>64.474999999999994</v>
      </c>
      <c r="AC146" s="38">
        <v>1.24089</v>
      </c>
      <c r="AD146" s="39">
        <v>7165.66</v>
      </c>
      <c r="AE146" s="38">
        <v>9.2100000000000009</v>
      </c>
      <c r="AF146" s="38">
        <f>(AD146+AE146*0.5)/(3.5*I146*1000)*100</f>
        <v>3.2010111607142857</v>
      </c>
      <c r="AG146" s="38">
        <f t="shared" si="26"/>
        <v>3.2</v>
      </c>
      <c r="AH146" s="38">
        <v>0</v>
      </c>
      <c r="AI146" s="38">
        <f>AH146/(3.5*I146*1000)*100</f>
        <v>0</v>
      </c>
      <c r="AJ146" s="38">
        <v>1932.99</v>
      </c>
      <c r="AK146" s="38">
        <f>AJ146/(3.5*I146*1000)*100</f>
        <v>0.86294196428571435</v>
      </c>
      <c r="AL146" s="38">
        <v>0</v>
      </c>
      <c r="AM146" s="38">
        <f>AL146/(3.5*I146*1000)*100</f>
        <v>0</v>
      </c>
      <c r="AN146" s="25"/>
      <c r="AO146" s="25">
        <f>AE146*0.5</f>
        <v>4.6050000000000004</v>
      </c>
      <c r="AP146" s="25">
        <f>(AD146+AH146+AJ146+AL146+AO146)*I146</f>
        <v>582608.31999999995</v>
      </c>
      <c r="AQ146" s="25">
        <f>SUM(N146:Q146)</f>
        <v>63.650000000000006</v>
      </c>
      <c r="AR146" s="25">
        <f>SUM(T146:W146)</f>
        <v>63.65</v>
      </c>
      <c r="AS146" s="268">
        <v>64</v>
      </c>
      <c r="AT146" s="41"/>
      <c r="AU146" s="41"/>
      <c r="AV146" s="41"/>
      <c r="AW146" s="41"/>
    </row>
    <row r="147" spans="1:88" s="22" customFormat="1" ht="23.25" customHeight="1">
      <c r="A147" s="1">
        <v>748</v>
      </c>
      <c r="B147" s="34" t="s">
        <v>1106</v>
      </c>
      <c r="C147" s="34">
        <v>626</v>
      </c>
      <c r="D147" s="34">
        <v>225</v>
      </c>
      <c r="E147" s="34">
        <v>401</v>
      </c>
      <c r="F147" s="34" t="s">
        <v>1110</v>
      </c>
      <c r="G147" s="58">
        <v>224582</v>
      </c>
      <c r="H147" s="58">
        <v>160582</v>
      </c>
      <c r="I147" s="35">
        <v>64</v>
      </c>
      <c r="J147" s="127">
        <v>4</v>
      </c>
      <c r="K147" s="34" t="s">
        <v>12</v>
      </c>
      <c r="L147" s="10">
        <v>42174</v>
      </c>
      <c r="M147" s="37" t="s">
        <v>191</v>
      </c>
      <c r="N147" s="38">
        <v>29.175000000000001</v>
      </c>
      <c r="O147" s="38">
        <v>18.725000000000001</v>
      </c>
      <c r="P147" s="38">
        <v>9.9</v>
      </c>
      <c r="Q147" s="38">
        <v>5.85</v>
      </c>
      <c r="R147" s="38">
        <v>2.9153600000000002</v>
      </c>
      <c r="S147" s="38">
        <f t="shared" si="24"/>
        <v>3</v>
      </c>
      <c r="T147" s="38">
        <v>56.174999999999997</v>
      </c>
      <c r="U147" s="38">
        <v>4.2750000000000004</v>
      </c>
      <c r="V147" s="38">
        <v>2.3250000000000002</v>
      </c>
      <c r="W147" s="38">
        <v>0.875</v>
      </c>
      <c r="X147" s="38">
        <v>5.1779799999999998</v>
      </c>
      <c r="Y147" s="38">
        <f t="shared" si="25"/>
        <v>5</v>
      </c>
      <c r="Z147" s="38">
        <v>0</v>
      </c>
      <c r="AA147" s="38">
        <v>2.5000000000000001E-2</v>
      </c>
      <c r="AB147" s="38">
        <v>64.474999999999994</v>
      </c>
      <c r="AC147" s="38">
        <v>1.24089</v>
      </c>
      <c r="AD147" s="39">
        <v>7165.66</v>
      </c>
      <c r="AE147" s="38">
        <v>9.2100000000000009</v>
      </c>
      <c r="AF147" s="38">
        <f>(AD147+AE147*0.5)/(3.5*I147*1000)*100</f>
        <v>3.2010111607142857</v>
      </c>
      <c r="AG147" s="38">
        <f t="shared" si="26"/>
        <v>3.2</v>
      </c>
      <c r="AH147" s="38">
        <v>0</v>
      </c>
      <c r="AI147" s="38">
        <f>AH147/(3.5*I147*1000)*100</f>
        <v>0</v>
      </c>
      <c r="AJ147" s="38">
        <v>1932.99</v>
      </c>
      <c r="AK147" s="38">
        <f>AJ147/(3.5*I147*1000)*100</f>
        <v>0.86294196428571435</v>
      </c>
      <c r="AL147" s="38">
        <v>0</v>
      </c>
      <c r="AM147" s="38">
        <f>AL147/(3.5*I147*1000)*100</f>
        <v>0</v>
      </c>
      <c r="AN147" s="25"/>
      <c r="AO147" s="25">
        <f>AE147*0.5</f>
        <v>4.6050000000000004</v>
      </c>
      <c r="AP147" s="25">
        <f>(AD147+AH147+AJ147+AL147+AO147)*I147</f>
        <v>582608.31999999995</v>
      </c>
      <c r="AQ147" s="25">
        <f>SUM(N147:Q147)</f>
        <v>63.650000000000006</v>
      </c>
      <c r="AR147" s="25">
        <f>SUM(T147:W147)</f>
        <v>63.65</v>
      </c>
      <c r="AS147" s="268">
        <v>64</v>
      </c>
      <c r="AT147" s="41"/>
      <c r="AU147" s="41"/>
      <c r="AV147" s="41"/>
      <c r="AW147" s="41"/>
    </row>
    <row r="148" spans="1:88" s="22" customFormat="1">
      <c r="A148" s="1">
        <v>1065</v>
      </c>
      <c r="B148" s="88" t="s">
        <v>1467</v>
      </c>
      <c r="C148" s="88">
        <v>619</v>
      </c>
      <c r="D148" s="8">
        <v>348</v>
      </c>
      <c r="E148" s="88">
        <v>102</v>
      </c>
      <c r="F148" s="34" t="s">
        <v>1468</v>
      </c>
      <c r="G148" s="58" t="s">
        <v>1469</v>
      </c>
      <c r="H148" s="58" t="s">
        <v>1466</v>
      </c>
      <c r="I148" s="35">
        <v>34.191000000000003</v>
      </c>
      <c r="J148" s="9">
        <v>2</v>
      </c>
      <c r="K148" s="88" t="s">
        <v>12</v>
      </c>
      <c r="L148" s="116">
        <v>42093</v>
      </c>
      <c r="M148" s="37" t="s">
        <v>191</v>
      </c>
      <c r="N148" s="117">
        <v>21.68</v>
      </c>
      <c r="O148" s="117">
        <v>6.89</v>
      </c>
      <c r="P148" s="117">
        <v>3.25</v>
      </c>
      <c r="Q148" s="117">
        <v>2.38</v>
      </c>
      <c r="R148" s="117">
        <v>2.6379299999999999</v>
      </c>
      <c r="S148" s="38">
        <f t="shared" si="24"/>
        <v>2.5</v>
      </c>
      <c r="T148" s="117">
        <v>33.119999999999997</v>
      </c>
      <c r="U148" s="117">
        <v>1</v>
      </c>
      <c r="V148" s="117">
        <v>0.08</v>
      </c>
      <c r="W148" s="117">
        <v>0</v>
      </c>
      <c r="X148" s="117">
        <v>4.53118</v>
      </c>
      <c r="Y148" s="38">
        <f t="shared" si="25"/>
        <v>4.5</v>
      </c>
      <c r="Z148" s="117">
        <v>0</v>
      </c>
      <c r="AA148" s="117">
        <v>0</v>
      </c>
      <c r="AB148" s="117">
        <v>34.200000000000003</v>
      </c>
      <c r="AC148" s="117">
        <v>1.2197899999999999</v>
      </c>
      <c r="AD148" s="39">
        <v>3672.89</v>
      </c>
      <c r="AE148" s="38">
        <v>0</v>
      </c>
      <c r="AF148" s="169">
        <f>(AD148+AE148*0.5)/(3.5*I148*1000)*100</f>
        <v>3.0692203879884845</v>
      </c>
      <c r="AG148" s="38">
        <f t="shared" si="26"/>
        <v>3.1</v>
      </c>
      <c r="AH148" s="38">
        <v>1612.82</v>
      </c>
      <c r="AI148" s="99">
        <f>AH148/(3.5*I148*1000)*100</f>
        <v>1.3477397978582499</v>
      </c>
      <c r="AJ148" s="38">
        <v>0</v>
      </c>
      <c r="AK148" s="99">
        <f>AJ148/(3.5*I148*1000)*100</f>
        <v>0</v>
      </c>
      <c r="AL148" s="38">
        <v>0</v>
      </c>
      <c r="AM148" s="99">
        <f>AL148/(3.5*I148*1000)*100</f>
        <v>0</v>
      </c>
      <c r="AN148" s="12"/>
      <c r="AO148" s="12"/>
      <c r="AP148" s="12">
        <f>AE148*0.5</f>
        <v>0</v>
      </c>
      <c r="AQ148" s="12">
        <f>(AD148+AH148+AJ148+AL148+AP148)*I148</f>
        <v>180723.71061000001</v>
      </c>
      <c r="AR148" s="12"/>
      <c r="AS148" s="25">
        <f>SUM(N148:Q148)</f>
        <v>34.200000000000003</v>
      </c>
      <c r="AT148" s="22">
        <f>SUM(T148:W148)</f>
        <v>34.199999999999996</v>
      </c>
      <c r="AU148" s="268">
        <v>34.191000000000003</v>
      </c>
      <c r="AV148" s="41">
        <f>SUM(N148:Q148)</f>
        <v>34.200000000000003</v>
      </c>
      <c r="AW148" s="41">
        <f>SUM(T148:W148)</f>
        <v>34.199999999999996</v>
      </c>
      <c r="AX148" s="41">
        <f>SUM(Z148:AB148)</f>
        <v>34.200000000000003</v>
      </c>
      <c r="AZ148" s="22">
        <f>I148/AV148</f>
        <v>0.99973684210526315</v>
      </c>
      <c r="BA148" s="22">
        <f>I148/AW148</f>
        <v>0.99973684210526337</v>
      </c>
      <c r="BB148" s="22">
        <f>I148/AX148</f>
        <v>0.99973684210526315</v>
      </c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</row>
    <row r="149" spans="1:88" s="22" customFormat="1">
      <c r="A149" s="1">
        <v>1369</v>
      </c>
      <c r="B149" s="74" t="s">
        <v>1905</v>
      </c>
      <c r="C149" s="34">
        <v>445</v>
      </c>
      <c r="D149" s="75">
        <v>3356</v>
      </c>
      <c r="E149" s="69">
        <v>100</v>
      </c>
      <c r="F149" s="184" t="s">
        <v>1919</v>
      </c>
      <c r="G149" s="20">
        <v>0</v>
      </c>
      <c r="H149" s="20">
        <v>24056</v>
      </c>
      <c r="I149" s="21">
        <v>24.056000000000001</v>
      </c>
      <c r="J149" s="8">
        <v>2</v>
      </c>
      <c r="K149" s="34" t="s">
        <v>238</v>
      </c>
      <c r="L149" s="10">
        <v>42188</v>
      </c>
      <c r="M149" s="37" t="s">
        <v>191</v>
      </c>
      <c r="N149" s="38">
        <v>12.3</v>
      </c>
      <c r="O149" s="38">
        <v>7.9</v>
      </c>
      <c r="P149" s="38">
        <v>2.95</v>
      </c>
      <c r="Q149" s="38">
        <v>0.72499999999999998</v>
      </c>
      <c r="R149" s="38">
        <v>2.6236899999999999</v>
      </c>
      <c r="S149" s="38">
        <f t="shared" si="24"/>
        <v>2.5</v>
      </c>
      <c r="T149" s="38">
        <v>21.274999999999999</v>
      </c>
      <c r="U149" s="38">
        <v>1.8</v>
      </c>
      <c r="V149" s="38">
        <v>0.52500000000000002</v>
      </c>
      <c r="W149" s="38">
        <v>0.27500000000000002</v>
      </c>
      <c r="X149" s="38">
        <v>5.0508899999999999</v>
      </c>
      <c r="Y149" s="38">
        <f t="shared" si="25"/>
        <v>5</v>
      </c>
      <c r="Z149" s="38">
        <v>0</v>
      </c>
      <c r="AA149" s="38">
        <v>0</v>
      </c>
      <c r="AB149" s="38">
        <v>23.875000000000004</v>
      </c>
      <c r="AC149" s="38">
        <v>1.0365599999999999</v>
      </c>
      <c r="AD149" s="39">
        <v>2584</v>
      </c>
      <c r="AE149" s="38">
        <v>0</v>
      </c>
      <c r="AF149" s="38">
        <v>3.0690294075728062</v>
      </c>
      <c r="AG149" s="38">
        <f t="shared" si="26"/>
        <v>3.1</v>
      </c>
      <c r="AH149" s="38">
        <v>0</v>
      </c>
      <c r="AI149" s="38">
        <v>0</v>
      </c>
      <c r="AJ149" s="38">
        <v>0</v>
      </c>
      <c r="AK149" s="38">
        <v>0</v>
      </c>
      <c r="AL149" s="38">
        <v>0</v>
      </c>
      <c r="AM149" s="38">
        <v>0</v>
      </c>
      <c r="AN149" s="72"/>
      <c r="AO149" s="41"/>
      <c r="AP149" s="41"/>
      <c r="AQ149" s="41"/>
      <c r="AR149" s="41"/>
      <c r="AS149" s="73"/>
      <c r="AT149" s="73"/>
      <c r="AU149" s="73"/>
      <c r="AV149" s="73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</row>
    <row r="150" spans="1:88" s="22" customFormat="1">
      <c r="A150" s="1">
        <v>437</v>
      </c>
      <c r="B150" s="74" t="s">
        <v>699</v>
      </c>
      <c r="C150" s="34">
        <v>513</v>
      </c>
      <c r="D150" s="75">
        <v>1187</v>
      </c>
      <c r="E150" s="69">
        <v>100</v>
      </c>
      <c r="F150" s="76" t="s">
        <v>740</v>
      </c>
      <c r="G150" s="58" t="s">
        <v>92</v>
      </c>
      <c r="H150" s="58" t="s">
        <v>741</v>
      </c>
      <c r="I150" s="55">
        <v>0.56799999999999995</v>
      </c>
      <c r="J150" s="5" t="s">
        <v>238</v>
      </c>
      <c r="K150" s="34">
        <v>2</v>
      </c>
      <c r="L150" s="18">
        <v>42263</v>
      </c>
      <c r="M150" s="37" t="s">
        <v>191</v>
      </c>
      <c r="N150" s="38">
        <v>0</v>
      </c>
      <c r="O150" s="38">
        <v>0.2</v>
      </c>
      <c r="P150" s="38">
        <v>0.17</v>
      </c>
      <c r="Q150" s="38">
        <v>0.2</v>
      </c>
      <c r="R150" s="38">
        <v>6.6704299999999996</v>
      </c>
      <c r="S150" s="38">
        <f t="shared" si="24"/>
        <v>6.5</v>
      </c>
      <c r="T150" s="38">
        <v>0.56999999999999995</v>
      </c>
      <c r="U150" s="38">
        <v>0</v>
      </c>
      <c r="V150" s="38">
        <v>0</v>
      </c>
      <c r="W150" s="38">
        <v>0</v>
      </c>
      <c r="X150" s="38">
        <v>1.79352</v>
      </c>
      <c r="Y150" s="38">
        <f t="shared" si="25"/>
        <v>2</v>
      </c>
      <c r="Z150" s="38">
        <v>0</v>
      </c>
      <c r="AA150" s="38">
        <v>0</v>
      </c>
      <c r="AB150" s="38">
        <v>0.56999999999999995</v>
      </c>
      <c r="AC150" s="38">
        <v>1.1112599999999999</v>
      </c>
      <c r="AD150" s="39">
        <v>55.24</v>
      </c>
      <c r="AE150" s="38">
        <v>11.12</v>
      </c>
      <c r="AF150" s="38">
        <f>(AD150+AE150*0.5)/(3.5*I150*1000)*100</f>
        <v>3.0583501006036222</v>
      </c>
      <c r="AG150" s="38">
        <f t="shared" si="26"/>
        <v>3.1</v>
      </c>
      <c r="AH150" s="38">
        <v>86.54</v>
      </c>
      <c r="AI150" s="38">
        <f>AH150/(3.5*I150*1000)*100</f>
        <v>4.3531187122736421</v>
      </c>
      <c r="AJ150" s="38">
        <v>4</v>
      </c>
      <c r="AK150" s="38">
        <f>AJ150/(3.5*I150*1000)*100</f>
        <v>0.2012072434607646</v>
      </c>
      <c r="AL150" s="38">
        <v>0</v>
      </c>
      <c r="AM150" s="38">
        <f>AL150/(3.5*I150*1000)*100</f>
        <v>0</v>
      </c>
      <c r="AN150" s="41"/>
      <c r="AO150" s="41"/>
      <c r="AP150" s="73"/>
      <c r="AQ150" s="41">
        <f>SUM(N150:Q150)</f>
        <v>0.57000000000000006</v>
      </c>
      <c r="AR150" s="41">
        <f>SUM(T150:W150)</f>
        <v>0.56999999999999995</v>
      </c>
      <c r="AS150" s="41">
        <f>SUM(Z150:AB150)</f>
        <v>0.56999999999999995</v>
      </c>
      <c r="AU150" s="22">
        <f>I150/AQ150</f>
        <v>0.99649122807017521</v>
      </c>
      <c r="AV150" s="22">
        <f>I150/AR150</f>
        <v>0.99649122807017543</v>
      </c>
      <c r="AW150" s="22">
        <f>I150/AS150</f>
        <v>0.99649122807017543</v>
      </c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  <c r="CD150" s="73"/>
      <c r="CE150" s="73"/>
      <c r="CF150" s="73"/>
      <c r="CG150" s="73"/>
      <c r="CH150" s="73"/>
      <c r="CI150" s="73"/>
      <c r="CJ150" s="73"/>
    </row>
    <row r="151" spans="1:88" s="22" customFormat="1">
      <c r="A151" s="1">
        <v>1069</v>
      </c>
      <c r="B151" s="88" t="s">
        <v>1467</v>
      </c>
      <c r="C151" s="88">
        <v>619</v>
      </c>
      <c r="D151" s="8">
        <v>359</v>
      </c>
      <c r="E151" s="88">
        <v>102</v>
      </c>
      <c r="F151" s="34" t="s">
        <v>1472</v>
      </c>
      <c r="G151" s="58">
        <v>10396</v>
      </c>
      <c r="H151" s="58">
        <v>26793</v>
      </c>
      <c r="I151" s="35">
        <v>16.396999999999998</v>
      </c>
      <c r="J151" s="9">
        <v>4</v>
      </c>
      <c r="K151" s="88" t="s">
        <v>96</v>
      </c>
      <c r="L151" s="116">
        <v>42094</v>
      </c>
      <c r="M151" s="37" t="s">
        <v>191</v>
      </c>
      <c r="N151" s="117">
        <v>12</v>
      </c>
      <c r="O151" s="117">
        <v>2.96</v>
      </c>
      <c r="P151" s="117">
        <v>1.03</v>
      </c>
      <c r="Q151" s="117">
        <v>0.42</v>
      </c>
      <c r="R151" s="117">
        <v>2.3813599999999999</v>
      </c>
      <c r="S151" s="38">
        <f t="shared" si="24"/>
        <v>2.5</v>
      </c>
      <c r="T151" s="117">
        <v>15.64</v>
      </c>
      <c r="U151" s="117">
        <v>0.66</v>
      </c>
      <c r="V151" s="117">
        <v>0.1</v>
      </c>
      <c r="W151" s="117">
        <v>0</v>
      </c>
      <c r="X151" s="117">
        <v>5.6247600000000002</v>
      </c>
      <c r="Y151" s="38">
        <f t="shared" si="25"/>
        <v>5.5</v>
      </c>
      <c r="Z151" s="117">
        <v>0</v>
      </c>
      <c r="AA151" s="117">
        <v>0</v>
      </c>
      <c r="AB151" s="117">
        <v>16.399999999999999</v>
      </c>
      <c r="AC151" s="117">
        <v>1.36073</v>
      </c>
      <c r="AD151" s="39">
        <v>1747.48</v>
      </c>
      <c r="AE151" s="38">
        <v>0</v>
      </c>
      <c r="AF151" s="169">
        <f>(AD151+AE151*0.5)/(3.5*I151*1000)*100</f>
        <v>3.0449472464475211</v>
      </c>
      <c r="AG151" s="38">
        <f t="shared" si="26"/>
        <v>3</v>
      </c>
      <c r="AH151" s="38">
        <v>83.38</v>
      </c>
      <c r="AI151" s="99">
        <f>AH151/(3.5*I151*1000)*100</f>
        <v>0.14528790109689055</v>
      </c>
      <c r="AJ151" s="38">
        <v>0</v>
      </c>
      <c r="AK151" s="99">
        <f>AJ151/(3.5*I151*1000)*100</f>
        <v>0</v>
      </c>
      <c r="AL151" s="38">
        <v>0</v>
      </c>
      <c r="AM151" s="99">
        <f>AL151/(3.5*I151*1000)*100</f>
        <v>0</v>
      </c>
      <c r="AN151" s="12"/>
      <c r="AO151" s="12"/>
      <c r="AP151" s="12">
        <f>AE151*0.5</f>
        <v>0</v>
      </c>
      <c r="AQ151" s="12">
        <f>(AD151+AH151+AJ151+AL151+AP151)*I151</f>
        <v>30020.611420000001</v>
      </c>
      <c r="AR151" s="12"/>
      <c r="AS151" s="25">
        <f>SUM(N151:Q151)</f>
        <v>16.41</v>
      </c>
      <c r="AT151" s="22">
        <f>SUM(T151:W151)</f>
        <v>16.400000000000002</v>
      </c>
      <c r="AU151" s="268">
        <v>16.396999999999998</v>
      </c>
      <c r="AV151" s="41">
        <f>SUM(N151:Q151)</f>
        <v>16.41</v>
      </c>
      <c r="AW151" s="41">
        <f>SUM(T151:W151)</f>
        <v>16.400000000000002</v>
      </c>
      <c r="AX151" s="41">
        <f>SUM(Z151:AB151)</f>
        <v>16.399999999999999</v>
      </c>
      <c r="AZ151" s="22">
        <f>I151/AV151</f>
        <v>0.99920780012187682</v>
      </c>
      <c r="BA151" s="22">
        <f>I151/AW151</f>
        <v>0.99981707317073143</v>
      </c>
      <c r="BB151" s="22">
        <f>I151/AX151</f>
        <v>0.99981707317073165</v>
      </c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</row>
    <row r="152" spans="1:88" s="22" customFormat="1">
      <c r="A152" s="1">
        <v>975</v>
      </c>
      <c r="B152" s="9" t="s">
        <v>1359</v>
      </c>
      <c r="C152" s="9">
        <v>612</v>
      </c>
      <c r="D152" s="8">
        <v>2243</v>
      </c>
      <c r="E152" s="9">
        <v>200</v>
      </c>
      <c r="F152" s="9" t="s">
        <v>1374</v>
      </c>
      <c r="G152" s="20">
        <v>61000</v>
      </c>
      <c r="H152" s="20">
        <v>72138</v>
      </c>
      <c r="I152" s="35">
        <v>11.138</v>
      </c>
      <c r="J152" s="9">
        <v>2</v>
      </c>
      <c r="K152" s="9" t="s">
        <v>238</v>
      </c>
      <c r="L152" s="18">
        <v>42117</v>
      </c>
      <c r="M152" s="37" t="s">
        <v>191</v>
      </c>
      <c r="N152" s="11">
        <v>9.7249999999999996</v>
      </c>
      <c r="O152" s="11">
        <v>1</v>
      </c>
      <c r="P152" s="11">
        <v>0.27500000000000002</v>
      </c>
      <c r="Q152" s="11">
        <v>7.4999999999999997E-2</v>
      </c>
      <c r="R152" s="11">
        <v>1.63429</v>
      </c>
      <c r="S152" s="38">
        <f t="shared" si="24"/>
        <v>1.5</v>
      </c>
      <c r="T152" s="11">
        <v>11.074999999999999</v>
      </c>
      <c r="U152" s="11">
        <v>0</v>
      </c>
      <c r="V152" s="11">
        <v>0</v>
      </c>
      <c r="W152" s="11">
        <v>0</v>
      </c>
      <c r="X152" s="11">
        <v>4.1472899999999999</v>
      </c>
      <c r="Y152" s="38">
        <f t="shared" si="25"/>
        <v>4</v>
      </c>
      <c r="Z152" s="11">
        <v>0</v>
      </c>
      <c r="AA152" s="11">
        <v>0</v>
      </c>
      <c r="AB152" s="11">
        <f>SUM(N152:Q152)</f>
        <v>11.074999999999999</v>
      </c>
      <c r="AC152" s="11">
        <v>1.0806199999999999</v>
      </c>
      <c r="AD152" s="164">
        <v>1184.93</v>
      </c>
      <c r="AE152" s="11">
        <v>0</v>
      </c>
      <c r="AF152" s="11">
        <v>3.0396100000000001</v>
      </c>
      <c r="AG152" s="38">
        <f t="shared" si="26"/>
        <v>3</v>
      </c>
      <c r="AH152" s="11">
        <v>0</v>
      </c>
      <c r="AI152" s="11">
        <v>0</v>
      </c>
      <c r="AJ152" s="11">
        <v>0</v>
      </c>
      <c r="AK152" s="11">
        <v>0</v>
      </c>
      <c r="AL152" s="11">
        <v>1</v>
      </c>
      <c r="AM152" s="11">
        <v>2.5699999999999998E-3</v>
      </c>
      <c r="AN152" s="72"/>
      <c r="AO152" s="72"/>
      <c r="AP152" s="72">
        <f>AE152*0.5</f>
        <v>0</v>
      </c>
      <c r="AQ152" s="25">
        <f>(AD151+AH151+AJ151+AL151+AP152)*I151</f>
        <v>30020.611420000001</v>
      </c>
      <c r="AR152" s="25"/>
      <c r="AS152" s="25"/>
      <c r="AT152" s="25"/>
      <c r="AU152" s="25">
        <f>SUM(N152:Q152)</f>
        <v>11.074999999999999</v>
      </c>
      <c r="AV152" s="41">
        <f>SUM(T152:W152)</f>
        <v>11.074999999999999</v>
      </c>
      <c r="AW152" s="41"/>
      <c r="AX152" s="41"/>
      <c r="AY152" s="4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</row>
    <row r="153" spans="1:88" s="22" customFormat="1">
      <c r="A153" s="1">
        <v>1773</v>
      </c>
      <c r="B153" s="34" t="s">
        <v>2369</v>
      </c>
      <c r="C153" s="34">
        <v>426</v>
      </c>
      <c r="D153" s="8">
        <v>3191</v>
      </c>
      <c r="E153" s="34">
        <v>102</v>
      </c>
      <c r="F153" s="34" t="s">
        <v>2375</v>
      </c>
      <c r="G153" s="58">
        <v>13600</v>
      </c>
      <c r="H153" s="58">
        <v>25545</v>
      </c>
      <c r="I153" s="35">
        <v>11.945</v>
      </c>
      <c r="J153" s="9">
        <v>4</v>
      </c>
      <c r="K153" s="34" t="s">
        <v>237</v>
      </c>
      <c r="L153" s="10">
        <v>42233</v>
      </c>
      <c r="M153" s="37" t="s">
        <v>191</v>
      </c>
      <c r="N153" s="38">
        <v>5.4</v>
      </c>
      <c r="O153" s="38">
        <v>4.1500000000000004</v>
      </c>
      <c r="P153" s="38">
        <v>1.7749999999999999</v>
      </c>
      <c r="Q153" s="38">
        <v>0.7</v>
      </c>
      <c r="R153" s="38">
        <v>2.9723099999999998</v>
      </c>
      <c r="S153" s="38">
        <f t="shared" si="24"/>
        <v>3</v>
      </c>
      <c r="T153" s="38">
        <v>10.199999999999999</v>
      </c>
      <c r="U153" s="38">
        <v>1.65</v>
      </c>
      <c r="V153" s="38">
        <v>0.1</v>
      </c>
      <c r="W153" s="38">
        <v>7.4999999999999997E-2</v>
      </c>
      <c r="X153" s="38">
        <v>6.8276199999999996</v>
      </c>
      <c r="Y153" s="38">
        <f t="shared" si="25"/>
        <v>7</v>
      </c>
      <c r="Z153" s="38">
        <v>0</v>
      </c>
      <c r="AA153" s="38">
        <v>0</v>
      </c>
      <c r="AB153" s="38">
        <f>SUM(T153:W153)</f>
        <v>12.024999999999999</v>
      </c>
      <c r="AC153" s="38">
        <v>1.3114399999999999</v>
      </c>
      <c r="AD153" s="39">
        <v>1243.78</v>
      </c>
      <c r="AE153" s="38">
        <v>40.86</v>
      </c>
      <c r="AF153" s="38">
        <v>3.0238800000000001</v>
      </c>
      <c r="AG153" s="38">
        <f t="shared" si="26"/>
        <v>3</v>
      </c>
      <c r="AH153" s="38">
        <v>37.159999999999997</v>
      </c>
      <c r="AI153" s="38">
        <v>8.8880000000000001E-2</v>
      </c>
      <c r="AJ153" s="38">
        <v>2253</v>
      </c>
      <c r="AK153" s="38">
        <v>5.3889849999999999</v>
      </c>
      <c r="AL153" s="38">
        <v>207.38</v>
      </c>
      <c r="AM153" s="38">
        <v>0.49603999999999998</v>
      </c>
      <c r="AN153" s="25"/>
      <c r="AO153" s="25">
        <f>AE153*0.5</f>
        <v>20.43</v>
      </c>
      <c r="AP153" s="25">
        <f>(AD153+AH153+AJ153+AL153+AO153)*I153</f>
        <v>44934.103750000002</v>
      </c>
      <c r="AQ153" s="25">
        <f>SUM(N153:Q153)</f>
        <v>12.025</v>
      </c>
      <c r="AR153" s="25">
        <f>SUM(T153:W153)</f>
        <v>12.024999999999999</v>
      </c>
      <c r="AT153" s="41"/>
      <c r="AU153" s="41"/>
      <c r="AV153" s="41"/>
      <c r="AW153" s="41"/>
    </row>
    <row r="154" spans="1:88" s="22" customFormat="1">
      <c r="A154" s="1">
        <v>203</v>
      </c>
      <c r="B154" s="34" t="s">
        <v>383</v>
      </c>
      <c r="C154" s="34">
        <v>535</v>
      </c>
      <c r="D154" s="34">
        <v>1148</v>
      </c>
      <c r="E154" s="34">
        <v>200</v>
      </c>
      <c r="F154" s="34" t="s">
        <v>397</v>
      </c>
      <c r="G154" s="20">
        <v>113079</v>
      </c>
      <c r="H154" s="20">
        <v>98495</v>
      </c>
      <c r="I154" s="35">
        <v>14.584</v>
      </c>
      <c r="J154" s="36">
        <v>2</v>
      </c>
      <c r="K154" s="34" t="s">
        <v>12</v>
      </c>
      <c r="L154" s="18">
        <v>42209</v>
      </c>
      <c r="M154" s="37" t="s">
        <v>191</v>
      </c>
      <c r="N154" s="38">
        <v>8.64</v>
      </c>
      <c r="O154" s="38">
        <v>2.5499999999999998</v>
      </c>
      <c r="P154" s="38">
        <v>2.2999999999999998</v>
      </c>
      <c r="Q154" s="38">
        <v>1.1000000000000001</v>
      </c>
      <c r="R154" s="38">
        <v>2.90517</v>
      </c>
      <c r="S154" s="38">
        <f t="shared" si="24"/>
        <v>3</v>
      </c>
      <c r="T154" s="38">
        <v>14.06</v>
      </c>
      <c r="U154" s="38">
        <v>0.35</v>
      </c>
      <c r="V154" s="38">
        <v>0.18</v>
      </c>
      <c r="W154" s="38">
        <v>0</v>
      </c>
      <c r="X154" s="38">
        <v>3.9901800000000001</v>
      </c>
      <c r="Y154" s="38">
        <f t="shared" si="25"/>
        <v>4</v>
      </c>
      <c r="Z154" s="38">
        <v>0</v>
      </c>
      <c r="AA154" s="38">
        <v>0</v>
      </c>
      <c r="AB154" s="38">
        <v>14.58</v>
      </c>
      <c r="AC154" s="38">
        <v>1.3144</v>
      </c>
      <c r="AD154" s="39">
        <v>0</v>
      </c>
      <c r="AE154" s="38">
        <v>3081.58</v>
      </c>
      <c r="AF154" s="38">
        <f>(AD154+AE154*0.5)/(3.5*I154*1000)*100</f>
        <v>3.0185526212679257</v>
      </c>
      <c r="AG154" s="38">
        <f t="shared" si="26"/>
        <v>3</v>
      </c>
      <c r="AH154" s="38">
        <v>6</v>
      </c>
      <c r="AI154" s="38">
        <f>AH154/(3.5*I154*1000)*100</f>
        <v>1.1754564689287674E-2</v>
      </c>
      <c r="AJ154" s="38">
        <v>0</v>
      </c>
      <c r="AK154" s="38">
        <f>AJ154/(3.5*I154*1000)*100</f>
        <v>0</v>
      </c>
      <c r="AL154" s="38">
        <v>0</v>
      </c>
      <c r="AM154" s="38">
        <f>AL154/(3.5*I154*1000)*100</f>
        <v>0</v>
      </c>
      <c r="AN154" s="25"/>
      <c r="AO154" s="25"/>
      <c r="AP154" s="25">
        <f>AE154*0.5</f>
        <v>1540.79</v>
      </c>
      <c r="AQ154" s="25">
        <f>(AD154+AH154+AJ154+AL154+AP154)*I154</f>
        <v>22558.38536</v>
      </c>
      <c r="AR154" s="25"/>
      <c r="AS154" s="25"/>
      <c r="AT154" s="25"/>
      <c r="AU154" s="41">
        <f>SUM(N154:Q154)</f>
        <v>14.590000000000002</v>
      </c>
      <c r="AV154" s="41">
        <f>SUM(T154:W154)</f>
        <v>14.59</v>
      </c>
      <c r="AW154" s="41">
        <f>SUM(Z154:AB154)</f>
        <v>14.58</v>
      </c>
      <c r="AX154" s="41"/>
      <c r="AY154" s="22">
        <f>I154/AU154</f>
        <v>0.99958875942426306</v>
      </c>
      <c r="AZ154" s="22">
        <f>I154/AV154</f>
        <v>0.99958875942426317</v>
      </c>
      <c r="BA154" s="22">
        <f>I154/AW154</f>
        <v>1.0002743484224965</v>
      </c>
    </row>
    <row r="155" spans="1:88" s="22" customFormat="1">
      <c r="A155" s="1">
        <v>1776</v>
      </c>
      <c r="B155" s="34" t="s">
        <v>2369</v>
      </c>
      <c r="C155" s="34">
        <v>426</v>
      </c>
      <c r="D155" s="8">
        <v>3245</v>
      </c>
      <c r="E155" s="34">
        <v>100</v>
      </c>
      <c r="F155" s="34" t="s">
        <v>2376</v>
      </c>
      <c r="G155" s="58">
        <v>16800</v>
      </c>
      <c r="H155" s="58">
        <v>0</v>
      </c>
      <c r="I155" s="35">
        <v>16.8</v>
      </c>
      <c r="J155" s="9">
        <v>4</v>
      </c>
      <c r="K155" s="34" t="s">
        <v>96</v>
      </c>
      <c r="L155" s="10">
        <v>42233</v>
      </c>
      <c r="M155" s="37" t="s">
        <v>191</v>
      </c>
      <c r="N155" s="38">
        <v>8.8000000000000007</v>
      </c>
      <c r="O155" s="38">
        <v>4.5999999999999996</v>
      </c>
      <c r="P155" s="38">
        <v>2.0750000000000002</v>
      </c>
      <c r="Q155" s="38">
        <v>1.25</v>
      </c>
      <c r="R155" s="38">
        <v>2.8448000000000002</v>
      </c>
      <c r="S155" s="38">
        <f t="shared" si="24"/>
        <v>3</v>
      </c>
      <c r="T155" s="38">
        <v>11.65</v>
      </c>
      <c r="U155" s="38">
        <v>4.1500000000000004</v>
      </c>
      <c r="V155" s="38">
        <v>0.75</v>
      </c>
      <c r="W155" s="38">
        <v>0.17499999999999999</v>
      </c>
      <c r="X155" s="38">
        <v>8.7875599999999991</v>
      </c>
      <c r="Y155" s="38">
        <f t="shared" si="25"/>
        <v>9</v>
      </c>
      <c r="Z155" s="38">
        <v>0</v>
      </c>
      <c r="AA155" s="38">
        <v>0</v>
      </c>
      <c r="AB155" s="38">
        <f>SUM(T155:W155)</f>
        <v>16.725000000000001</v>
      </c>
      <c r="AC155" s="38">
        <v>1.3169299999999999</v>
      </c>
      <c r="AD155" s="39">
        <v>1739.72</v>
      </c>
      <c r="AE155" s="38">
        <v>54.38</v>
      </c>
      <c r="AF155" s="38">
        <v>3.00495</v>
      </c>
      <c r="AG155" s="38">
        <f t="shared" si="26"/>
        <v>3</v>
      </c>
      <c r="AH155" s="38">
        <v>15246.5</v>
      </c>
      <c r="AI155" s="38">
        <v>25.929400000000001</v>
      </c>
      <c r="AJ155" s="38">
        <v>2187</v>
      </c>
      <c r="AK155" s="38">
        <v>3.7193879999999999</v>
      </c>
      <c r="AL155" s="38">
        <v>149.94999999999999</v>
      </c>
      <c r="AM155" s="38">
        <v>0.25502000000000002</v>
      </c>
      <c r="AN155" s="25"/>
      <c r="AO155" s="25">
        <f>AE155*0.5</f>
        <v>27.19</v>
      </c>
      <c r="AP155" s="25">
        <f>(AD155+AH155+AJ155+AL155+AO155)*I155</f>
        <v>325086.04800000001</v>
      </c>
      <c r="AQ155" s="25">
        <f>SUM(N155:Q155)</f>
        <v>16.725000000000001</v>
      </c>
      <c r="AR155" s="25">
        <f>SUM(T155:W155)</f>
        <v>16.725000000000001</v>
      </c>
      <c r="AT155" s="41"/>
      <c r="AU155" s="41"/>
      <c r="AV155" s="41"/>
      <c r="AW155" s="41"/>
    </row>
    <row r="156" spans="1:88" s="22" customFormat="1">
      <c r="A156" s="1">
        <v>2230</v>
      </c>
      <c r="B156" s="34" t="s">
        <v>2876</v>
      </c>
      <c r="C156" s="34">
        <v>319</v>
      </c>
      <c r="D156" s="75">
        <v>430</v>
      </c>
      <c r="E156" s="8">
        <v>201</v>
      </c>
      <c r="F156" s="9" t="s">
        <v>2877</v>
      </c>
      <c r="G156" s="20">
        <v>42939</v>
      </c>
      <c r="H156" s="20">
        <v>7206</v>
      </c>
      <c r="I156" s="21">
        <v>35.732999999999997</v>
      </c>
      <c r="J156" s="8">
        <v>4</v>
      </c>
      <c r="K156" s="8" t="s">
        <v>96</v>
      </c>
      <c r="L156" s="18">
        <v>42149</v>
      </c>
      <c r="M156" s="37" t="s">
        <v>191</v>
      </c>
      <c r="N156" s="38">
        <v>19.350000000000001</v>
      </c>
      <c r="O156" s="38">
        <v>8.0749999999999993</v>
      </c>
      <c r="P156" s="38">
        <v>4.9000000000000004</v>
      </c>
      <c r="Q156" s="38">
        <v>3.5</v>
      </c>
      <c r="R156" s="38">
        <v>2.83725</v>
      </c>
      <c r="S156" s="38">
        <f t="shared" si="24"/>
        <v>3</v>
      </c>
      <c r="T156" s="38">
        <v>32.975000000000001</v>
      </c>
      <c r="U156" s="38">
        <v>2.0750000000000002</v>
      </c>
      <c r="V156" s="38">
        <v>0.6</v>
      </c>
      <c r="W156" s="38">
        <v>0.17499999999999999</v>
      </c>
      <c r="X156" s="38">
        <v>4.9507700000000003</v>
      </c>
      <c r="Y156" s="38">
        <f t="shared" si="25"/>
        <v>5</v>
      </c>
      <c r="Z156" s="38">
        <v>0</v>
      </c>
      <c r="AA156" s="38">
        <v>0</v>
      </c>
      <c r="AB156" s="38">
        <v>35.825000000000003</v>
      </c>
      <c r="AC156" s="38">
        <v>1.58606</v>
      </c>
      <c r="AD156" s="39">
        <v>3723.54</v>
      </c>
      <c r="AE156" s="38">
        <v>20.399999999999999</v>
      </c>
      <c r="AF156" s="38">
        <v>2.9854276359187786</v>
      </c>
      <c r="AG156" s="38">
        <f t="shared" si="26"/>
        <v>3</v>
      </c>
      <c r="AH156" s="38">
        <v>0</v>
      </c>
      <c r="AI156" s="38">
        <v>0</v>
      </c>
      <c r="AJ156" s="38">
        <v>26.12</v>
      </c>
      <c r="AK156" s="38">
        <v>2.0885056230535201E-2</v>
      </c>
      <c r="AL156" s="38">
        <v>0</v>
      </c>
      <c r="AM156" s="38">
        <f>AL156/(3.5*I156*1000)*100</f>
        <v>0</v>
      </c>
      <c r="AN156" s="12"/>
      <c r="AO156" s="12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</row>
    <row r="157" spans="1:88" s="22" customFormat="1">
      <c r="A157" s="1">
        <v>460</v>
      </c>
      <c r="B157" s="220" t="s">
        <v>780</v>
      </c>
      <c r="C157" s="42">
        <v>515</v>
      </c>
      <c r="D157" s="42">
        <v>126</v>
      </c>
      <c r="E157" s="42">
        <v>100</v>
      </c>
      <c r="F157" s="42" t="s">
        <v>663</v>
      </c>
      <c r="G157" s="42" t="s">
        <v>664</v>
      </c>
      <c r="H157" s="42" t="s">
        <v>784</v>
      </c>
      <c r="I157" s="183">
        <v>1</v>
      </c>
      <c r="J157" s="243" t="s">
        <v>96</v>
      </c>
      <c r="K157" s="42">
        <v>2</v>
      </c>
      <c r="L157" s="45">
        <v>42269</v>
      </c>
      <c r="M157" s="37" t="s">
        <v>191</v>
      </c>
      <c r="N157" s="46">
        <v>0.67500000000000004</v>
      </c>
      <c r="O157" s="46">
        <v>0.2</v>
      </c>
      <c r="P157" s="46">
        <v>0.125</v>
      </c>
      <c r="Q157" s="46">
        <v>0</v>
      </c>
      <c r="R157" s="46">
        <v>2.0825</v>
      </c>
      <c r="S157" s="38">
        <f t="shared" si="24"/>
        <v>2</v>
      </c>
      <c r="T157" s="46">
        <v>1</v>
      </c>
      <c r="U157" s="46">
        <v>0</v>
      </c>
      <c r="V157" s="46">
        <v>0</v>
      </c>
      <c r="W157" s="46">
        <v>0</v>
      </c>
      <c r="X157" s="46">
        <v>1.18588</v>
      </c>
      <c r="Y157" s="38">
        <f t="shared" si="25"/>
        <v>1</v>
      </c>
      <c r="Z157" s="38">
        <v>0</v>
      </c>
      <c r="AA157" s="38">
        <v>0</v>
      </c>
      <c r="AB157" s="38">
        <v>1</v>
      </c>
      <c r="AC157" s="46">
        <v>1.0675699999999999</v>
      </c>
      <c r="AD157" s="47">
        <v>95.156000000000006</v>
      </c>
      <c r="AE157" s="46">
        <v>18.45</v>
      </c>
      <c r="AF157" s="38">
        <f>(AD157+AE157*0.5)/(3.5*I157*1000)*100</f>
        <v>2.9823142857142857</v>
      </c>
      <c r="AG157" s="38">
        <f t="shared" si="26"/>
        <v>3</v>
      </c>
      <c r="AH157" s="46">
        <v>94.67</v>
      </c>
      <c r="AI157" s="38">
        <f>AH157/(3.5*I157*1000)*100</f>
        <v>2.7048571428571431</v>
      </c>
      <c r="AJ157" s="46">
        <v>0</v>
      </c>
      <c r="AK157" s="38">
        <f>AJ157/(3.5*I157*1000)*100</f>
        <v>0</v>
      </c>
      <c r="AL157" s="46">
        <v>0</v>
      </c>
      <c r="AM157" s="38">
        <f>AL157/(3.5*I157*1000)*100</f>
        <v>0</v>
      </c>
      <c r="AN157" s="41"/>
      <c r="AO157" s="41"/>
      <c r="AP157" s="114"/>
      <c r="AQ157" s="73"/>
      <c r="AR157" s="73"/>
      <c r="AS157" s="73"/>
    </row>
    <row r="158" spans="1:88" s="22" customFormat="1">
      <c r="A158" s="1">
        <v>2109</v>
      </c>
      <c r="B158" s="34" t="s">
        <v>2754</v>
      </c>
      <c r="C158" s="34">
        <v>324</v>
      </c>
      <c r="D158" s="75">
        <v>4020</v>
      </c>
      <c r="E158" s="8">
        <v>100</v>
      </c>
      <c r="F158" s="9" t="s">
        <v>2757</v>
      </c>
      <c r="G158" s="20">
        <v>0</v>
      </c>
      <c r="H158" s="20">
        <v>1642</v>
      </c>
      <c r="I158" s="21">
        <v>1.6419999999999999</v>
      </c>
      <c r="J158" s="9">
        <v>3</v>
      </c>
      <c r="K158" s="34" t="s">
        <v>237</v>
      </c>
      <c r="L158" s="18">
        <v>42139</v>
      </c>
      <c r="M158" s="37" t="s">
        <v>191</v>
      </c>
      <c r="N158" s="38">
        <v>0.6</v>
      </c>
      <c r="O158" s="38">
        <v>0.375</v>
      </c>
      <c r="P158" s="38">
        <v>0.32500000000000001</v>
      </c>
      <c r="Q158" s="38">
        <v>0.35</v>
      </c>
      <c r="R158" s="38">
        <v>3.94773</v>
      </c>
      <c r="S158" s="38">
        <f t="shared" si="24"/>
        <v>4</v>
      </c>
      <c r="T158" s="38">
        <v>1.625</v>
      </c>
      <c r="U158" s="38">
        <v>2.5000000000000001E-2</v>
      </c>
      <c r="V158" s="38">
        <v>0</v>
      </c>
      <c r="W158" s="38">
        <v>0</v>
      </c>
      <c r="X158" s="38">
        <v>3.6662400000000002</v>
      </c>
      <c r="Y158" s="38">
        <f t="shared" si="25"/>
        <v>3.5</v>
      </c>
      <c r="Z158" s="38">
        <v>0</v>
      </c>
      <c r="AA158" s="38">
        <v>0</v>
      </c>
      <c r="AB158" s="38">
        <v>1.65</v>
      </c>
      <c r="AC158" s="38">
        <v>1.06552</v>
      </c>
      <c r="AD158" s="38">
        <v>163.22</v>
      </c>
      <c r="AE158" s="38">
        <v>15.96</v>
      </c>
      <c r="AF158" s="38">
        <v>2.9789455368018096</v>
      </c>
      <c r="AG158" s="38">
        <f t="shared" si="26"/>
        <v>3</v>
      </c>
      <c r="AH158" s="38">
        <v>2.1</v>
      </c>
      <c r="AI158" s="38">
        <v>3.6540803897685749E-2</v>
      </c>
      <c r="AJ158" s="38">
        <v>1.9</v>
      </c>
      <c r="AK158" s="38">
        <v>3.3060727336001391E-2</v>
      </c>
      <c r="AL158" s="38">
        <v>1.2</v>
      </c>
      <c r="AM158" s="38">
        <v>2.0880459370106141E-2</v>
      </c>
      <c r="AN158" s="41"/>
      <c r="AO158" s="41"/>
      <c r="AP158" s="73"/>
      <c r="AQ158" s="73"/>
      <c r="AR158" s="73"/>
      <c r="AS158" s="178"/>
      <c r="AT158" s="178"/>
      <c r="AU158" s="1"/>
      <c r="AV158" s="1"/>
      <c r="AW158" s="1"/>
      <c r="AX158" s="178"/>
      <c r="AY158" s="1"/>
      <c r="AZ158" s="1"/>
      <c r="BA158" s="1"/>
      <c r="BB158" s="178"/>
      <c r="BC158" s="178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</row>
    <row r="159" spans="1:88" s="22" customFormat="1" ht="23.25" customHeight="1">
      <c r="A159" s="1">
        <v>1498</v>
      </c>
      <c r="B159" s="34" t="s">
        <v>2016</v>
      </c>
      <c r="C159" s="34">
        <v>411</v>
      </c>
      <c r="D159" s="69">
        <v>3902</v>
      </c>
      <c r="E159" s="34">
        <v>602</v>
      </c>
      <c r="F159" s="34" t="s">
        <v>2057</v>
      </c>
      <c r="G159" s="58" t="s">
        <v>2067</v>
      </c>
      <c r="H159" s="58" t="s">
        <v>2068</v>
      </c>
      <c r="I159" s="35">
        <v>6.9009999999999998</v>
      </c>
      <c r="J159" s="34">
        <v>2</v>
      </c>
      <c r="K159" s="34" t="s">
        <v>12</v>
      </c>
      <c r="L159" s="10">
        <v>42248</v>
      </c>
      <c r="M159" s="37" t="s">
        <v>191</v>
      </c>
      <c r="N159" s="38">
        <v>2.2749999999999999</v>
      </c>
      <c r="O159" s="38">
        <v>1.8</v>
      </c>
      <c r="P159" s="38">
        <v>1.35</v>
      </c>
      <c r="Q159" s="38">
        <v>1.4750000000000001</v>
      </c>
      <c r="R159" s="38">
        <v>3.6850000000000001</v>
      </c>
      <c r="S159" s="38">
        <f t="shared" si="24"/>
        <v>3.5</v>
      </c>
      <c r="T159" s="38">
        <v>6.625</v>
      </c>
      <c r="U159" s="38">
        <v>0.25</v>
      </c>
      <c r="V159" s="38">
        <v>2.5000000000000001E-2</v>
      </c>
      <c r="W159" s="38">
        <v>0</v>
      </c>
      <c r="X159" s="38">
        <v>5.0780000000000003</v>
      </c>
      <c r="Y159" s="38">
        <f t="shared" si="25"/>
        <v>5</v>
      </c>
      <c r="Z159" s="38">
        <v>0</v>
      </c>
      <c r="AA159" s="38">
        <v>0</v>
      </c>
      <c r="AB159" s="38">
        <f>SUM(T159:W159)</f>
        <v>6.9</v>
      </c>
      <c r="AC159" s="38">
        <v>1.363</v>
      </c>
      <c r="AD159" s="38">
        <v>676</v>
      </c>
      <c r="AE159" s="38">
        <v>86.71</v>
      </c>
      <c r="AF159" s="38">
        <f>(AD159+AE159*0.5)/(3.5*I159*1000)*100</f>
        <v>2.9782640197072889</v>
      </c>
      <c r="AG159" s="38">
        <f t="shared" si="26"/>
        <v>3</v>
      </c>
      <c r="AH159" s="38">
        <v>3559</v>
      </c>
      <c r="AI159" s="38">
        <f>AH159/(3.5*I159*1000)*100</f>
        <v>14.734924545096984</v>
      </c>
      <c r="AJ159" s="38">
        <v>397.1</v>
      </c>
      <c r="AK159" s="38">
        <f>AJ159/(3.5*I159*1000)*100</f>
        <v>1.6440681474734511</v>
      </c>
      <c r="AL159" s="38">
        <v>54</v>
      </c>
      <c r="AM159" s="38">
        <f>AL159/(3.5*I159*1000)*100</f>
        <v>0.22357008301074377</v>
      </c>
      <c r="AN159" s="60"/>
      <c r="AO159" s="60">
        <f>AE159*0.5</f>
        <v>43.354999999999997</v>
      </c>
      <c r="AP159" s="60">
        <f>(AD159+AH159+AJ159+AL159+AO159)*I159</f>
        <v>32637.968955</v>
      </c>
      <c r="AQ159" s="60"/>
      <c r="AR159" s="60">
        <f>SUM(N159:Q159)</f>
        <v>6.9</v>
      </c>
      <c r="AS159" s="55">
        <f>SUM(T159:W159)</f>
        <v>6.9</v>
      </c>
      <c r="AT159" s="55"/>
      <c r="AU159" s="61"/>
      <c r="AV159" s="40"/>
      <c r="AW159" s="40"/>
      <c r="AX159" s="55"/>
      <c r="AY159" s="40"/>
      <c r="AZ159" s="61"/>
      <c r="BA159" s="61"/>
      <c r="BB159" s="34"/>
      <c r="BC159" s="34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</row>
    <row r="160" spans="1:88" s="22" customFormat="1">
      <c r="A160" s="1">
        <v>272</v>
      </c>
      <c r="B160" s="34" t="s">
        <v>484</v>
      </c>
      <c r="C160" s="34">
        <v>641</v>
      </c>
      <c r="D160" s="34">
        <v>223</v>
      </c>
      <c r="E160" s="34">
        <v>100</v>
      </c>
      <c r="F160" s="34" t="s">
        <v>493</v>
      </c>
      <c r="G160" s="58">
        <v>0</v>
      </c>
      <c r="H160" s="58">
        <v>42807</v>
      </c>
      <c r="I160" s="35">
        <v>42.807000000000002</v>
      </c>
      <c r="J160" s="59">
        <v>2</v>
      </c>
      <c r="K160" s="34" t="s">
        <v>238</v>
      </c>
      <c r="L160" s="10">
        <v>42159</v>
      </c>
      <c r="M160" s="37" t="s">
        <v>191</v>
      </c>
      <c r="N160" s="38">
        <v>31.375</v>
      </c>
      <c r="O160" s="38">
        <v>8.4</v>
      </c>
      <c r="P160" s="38">
        <v>2.125</v>
      </c>
      <c r="Q160" s="38">
        <v>0.95</v>
      </c>
      <c r="R160" s="38">
        <v>2.3203100000000001</v>
      </c>
      <c r="S160" s="38">
        <f t="shared" si="24"/>
        <v>2.5</v>
      </c>
      <c r="T160" s="38">
        <v>40.825000000000003</v>
      </c>
      <c r="U160" s="38">
        <v>1.6</v>
      </c>
      <c r="V160" s="38">
        <v>0.32500000000000001</v>
      </c>
      <c r="W160" s="38">
        <v>0.1</v>
      </c>
      <c r="X160" s="38">
        <v>4.5830000000000002</v>
      </c>
      <c r="Y160" s="38">
        <f t="shared" si="25"/>
        <v>4.5</v>
      </c>
      <c r="Z160" s="38">
        <v>0</v>
      </c>
      <c r="AA160" s="38">
        <v>0</v>
      </c>
      <c r="AB160" s="38">
        <f>T160+U160+V160+W160</f>
        <v>42.850000000000009</v>
      </c>
      <c r="AC160" s="38">
        <v>1.2504900000000001</v>
      </c>
      <c r="AD160" s="39">
        <v>4388</v>
      </c>
      <c r="AE160" s="38">
        <v>137</v>
      </c>
      <c r="AF160" s="38">
        <f>(AD160+AE160*0.5)/(3.5*I160*1000)*100</f>
        <v>2.9744801417658659</v>
      </c>
      <c r="AG160" s="38">
        <f t="shared" si="26"/>
        <v>3</v>
      </c>
      <c r="AH160" s="38">
        <v>0</v>
      </c>
      <c r="AI160" s="38">
        <f>AH160/(3.5*I160*1000)*100</f>
        <v>0</v>
      </c>
      <c r="AJ160" s="38">
        <v>689.46</v>
      </c>
      <c r="AK160" s="38">
        <v>0</v>
      </c>
      <c r="AL160" s="38">
        <v>0</v>
      </c>
      <c r="AM160" s="38">
        <f>AL160/(3.5*I160*1000)*100</f>
        <v>0</v>
      </c>
      <c r="AN160" s="60"/>
      <c r="AO160" s="60">
        <f>AE160*0.5</f>
        <v>68.5</v>
      </c>
      <c r="AP160" s="60">
        <f>(AD160+AH160+AJ160+AL160+AO160)*I160</f>
        <v>220283.10972000001</v>
      </c>
      <c r="AQ160" s="25">
        <f>SUM(N160:Q160)</f>
        <v>42.85</v>
      </c>
      <c r="AR160" s="25">
        <f>SUM(T160:W160)</f>
        <v>42.850000000000009</v>
      </c>
      <c r="AS160" s="61"/>
      <c r="AT160" s="40"/>
      <c r="AU160" s="41">
        <f>SUM(N160:Q160)</f>
        <v>42.85</v>
      </c>
      <c r="AV160" s="41">
        <f>SUM(T160:W160)</f>
        <v>42.850000000000009</v>
      </c>
      <c r="AW160" s="41">
        <f>SUM(Z160:AB160)</f>
        <v>42.850000000000009</v>
      </c>
      <c r="AX160" s="61"/>
      <c r="AY160" s="22">
        <f>I160/AU160</f>
        <v>0.99899649941656943</v>
      </c>
      <c r="AZ160" s="22">
        <f>I160/AV160</f>
        <v>0.99899649941656932</v>
      </c>
      <c r="BA160" s="22">
        <f>I160/AW160</f>
        <v>0.99899649941656932</v>
      </c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</row>
    <row r="161" spans="1:88" s="22" customFormat="1">
      <c r="A161" s="1">
        <v>1738</v>
      </c>
      <c r="B161" s="34" t="s">
        <v>2324</v>
      </c>
      <c r="C161" s="34">
        <v>423</v>
      </c>
      <c r="D161" s="8">
        <v>3210</v>
      </c>
      <c r="E161" s="88">
        <v>100</v>
      </c>
      <c r="F161" s="34" t="s">
        <v>2333</v>
      </c>
      <c r="G161" s="58">
        <v>14518</v>
      </c>
      <c r="H161" s="58">
        <v>0</v>
      </c>
      <c r="I161" s="35">
        <v>14.518000000000001</v>
      </c>
      <c r="J161" s="9">
        <v>2</v>
      </c>
      <c r="K161" s="88" t="s">
        <v>12</v>
      </c>
      <c r="L161" s="116">
        <v>42234</v>
      </c>
      <c r="M161" s="37" t="s">
        <v>191</v>
      </c>
      <c r="N161" s="38">
        <v>6.6</v>
      </c>
      <c r="O161" s="38">
        <v>3.9</v>
      </c>
      <c r="P161" s="38">
        <v>2.5249999999999999</v>
      </c>
      <c r="Q161" s="38">
        <v>1.4750000000000001</v>
      </c>
      <c r="R161" s="38">
        <v>3.0503300000000002</v>
      </c>
      <c r="S161" s="38">
        <f t="shared" si="24"/>
        <v>3</v>
      </c>
      <c r="T161" s="38">
        <v>13.074999999999999</v>
      </c>
      <c r="U161" s="38">
        <v>1.1000000000000001</v>
      </c>
      <c r="V161" s="38">
        <v>0.27500000000000002</v>
      </c>
      <c r="W161" s="38">
        <v>0.05</v>
      </c>
      <c r="X161" s="38">
        <v>5.2534099999999997</v>
      </c>
      <c r="Y161" s="38">
        <f t="shared" si="25"/>
        <v>5.5</v>
      </c>
      <c r="Z161" s="38">
        <v>0</v>
      </c>
      <c r="AA161" s="117">
        <v>0</v>
      </c>
      <c r="AB161" s="35">
        <v>14.518000000000001</v>
      </c>
      <c r="AC161" s="117">
        <v>1.21716</v>
      </c>
      <c r="AD161" s="39">
        <v>1115.68</v>
      </c>
      <c r="AE161" s="38">
        <v>785.91</v>
      </c>
      <c r="AF161" s="38">
        <v>2.9689899999999998</v>
      </c>
      <c r="AG161" s="38">
        <f t="shared" si="26"/>
        <v>3</v>
      </c>
      <c r="AH161" s="38">
        <v>0</v>
      </c>
      <c r="AI161" s="38">
        <v>0</v>
      </c>
      <c r="AJ161" s="38">
        <v>1406</v>
      </c>
      <c r="AK161" s="38">
        <f>AJ161/(3.5*I161*1000)*100</f>
        <v>2.7670084427213508</v>
      </c>
      <c r="AL161" s="38">
        <v>346.19</v>
      </c>
      <c r="AM161" s="38">
        <v>0.68130000000000002</v>
      </c>
      <c r="AN161" s="12"/>
      <c r="AO161" s="12">
        <f>AE161*0.5</f>
        <v>392.95499999999998</v>
      </c>
      <c r="AP161" s="12">
        <f>(AD161+AH161+AJ161+AL161+AO161)*I161</f>
        <v>47340.657350000009</v>
      </c>
      <c r="AQ161" s="136">
        <f>SUM(N161:Q161)</f>
        <v>14.5</v>
      </c>
      <c r="AR161" s="136">
        <f>SUM(T161:W161)</f>
        <v>14.5</v>
      </c>
      <c r="AS161" s="1"/>
      <c r="AT161" s="41"/>
      <c r="AU161" s="41"/>
      <c r="AV161" s="41"/>
      <c r="AW161" s="4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</row>
    <row r="162" spans="1:88" s="22" customFormat="1">
      <c r="A162" s="1">
        <v>1683</v>
      </c>
      <c r="B162" s="34" t="s">
        <v>2279</v>
      </c>
      <c r="C162" s="34">
        <v>421</v>
      </c>
      <c r="D162" s="8">
        <v>315</v>
      </c>
      <c r="E162" s="34">
        <v>100</v>
      </c>
      <c r="F162" s="34" t="s">
        <v>2284</v>
      </c>
      <c r="G162" s="58">
        <v>0</v>
      </c>
      <c r="H162" s="58">
        <v>10880</v>
      </c>
      <c r="I162" s="35">
        <v>10.88</v>
      </c>
      <c r="J162" s="9">
        <v>6</v>
      </c>
      <c r="K162" s="34" t="s">
        <v>237</v>
      </c>
      <c r="L162" s="10">
        <v>42226</v>
      </c>
      <c r="M162" s="37" t="s">
        <v>191</v>
      </c>
      <c r="N162" s="38">
        <v>3.0750000000000002</v>
      </c>
      <c r="O162" s="38">
        <v>2.5499999999999998</v>
      </c>
      <c r="P162" s="38">
        <v>2.125</v>
      </c>
      <c r="Q162" s="38">
        <v>3.15</v>
      </c>
      <c r="R162" s="38">
        <v>4.1990999999999996</v>
      </c>
      <c r="S162" s="38">
        <f t="shared" si="24"/>
        <v>4</v>
      </c>
      <c r="T162" s="38">
        <v>4.7</v>
      </c>
      <c r="U162" s="38">
        <v>2.0249999999999999</v>
      </c>
      <c r="V162" s="38">
        <v>1.2250000000000001</v>
      </c>
      <c r="W162" s="38">
        <v>2.95</v>
      </c>
      <c r="X162" s="38">
        <v>14.9702</v>
      </c>
      <c r="Y162" s="38">
        <f t="shared" si="25"/>
        <v>15</v>
      </c>
      <c r="Z162" s="38">
        <v>0</v>
      </c>
      <c r="AA162" s="38">
        <v>0</v>
      </c>
      <c r="AB162" s="38">
        <v>10.88</v>
      </c>
      <c r="AC162" s="38">
        <v>1.28931</v>
      </c>
      <c r="AD162" s="39">
        <v>1129.77</v>
      </c>
      <c r="AE162" s="38">
        <v>0</v>
      </c>
      <c r="AF162" s="38">
        <f>(AD162+AE162*0.5)/(3.5*I162*1000)*100</f>
        <v>2.9668329831932767</v>
      </c>
      <c r="AG162" s="38">
        <f t="shared" si="26"/>
        <v>3</v>
      </c>
      <c r="AH162" s="38">
        <v>76.12</v>
      </c>
      <c r="AI162" s="38">
        <f>AH162/(3.5*I162*1000)*100</f>
        <v>0.19989495798319323</v>
      </c>
      <c r="AJ162" s="38">
        <v>563</v>
      </c>
      <c r="AK162" s="38">
        <f>AJ162/(3.5*I162*1000)*100</f>
        <v>1.4784663865546217</v>
      </c>
      <c r="AL162" s="38">
        <v>0</v>
      </c>
      <c r="AM162" s="38">
        <f>AL162/(3.5*I162*1000)*100</f>
        <v>0</v>
      </c>
      <c r="AN162" s="25"/>
      <c r="AO162" s="25">
        <f>AE162*0.5</f>
        <v>0</v>
      </c>
      <c r="AP162" s="25">
        <f>(AD162+AH162+AJ162+AL162+AO162)*I162</f>
        <v>19245.5232</v>
      </c>
      <c r="AQ162" s="25">
        <f>SUM(N162:Q162)</f>
        <v>10.9</v>
      </c>
      <c r="AR162" s="25">
        <f>SUM(T162:W162)</f>
        <v>10.899999999999999</v>
      </c>
      <c r="AT162" s="41"/>
      <c r="AU162" s="41"/>
      <c r="AV162" s="41"/>
      <c r="AW162" s="41"/>
    </row>
    <row r="163" spans="1:88" s="22" customFormat="1">
      <c r="A163" s="1">
        <v>167</v>
      </c>
      <c r="B163" s="34" t="s">
        <v>332</v>
      </c>
      <c r="C163" s="34">
        <v>533</v>
      </c>
      <c r="D163" s="34">
        <v>118</v>
      </c>
      <c r="E163" s="34">
        <v>201</v>
      </c>
      <c r="F163" s="34" t="s">
        <v>343</v>
      </c>
      <c r="G163" s="20" t="s">
        <v>344</v>
      </c>
      <c r="H163" s="20" t="s">
        <v>345</v>
      </c>
      <c r="I163" s="35">
        <v>60.25</v>
      </c>
      <c r="J163" s="36">
        <v>4</v>
      </c>
      <c r="K163" s="34" t="s">
        <v>238</v>
      </c>
      <c r="L163" s="10">
        <v>42206</v>
      </c>
      <c r="M163" s="37" t="s">
        <v>191</v>
      </c>
      <c r="N163" s="38">
        <v>38.89</v>
      </c>
      <c r="O163" s="38">
        <v>14.68</v>
      </c>
      <c r="P163" s="38">
        <v>4.88</v>
      </c>
      <c r="Q163" s="38">
        <v>1.8</v>
      </c>
      <c r="R163" s="38">
        <v>2.6414200000000001</v>
      </c>
      <c r="S163" s="38">
        <f t="shared" si="24"/>
        <v>2.5</v>
      </c>
      <c r="T163" s="38">
        <v>52.72</v>
      </c>
      <c r="U163" s="38">
        <v>6.08</v>
      </c>
      <c r="V163" s="38">
        <v>1.25</v>
      </c>
      <c r="W163" s="38">
        <v>0.2</v>
      </c>
      <c r="X163" s="38">
        <v>6.5142800000000003</v>
      </c>
      <c r="Y163" s="38">
        <f t="shared" si="25"/>
        <v>6.5</v>
      </c>
      <c r="Z163" s="38">
        <v>0.05</v>
      </c>
      <c r="AA163" s="38">
        <v>0.1</v>
      </c>
      <c r="AB163" s="38">
        <v>60.1</v>
      </c>
      <c r="AC163" s="38">
        <v>1.18391</v>
      </c>
      <c r="AD163" s="39">
        <v>5960</v>
      </c>
      <c r="AE163" s="38">
        <v>499.76</v>
      </c>
      <c r="AF163" s="38">
        <f>(AD163+AE163*0.5)/(3.5*I163*1000)*100</f>
        <v>2.9448156490812094</v>
      </c>
      <c r="AG163" s="38">
        <f t="shared" si="26"/>
        <v>2.9</v>
      </c>
      <c r="AH163" s="38">
        <v>953</v>
      </c>
      <c r="AI163" s="38">
        <f>AH163/(3.5*I163*1000)*100</f>
        <v>0.4519264967397747</v>
      </c>
      <c r="AJ163" s="38">
        <v>208</v>
      </c>
      <c r="AK163" s="38">
        <f>AJ163/(3.5*I163*1000)*100</f>
        <v>9.8636633076467112E-2</v>
      </c>
      <c r="AL163" s="38">
        <v>2960</v>
      </c>
      <c r="AM163" s="38">
        <f>AL163/(3.5*I163*1000)*100</f>
        <v>1.4036751630112625</v>
      </c>
      <c r="AN163" s="25"/>
      <c r="AO163" s="25">
        <f>AE163*0.5</f>
        <v>249.88</v>
      </c>
      <c r="AP163" s="25">
        <f>(AD163+AH163+AJ163+AL163+AO163)*I163</f>
        <v>622435.5199999999</v>
      </c>
      <c r="AQ163" s="25"/>
      <c r="AR163" s="25">
        <f>SUM(N163:Q163)</f>
        <v>60.25</v>
      </c>
      <c r="AS163" s="25">
        <f>SUM(T163:W163)</f>
        <v>60.25</v>
      </c>
      <c r="AU163" s="41">
        <f>SUM(N163:Q163)</f>
        <v>60.25</v>
      </c>
      <c r="AV163" s="41">
        <f>SUM(T163:W163)</f>
        <v>60.25</v>
      </c>
      <c r="AW163" s="41">
        <f>SUM(Z163:AB163)</f>
        <v>60.25</v>
      </c>
      <c r="AX163" s="41"/>
      <c r="AY163" s="22">
        <f>I163/AU163</f>
        <v>1</v>
      </c>
      <c r="AZ163" s="22">
        <f>I163/AV163</f>
        <v>1</v>
      </c>
      <c r="BA163" s="22">
        <f>I163/AW163</f>
        <v>1</v>
      </c>
    </row>
    <row r="164" spans="1:88" s="22" customFormat="1">
      <c r="A164" s="1">
        <v>2137</v>
      </c>
      <c r="B164" s="34" t="s">
        <v>2754</v>
      </c>
      <c r="C164" s="34">
        <v>324</v>
      </c>
      <c r="D164" s="75">
        <v>4304</v>
      </c>
      <c r="E164" s="8">
        <v>100</v>
      </c>
      <c r="F164" s="9" t="s">
        <v>2778</v>
      </c>
      <c r="G164" s="20">
        <v>0</v>
      </c>
      <c r="H164" s="20">
        <v>2171</v>
      </c>
      <c r="I164" s="21">
        <v>2.1709999999999998</v>
      </c>
      <c r="J164" s="9">
        <v>4</v>
      </c>
      <c r="K164" s="34" t="s">
        <v>12</v>
      </c>
      <c r="L164" s="18">
        <v>42139</v>
      </c>
      <c r="M164" s="37" t="s">
        <v>191</v>
      </c>
      <c r="N164" s="38">
        <v>0.1</v>
      </c>
      <c r="O164" s="38">
        <v>0.125</v>
      </c>
      <c r="P164" s="38">
        <v>0.125</v>
      </c>
      <c r="Q164" s="38">
        <v>1.825</v>
      </c>
      <c r="R164" s="38">
        <v>7.9742699999999997</v>
      </c>
      <c r="S164" s="38">
        <f t="shared" si="24"/>
        <v>8</v>
      </c>
      <c r="T164" s="38">
        <v>1.6</v>
      </c>
      <c r="U164" s="38">
        <v>0.57499999999999996</v>
      </c>
      <c r="V164" s="38">
        <v>0</v>
      </c>
      <c r="W164" s="38">
        <v>0</v>
      </c>
      <c r="X164" s="38">
        <v>8.2112700000000007</v>
      </c>
      <c r="Y164" s="38">
        <f t="shared" si="25"/>
        <v>8</v>
      </c>
      <c r="Z164" s="38">
        <v>0</v>
      </c>
      <c r="AA164" s="38">
        <v>0</v>
      </c>
      <c r="AB164" s="38">
        <v>2.1749999999999998</v>
      </c>
      <c r="AC164" s="38">
        <v>3.00163</v>
      </c>
      <c r="AD164" s="39">
        <v>219.3</v>
      </c>
      <c r="AE164" s="38">
        <v>0</v>
      </c>
      <c r="AF164" s="38">
        <v>2.8860959399881558</v>
      </c>
      <c r="AG164" s="38">
        <f t="shared" si="26"/>
        <v>2.9</v>
      </c>
      <c r="AH164" s="38">
        <v>26.33</v>
      </c>
      <c r="AI164" s="38">
        <v>0.34651575968941234</v>
      </c>
      <c r="AJ164" s="38">
        <v>2.85</v>
      </c>
      <c r="AK164" s="38">
        <v>3.7507402776863853E-2</v>
      </c>
      <c r="AL164" s="38">
        <v>0</v>
      </c>
      <c r="AM164" s="38">
        <v>0</v>
      </c>
      <c r="AN164" s="41"/>
      <c r="AO164" s="41"/>
      <c r="AP164" s="73"/>
      <c r="AQ164" s="73"/>
      <c r="AR164" s="73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</row>
    <row r="165" spans="1:88" s="22" customFormat="1">
      <c r="A165" s="1">
        <v>62</v>
      </c>
      <c r="B165" s="4" t="s">
        <v>37</v>
      </c>
      <c r="C165" s="14">
        <v>523</v>
      </c>
      <c r="D165" s="19">
        <v>1393</v>
      </c>
      <c r="E165" s="16">
        <v>100</v>
      </c>
      <c r="F165" s="14" t="s">
        <v>127</v>
      </c>
      <c r="G165" s="20" t="s">
        <v>114</v>
      </c>
      <c r="H165" s="20" t="s">
        <v>92</v>
      </c>
      <c r="I165" s="8">
        <v>1.5129999999999999</v>
      </c>
      <c r="J165" s="8">
        <v>3</v>
      </c>
      <c r="K165" s="9" t="s">
        <v>12</v>
      </c>
      <c r="L165" s="18">
        <v>42222</v>
      </c>
      <c r="M165" s="37" t="s">
        <v>191</v>
      </c>
      <c r="N165" s="26">
        <v>0.7</v>
      </c>
      <c r="O165" s="26">
        <v>0.95</v>
      </c>
      <c r="P165" s="26">
        <v>0.67500000000000004</v>
      </c>
      <c r="Q165" s="26">
        <v>0.625</v>
      </c>
      <c r="R165" s="26">
        <v>3.6760199999999998</v>
      </c>
      <c r="S165" s="38">
        <f t="shared" si="24"/>
        <v>3.5</v>
      </c>
      <c r="T165" s="26">
        <v>2.2000000000000002</v>
      </c>
      <c r="U165" s="26">
        <v>0.55000000000000004</v>
      </c>
      <c r="V165" s="26">
        <v>0.2</v>
      </c>
      <c r="W165" s="26">
        <v>0</v>
      </c>
      <c r="X165" s="26">
        <v>7.2668699999999999</v>
      </c>
      <c r="Y165" s="38">
        <f t="shared" si="25"/>
        <v>7.5</v>
      </c>
      <c r="Z165" s="26">
        <v>0</v>
      </c>
      <c r="AA165" s="26">
        <v>0</v>
      </c>
      <c r="AB165" s="26">
        <v>1.5129999999999999</v>
      </c>
      <c r="AC165" s="26">
        <v>1.16334</v>
      </c>
      <c r="AD165" s="258">
        <v>152.36000000000001</v>
      </c>
      <c r="AE165" s="26">
        <v>0</v>
      </c>
      <c r="AF165" s="26">
        <f>(AD165+AE165*0.5)/(3.5*I165*1000)*100</f>
        <v>2.8771598527051272</v>
      </c>
      <c r="AG165" s="38">
        <f t="shared" si="26"/>
        <v>2.9</v>
      </c>
      <c r="AH165" s="26">
        <v>0</v>
      </c>
      <c r="AI165" s="26">
        <f>AH165/(3.5*I165*1000)*100</f>
        <v>0</v>
      </c>
      <c r="AJ165" s="26">
        <v>0</v>
      </c>
      <c r="AK165" s="26">
        <f>AJ165/(3.5*I165*1000)*100</f>
        <v>0</v>
      </c>
      <c r="AL165" s="26">
        <v>0</v>
      </c>
      <c r="AM165" s="26">
        <f>AL165/(3.5*I165*1000)*100</f>
        <v>0</v>
      </c>
      <c r="AO165" s="25"/>
      <c r="AP165" s="25"/>
    </row>
    <row r="166" spans="1:88" s="22" customFormat="1">
      <c r="A166" s="1">
        <v>1298</v>
      </c>
      <c r="B166" s="74" t="s">
        <v>1820</v>
      </c>
      <c r="C166" s="34">
        <v>441</v>
      </c>
      <c r="D166" s="75">
        <v>3557</v>
      </c>
      <c r="E166" s="69">
        <v>100</v>
      </c>
      <c r="F166" s="34" t="s">
        <v>1844</v>
      </c>
      <c r="G166" s="58">
        <v>0</v>
      </c>
      <c r="H166" s="58">
        <v>726</v>
      </c>
      <c r="I166" s="55">
        <v>0.72599999999999998</v>
      </c>
      <c r="J166" s="34">
        <v>4</v>
      </c>
      <c r="K166" s="34" t="s">
        <v>237</v>
      </c>
      <c r="L166" s="10">
        <v>42187</v>
      </c>
      <c r="M166" s="37" t="s">
        <v>191</v>
      </c>
      <c r="N166" s="147">
        <v>0.6701538461538461</v>
      </c>
      <c r="O166" s="147">
        <v>5.5846153846153851E-2</v>
      </c>
      <c r="P166" s="147">
        <v>0</v>
      </c>
      <c r="Q166" s="147">
        <v>0</v>
      </c>
      <c r="R166" s="38">
        <v>1.98654</v>
      </c>
      <c r="S166" s="38">
        <f t="shared" si="24"/>
        <v>2</v>
      </c>
      <c r="T166" s="38">
        <v>0.72599999999999998</v>
      </c>
      <c r="U166" s="38">
        <v>0</v>
      </c>
      <c r="V166" s="38">
        <v>0</v>
      </c>
      <c r="W166" s="38">
        <v>0</v>
      </c>
      <c r="X166" s="38">
        <v>2.4887700000000001</v>
      </c>
      <c r="Y166" s="38">
        <f t="shared" si="25"/>
        <v>2.5</v>
      </c>
      <c r="Z166" s="38">
        <v>0</v>
      </c>
      <c r="AA166" s="38">
        <v>0</v>
      </c>
      <c r="AB166" s="38">
        <v>0.65</v>
      </c>
      <c r="AC166" s="38">
        <v>1.0184200000000001</v>
      </c>
      <c r="AD166" s="39">
        <v>64.3</v>
      </c>
      <c r="AE166" s="38">
        <v>16.3</v>
      </c>
      <c r="AF166" s="38">
        <v>2.8512396694214877</v>
      </c>
      <c r="AG166" s="38">
        <f t="shared" si="26"/>
        <v>2.9</v>
      </c>
      <c r="AH166" s="38">
        <v>54.3</v>
      </c>
      <c r="AI166" s="38">
        <v>2.1369539551357732</v>
      </c>
      <c r="AJ166" s="38">
        <v>0</v>
      </c>
      <c r="AK166" s="38">
        <v>0</v>
      </c>
      <c r="AL166" s="38">
        <v>0</v>
      </c>
      <c r="AM166" s="38">
        <v>0</v>
      </c>
      <c r="AN166" s="40"/>
      <c r="AO166" s="12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</row>
    <row r="167" spans="1:88" s="22" customFormat="1">
      <c r="A167" s="1">
        <v>2070</v>
      </c>
      <c r="B167" s="34" t="s">
        <v>2715</v>
      </c>
      <c r="C167" s="34">
        <v>329</v>
      </c>
      <c r="D167" s="75">
        <v>415</v>
      </c>
      <c r="E167" s="8">
        <v>200</v>
      </c>
      <c r="F167" s="34" t="s">
        <v>2716</v>
      </c>
      <c r="G167" s="58">
        <v>48161</v>
      </c>
      <c r="H167" s="58">
        <v>21381</v>
      </c>
      <c r="I167" s="21">
        <v>26.78</v>
      </c>
      <c r="J167" s="8">
        <v>4</v>
      </c>
      <c r="K167" s="8" t="s">
        <v>96</v>
      </c>
      <c r="L167" s="18">
        <v>42121</v>
      </c>
      <c r="M167" s="37" t="s">
        <v>191</v>
      </c>
      <c r="N167" s="38">
        <v>15.125</v>
      </c>
      <c r="O167" s="38">
        <v>6.125</v>
      </c>
      <c r="P167" s="38">
        <v>4.1500000000000004</v>
      </c>
      <c r="Q167" s="38">
        <v>1.2749999999999999</v>
      </c>
      <c r="R167" s="38">
        <v>2.6231300000000002</v>
      </c>
      <c r="S167" s="38">
        <f t="shared" si="24"/>
        <v>2.5</v>
      </c>
      <c r="T167" s="38">
        <v>25.375</v>
      </c>
      <c r="U167" s="38">
        <v>0.9</v>
      </c>
      <c r="V167" s="38">
        <v>0.3</v>
      </c>
      <c r="W167" s="38">
        <v>0.1</v>
      </c>
      <c r="X167" s="38">
        <v>4.1655300000000004</v>
      </c>
      <c r="Y167" s="38">
        <f t="shared" si="25"/>
        <v>4</v>
      </c>
      <c r="Z167" s="38">
        <v>0</v>
      </c>
      <c r="AA167" s="38">
        <v>0</v>
      </c>
      <c r="AB167" s="38">
        <v>26.674999999999997</v>
      </c>
      <c r="AC167" s="38">
        <v>1.3693299999999999</v>
      </c>
      <c r="AD167" s="39">
        <v>2611.4899999999998</v>
      </c>
      <c r="AE167" s="38">
        <v>80.66</v>
      </c>
      <c r="AF167" s="38">
        <v>2.8292115651338947</v>
      </c>
      <c r="AG167" s="38">
        <f t="shared" si="26"/>
        <v>2.8</v>
      </c>
      <c r="AH167" s="38">
        <v>121.74</v>
      </c>
      <c r="AI167" s="38">
        <v>0.12988370852448522</v>
      </c>
      <c r="AJ167" s="38">
        <v>68.400000000000006</v>
      </c>
      <c r="AK167" s="38">
        <v>7.2975568121199194E-2</v>
      </c>
      <c r="AL167" s="38">
        <v>0</v>
      </c>
      <c r="AM167" s="38">
        <f t="shared" ref="AM167:AM173" si="27">AL167/(3.5*I167*1000)*100</f>
        <v>0</v>
      </c>
      <c r="AN167" s="12"/>
      <c r="AO167" s="12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</row>
    <row r="168" spans="1:88" s="22" customFormat="1">
      <c r="A168" s="1">
        <v>224</v>
      </c>
      <c r="B168" s="34" t="s">
        <v>413</v>
      </c>
      <c r="C168" s="34">
        <v>536</v>
      </c>
      <c r="D168" s="34">
        <v>1243</v>
      </c>
      <c r="E168" s="34">
        <v>201</v>
      </c>
      <c r="F168" s="34" t="s">
        <v>430</v>
      </c>
      <c r="G168" s="53" t="s">
        <v>431</v>
      </c>
      <c r="H168" s="53" t="s">
        <v>432</v>
      </c>
      <c r="I168" s="35">
        <v>46.725000000000001</v>
      </c>
      <c r="J168" s="36">
        <v>2</v>
      </c>
      <c r="K168" s="34" t="s">
        <v>12</v>
      </c>
      <c r="L168" s="10">
        <v>42220</v>
      </c>
      <c r="M168" s="37" t="s">
        <v>191</v>
      </c>
      <c r="N168" s="38">
        <v>5.86</v>
      </c>
      <c r="O168" s="38">
        <v>10.73</v>
      </c>
      <c r="P168" s="38">
        <v>12.65</v>
      </c>
      <c r="Q168" s="38">
        <v>17.489999999999998</v>
      </c>
      <c r="R168" s="38">
        <v>3.9992299999999998</v>
      </c>
      <c r="S168" s="38">
        <f t="shared" si="24"/>
        <v>4</v>
      </c>
      <c r="T168" s="38">
        <v>15.83</v>
      </c>
      <c r="U168" s="38">
        <v>6.96</v>
      </c>
      <c r="V168" s="38">
        <v>4.47</v>
      </c>
      <c r="W168" s="38">
        <v>19.47</v>
      </c>
      <c r="X168" s="38">
        <v>21.088799999999999</v>
      </c>
      <c r="Y168" s="38">
        <f t="shared" si="25"/>
        <v>21</v>
      </c>
      <c r="Z168" s="38">
        <v>0</v>
      </c>
      <c r="AA168" s="38">
        <v>7.0000000000000007E-2</v>
      </c>
      <c r="AB168" s="38">
        <v>46.66</v>
      </c>
      <c r="AC168" s="38">
        <v>1.5954200000000001</v>
      </c>
      <c r="AD168" s="39">
        <v>4471</v>
      </c>
      <c r="AE168" s="38">
        <v>261.20999999999998</v>
      </c>
      <c r="AF168" s="38">
        <f t="shared" ref="AF168:AF173" si="28">(AD168+AE168*0.5)/(3.5*I168*1000)*100</f>
        <v>2.813791943743789</v>
      </c>
      <c r="AG168" s="38">
        <f t="shared" si="26"/>
        <v>2.8</v>
      </c>
      <c r="AH168" s="38">
        <v>5145</v>
      </c>
      <c r="AI168" s="38">
        <f t="shared" ref="AI168:AI173" si="29">AH168/(3.5*I168*1000)*100</f>
        <v>3.1460674157303372</v>
      </c>
      <c r="AJ168" s="38">
        <v>5198</v>
      </c>
      <c r="AK168" s="38">
        <f t="shared" ref="AK168:AK174" si="30">AJ168/(3.5*I168*1000)*100</f>
        <v>3.1784758847359167</v>
      </c>
      <c r="AL168" s="38">
        <v>139</v>
      </c>
      <c r="AM168" s="38">
        <f t="shared" si="27"/>
        <v>8.4995796071237487E-2</v>
      </c>
      <c r="AN168" s="25"/>
      <c r="AO168" s="25">
        <f>AE168*0.5</f>
        <v>130.60499999999999</v>
      </c>
      <c r="AP168" s="25">
        <f>(AD168+AH168+AJ168+AL168+AO168)*I168</f>
        <v>704781.44362499996</v>
      </c>
      <c r="AQ168" s="25">
        <f>SUM(N168:Q168)</f>
        <v>46.730000000000004</v>
      </c>
      <c r="AR168" s="25">
        <f>SUM(T168:W168)</f>
        <v>46.73</v>
      </c>
      <c r="AT168" s="41"/>
      <c r="AU168" s="41">
        <f>SUM(N168:Q168)</f>
        <v>46.730000000000004</v>
      </c>
      <c r="AV168" s="41">
        <f>SUM(T168:W168)</f>
        <v>46.73</v>
      </c>
      <c r="AW168" s="41">
        <f>SUM(Z168:AB168)</f>
        <v>46.73</v>
      </c>
      <c r="AY168" s="22">
        <f>I168/AU168</f>
        <v>0.99989300235394818</v>
      </c>
      <c r="AZ168" s="22">
        <f>I168/AV168</f>
        <v>0.99989300235394829</v>
      </c>
      <c r="BA168" s="22">
        <f>I168/AW168</f>
        <v>0.99989300235394829</v>
      </c>
    </row>
    <row r="169" spans="1:88" s="22" customFormat="1">
      <c r="A169" s="1">
        <v>1502</v>
      </c>
      <c r="B169" s="88" t="s">
        <v>2069</v>
      </c>
      <c r="C169" s="88">
        <v>413</v>
      </c>
      <c r="D169" s="69">
        <v>309</v>
      </c>
      <c r="E169" s="34">
        <v>101</v>
      </c>
      <c r="F169" s="34" t="s">
        <v>2072</v>
      </c>
      <c r="G169" s="58" t="s">
        <v>2073</v>
      </c>
      <c r="H169" s="58" t="s">
        <v>92</v>
      </c>
      <c r="I169" s="35">
        <v>11.6</v>
      </c>
      <c r="J169" s="34">
        <v>4</v>
      </c>
      <c r="K169" s="34" t="s">
        <v>96</v>
      </c>
      <c r="L169" s="10">
        <v>42266</v>
      </c>
      <c r="M169" s="37" t="s">
        <v>191</v>
      </c>
      <c r="N169" s="38">
        <v>6.1749999999999998</v>
      </c>
      <c r="O169" s="38">
        <v>2.6749999999999998</v>
      </c>
      <c r="P169" s="38">
        <v>1.7</v>
      </c>
      <c r="Q169" s="38">
        <v>1.0249999999999999</v>
      </c>
      <c r="R169" s="38">
        <v>2.5158</v>
      </c>
      <c r="S169" s="38">
        <f t="shared" si="24"/>
        <v>2.5</v>
      </c>
      <c r="T169" s="38">
        <v>6.8250000000000002</v>
      </c>
      <c r="U169" s="38">
        <v>2.375</v>
      </c>
      <c r="V169" s="38">
        <v>1.5249999999999999</v>
      </c>
      <c r="W169" s="38">
        <v>0.85</v>
      </c>
      <c r="X169" s="38">
        <v>8.5688999999999993</v>
      </c>
      <c r="Y169" s="38">
        <f t="shared" si="25"/>
        <v>8.5</v>
      </c>
      <c r="Z169" s="38">
        <v>0</v>
      </c>
      <c r="AA169" s="38">
        <v>0</v>
      </c>
      <c r="AB169" s="196">
        <v>11.6</v>
      </c>
      <c r="AC169" s="38">
        <v>1.1004499999999999</v>
      </c>
      <c r="AD169" s="39">
        <v>1101</v>
      </c>
      <c r="AE169" s="38">
        <v>81.12</v>
      </c>
      <c r="AF169" s="38">
        <f t="shared" si="28"/>
        <v>2.8117241379310345</v>
      </c>
      <c r="AG169" s="38">
        <f t="shared" si="26"/>
        <v>2.8</v>
      </c>
      <c r="AH169" s="38">
        <v>642</v>
      </c>
      <c r="AI169" s="38">
        <f t="shared" si="29"/>
        <v>1.5812807881773399</v>
      </c>
      <c r="AJ169" s="38">
        <v>167.89</v>
      </c>
      <c r="AK169" s="38">
        <f t="shared" si="30"/>
        <v>0.41352216748768467</v>
      </c>
      <c r="AL169" s="38">
        <v>170</v>
      </c>
      <c r="AM169" s="38">
        <f t="shared" si="27"/>
        <v>0.41871921182266003</v>
      </c>
      <c r="AN169" s="25"/>
      <c r="AO169" s="25">
        <f>AE169*0.5</f>
        <v>40.56</v>
      </c>
      <c r="AP169" s="25">
        <f>(AD169+AH169+AJ169+AL169+AO169)*I169</f>
        <v>24608.819999999996</v>
      </c>
      <c r="AQ169" s="25">
        <f>(AD169+AH169+AJ169+AL169)*I169</f>
        <v>24138.323999999997</v>
      </c>
      <c r="AR169" s="25">
        <f>SUM(N169:Q169)</f>
        <v>11.574999999999999</v>
      </c>
      <c r="AS169" s="25">
        <f>SUM(T169:W169)</f>
        <v>11.574999999999999</v>
      </c>
      <c r="AU169" s="275">
        <v>11.6</v>
      </c>
      <c r="AV169" s="41">
        <f>SUM(N169:Q169)</f>
        <v>11.574999999999999</v>
      </c>
      <c r="AW169" s="41">
        <f>SUM(T169:W169)</f>
        <v>11.574999999999999</v>
      </c>
      <c r="AX169" s="41">
        <f>SUM(Z169:AB169)</f>
        <v>11.6</v>
      </c>
      <c r="AZ169" s="22">
        <f>I169/AV169</f>
        <v>1.002159827213823</v>
      </c>
      <c r="BA169" s="22">
        <f>I169/AW169</f>
        <v>1.002159827213823</v>
      </c>
      <c r="BB169" s="22">
        <f>I169/AX169</f>
        <v>1</v>
      </c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</row>
    <row r="170" spans="1:88" s="22" customFormat="1">
      <c r="A170" s="1">
        <v>171</v>
      </c>
      <c r="B170" s="34" t="s">
        <v>332</v>
      </c>
      <c r="C170" s="34">
        <v>533</v>
      </c>
      <c r="D170" s="34">
        <v>1016</v>
      </c>
      <c r="E170" s="34">
        <v>100</v>
      </c>
      <c r="F170" s="34" t="s">
        <v>349</v>
      </c>
      <c r="G170" s="20">
        <v>100</v>
      </c>
      <c r="H170" s="20" t="s">
        <v>279</v>
      </c>
      <c r="I170" s="35">
        <v>9.9</v>
      </c>
      <c r="J170" s="33">
        <v>4</v>
      </c>
      <c r="K170" s="34" t="s">
        <v>237</v>
      </c>
      <c r="L170" s="10">
        <v>42201</v>
      </c>
      <c r="M170" s="37" t="s">
        <v>191</v>
      </c>
      <c r="N170" s="38">
        <v>5.66</v>
      </c>
      <c r="O170" s="38">
        <v>2.66</v>
      </c>
      <c r="P170" s="38">
        <v>1.3</v>
      </c>
      <c r="Q170" s="38">
        <v>0.28000000000000003</v>
      </c>
      <c r="R170" s="38">
        <v>2.3618000000000001</v>
      </c>
      <c r="S170" s="38">
        <f t="shared" si="24"/>
        <v>2.5</v>
      </c>
      <c r="T170" s="38">
        <v>6.98</v>
      </c>
      <c r="U170" s="38">
        <v>2.5299999999999998</v>
      </c>
      <c r="V170" s="38">
        <v>0.39</v>
      </c>
      <c r="W170" s="38">
        <v>0</v>
      </c>
      <c r="X170" s="38">
        <v>8.3744599999999991</v>
      </c>
      <c r="Y170" s="38">
        <f t="shared" si="25"/>
        <v>8.5</v>
      </c>
      <c r="Z170" s="38">
        <v>0</v>
      </c>
      <c r="AA170" s="38">
        <v>0</v>
      </c>
      <c r="AB170" s="38">
        <v>9.9</v>
      </c>
      <c r="AC170" s="38">
        <v>1.19251</v>
      </c>
      <c r="AD170" s="39">
        <v>962</v>
      </c>
      <c r="AE170" s="38">
        <v>23.01</v>
      </c>
      <c r="AF170" s="38">
        <f t="shared" si="28"/>
        <v>2.8095382395382398</v>
      </c>
      <c r="AG170" s="38">
        <f t="shared" si="26"/>
        <v>2.8</v>
      </c>
      <c r="AH170" s="38">
        <v>0</v>
      </c>
      <c r="AI170" s="38">
        <f t="shared" si="29"/>
        <v>0</v>
      </c>
      <c r="AJ170" s="38">
        <v>358</v>
      </c>
      <c r="AK170" s="38">
        <f t="shared" si="30"/>
        <v>1.0331890331890332</v>
      </c>
      <c r="AL170" s="38">
        <v>38</v>
      </c>
      <c r="AM170" s="38">
        <f t="shared" si="27"/>
        <v>0.10966810966810966</v>
      </c>
      <c r="AN170" s="25"/>
      <c r="AO170" s="25">
        <f>AE170*0.5</f>
        <v>11.505000000000001</v>
      </c>
      <c r="AP170" s="25">
        <f>(AD170+AH170+AJ170+AL170+AO170)*I170</f>
        <v>13558.099500000002</v>
      </c>
      <c r="AQ170" s="25"/>
      <c r="AR170" s="25">
        <f>SUM(N170:Q170)</f>
        <v>9.9</v>
      </c>
      <c r="AS170" s="25">
        <f>SUM(T170:W170)</f>
        <v>9.9</v>
      </c>
      <c r="AU170" s="41">
        <f>SUM(N170:Q170)</f>
        <v>9.9</v>
      </c>
      <c r="AV170" s="41">
        <f>SUM(T170:W170)</f>
        <v>9.9</v>
      </c>
      <c r="AW170" s="41">
        <f>SUM(Z170:AB170)</f>
        <v>9.9</v>
      </c>
      <c r="AX170" s="41"/>
      <c r="AY170" s="22">
        <f>I170/AU170</f>
        <v>1</v>
      </c>
      <c r="AZ170" s="22">
        <f>I170/AV170</f>
        <v>1</v>
      </c>
      <c r="BA170" s="22">
        <f>I170/AW170</f>
        <v>1</v>
      </c>
    </row>
    <row r="171" spans="1:88" s="22" customFormat="1">
      <c r="A171" s="1">
        <v>10</v>
      </c>
      <c r="B171" s="13" t="s">
        <v>8</v>
      </c>
      <c r="C171" s="14">
        <v>521</v>
      </c>
      <c r="D171" s="19">
        <v>1010</v>
      </c>
      <c r="E171" s="16">
        <v>100</v>
      </c>
      <c r="F171" s="14" t="s">
        <v>13</v>
      </c>
      <c r="G171" s="20">
        <v>0</v>
      </c>
      <c r="H171" s="20">
        <v>2140</v>
      </c>
      <c r="I171" s="21">
        <v>2.14</v>
      </c>
      <c r="J171" s="8">
        <v>2</v>
      </c>
      <c r="K171" s="9" t="s">
        <v>238</v>
      </c>
      <c r="L171" s="18">
        <v>42231</v>
      </c>
      <c r="M171" s="37" t="s">
        <v>191</v>
      </c>
      <c r="N171" s="11">
        <v>1.5249999999999999</v>
      </c>
      <c r="O171" s="11">
        <v>0.5</v>
      </c>
      <c r="P171" s="11">
        <v>7.4999999999999997E-2</v>
      </c>
      <c r="Q171" s="11">
        <v>0.05</v>
      </c>
      <c r="R171" s="11">
        <v>2.2637200000000002</v>
      </c>
      <c r="S171" s="38">
        <f t="shared" si="24"/>
        <v>2.5</v>
      </c>
      <c r="T171" s="11">
        <v>2.15</v>
      </c>
      <c r="U171" s="11">
        <v>0</v>
      </c>
      <c r="V171" s="11">
        <v>0</v>
      </c>
      <c r="W171" s="11">
        <v>0</v>
      </c>
      <c r="X171" s="11">
        <v>1.0586199999999999</v>
      </c>
      <c r="Y171" s="38">
        <f t="shared" si="25"/>
        <v>1</v>
      </c>
      <c r="Z171" s="11">
        <v>0</v>
      </c>
      <c r="AA171" s="11">
        <v>0</v>
      </c>
      <c r="AB171" s="11">
        <v>2.15</v>
      </c>
      <c r="AC171" s="11">
        <v>1.0601</v>
      </c>
      <c r="AD171" s="164">
        <v>197.36</v>
      </c>
      <c r="AE171" s="11">
        <v>24.63</v>
      </c>
      <c r="AF171" s="11">
        <f t="shared" si="28"/>
        <v>2.7993991989319094</v>
      </c>
      <c r="AG171" s="38">
        <f t="shared" si="26"/>
        <v>2.8</v>
      </c>
      <c r="AH171" s="11">
        <v>14.62</v>
      </c>
      <c r="AI171" s="11">
        <f t="shared" si="29"/>
        <v>0.19519359145527368</v>
      </c>
      <c r="AJ171" s="11">
        <v>1</v>
      </c>
      <c r="AK171" s="11">
        <f t="shared" si="30"/>
        <v>1.335113484646195E-2</v>
      </c>
      <c r="AL171" s="11">
        <v>0</v>
      </c>
      <c r="AM171" s="11">
        <f t="shared" si="27"/>
        <v>0</v>
      </c>
      <c r="AQ171" s="12">
        <f>N171+O171+P171+Q171</f>
        <v>2.15</v>
      </c>
      <c r="AR171" s="12">
        <f>T171+U171+V171+W171</f>
        <v>2.15</v>
      </c>
      <c r="AS171" s="12">
        <f>Z171+AA171+AB171</f>
        <v>2.15</v>
      </c>
      <c r="AU171" s="22">
        <v>1.0046728971962615</v>
      </c>
      <c r="AV171" s="22">
        <v>1.0046728971962615</v>
      </c>
      <c r="AW171" s="22">
        <v>1.0046728971962615</v>
      </c>
    </row>
    <row r="172" spans="1:88" s="22" customFormat="1">
      <c r="A172" s="1">
        <v>459</v>
      </c>
      <c r="B172" s="74" t="s">
        <v>780</v>
      </c>
      <c r="C172" s="34">
        <v>515</v>
      </c>
      <c r="D172" s="34">
        <v>126</v>
      </c>
      <c r="E172" s="34">
        <v>100</v>
      </c>
      <c r="F172" s="34" t="s">
        <v>663</v>
      </c>
      <c r="G172" s="34" t="s">
        <v>784</v>
      </c>
      <c r="H172" s="34" t="s">
        <v>664</v>
      </c>
      <c r="I172" s="55">
        <v>1</v>
      </c>
      <c r="J172" s="5" t="s">
        <v>237</v>
      </c>
      <c r="K172" s="34">
        <v>2</v>
      </c>
      <c r="L172" s="10">
        <v>42269</v>
      </c>
      <c r="M172" s="37" t="s">
        <v>191</v>
      </c>
      <c r="N172" s="38">
        <v>0.57499999999999996</v>
      </c>
      <c r="O172" s="38">
        <v>0.22500000000000001</v>
      </c>
      <c r="P172" s="38">
        <v>0.125</v>
      </c>
      <c r="Q172" s="38">
        <v>0.08</v>
      </c>
      <c r="R172" s="38">
        <v>4.3872499999999999</v>
      </c>
      <c r="S172" s="38">
        <f t="shared" si="24"/>
        <v>4.5</v>
      </c>
      <c r="T172" s="38">
        <v>1</v>
      </c>
      <c r="U172" s="38">
        <v>0</v>
      </c>
      <c r="V172" s="38">
        <v>0</v>
      </c>
      <c r="W172" s="38">
        <v>0</v>
      </c>
      <c r="X172" s="38">
        <v>2.7749999999999999</v>
      </c>
      <c r="Y172" s="38">
        <f t="shared" si="25"/>
        <v>3</v>
      </c>
      <c r="Z172" s="38">
        <v>0</v>
      </c>
      <c r="AA172" s="38">
        <v>0</v>
      </c>
      <c r="AB172" s="38">
        <v>1.0049999999999999</v>
      </c>
      <c r="AC172" s="38">
        <v>1.0499499999999999</v>
      </c>
      <c r="AD172" s="39">
        <v>85.34</v>
      </c>
      <c r="AE172" s="38">
        <v>24.6</v>
      </c>
      <c r="AF172" s="38">
        <f t="shared" si="28"/>
        <v>2.7897142857142856</v>
      </c>
      <c r="AG172" s="38">
        <f t="shared" si="26"/>
        <v>2.8</v>
      </c>
      <c r="AH172" s="38">
        <v>97.58</v>
      </c>
      <c r="AI172" s="38">
        <f t="shared" si="29"/>
        <v>2.7879999999999998</v>
      </c>
      <c r="AJ172" s="38">
        <v>0</v>
      </c>
      <c r="AK172" s="38">
        <f t="shared" si="30"/>
        <v>0</v>
      </c>
      <c r="AL172" s="38">
        <v>0</v>
      </c>
      <c r="AM172" s="38">
        <f t="shared" si="27"/>
        <v>0</v>
      </c>
      <c r="AN172" s="41"/>
      <c r="AO172" s="41"/>
      <c r="AP172" s="114"/>
      <c r="AQ172" s="73"/>
      <c r="AR172" s="73"/>
      <c r="AS172" s="73"/>
    </row>
    <row r="173" spans="1:88" s="22" customFormat="1">
      <c r="A173" s="1">
        <v>453</v>
      </c>
      <c r="B173" s="74" t="s">
        <v>699</v>
      </c>
      <c r="C173" s="34">
        <v>513</v>
      </c>
      <c r="D173" s="34">
        <v>1369</v>
      </c>
      <c r="E173" s="34">
        <v>100</v>
      </c>
      <c r="F173" s="34" t="s">
        <v>770</v>
      </c>
      <c r="G173" s="34" t="s">
        <v>92</v>
      </c>
      <c r="H173" s="34" t="s">
        <v>771</v>
      </c>
      <c r="I173" s="55">
        <v>0.95</v>
      </c>
      <c r="J173" s="5" t="s">
        <v>238</v>
      </c>
      <c r="K173" s="34">
        <v>2</v>
      </c>
      <c r="L173" s="10">
        <v>42264</v>
      </c>
      <c r="M173" s="37" t="s">
        <v>191</v>
      </c>
      <c r="N173" s="38">
        <v>0.26</v>
      </c>
      <c r="O173" s="38">
        <v>0.39</v>
      </c>
      <c r="P173" s="38">
        <v>0.26</v>
      </c>
      <c r="Q173" s="38">
        <v>0.03</v>
      </c>
      <c r="R173" s="38">
        <v>3.2002799999999998</v>
      </c>
      <c r="S173" s="38">
        <f t="shared" si="24"/>
        <v>3</v>
      </c>
      <c r="T173" s="38">
        <v>0.03</v>
      </c>
      <c r="U173" s="38">
        <v>0.87</v>
      </c>
      <c r="V173" s="38">
        <v>0.05</v>
      </c>
      <c r="W173" s="38">
        <v>0</v>
      </c>
      <c r="X173" s="38">
        <v>12.249700000000001</v>
      </c>
      <c r="Y173" s="38">
        <f t="shared" si="25"/>
        <v>12</v>
      </c>
      <c r="Z173" s="38">
        <v>0</v>
      </c>
      <c r="AA173" s="38">
        <v>0</v>
      </c>
      <c r="AB173" s="38">
        <v>0.95</v>
      </c>
      <c r="AC173" s="38">
        <v>3.8466100000000001</v>
      </c>
      <c r="AD173" s="39">
        <v>82.653999999999996</v>
      </c>
      <c r="AE173" s="38">
        <v>16.48</v>
      </c>
      <c r="AF173" s="38">
        <f t="shared" si="28"/>
        <v>2.7336541353383459</v>
      </c>
      <c r="AG173" s="38">
        <f t="shared" si="26"/>
        <v>2.7</v>
      </c>
      <c r="AH173" s="38">
        <v>57.68</v>
      </c>
      <c r="AI173" s="38">
        <f t="shared" si="29"/>
        <v>1.7347368421052631</v>
      </c>
      <c r="AJ173" s="38">
        <v>0</v>
      </c>
      <c r="AK173" s="38">
        <f t="shared" si="30"/>
        <v>0</v>
      </c>
      <c r="AL173" s="38">
        <v>0</v>
      </c>
      <c r="AM173" s="38">
        <f t="shared" si="27"/>
        <v>0</v>
      </c>
      <c r="AN173" s="41"/>
      <c r="AO173" s="41"/>
      <c r="AP173" s="73"/>
      <c r="AQ173" s="41">
        <f>SUM(N173:Q173)</f>
        <v>0.94000000000000006</v>
      </c>
      <c r="AR173" s="41">
        <f>SUM(T173:W173)</f>
        <v>0.95000000000000007</v>
      </c>
      <c r="AS173" s="41">
        <f>SUM(Z173:AB173)</f>
        <v>0.95</v>
      </c>
      <c r="AU173" s="22">
        <f>I173/AQ173</f>
        <v>1.0106382978723403</v>
      </c>
      <c r="AV173" s="22">
        <f>I173/AR173</f>
        <v>0.99999999999999989</v>
      </c>
      <c r="AW173" s="22">
        <f>I173/AS173</f>
        <v>1</v>
      </c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</row>
    <row r="174" spans="1:88" s="22" customFormat="1">
      <c r="A174" s="1">
        <v>1731</v>
      </c>
      <c r="B174" s="34" t="s">
        <v>2324</v>
      </c>
      <c r="C174" s="34">
        <v>423</v>
      </c>
      <c r="D174" s="8">
        <v>317</v>
      </c>
      <c r="E174" s="88">
        <v>102</v>
      </c>
      <c r="F174" s="34" t="s">
        <v>2326</v>
      </c>
      <c r="G174" s="58">
        <v>26200</v>
      </c>
      <c r="H174" s="58">
        <v>10000</v>
      </c>
      <c r="I174" s="35">
        <v>16.2</v>
      </c>
      <c r="J174" s="9">
        <v>4</v>
      </c>
      <c r="K174" s="88" t="s">
        <v>96</v>
      </c>
      <c r="L174" s="116">
        <v>42234</v>
      </c>
      <c r="M174" s="37" t="s">
        <v>191</v>
      </c>
      <c r="N174" s="38">
        <v>13.177</v>
      </c>
      <c r="O174" s="38">
        <v>1.6830000000000001</v>
      </c>
      <c r="P174" s="38">
        <v>0.88400000000000001</v>
      </c>
      <c r="Q174" s="38">
        <v>0.45600000000000002</v>
      </c>
      <c r="R174" s="38">
        <v>2.01701</v>
      </c>
      <c r="S174" s="38">
        <f t="shared" si="24"/>
        <v>2</v>
      </c>
      <c r="T174" s="38">
        <v>15.14</v>
      </c>
      <c r="U174" s="38">
        <v>0.94599999999999995</v>
      </c>
      <c r="V174" s="38">
        <v>0.114</v>
      </c>
      <c r="W174" s="38">
        <v>0</v>
      </c>
      <c r="X174" s="38">
        <v>5.5019299999999998</v>
      </c>
      <c r="Y174" s="38">
        <f t="shared" si="25"/>
        <v>5.5</v>
      </c>
      <c r="Z174" s="38">
        <v>0</v>
      </c>
      <c r="AA174" s="117">
        <v>0</v>
      </c>
      <c r="AB174" s="35">
        <v>16.2</v>
      </c>
      <c r="AC174" s="117">
        <v>1.28471</v>
      </c>
      <c r="AD174" s="39">
        <v>1110.83</v>
      </c>
      <c r="AE174" s="38">
        <v>444.03</v>
      </c>
      <c r="AF174" s="38">
        <v>2.6817799999999998</v>
      </c>
      <c r="AG174" s="38">
        <f t="shared" si="26"/>
        <v>2.7</v>
      </c>
      <c r="AH174" s="38">
        <v>0</v>
      </c>
      <c r="AI174" s="38">
        <v>0</v>
      </c>
      <c r="AJ174" s="38">
        <v>4243</v>
      </c>
      <c r="AK174" s="38">
        <f t="shared" si="30"/>
        <v>7.4832451499118173</v>
      </c>
      <c r="AL174" s="38">
        <v>1469.92</v>
      </c>
      <c r="AM174" s="38">
        <v>2.9575900000000002</v>
      </c>
      <c r="AN174" s="12"/>
      <c r="AO174" s="12">
        <f>AE174*0.5</f>
        <v>222.01499999999999</v>
      </c>
      <c r="AP174" s="12">
        <f>(AD174+AH174+AJ174+AL174+AO174)*I174</f>
        <v>114141.393</v>
      </c>
      <c r="AQ174" s="136">
        <f>SUM(N174:Q174)</f>
        <v>16.2</v>
      </c>
      <c r="AR174" s="136">
        <f>SUM(T174:W174)</f>
        <v>16.200000000000003</v>
      </c>
      <c r="AS174" s="1"/>
      <c r="AT174" s="41"/>
      <c r="AU174" s="41"/>
      <c r="AV174" s="41"/>
      <c r="AW174" s="4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</row>
    <row r="175" spans="1:88" s="22" customFormat="1">
      <c r="A175" s="1">
        <v>308</v>
      </c>
      <c r="B175" s="34" t="s">
        <v>529</v>
      </c>
      <c r="C175" s="34">
        <v>643</v>
      </c>
      <c r="D175" s="34">
        <v>2281</v>
      </c>
      <c r="E175" s="34">
        <v>200</v>
      </c>
      <c r="F175" s="34" t="s">
        <v>541</v>
      </c>
      <c r="G175" s="58">
        <v>12200</v>
      </c>
      <c r="H175" s="58">
        <v>21156</v>
      </c>
      <c r="I175" s="35">
        <v>8.9559999999999995</v>
      </c>
      <c r="J175" s="62">
        <v>2</v>
      </c>
      <c r="K175" s="34" t="s">
        <v>238</v>
      </c>
      <c r="L175" s="10">
        <v>42163</v>
      </c>
      <c r="M175" s="37" t="s">
        <v>191</v>
      </c>
      <c r="N175" s="38">
        <v>5.625</v>
      </c>
      <c r="O175" s="38">
        <v>1.5</v>
      </c>
      <c r="P175" s="38">
        <v>0.75</v>
      </c>
      <c r="Q175" s="38">
        <v>0.77500000000000002</v>
      </c>
      <c r="R175" s="38">
        <v>2.3593899999999999</v>
      </c>
      <c r="S175" s="38">
        <f t="shared" si="24"/>
        <v>2.5</v>
      </c>
      <c r="T175" s="38">
        <v>8.375</v>
      </c>
      <c r="U175" s="38">
        <v>0.22500000000000001</v>
      </c>
      <c r="V175" s="38">
        <v>0.05</v>
      </c>
      <c r="W175" s="38">
        <v>0</v>
      </c>
      <c r="X175" s="38">
        <v>3.2237200000000001</v>
      </c>
      <c r="Y175" s="38">
        <f t="shared" si="25"/>
        <v>3</v>
      </c>
      <c r="Z175" s="38">
        <v>0</v>
      </c>
      <c r="AA175" s="38">
        <v>0</v>
      </c>
      <c r="AB175" s="38">
        <f>T175+U175+V175+W175</f>
        <v>8.65</v>
      </c>
      <c r="AC175" s="38">
        <v>1.4133500000000001</v>
      </c>
      <c r="AD175" s="39">
        <v>837</v>
      </c>
      <c r="AE175" s="38">
        <v>0</v>
      </c>
      <c r="AF175" s="38">
        <v>2.6701999999999999</v>
      </c>
      <c r="AG175" s="38">
        <f t="shared" si="26"/>
        <v>2.7</v>
      </c>
      <c r="AH175" s="38">
        <v>0</v>
      </c>
      <c r="AI175" s="38">
        <v>0</v>
      </c>
      <c r="AJ175" s="38">
        <v>645.79</v>
      </c>
      <c r="AK175" s="38">
        <v>2.0601989999999999</v>
      </c>
      <c r="AL175" s="38">
        <v>0</v>
      </c>
      <c r="AM175" s="38">
        <v>0</v>
      </c>
      <c r="AN175" s="25"/>
      <c r="AO175" s="25"/>
      <c r="AP175" s="25">
        <f>AE175*0.5</f>
        <v>0</v>
      </c>
      <c r="AQ175" s="25">
        <f>(AD175+AH175+AJ175+AL175+AP175)*I175</f>
        <v>13279.86724</v>
      </c>
      <c r="AR175" s="25">
        <f>SUM(N175:Q175)</f>
        <v>8.65</v>
      </c>
      <c r="AS175" s="25">
        <f>SUM(T175:W175)</f>
        <v>8.65</v>
      </c>
      <c r="AU175" s="41">
        <f>SUM(N175:Q175)</f>
        <v>8.65</v>
      </c>
      <c r="AV175" s="41">
        <f>SUM(T175:W175)</f>
        <v>8.65</v>
      </c>
      <c r="AW175" s="41">
        <f>SUM(Z175:AB175)</f>
        <v>8.65</v>
      </c>
      <c r="AY175" s="22">
        <f>I175/AU175</f>
        <v>1.0353757225433524</v>
      </c>
      <c r="AZ175" s="22">
        <f>I175/AV175</f>
        <v>1.0353757225433524</v>
      </c>
      <c r="BA175" s="22">
        <f>I175/AW175</f>
        <v>1.0353757225433524</v>
      </c>
    </row>
    <row r="176" spans="1:88" s="22" customFormat="1">
      <c r="A176" s="1">
        <v>1222</v>
      </c>
      <c r="B176" s="34" t="s">
        <v>1674</v>
      </c>
      <c r="C176" s="88">
        <v>435</v>
      </c>
      <c r="D176" s="88">
        <v>3624</v>
      </c>
      <c r="E176" s="88">
        <v>100</v>
      </c>
      <c r="F176" s="88" t="s">
        <v>1724</v>
      </c>
      <c r="G176" s="88" t="s">
        <v>92</v>
      </c>
      <c r="H176" s="88" t="s">
        <v>411</v>
      </c>
      <c r="I176" s="115">
        <v>0.75</v>
      </c>
      <c r="J176" s="34">
        <v>2</v>
      </c>
      <c r="K176" s="181" t="s">
        <v>238</v>
      </c>
      <c r="L176" s="116">
        <v>42282</v>
      </c>
      <c r="M176" s="37" t="s">
        <v>191</v>
      </c>
      <c r="N176" s="117">
        <v>0.55000000000000004</v>
      </c>
      <c r="O176" s="117">
        <v>0.17499999999999999</v>
      </c>
      <c r="P176" s="117">
        <v>2.5000000000000001E-2</v>
      </c>
      <c r="Q176" s="117">
        <v>2.5000000000000001E-2</v>
      </c>
      <c r="R176" s="117">
        <v>2.2832300000000001</v>
      </c>
      <c r="S176" s="38">
        <f t="shared" si="24"/>
        <v>2.5</v>
      </c>
      <c r="T176" s="117">
        <v>0.77500000000000002</v>
      </c>
      <c r="U176" s="117">
        <v>0</v>
      </c>
      <c r="V176" s="117">
        <v>0</v>
      </c>
      <c r="W176" s="117">
        <v>0</v>
      </c>
      <c r="X176" s="38">
        <v>2.9547699999999999</v>
      </c>
      <c r="Y176" s="38">
        <f t="shared" si="25"/>
        <v>3</v>
      </c>
      <c r="Z176" s="38">
        <v>0</v>
      </c>
      <c r="AA176" s="38">
        <v>0</v>
      </c>
      <c r="AB176" s="55">
        <v>0.75</v>
      </c>
      <c r="AC176" s="117">
        <v>1.19258</v>
      </c>
      <c r="AD176" s="254">
        <v>64.548000000000002</v>
      </c>
      <c r="AE176" s="117">
        <v>10.199999999999999</v>
      </c>
      <c r="AF176" s="38">
        <f>(AD176+AE176*0.5)/(3.5*I176*1000)*100</f>
        <v>2.6532571428571425</v>
      </c>
      <c r="AG176" s="38">
        <f t="shared" si="26"/>
        <v>2.7</v>
      </c>
      <c r="AH176" s="117">
        <v>63.25</v>
      </c>
      <c r="AI176" s="117">
        <v>2.4095240000000002</v>
      </c>
      <c r="AJ176" s="117">
        <v>0</v>
      </c>
      <c r="AK176" s="117">
        <v>0</v>
      </c>
      <c r="AL176" s="117">
        <v>0</v>
      </c>
      <c r="AM176" s="117">
        <v>0</v>
      </c>
      <c r="AN176" s="12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</row>
    <row r="177" spans="1:88" s="22" customFormat="1">
      <c r="A177" s="1">
        <v>1359</v>
      </c>
      <c r="B177" s="74" t="s">
        <v>1905</v>
      </c>
      <c r="C177" s="34">
        <v>445</v>
      </c>
      <c r="D177" s="75">
        <v>346</v>
      </c>
      <c r="E177" s="69">
        <v>400</v>
      </c>
      <c r="F177" s="184" t="s">
        <v>1910</v>
      </c>
      <c r="G177" s="20">
        <v>111406</v>
      </c>
      <c r="H177" s="20">
        <v>91506</v>
      </c>
      <c r="I177" s="21">
        <v>19.899999999999999</v>
      </c>
      <c r="J177" s="8">
        <v>4</v>
      </c>
      <c r="K177" s="34" t="s">
        <v>96</v>
      </c>
      <c r="L177" s="10">
        <v>42188</v>
      </c>
      <c r="M177" s="37" t="s">
        <v>191</v>
      </c>
      <c r="N177" s="38">
        <v>6.9749999999999996</v>
      </c>
      <c r="O177" s="38">
        <v>6.4</v>
      </c>
      <c r="P177" s="38">
        <v>4.2249999999999996</v>
      </c>
      <c r="Q177" s="38">
        <v>2.3250000000000002</v>
      </c>
      <c r="R177" s="38">
        <v>3.2825000000000002</v>
      </c>
      <c r="S177" s="38">
        <f t="shared" si="24"/>
        <v>3.5</v>
      </c>
      <c r="T177" s="38">
        <v>10.725</v>
      </c>
      <c r="U177" s="38">
        <v>4.0999999999999996</v>
      </c>
      <c r="V177" s="38">
        <v>3.125</v>
      </c>
      <c r="W177" s="38">
        <v>1.9750000000000001</v>
      </c>
      <c r="X177" s="38">
        <v>10.835000000000001</v>
      </c>
      <c r="Y177" s="38">
        <f t="shared" si="25"/>
        <v>11</v>
      </c>
      <c r="Z177" s="38">
        <v>0</v>
      </c>
      <c r="AA177" s="38">
        <v>0</v>
      </c>
      <c r="AB177" s="38">
        <v>19.925000000000001</v>
      </c>
      <c r="AC177" s="38">
        <v>1.0051399999999999</v>
      </c>
      <c r="AD177" s="39">
        <v>1802</v>
      </c>
      <c r="AE177" s="38">
        <v>39</v>
      </c>
      <c r="AF177" s="38">
        <v>2.6152189519023694</v>
      </c>
      <c r="AG177" s="38">
        <f t="shared" si="26"/>
        <v>2.6</v>
      </c>
      <c r="AH177" s="38">
        <v>1</v>
      </c>
      <c r="AI177" s="38">
        <v>1.4357501794687727E-3</v>
      </c>
      <c r="AJ177" s="38">
        <v>623</v>
      </c>
      <c r="AK177" s="38">
        <v>0.89447236180904532</v>
      </c>
      <c r="AL177" s="38">
        <v>0</v>
      </c>
      <c r="AM177" s="38">
        <v>0</v>
      </c>
      <c r="AN177" s="72"/>
      <c r="AO177" s="41"/>
      <c r="AP177" s="41"/>
      <c r="AQ177" s="41"/>
      <c r="AR177" s="41"/>
      <c r="AS177" s="73"/>
      <c r="AT177" s="73"/>
      <c r="AU177" s="73"/>
      <c r="AV177" s="73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</row>
    <row r="178" spans="1:88" s="22" customFormat="1">
      <c r="A178" s="1">
        <v>257</v>
      </c>
      <c r="B178" s="34" t="s">
        <v>265</v>
      </c>
      <c r="C178" s="34">
        <v>539</v>
      </c>
      <c r="D178" s="34">
        <v>1081</v>
      </c>
      <c r="E178" s="34">
        <v>101</v>
      </c>
      <c r="F178" s="34" t="s">
        <v>276</v>
      </c>
      <c r="G178" s="20" t="s">
        <v>92</v>
      </c>
      <c r="H178" s="20" t="s">
        <v>277</v>
      </c>
      <c r="I178" s="35">
        <v>13</v>
      </c>
      <c r="J178" s="36">
        <v>2</v>
      </c>
      <c r="K178" s="34" t="s">
        <v>12</v>
      </c>
      <c r="L178" s="10">
        <v>42212</v>
      </c>
      <c r="M178" s="37" t="s">
        <v>191</v>
      </c>
      <c r="N178" s="38">
        <v>5.8</v>
      </c>
      <c r="O178" s="38">
        <v>4.7</v>
      </c>
      <c r="P178" s="38">
        <v>1.84</v>
      </c>
      <c r="Q178" s="38">
        <v>0.68</v>
      </c>
      <c r="R178" s="38">
        <v>2.69414</v>
      </c>
      <c r="S178" s="38">
        <f t="shared" si="24"/>
        <v>2.5</v>
      </c>
      <c r="T178" s="38">
        <v>12.5</v>
      </c>
      <c r="U178" s="38">
        <v>0.43</v>
      </c>
      <c r="V178" s="38">
        <v>0.08</v>
      </c>
      <c r="W178" s="38">
        <v>0</v>
      </c>
      <c r="X178" s="38">
        <v>4.8373600000000003</v>
      </c>
      <c r="Y178" s="38">
        <f t="shared" si="25"/>
        <v>5</v>
      </c>
      <c r="Z178" s="38">
        <v>0</v>
      </c>
      <c r="AA178" s="38">
        <v>0</v>
      </c>
      <c r="AB178" s="38">
        <v>13</v>
      </c>
      <c r="AC178" s="38">
        <v>1.2202999999999999</v>
      </c>
      <c r="AD178" s="39">
        <v>1160</v>
      </c>
      <c r="AE178" s="38">
        <v>46.57</v>
      </c>
      <c r="AF178" s="38">
        <v>2.6006263736263739</v>
      </c>
      <c r="AG178" s="38">
        <f t="shared" si="26"/>
        <v>2.6</v>
      </c>
      <c r="AH178" s="38">
        <v>62</v>
      </c>
      <c r="AI178" s="38">
        <v>0.13626373626373628</v>
      </c>
      <c r="AJ178" s="38">
        <v>618</v>
      </c>
      <c r="AK178" s="38">
        <v>1.3582417582417583</v>
      </c>
      <c r="AL178" s="38">
        <v>0</v>
      </c>
      <c r="AM178" s="38">
        <v>0</v>
      </c>
      <c r="AN178" s="56"/>
      <c r="AO178" s="56"/>
      <c r="AP178" s="25">
        <f>SUM(N178:Q178)</f>
        <v>13.02</v>
      </c>
      <c r="AQ178" s="25">
        <f>SUM(T178:W178)</f>
        <v>13.01</v>
      </c>
      <c r="AS178" s="41"/>
      <c r="AT178" s="41"/>
      <c r="AU178" s="41"/>
      <c r="AV178" s="41">
        <f>SUM(N178:Q178)</f>
        <v>13.02</v>
      </c>
      <c r="AW178" s="41">
        <f>SUM(T178:W178)</f>
        <v>13.01</v>
      </c>
      <c r="AX178" s="41">
        <f>SUM(Z178:AB178)</f>
        <v>13</v>
      </c>
      <c r="AZ178" s="22">
        <f>I178/AV178</f>
        <v>0.99846390168970822</v>
      </c>
      <c r="BA178" s="22">
        <f>I178/AW178</f>
        <v>0.99923136049192929</v>
      </c>
      <c r="BB178" s="22">
        <f>I178/AX178</f>
        <v>1</v>
      </c>
    </row>
    <row r="179" spans="1:88" s="22" customFormat="1">
      <c r="A179" s="1">
        <v>2025</v>
      </c>
      <c r="B179" s="34" t="s">
        <v>2646</v>
      </c>
      <c r="C179" s="34">
        <v>325</v>
      </c>
      <c r="D179" s="75">
        <v>4265</v>
      </c>
      <c r="E179" s="8">
        <v>100</v>
      </c>
      <c r="F179" s="34" t="s">
        <v>2673</v>
      </c>
      <c r="G179" s="58">
        <v>14395</v>
      </c>
      <c r="H179" s="58">
        <v>28686</v>
      </c>
      <c r="I179" s="21">
        <v>14.291</v>
      </c>
      <c r="J179" s="8">
        <v>2</v>
      </c>
      <c r="K179" s="8" t="s">
        <v>238</v>
      </c>
      <c r="L179" s="18">
        <v>42116</v>
      </c>
      <c r="M179" s="37" t="s">
        <v>191</v>
      </c>
      <c r="N179" s="38">
        <v>7.74</v>
      </c>
      <c r="O179" s="38">
        <v>3.42</v>
      </c>
      <c r="P179" s="38">
        <v>1.88</v>
      </c>
      <c r="Q179" s="38">
        <v>1.26</v>
      </c>
      <c r="R179" s="38">
        <v>2.8226300000000002</v>
      </c>
      <c r="S179" s="38">
        <f t="shared" si="24"/>
        <v>3</v>
      </c>
      <c r="T179" s="38">
        <v>13.36</v>
      </c>
      <c r="U179" s="38">
        <v>0.68</v>
      </c>
      <c r="V179" s="38">
        <v>0.15</v>
      </c>
      <c r="W179" s="38">
        <v>0.11</v>
      </c>
      <c r="X179" s="38">
        <v>3.9866000000000001</v>
      </c>
      <c r="Y179" s="38">
        <f t="shared" si="25"/>
        <v>4</v>
      </c>
      <c r="Z179" s="38">
        <v>0</v>
      </c>
      <c r="AA179" s="38">
        <v>0</v>
      </c>
      <c r="AB179" s="38">
        <v>14.29</v>
      </c>
      <c r="AC179" s="38">
        <v>1.3109999999999999</v>
      </c>
      <c r="AD179" s="39">
        <v>1282.3699999999999</v>
      </c>
      <c r="AE179" s="38">
        <v>33.340000000000003</v>
      </c>
      <c r="AF179" s="38">
        <f>(AD179+AE179*0.5)/(3.5*I179*1000)*100</f>
        <v>2.5971190659456003</v>
      </c>
      <c r="AG179" s="38">
        <f t="shared" si="26"/>
        <v>2.6</v>
      </c>
      <c r="AH179" s="38">
        <v>501</v>
      </c>
      <c r="AI179" s="38">
        <f>AH179/(3.5*I179*1000)*100</f>
        <v>1.0016293971230645</v>
      </c>
      <c r="AJ179" s="38">
        <v>769.59</v>
      </c>
      <c r="AK179" s="38">
        <f>AJ179/(3.5*I179*1000)*100</f>
        <v>1.5386107140358067</v>
      </c>
      <c r="AL179" s="38">
        <v>0</v>
      </c>
      <c r="AM179" s="38">
        <f>AL179/(3.5*I179*1000)*100</f>
        <v>0</v>
      </c>
      <c r="AN179" s="12"/>
      <c r="AO179" s="12"/>
      <c r="AP179" s="1"/>
      <c r="AQ179" s="41">
        <f>SUM(N179:Q179)</f>
        <v>14.299999999999999</v>
      </c>
      <c r="AR179" s="41">
        <f>SUM(T179:W179)</f>
        <v>14.299999999999999</v>
      </c>
      <c r="AS179" s="12">
        <f>SUM(Z179:AB179)</f>
        <v>14.29</v>
      </c>
      <c r="AT179" s="1"/>
      <c r="AU179" s="1">
        <f>I179/AQ179</f>
        <v>0.99937062937062948</v>
      </c>
      <c r="AV179" s="1">
        <f>I179/AR179</f>
        <v>0.99937062937062948</v>
      </c>
      <c r="AW179" s="1">
        <f>I179/AS179</f>
        <v>1.0000699790062981</v>
      </c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</row>
    <row r="180" spans="1:88" s="22" customFormat="1">
      <c r="A180" s="1">
        <v>1078</v>
      </c>
      <c r="B180" s="34" t="s">
        <v>1467</v>
      </c>
      <c r="C180" s="34">
        <v>619</v>
      </c>
      <c r="D180" s="8">
        <v>3384</v>
      </c>
      <c r="E180" s="34">
        <v>100</v>
      </c>
      <c r="F180" s="34" t="s">
        <v>1486</v>
      </c>
      <c r="G180" s="58">
        <v>0</v>
      </c>
      <c r="H180" s="58">
        <v>15528</v>
      </c>
      <c r="I180" s="35">
        <v>15.528</v>
      </c>
      <c r="J180" s="9">
        <v>2</v>
      </c>
      <c r="K180" s="34" t="s">
        <v>238</v>
      </c>
      <c r="L180" s="10">
        <v>42095</v>
      </c>
      <c r="M180" s="37" t="s">
        <v>191</v>
      </c>
      <c r="N180" s="38">
        <v>10.81</v>
      </c>
      <c r="O180" s="38">
        <v>3.32</v>
      </c>
      <c r="P180" s="38">
        <v>1</v>
      </c>
      <c r="Q180" s="38">
        <v>0.4</v>
      </c>
      <c r="R180" s="38">
        <v>2.3732600000000001</v>
      </c>
      <c r="S180" s="38">
        <f t="shared" si="24"/>
        <v>2.5</v>
      </c>
      <c r="T180" s="38">
        <v>12.96</v>
      </c>
      <c r="U180" s="38">
        <v>1.55</v>
      </c>
      <c r="V180" s="38">
        <v>0.63</v>
      </c>
      <c r="W180" s="38">
        <v>0.4</v>
      </c>
      <c r="X180" s="38">
        <v>5.1649900000000004</v>
      </c>
      <c r="Y180" s="38">
        <f t="shared" si="25"/>
        <v>5</v>
      </c>
      <c r="Z180" s="117">
        <v>0</v>
      </c>
      <c r="AA180" s="117">
        <v>0</v>
      </c>
      <c r="AB180" s="117">
        <v>15.53</v>
      </c>
      <c r="AC180" s="38">
        <v>1.1395999999999999</v>
      </c>
      <c r="AD180" s="39">
        <v>1397.94</v>
      </c>
      <c r="AE180" s="38">
        <v>0</v>
      </c>
      <c r="AF180" s="11">
        <f>(AD180+AE180*0.5)/(3.5*I180*1000)*100</f>
        <v>2.5722013689556196</v>
      </c>
      <c r="AG180" s="38">
        <f t="shared" si="26"/>
        <v>2.6</v>
      </c>
      <c r="AH180" s="38">
        <v>2.7</v>
      </c>
      <c r="AI180" s="38">
        <f>AH180/(3.5*I180*1000)*100</f>
        <v>4.9679841024508724E-3</v>
      </c>
      <c r="AJ180" s="38">
        <v>0</v>
      </c>
      <c r="AK180" s="38">
        <f>AJ180/(3.5*I180*1000)*100</f>
        <v>0</v>
      </c>
      <c r="AL180" s="38">
        <v>9</v>
      </c>
      <c r="AM180" s="38">
        <f>AL180/(3.5*I180*1000)*100</f>
        <v>1.6559947008169575E-2</v>
      </c>
      <c r="AN180" s="25"/>
      <c r="AO180" s="25"/>
      <c r="AP180" s="12">
        <f>AE180*0.5</f>
        <v>0</v>
      </c>
      <c r="AQ180" s="12">
        <f>(AD180+AH180+AJ180+AL180+AP180)*I180</f>
        <v>21888.889920000001</v>
      </c>
      <c r="AR180" s="25"/>
      <c r="AS180" s="25">
        <f>SUM(N180:Q180)</f>
        <v>15.530000000000001</v>
      </c>
      <c r="AT180" s="22">
        <f>SUM(T180:W180)</f>
        <v>15.540000000000003</v>
      </c>
      <c r="AU180" s="268">
        <v>15.528</v>
      </c>
      <c r="AV180" s="41">
        <f>SUM(N180:Q180)</f>
        <v>15.530000000000001</v>
      </c>
      <c r="AW180" s="41">
        <f>SUM(T180:W180)</f>
        <v>15.540000000000003</v>
      </c>
      <c r="AX180" s="41">
        <f>SUM(Z180:AB180)</f>
        <v>15.53</v>
      </c>
      <c r="AZ180" s="22">
        <f>I180/AV180</f>
        <v>0.99987121699935599</v>
      </c>
      <c r="BA180" s="22">
        <f>I180/AW180</f>
        <v>0.99922779922779903</v>
      </c>
      <c r="BB180" s="22">
        <f>I180/AX180</f>
        <v>0.9998712169993561</v>
      </c>
    </row>
    <row r="181" spans="1:88" s="22" customFormat="1">
      <c r="A181" s="1">
        <v>508</v>
      </c>
      <c r="B181" s="88" t="s">
        <v>821</v>
      </c>
      <c r="C181" s="88">
        <v>519</v>
      </c>
      <c r="D181" s="88">
        <v>1376</v>
      </c>
      <c r="E181" s="88">
        <v>100</v>
      </c>
      <c r="F181" s="88" t="s">
        <v>868</v>
      </c>
      <c r="G181" s="88" t="s">
        <v>92</v>
      </c>
      <c r="H181" s="88" t="s">
        <v>364</v>
      </c>
      <c r="I181" s="115">
        <v>0.8</v>
      </c>
      <c r="J181" s="88" t="s">
        <v>238</v>
      </c>
      <c r="K181" s="34">
        <v>2</v>
      </c>
      <c r="L181" s="10">
        <v>42276</v>
      </c>
      <c r="M181" s="37" t="s">
        <v>191</v>
      </c>
      <c r="N181" s="38">
        <v>0.6</v>
      </c>
      <c r="O181" s="38">
        <v>0.11</v>
      </c>
      <c r="P181" s="38">
        <v>0.03</v>
      </c>
      <c r="Q181" s="38">
        <v>0.05</v>
      </c>
      <c r="R181" s="38">
        <v>3.1228099999999999</v>
      </c>
      <c r="S181" s="38">
        <f t="shared" si="24"/>
        <v>3</v>
      </c>
      <c r="T181" s="38">
        <v>0.8</v>
      </c>
      <c r="U181" s="38">
        <v>0</v>
      </c>
      <c r="V181" s="38">
        <v>0</v>
      </c>
      <c r="W181" s="38">
        <v>0</v>
      </c>
      <c r="X181" s="38">
        <v>4.2823399999999996</v>
      </c>
      <c r="Y181" s="38">
        <f t="shared" si="25"/>
        <v>4.5</v>
      </c>
      <c r="Z181" s="38">
        <v>0</v>
      </c>
      <c r="AA181" s="117">
        <v>0</v>
      </c>
      <c r="AB181" s="117">
        <v>0.49</v>
      </c>
      <c r="AC181" s="117">
        <v>1.1712499999999999</v>
      </c>
      <c r="AD181" s="254">
        <v>56.26</v>
      </c>
      <c r="AE181" s="117">
        <v>31.24</v>
      </c>
      <c r="AF181" s="117">
        <v>2.5671430000000002</v>
      </c>
      <c r="AG181" s="38">
        <f t="shared" si="26"/>
        <v>2.6</v>
      </c>
      <c r="AH181" s="117">
        <v>68.984999999999999</v>
      </c>
      <c r="AI181" s="117">
        <v>2.4637500000000001</v>
      </c>
      <c r="AJ181" s="117">
        <v>0</v>
      </c>
      <c r="AK181" s="117">
        <v>0</v>
      </c>
      <c r="AL181" s="117">
        <v>0</v>
      </c>
      <c r="AM181" s="117">
        <v>0</v>
      </c>
      <c r="AN181" s="41"/>
      <c r="AO181" s="41"/>
      <c r="AP181" s="41"/>
      <c r="AQ181" s="41">
        <f>SUM(N181:Q181)</f>
        <v>0.79</v>
      </c>
      <c r="AR181" s="41">
        <f>SUM(T181:W181)</f>
        <v>0.8</v>
      </c>
      <c r="AS181" s="41">
        <f>SUM(Z181:AB181)</f>
        <v>0.49</v>
      </c>
      <c r="AU181" s="22">
        <f>I181/AQ181</f>
        <v>1.0126582278481013</v>
      </c>
      <c r="AV181" s="22">
        <f>I181/AR181</f>
        <v>1</v>
      </c>
      <c r="AW181" s="22">
        <f>I181/AS181</f>
        <v>1.6326530612244898</v>
      </c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</row>
    <row r="182" spans="1:88" s="22" customFormat="1">
      <c r="A182" s="1">
        <v>580</v>
      </c>
      <c r="B182" s="34" t="s">
        <v>976</v>
      </c>
      <c r="C182" s="34">
        <v>552</v>
      </c>
      <c r="D182" s="34">
        <v>1301</v>
      </c>
      <c r="E182" s="34">
        <v>200</v>
      </c>
      <c r="F182" s="9" t="s">
        <v>982</v>
      </c>
      <c r="G182" s="118">
        <v>6255</v>
      </c>
      <c r="H182" s="118">
        <v>23973</v>
      </c>
      <c r="I182" s="35">
        <v>17.718</v>
      </c>
      <c r="J182" s="71">
        <v>2</v>
      </c>
      <c r="K182" s="34" t="s">
        <v>238</v>
      </c>
      <c r="L182" s="10">
        <v>42195</v>
      </c>
      <c r="M182" s="37" t="s">
        <v>191</v>
      </c>
      <c r="N182" s="38">
        <v>9.6999999999999993</v>
      </c>
      <c r="O182" s="38">
        <v>4.95</v>
      </c>
      <c r="P182" s="38">
        <v>2.3250000000000002</v>
      </c>
      <c r="Q182" s="38">
        <v>0.77500000000000002</v>
      </c>
      <c r="R182" s="38">
        <v>2.7206000000000001</v>
      </c>
      <c r="S182" s="38">
        <f t="shared" si="24"/>
        <v>2.5</v>
      </c>
      <c r="T182" s="38">
        <v>17.2</v>
      </c>
      <c r="U182" s="38">
        <v>0.47499999999999998</v>
      </c>
      <c r="V182" s="38">
        <v>7.4999999999999997E-2</v>
      </c>
      <c r="W182" s="38">
        <v>0</v>
      </c>
      <c r="X182" s="38">
        <v>4.64419</v>
      </c>
      <c r="Y182" s="38">
        <f t="shared" si="25"/>
        <v>4.5</v>
      </c>
      <c r="Z182" s="38">
        <v>0</v>
      </c>
      <c r="AA182" s="38">
        <v>0</v>
      </c>
      <c r="AB182" s="38">
        <f>N182+O182+P182+Q182</f>
        <v>17.749999999999996</v>
      </c>
      <c r="AC182" s="38">
        <v>1.16557</v>
      </c>
      <c r="AD182" s="39">
        <v>1561</v>
      </c>
      <c r="AE182" s="38">
        <v>1.1399999999999999</v>
      </c>
      <c r="AF182" s="38">
        <f>(AD182+AE182*0.5)/(3.5*I182*1000)*100</f>
        <v>2.5181332946317707</v>
      </c>
      <c r="AG182" s="38">
        <f t="shared" si="26"/>
        <v>2.5</v>
      </c>
      <c r="AH182" s="38">
        <v>0</v>
      </c>
      <c r="AI182" s="38">
        <f>AH182/(3.5*I182*1000)*100</f>
        <v>0</v>
      </c>
      <c r="AJ182" s="38">
        <v>3</v>
      </c>
      <c r="AK182" s="38">
        <f>AJ182/(3.5*I182*1000)*100</f>
        <v>4.8376953219486235E-3</v>
      </c>
      <c r="AL182" s="38">
        <v>29</v>
      </c>
      <c r="AM182" s="38">
        <f>AL182/(3.5*I182*1000)*100</f>
        <v>4.6764388112170027E-2</v>
      </c>
      <c r="AN182" s="25"/>
      <c r="AO182" s="25">
        <f>AE182*0.5</f>
        <v>0.56999999999999995</v>
      </c>
      <c r="AP182" s="25">
        <f>(AD182+AH182+AJ182+AL182+AO182)*I182</f>
        <v>28234.87326</v>
      </c>
      <c r="AQ182" s="25">
        <f>SUM(N182:Q182)</f>
        <v>17.749999999999996</v>
      </c>
      <c r="AR182" s="25">
        <f>SUM(T182:W182)</f>
        <v>17.75</v>
      </c>
      <c r="AS182" s="268">
        <v>17.718</v>
      </c>
      <c r="AT182" s="41"/>
      <c r="AU182" s="41"/>
      <c r="AV182" s="41"/>
      <c r="AW182" s="41"/>
    </row>
    <row r="183" spans="1:88" s="22" customFormat="1">
      <c r="A183" s="1">
        <v>602</v>
      </c>
      <c r="B183" s="34" t="s">
        <v>994</v>
      </c>
      <c r="C183" s="34">
        <v>554</v>
      </c>
      <c r="D183" s="34">
        <v>211</v>
      </c>
      <c r="E183" s="34">
        <v>202</v>
      </c>
      <c r="F183" s="9" t="s">
        <v>1004</v>
      </c>
      <c r="G183" s="118">
        <v>146419</v>
      </c>
      <c r="H183" s="118">
        <v>184360</v>
      </c>
      <c r="I183" s="35">
        <v>36.78</v>
      </c>
      <c r="J183" s="71">
        <v>2</v>
      </c>
      <c r="K183" s="34" t="s">
        <v>238</v>
      </c>
      <c r="L183" s="10">
        <v>42181</v>
      </c>
      <c r="M183" s="37" t="s">
        <v>191</v>
      </c>
      <c r="N183" s="38">
        <v>15.37</v>
      </c>
      <c r="O183" s="38">
        <v>10.11</v>
      </c>
      <c r="P183" s="38">
        <v>6.56</v>
      </c>
      <c r="Q183" s="38">
        <v>4.74</v>
      </c>
      <c r="R183" s="38">
        <v>3.1153499999999998</v>
      </c>
      <c r="S183" s="38">
        <f t="shared" si="24"/>
        <v>3</v>
      </c>
      <c r="T183" s="38">
        <v>33.369999999999997</v>
      </c>
      <c r="U183" s="38">
        <v>1.96</v>
      </c>
      <c r="V183" s="38">
        <v>0.87</v>
      </c>
      <c r="W183" s="38">
        <v>0.57999999999999996</v>
      </c>
      <c r="X183" s="38">
        <v>4.5472400000000004</v>
      </c>
      <c r="Y183" s="38">
        <f t="shared" si="25"/>
        <v>4.5</v>
      </c>
      <c r="Z183" s="38">
        <v>0</v>
      </c>
      <c r="AA183" s="38">
        <v>0</v>
      </c>
      <c r="AB183" s="38">
        <v>36.78</v>
      </c>
      <c r="AC183" s="38">
        <v>1.2001900000000001</v>
      </c>
      <c r="AD183" s="39">
        <v>3332</v>
      </c>
      <c r="AE183" s="38">
        <v>0</v>
      </c>
      <c r="AF183" s="38">
        <v>2.5091589573284838</v>
      </c>
      <c r="AG183" s="38">
        <f t="shared" si="26"/>
        <v>2.5</v>
      </c>
      <c r="AH183" s="38">
        <v>480</v>
      </c>
      <c r="AI183" s="38">
        <v>0.36146347524539985</v>
      </c>
      <c r="AJ183" s="38">
        <v>2332</v>
      </c>
      <c r="AK183" s="38">
        <v>1.756110050567234</v>
      </c>
      <c r="AL183" s="38">
        <v>3</v>
      </c>
      <c r="AM183" s="38">
        <f>AL183/(3.5*I183*1000)*100</f>
        <v>2.3304591004427869E-3</v>
      </c>
      <c r="AN183" s="60"/>
      <c r="AO183" s="60">
        <f>AE183*0.5</f>
        <v>0</v>
      </c>
      <c r="AP183" s="60">
        <f>(AD183+AH183+AJ183+AL183+AO183)*I183</f>
        <v>226086.66</v>
      </c>
      <c r="AQ183" s="25">
        <f>SUM(N183:Q183)</f>
        <v>36.78</v>
      </c>
      <c r="AR183" s="25">
        <f>SUM(T183:W183)</f>
        <v>36.779999999999994</v>
      </c>
      <c r="AS183" s="268">
        <v>36.78</v>
      </c>
      <c r="AT183" s="40"/>
      <c r="AU183" s="41">
        <f>SUM(N183:Q183)</f>
        <v>36.78</v>
      </c>
      <c r="AV183" s="41">
        <f>SUM(T183:W183)</f>
        <v>36.779999999999994</v>
      </c>
      <c r="AW183" s="41">
        <f>SUM(Z183:AB183)</f>
        <v>36.78</v>
      </c>
      <c r="AY183" s="22">
        <f>I183/AU183</f>
        <v>1</v>
      </c>
      <c r="AZ183" s="22">
        <f>I183/AV183</f>
        <v>1.0000000000000002</v>
      </c>
      <c r="BA183" s="22">
        <f>I183/AW183</f>
        <v>1</v>
      </c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</row>
    <row r="184" spans="1:88" s="22" customFormat="1">
      <c r="A184" s="1">
        <v>973</v>
      </c>
      <c r="B184" s="9" t="s">
        <v>1359</v>
      </c>
      <c r="C184" s="9">
        <v>612</v>
      </c>
      <c r="D184" s="8">
        <v>2220</v>
      </c>
      <c r="E184" s="9">
        <v>100</v>
      </c>
      <c r="F184" s="9" t="s">
        <v>1371</v>
      </c>
      <c r="G184" s="20" t="s">
        <v>92</v>
      </c>
      <c r="H184" s="20" t="s">
        <v>1372</v>
      </c>
      <c r="I184" s="35">
        <v>2.4500000000000002</v>
      </c>
      <c r="J184" s="9">
        <v>2</v>
      </c>
      <c r="K184" s="9" t="s">
        <v>238</v>
      </c>
      <c r="L184" s="18">
        <v>42117</v>
      </c>
      <c r="M184" s="37" t="s">
        <v>191</v>
      </c>
      <c r="N184" s="11">
        <v>1.05</v>
      </c>
      <c r="O184" s="11">
        <v>0.625</v>
      </c>
      <c r="P184" s="11">
        <v>0.45</v>
      </c>
      <c r="Q184" s="11">
        <v>0.3</v>
      </c>
      <c r="R184" s="11">
        <v>3.46</v>
      </c>
      <c r="S184" s="38">
        <f t="shared" si="24"/>
        <v>3.5</v>
      </c>
      <c r="T184" s="11">
        <v>2.35</v>
      </c>
      <c r="U184" s="11">
        <v>7.4999999999999997E-2</v>
      </c>
      <c r="V184" s="11">
        <v>0</v>
      </c>
      <c r="W184" s="11">
        <v>0</v>
      </c>
      <c r="X184" s="11">
        <v>4.05</v>
      </c>
      <c r="Y184" s="38">
        <f t="shared" si="25"/>
        <v>4</v>
      </c>
      <c r="Z184" s="11">
        <v>0</v>
      </c>
      <c r="AA184" s="11">
        <v>0</v>
      </c>
      <c r="AB184" s="11">
        <v>2.4249999999999998</v>
      </c>
      <c r="AC184" s="11">
        <v>1.45</v>
      </c>
      <c r="AD184" s="164">
        <v>214.67</v>
      </c>
      <c r="AE184" s="11">
        <v>0</v>
      </c>
      <c r="AF184" s="11">
        <f t="shared" ref="AF184:AF189" si="31">(AD184+AE184*0.5)/(3.5*I184*1000)*100</f>
        <v>2.5034402332361512</v>
      </c>
      <c r="AG184" s="38">
        <f t="shared" si="26"/>
        <v>2.5</v>
      </c>
      <c r="AH184" s="11">
        <v>75</v>
      </c>
      <c r="AI184" s="11">
        <f t="shared" ref="AI184:AI189" si="32">AH184/(3.5*I184*1000)*100</f>
        <v>0.87463556851311941</v>
      </c>
      <c r="AJ184" s="11">
        <v>0</v>
      </c>
      <c r="AK184" s="11">
        <v>0</v>
      </c>
      <c r="AL184" s="11">
        <v>0</v>
      </c>
      <c r="AM184" s="11">
        <v>0</v>
      </c>
      <c r="AN184" s="72"/>
      <c r="AO184" s="72"/>
      <c r="AP184" s="72">
        <f>AE184*0.5</f>
        <v>0</v>
      </c>
      <c r="AQ184" s="25"/>
      <c r="AR184" s="25"/>
      <c r="AS184" s="25"/>
      <c r="AT184" s="25"/>
      <c r="AU184" s="25">
        <f>SUM(N184:AA184)</f>
        <v>19.86</v>
      </c>
      <c r="AV184" s="41">
        <f>SUM(T184:W184)</f>
        <v>2.4250000000000003</v>
      </c>
      <c r="AW184" s="41"/>
      <c r="AX184" s="41"/>
      <c r="AY184" s="4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</row>
    <row r="185" spans="1:88" s="22" customFormat="1">
      <c r="A185" s="1">
        <v>142</v>
      </c>
      <c r="B185" s="34" t="s">
        <v>294</v>
      </c>
      <c r="C185" s="34">
        <v>531</v>
      </c>
      <c r="D185" s="34">
        <v>103</v>
      </c>
      <c r="E185" s="34">
        <v>100</v>
      </c>
      <c r="F185" s="34" t="s">
        <v>302</v>
      </c>
      <c r="G185" s="20" t="s">
        <v>92</v>
      </c>
      <c r="H185" s="20">
        <v>40554</v>
      </c>
      <c r="I185" s="35">
        <v>40.554000000000002</v>
      </c>
      <c r="J185" s="36">
        <v>4</v>
      </c>
      <c r="K185" s="34" t="s">
        <v>238</v>
      </c>
      <c r="L185" s="18">
        <v>42221</v>
      </c>
      <c r="M185" s="37" t="s">
        <v>191</v>
      </c>
      <c r="N185" s="38">
        <v>29.43</v>
      </c>
      <c r="O185" s="38">
        <v>7</v>
      </c>
      <c r="P185" s="38">
        <v>2.97</v>
      </c>
      <c r="Q185" s="38">
        <v>1.1599999999999999</v>
      </c>
      <c r="R185" s="38">
        <v>2.1859999999999999</v>
      </c>
      <c r="S185" s="38">
        <f t="shared" si="24"/>
        <v>2</v>
      </c>
      <c r="T185" s="38">
        <v>6.85</v>
      </c>
      <c r="U185" s="38">
        <v>6.93</v>
      </c>
      <c r="V185" s="38">
        <v>8.76</v>
      </c>
      <c r="W185" s="38">
        <v>18.02</v>
      </c>
      <c r="X185" s="38">
        <v>20.46</v>
      </c>
      <c r="Y185" s="38">
        <f t="shared" si="25"/>
        <v>20.5</v>
      </c>
      <c r="Z185" s="38">
        <v>0</v>
      </c>
      <c r="AA185" s="38">
        <v>0</v>
      </c>
      <c r="AB185" s="38">
        <v>40.56</v>
      </c>
      <c r="AC185" s="38">
        <v>1.2070000000000001</v>
      </c>
      <c r="AD185" s="39">
        <v>3266.8</v>
      </c>
      <c r="AE185" s="38">
        <v>492.05</v>
      </c>
      <c r="AF185" s="38">
        <f t="shared" si="31"/>
        <v>2.4748835767477573</v>
      </c>
      <c r="AG185" s="38">
        <f t="shared" si="26"/>
        <v>2.5</v>
      </c>
      <c r="AH185" s="38">
        <v>8245</v>
      </c>
      <c r="AI185" s="38">
        <f t="shared" si="32"/>
        <v>5.8088333720823719</v>
      </c>
      <c r="AJ185" s="38">
        <v>3054</v>
      </c>
      <c r="AK185" s="38">
        <f>AJ185/(3.5*I185*1000)*100</f>
        <v>2.151628516475387</v>
      </c>
      <c r="AL185" s="38">
        <v>443.2</v>
      </c>
      <c r="AM185" s="38">
        <f>AL185/(3.5*I185*1000)*100</f>
        <v>0.31224681024947332</v>
      </c>
      <c r="AN185" s="40"/>
      <c r="AO185" s="40">
        <f>AE185*0.5</f>
        <v>246.02500000000001</v>
      </c>
      <c r="AP185" s="40">
        <f>(AD185+AH185+AJ185+AL185+AO185)*I185</f>
        <v>618652.28385000001</v>
      </c>
      <c r="AQ185" s="25">
        <f>SUM(N185:Q185)</f>
        <v>40.559999999999995</v>
      </c>
      <c r="AR185" s="25">
        <f>SUM(T185:W185)</f>
        <v>40.56</v>
      </c>
      <c r="AT185" s="41"/>
      <c r="AU185" s="41">
        <f>SUM(N185:Q185)</f>
        <v>40.559999999999995</v>
      </c>
      <c r="AV185" s="41">
        <f>SUM(T185:W185)</f>
        <v>40.56</v>
      </c>
      <c r="AW185" s="41">
        <f>SUM(Z185:AB185)</f>
        <v>40.56</v>
      </c>
      <c r="AY185" s="22">
        <f>I185/AU185</f>
        <v>0.99985207100591733</v>
      </c>
      <c r="AZ185" s="22">
        <f>I185/AV185</f>
        <v>0.99985207100591711</v>
      </c>
      <c r="BA185" s="22">
        <f>I185/AW185</f>
        <v>0.99985207100591711</v>
      </c>
    </row>
    <row r="186" spans="1:88" s="22" customFormat="1">
      <c r="A186" s="1">
        <v>20</v>
      </c>
      <c r="B186" s="4" t="s">
        <v>8</v>
      </c>
      <c r="C186" s="14">
        <v>521</v>
      </c>
      <c r="D186" s="19">
        <v>1263</v>
      </c>
      <c r="E186" s="16">
        <v>200</v>
      </c>
      <c r="F186" s="14" t="s">
        <v>19</v>
      </c>
      <c r="G186" s="23">
        <v>20524</v>
      </c>
      <c r="H186" s="20">
        <v>35000</v>
      </c>
      <c r="I186" s="21">
        <v>14.475</v>
      </c>
      <c r="J186" s="8">
        <v>2</v>
      </c>
      <c r="K186" s="9" t="s">
        <v>238</v>
      </c>
      <c r="L186" s="18">
        <v>42244</v>
      </c>
      <c r="M186" s="37" t="s">
        <v>191</v>
      </c>
      <c r="N186" s="11">
        <v>2</v>
      </c>
      <c r="O186" s="11">
        <v>6.0250000000000004</v>
      </c>
      <c r="P186" s="11">
        <v>4.45</v>
      </c>
      <c r="Q186" s="11">
        <v>2.0249999999999999</v>
      </c>
      <c r="R186" s="11">
        <v>3.73143</v>
      </c>
      <c r="S186" s="38">
        <f t="shared" si="24"/>
        <v>3.5</v>
      </c>
      <c r="T186" s="11">
        <v>13.6</v>
      </c>
      <c r="U186" s="11">
        <v>0.67500000000000004</v>
      </c>
      <c r="V186" s="11">
        <v>0.15</v>
      </c>
      <c r="W186" s="11">
        <v>7.4999999999999997E-2</v>
      </c>
      <c r="X186" s="11">
        <v>4.8136000000000001</v>
      </c>
      <c r="Y186" s="38">
        <f t="shared" si="25"/>
        <v>5</v>
      </c>
      <c r="Z186" s="11">
        <v>0</v>
      </c>
      <c r="AA186" s="11">
        <v>0</v>
      </c>
      <c r="AB186" s="11">
        <v>14.500000000000002</v>
      </c>
      <c r="AC186" s="11">
        <v>1.4733799999999999</v>
      </c>
      <c r="AD186" s="164">
        <v>1142.32</v>
      </c>
      <c r="AE186" s="11">
        <v>214.5</v>
      </c>
      <c r="AF186" s="11">
        <f t="shared" si="31"/>
        <v>2.4664594127806563</v>
      </c>
      <c r="AG186" s="38">
        <f t="shared" si="26"/>
        <v>2.5</v>
      </c>
      <c r="AH186" s="11">
        <v>97.57</v>
      </c>
      <c r="AI186" s="11">
        <f t="shared" si="32"/>
        <v>0.19258820626696274</v>
      </c>
      <c r="AJ186" s="11">
        <v>112.57</v>
      </c>
      <c r="AK186" s="11">
        <f>AJ186/(3.5*I186*1000)*100</f>
        <v>0.2221959042684431</v>
      </c>
      <c r="AL186" s="11">
        <v>5.8</v>
      </c>
      <c r="AM186" s="11">
        <f>AL186/(3.5*I186*1000)*100</f>
        <v>1.1448309893905748E-2</v>
      </c>
      <c r="AQ186" s="12">
        <f>N186+O186+P186+Q186</f>
        <v>14.500000000000002</v>
      </c>
      <c r="AR186" s="12">
        <f>T186+U186+V186+W186</f>
        <v>14.5</v>
      </c>
      <c r="AS186" s="12">
        <f>Z186+AA186+AB186</f>
        <v>14.500000000000002</v>
      </c>
      <c r="AU186" s="22">
        <v>1.0017271157167531</v>
      </c>
      <c r="AV186" s="22">
        <v>1.0017271157167531</v>
      </c>
      <c r="AW186" s="22">
        <v>1.0017271157167531</v>
      </c>
    </row>
    <row r="187" spans="1:88" s="22" customFormat="1">
      <c r="A187" s="1">
        <v>1882</v>
      </c>
      <c r="B187" s="34" t="s">
        <v>2495</v>
      </c>
      <c r="C187" s="34">
        <v>335</v>
      </c>
      <c r="D187" s="75">
        <v>3338</v>
      </c>
      <c r="E187" s="8">
        <v>100</v>
      </c>
      <c r="F187" s="9" t="s">
        <v>2518</v>
      </c>
      <c r="G187" s="20">
        <v>0</v>
      </c>
      <c r="H187" s="20">
        <v>1198</v>
      </c>
      <c r="I187" s="21">
        <v>1.198</v>
      </c>
      <c r="J187" s="34">
        <v>2</v>
      </c>
      <c r="K187" s="34" t="s">
        <v>238</v>
      </c>
      <c r="L187" s="18">
        <v>42095</v>
      </c>
      <c r="M187" s="247" t="s">
        <v>191</v>
      </c>
      <c r="N187" s="38">
        <v>0.13</v>
      </c>
      <c r="O187" s="38">
        <v>0.32</v>
      </c>
      <c r="P187" s="38">
        <v>0.19</v>
      </c>
      <c r="Q187" s="38">
        <v>0.56000000000000005</v>
      </c>
      <c r="R187" s="38">
        <v>5.1937499999999996</v>
      </c>
      <c r="S187" s="38">
        <f t="shared" si="24"/>
        <v>5</v>
      </c>
      <c r="T187" s="38">
        <v>1.2</v>
      </c>
      <c r="U187" s="38">
        <v>0</v>
      </c>
      <c r="V187" s="38">
        <v>0</v>
      </c>
      <c r="W187" s="38">
        <v>0</v>
      </c>
      <c r="X187" s="38">
        <v>2.3725499999999999</v>
      </c>
      <c r="Y187" s="38">
        <f t="shared" si="25"/>
        <v>2.5</v>
      </c>
      <c r="Z187" s="38">
        <v>0</v>
      </c>
      <c r="AA187" s="38">
        <v>0</v>
      </c>
      <c r="AB187" s="38">
        <v>1.2</v>
      </c>
      <c r="AC187" s="38">
        <v>1.25007</v>
      </c>
      <c r="AD187" s="38">
        <v>102.33</v>
      </c>
      <c r="AE187" s="38">
        <v>2.06</v>
      </c>
      <c r="AF187" s="38">
        <f t="shared" si="31"/>
        <v>2.4650608156451228</v>
      </c>
      <c r="AG187" s="38">
        <f t="shared" si="26"/>
        <v>2.5</v>
      </c>
      <c r="AH187" s="38">
        <v>3.6</v>
      </c>
      <c r="AI187" s="38">
        <f t="shared" si="32"/>
        <v>8.5857381349868825E-2</v>
      </c>
      <c r="AJ187" s="38">
        <v>0</v>
      </c>
      <c r="AK187" s="38">
        <f>AJ187/(3.5*I187*1000)*100</f>
        <v>0</v>
      </c>
      <c r="AL187" s="38">
        <v>0</v>
      </c>
      <c r="AM187" s="38">
        <f>AL187/(3.5*I187*1000)*100</f>
        <v>0</v>
      </c>
      <c r="AN187" s="73"/>
      <c r="AO187" s="73"/>
      <c r="AP187" s="73"/>
      <c r="AQ187" s="41">
        <f>SUM(N187:Q187)</f>
        <v>1.2000000000000002</v>
      </c>
      <c r="AR187" s="41">
        <f>SUM(T187:W187)</f>
        <v>1.2</v>
      </c>
      <c r="AS187" s="12">
        <f>SUM(Z187:AB187)</f>
        <v>1.2</v>
      </c>
      <c r="AT187" s="1"/>
      <c r="AU187" s="1">
        <f>I187/AQ187</f>
        <v>0.99833333333333318</v>
      </c>
      <c r="AV187" s="1">
        <f>I187/AR187</f>
        <v>0.99833333333333329</v>
      </c>
      <c r="AW187" s="1">
        <f>I187/AS187</f>
        <v>0.99833333333333329</v>
      </c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</row>
    <row r="188" spans="1:88" s="22" customFormat="1">
      <c r="A188" s="1">
        <v>1180</v>
      </c>
      <c r="B188" s="34" t="s">
        <v>1639</v>
      </c>
      <c r="C188" s="34">
        <v>433</v>
      </c>
      <c r="D188" s="34">
        <v>369</v>
      </c>
      <c r="E188" s="34">
        <v>100</v>
      </c>
      <c r="F188" s="34" t="s">
        <v>1653</v>
      </c>
      <c r="G188" s="58" t="s">
        <v>1654</v>
      </c>
      <c r="H188" s="58" t="s">
        <v>92</v>
      </c>
      <c r="I188" s="55">
        <v>1.4339999999999999</v>
      </c>
      <c r="J188" s="34">
        <v>4</v>
      </c>
      <c r="K188" s="34" t="s">
        <v>96</v>
      </c>
      <c r="L188" s="10">
        <v>42282</v>
      </c>
      <c r="M188" s="37" t="s">
        <v>191</v>
      </c>
      <c r="N188" s="38">
        <v>0.77500000000000002</v>
      </c>
      <c r="O188" s="38">
        <v>0.32500000000000001</v>
      </c>
      <c r="P188" s="38">
        <v>0.15</v>
      </c>
      <c r="Q188" s="38">
        <v>7.4999999999999997E-2</v>
      </c>
      <c r="R188" s="38">
        <v>2.7486799999999998</v>
      </c>
      <c r="S188" s="38">
        <f t="shared" si="24"/>
        <v>2.5</v>
      </c>
      <c r="T188" s="38">
        <v>1.175</v>
      </c>
      <c r="U188" s="38">
        <v>0.15</v>
      </c>
      <c r="V188" s="38">
        <v>0</v>
      </c>
      <c r="W188" s="38">
        <v>0</v>
      </c>
      <c r="X188" s="38">
        <v>4.4945700000000004</v>
      </c>
      <c r="Y188" s="38">
        <f t="shared" si="25"/>
        <v>4.5</v>
      </c>
      <c r="Z188" s="38">
        <v>0</v>
      </c>
      <c r="AA188" s="38">
        <v>0</v>
      </c>
      <c r="AB188" s="38">
        <v>1.4339999999999999</v>
      </c>
      <c r="AC188" s="38">
        <v>1.3208299999999999</v>
      </c>
      <c r="AD188" s="38">
        <v>115.5</v>
      </c>
      <c r="AE188" s="38">
        <v>11.678000000000001</v>
      </c>
      <c r="AF188" s="38">
        <f t="shared" si="31"/>
        <v>2.4175931460450291</v>
      </c>
      <c r="AG188" s="38">
        <f t="shared" si="26"/>
        <v>2.4</v>
      </c>
      <c r="AH188" s="38">
        <v>14.36</v>
      </c>
      <c r="AI188" s="38">
        <f t="shared" si="32"/>
        <v>0.28611277146842001</v>
      </c>
      <c r="AJ188" s="38">
        <v>0</v>
      </c>
      <c r="AK188" s="38">
        <f>AJ188/(3.5*I188*1000)*100</f>
        <v>0</v>
      </c>
      <c r="AL188" s="38">
        <v>0</v>
      </c>
      <c r="AM188" s="38">
        <f>AJ188/(3.5*I188*1000)*100</f>
        <v>0</v>
      </c>
      <c r="AN188" s="25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</row>
    <row r="189" spans="1:88" s="22" customFormat="1">
      <c r="A189" s="1">
        <v>618</v>
      </c>
      <c r="B189" s="34" t="s">
        <v>1017</v>
      </c>
      <c r="C189" s="34">
        <v>555</v>
      </c>
      <c r="D189" s="34">
        <v>2099</v>
      </c>
      <c r="E189" s="34">
        <v>100</v>
      </c>
      <c r="F189" s="9" t="s">
        <v>1021</v>
      </c>
      <c r="G189" s="118">
        <v>0</v>
      </c>
      <c r="H189" s="118">
        <v>9358</v>
      </c>
      <c r="I189" s="35">
        <v>9.3580000000000005</v>
      </c>
      <c r="J189" s="78">
        <v>2</v>
      </c>
      <c r="K189" s="34" t="s">
        <v>238</v>
      </c>
      <c r="L189" s="10">
        <v>42187</v>
      </c>
      <c r="M189" s="37" t="s">
        <v>191</v>
      </c>
      <c r="N189" s="38">
        <v>5.125</v>
      </c>
      <c r="O189" s="38">
        <v>3.2749999999999999</v>
      </c>
      <c r="P189" s="38">
        <v>0.77500000000000002</v>
      </c>
      <c r="Q189" s="38">
        <v>0.2</v>
      </c>
      <c r="R189" s="38">
        <v>2.5404800000000001</v>
      </c>
      <c r="S189" s="38">
        <f t="shared" si="24"/>
        <v>2.5</v>
      </c>
      <c r="T189" s="38">
        <v>8.8000000000000007</v>
      </c>
      <c r="U189" s="38">
        <v>0.35</v>
      </c>
      <c r="V189" s="38">
        <v>0.2</v>
      </c>
      <c r="W189" s="38">
        <v>2.5000000000000001E-2</v>
      </c>
      <c r="X189" s="38">
        <v>3.8231999999999999</v>
      </c>
      <c r="Y189" s="38">
        <f t="shared" si="25"/>
        <v>4</v>
      </c>
      <c r="Z189" s="38">
        <v>0</v>
      </c>
      <c r="AA189" s="38">
        <v>0</v>
      </c>
      <c r="AB189" s="38">
        <f>N189+O189+P189+Q189</f>
        <v>9.375</v>
      </c>
      <c r="AC189" s="38">
        <v>1.14323</v>
      </c>
      <c r="AD189" s="38">
        <v>539</v>
      </c>
      <c r="AE189" s="38">
        <v>504.14</v>
      </c>
      <c r="AF189" s="38">
        <f t="shared" si="31"/>
        <v>2.4152596708698439</v>
      </c>
      <c r="AG189" s="38">
        <f t="shared" si="26"/>
        <v>2.4</v>
      </c>
      <c r="AH189" s="38">
        <v>0</v>
      </c>
      <c r="AI189" s="38">
        <f t="shared" si="32"/>
        <v>0</v>
      </c>
      <c r="AJ189" s="38">
        <v>61</v>
      </c>
      <c r="AK189" s="38">
        <f>AJ189/(3.5*I189*1000)*100</f>
        <v>0.1862424816047385</v>
      </c>
      <c r="AL189" s="38">
        <v>0</v>
      </c>
      <c r="AM189" s="38">
        <f>AL189/(3.5*I189*1000)*100</f>
        <v>0</v>
      </c>
      <c r="AN189" s="25"/>
      <c r="AO189" s="25">
        <f>AE189*0.5</f>
        <v>252.07</v>
      </c>
      <c r="AP189" s="25">
        <f>(AD189+AH189+AJ189+AL189+AO189)*I189</f>
        <v>7973.6710599999997</v>
      </c>
      <c r="AQ189" s="25">
        <f>SUM(N189:Q189)</f>
        <v>9.375</v>
      </c>
      <c r="AR189" s="25">
        <f>SUM(T189:W189)</f>
        <v>9.375</v>
      </c>
      <c r="AT189" s="41"/>
      <c r="AU189" s="41"/>
      <c r="AV189" s="41"/>
      <c r="AW189" s="41"/>
    </row>
    <row r="190" spans="1:88" s="22" customFormat="1">
      <c r="A190" s="1">
        <v>1397</v>
      </c>
      <c r="B190" s="34" t="s">
        <v>1940</v>
      </c>
      <c r="C190" s="34">
        <v>446</v>
      </c>
      <c r="D190" s="75">
        <v>3244</v>
      </c>
      <c r="E190" s="69">
        <v>100</v>
      </c>
      <c r="F190" s="34" t="s">
        <v>1953</v>
      </c>
      <c r="G190" s="20">
        <v>0</v>
      </c>
      <c r="H190" s="20">
        <v>4565</v>
      </c>
      <c r="I190" s="21">
        <v>4.5650000000000004</v>
      </c>
      <c r="J190" s="8">
        <v>2</v>
      </c>
      <c r="K190" s="34" t="s">
        <v>238</v>
      </c>
      <c r="L190" s="10">
        <v>42220</v>
      </c>
      <c r="M190" s="37" t="s">
        <v>191</v>
      </c>
      <c r="N190" s="38">
        <v>3.55</v>
      </c>
      <c r="O190" s="38">
        <v>0.72</v>
      </c>
      <c r="P190" s="38">
        <v>0.17</v>
      </c>
      <c r="Q190" s="38">
        <v>0.12</v>
      </c>
      <c r="R190" s="38">
        <v>2.2687499999999998</v>
      </c>
      <c r="S190" s="38">
        <f t="shared" si="24"/>
        <v>2.5</v>
      </c>
      <c r="T190" s="38">
        <v>4.5599999999999996</v>
      </c>
      <c r="U190" s="38">
        <v>0</v>
      </c>
      <c r="V190" s="38">
        <v>0</v>
      </c>
      <c r="W190" s="38">
        <v>0</v>
      </c>
      <c r="X190" s="38">
        <v>1.8448</v>
      </c>
      <c r="Y190" s="38">
        <f t="shared" si="25"/>
        <v>2</v>
      </c>
      <c r="Z190" s="38">
        <v>0</v>
      </c>
      <c r="AA190" s="38">
        <v>0</v>
      </c>
      <c r="AB190" s="11">
        <v>4.57</v>
      </c>
      <c r="AC190" s="38">
        <v>1.2012100000000001</v>
      </c>
      <c r="AD190" s="38">
        <v>379.25400000000002</v>
      </c>
      <c r="AE190" s="38">
        <v>10.54</v>
      </c>
      <c r="AF190" s="38">
        <v>2.4066593647316536</v>
      </c>
      <c r="AG190" s="38">
        <f t="shared" si="26"/>
        <v>2.4</v>
      </c>
      <c r="AH190" s="38">
        <v>87.42</v>
      </c>
      <c r="AI190" s="38">
        <v>0.54714442184321699</v>
      </c>
      <c r="AJ190" s="38">
        <v>0</v>
      </c>
      <c r="AK190" s="38">
        <v>0</v>
      </c>
      <c r="AL190" s="38">
        <v>0</v>
      </c>
      <c r="AM190" s="38">
        <v>0</v>
      </c>
      <c r="AN190" s="12"/>
      <c r="AO190" s="1"/>
      <c r="AP190" s="12">
        <f>SUM(N190:Q190)</f>
        <v>4.5599999999999996</v>
      </c>
      <c r="AQ190" s="12">
        <f>SUM(T190:W190)</f>
        <v>4.5599999999999996</v>
      </c>
      <c r="AR190" s="12">
        <f>SUM(Z190:AB190)</f>
        <v>4.57</v>
      </c>
      <c r="AS190" s="1"/>
      <c r="AT190" s="1">
        <f>I190/AP190</f>
        <v>1.0010964912280704</v>
      </c>
      <c r="AU190" s="1">
        <f>I190/AQ190</f>
        <v>1.0010964912280704</v>
      </c>
      <c r="AV190" s="1">
        <f>I190/AR190</f>
        <v>0.9989059080962801</v>
      </c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</row>
    <row r="191" spans="1:88" s="22" customFormat="1">
      <c r="A191" s="1">
        <v>974</v>
      </c>
      <c r="B191" s="9" t="s">
        <v>1359</v>
      </c>
      <c r="C191" s="9">
        <v>612</v>
      </c>
      <c r="D191" s="8">
        <v>2220</v>
      </c>
      <c r="E191" s="9">
        <v>100</v>
      </c>
      <c r="F191" s="9" t="s">
        <v>1373</v>
      </c>
      <c r="G191" s="43" t="s">
        <v>92</v>
      </c>
      <c r="H191" s="43" t="s">
        <v>291</v>
      </c>
      <c r="I191" s="44">
        <v>25</v>
      </c>
      <c r="J191" s="186">
        <v>2</v>
      </c>
      <c r="K191" s="186" t="s">
        <v>238</v>
      </c>
      <c r="L191" s="106">
        <v>42117</v>
      </c>
      <c r="M191" s="37" t="s">
        <v>191</v>
      </c>
      <c r="N191" s="248">
        <v>19.2</v>
      </c>
      <c r="O191" s="248">
        <v>5.0750000000000002</v>
      </c>
      <c r="P191" s="248">
        <v>2.2000000000000002</v>
      </c>
      <c r="Q191" s="11">
        <v>0.77500000000000002</v>
      </c>
      <c r="R191" s="11">
        <v>2.1873900000000002</v>
      </c>
      <c r="S191" s="38">
        <f t="shared" si="24"/>
        <v>2</v>
      </c>
      <c r="T191" s="11">
        <v>26.524999999999999</v>
      </c>
      <c r="U191" s="11">
        <v>0.625</v>
      </c>
      <c r="V191" s="11">
        <v>0.1</v>
      </c>
      <c r="W191" s="11">
        <v>0</v>
      </c>
      <c r="X191" s="11">
        <v>3.2499199999999999</v>
      </c>
      <c r="Y191" s="38">
        <f t="shared" si="25"/>
        <v>3</v>
      </c>
      <c r="Z191" s="11">
        <v>0</v>
      </c>
      <c r="AA191" s="11">
        <v>0</v>
      </c>
      <c r="AB191" s="11">
        <f>SUM(N191:Q191)</f>
        <v>27.249999999999996</v>
      </c>
      <c r="AC191" s="11">
        <v>1.1603600000000001</v>
      </c>
      <c r="AD191" s="11">
        <v>2099.98</v>
      </c>
      <c r="AE191" s="11">
        <v>0</v>
      </c>
      <c r="AF191" s="11">
        <v>2.3999799999999998</v>
      </c>
      <c r="AG191" s="38">
        <f t="shared" si="26"/>
        <v>2.4</v>
      </c>
      <c r="AH191" s="248">
        <v>81</v>
      </c>
      <c r="AI191" s="11">
        <v>9.257E-2</v>
      </c>
      <c r="AJ191" s="248">
        <v>0</v>
      </c>
      <c r="AK191" s="11">
        <v>0</v>
      </c>
      <c r="AL191" s="248">
        <v>0</v>
      </c>
      <c r="AM191" s="11">
        <v>0</v>
      </c>
      <c r="AN191" s="72"/>
      <c r="AO191" s="72"/>
      <c r="AP191" s="72">
        <f>AE191*0.5</f>
        <v>0</v>
      </c>
      <c r="AQ191" s="25">
        <f>(AD189+AH189+AJ189+AL189+AP191)*I189</f>
        <v>5614.8</v>
      </c>
      <c r="AR191" s="25"/>
      <c r="AS191" s="25"/>
      <c r="AT191" s="25"/>
      <c r="AU191" s="146">
        <f>SUM(N191:Q191)</f>
        <v>27.249999999999996</v>
      </c>
      <c r="AV191" s="41">
        <f>SUM(T191:W191)</f>
        <v>27.25</v>
      </c>
      <c r="AW191" s="41"/>
      <c r="AX191" s="41"/>
      <c r="AY191" s="4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</row>
    <row r="192" spans="1:88" s="22" customFormat="1">
      <c r="A192" s="1">
        <v>1366</v>
      </c>
      <c r="B192" s="74" t="s">
        <v>1905</v>
      </c>
      <c r="C192" s="34">
        <v>445</v>
      </c>
      <c r="D192" s="75">
        <v>3342</v>
      </c>
      <c r="E192" s="69">
        <v>100</v>
      </c>
      <c r="F192" s="184" t="s">
        <v>1917</v>
      </c>
      <c r="G192" s="43">
        <v>0</v>
      </c>
      <c r="H192" s="43">
        <v>38776</v>
      </c>
      <c r="I192" s="104">
        <v>38.776000000000003</v>
      </c>
      <c r="J192" s="174">
        <v>2</v>
      </c>
      <c r="K192" s="42" t="s">
        <v>238</v>
      </c>
      <c r="L192" s="45">
        <v>42188</v>
      </c>
      <c r="M192" s="37" t="s">
        <v>191</v>
      </c>
      <c r="N192" s="46">
        <v>27.925000000000001</v>
      </c>
      <c r="O192" s="46">
        <v>6.1749999999999998</v>
      </c>
      <c r="P192" s="46">
        <v>2.9750000000000001</v>
      </c>
      <c r="Q192" s="38">
        <v>1.7250000000000001</v>
      </c>
      <c r="R192" s="38">
        <v>2.2662800000000001</v>
      </c>
      <c r="S192" s="38">
        <f t="shared" si="24"/>
        <v>2.5</v>
      </c>
      <c r="T192" s="38">
        <v>36.274999999999999</v>
      </c>
      <c r="U192" s="38">
        <v>1.9</v>
      </c>
      <c r="V192" s="38">
        <v>0.42499999999999999</v>
      </c>
      <c r="W192" s="38">
        <v>0.2</v>
      </c>
      <c r="X192" s="38">
        <v>4.4993400000000001</v>
      </c>
      <c r="Y192" s="38">
        <f t="shared" si="25"/>
        <v>4.5</v>
      </c>
      <c r="Z192" s="38">
        <v>0</v>
      </c>
      <c r="AA192" s="38">
        <v>0</v>
      </c>
      <c r="AB192" s="38">
        <v>38.800000000000004</v>
      </c>
      <c r="AC192" s="38">
        <v>1.0771999999999999</v>
      </c>
      <c r="AD192" s="38">
        <v>3218</v>
      </c>
      <c r="AE192" s="38">
        <v>23</v>
      </c>
      <c r="AF192" s="38">
        <v>2.3796015208228947</v>
      </c>
      <c r="AG192" s="38">
        <f t="shared" si="26"/>
        <v>2.4</v>
      </c>
      <c r="AH192" s="46">
        <v>0</v>
      </c>
      <c r="AI192" s="38">
        <v>0</v>
      </c>
      <c r="AJ192" s="46">
        <v>0</v>
      </c>
      <c r="AK192" s="38">
        <v>0</v>
      </c>
      <c r="AL192" s="46">
        <v>0</v>
      </c>
      <c r="AM192" s="38">
        <v>0</v>
      </c>
      <c r="AN192" s="72"/>
      <c r="AO192" s="41"/>
      <c r="AP192" s="41"/>
      <c r="AQ192" s="41"/>
      <c r="AR192" s="41"/>
      <c r="AS192" s="73"/>
      <c r="AT192" s="73"/>
      <c r="AU192" s="73"/>
      <c r="AV192" s="73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</row>
    <row r="193" spans="1:88" s="22" customFormat="1">
      <c r="A193" s="1">
        <v>2027</v>
      </c>
      <c r="B193" s="34" t="s">
        <v>2646</v>
      </c>
      <c r="C193" s="34">
        <v>325</v>
      </c>
      <c r="D193" s="75">
        <v>4333</v>
      </c>
      <c r="E193" s="8">
        <v>100</v>
      </c>
      <c r="F193" s="34" t="s">
        <v>2675</v>
      </c>
      <c r="G193" s="58">
        <v>0</v>
      </c>
      <c r="H193" s="58">
        <v>750</v>
      </c>
      <c r="I193" s="21">
        <v>0.75</v>
      </c>
      <c r="J193" s="8">
        <v>2</v>
      </c>
      <c r="K193" s="8" t="s">
        <v>237</v>
      </c>
      <c r="L193" s="18">
        <v>42117</v>
      </c>
      <c r="M193" s="37" t="s">
        <v>191</v>
      </c>
      <c r="N193" s="38">
        <v>0.41</v>
      </c>
      <c r="O193" s="38">
        <v>0.19</v>
      </c>
      <c r="P193" s="38">
        <v>0.06</v>
      </c>
      <c r="Q193" s="38">
        <v>0.08</v>
      </c>
      <c r="R193" s="38">
        <v>2.9619200000000001</v>
      </c>
      <c r="S193" s="38">
        <f t="shared" si="24"/>
        <v>3</v>
      </c>
      <c r="T193" s="38">
        <v>0.75</v>
      </c>
      <c r="U193" s="38">
        <v>0</v>
      </c>
      <c r="V193" s="38">
        <v>0</v>
      </c>
      <c r="W193" s="38">
        <v>0</v>
      </c>
      <c r="X193" s="38">
        <v>4.9701300000000002</v>
      </c>
      <c r="Y193" s="38">
        <f t="shared" si="25"/>
        <v>5</v>
      </c>
      <c r="Z193" s="38">
        <v>0</v>
      </c>
      <c r="AA193" s="38">
        <v>0</v>
      </c>
      <c r="AB193" s="38">
        <v>0.75</v>
      </c>
      <c r="AC193" s="38">
        <v>1.0094000000000001</v>
      </c>
      <c r="AD193" s="39">
        <v>32.51</v>
      </c>
      <c r="AE193" s="38">
        <v>59.665999999999997</v>
      </c>
      <c r="AF193" s="38">
        <f>(AD193+AE193*0.5)/(3.5*I193*1000)*100</f>
        <v>2.3749714285714285</v>
      </c>
      <c r="AG193" s="38">
        <f t="shared" si="26"/>
        <v>2.4</v>
      </c>
      <c r="AH193" s="38">
        <v>11.962</v>
      </c>
      <c r="AI193" s="38">
        <f>AH193/(3.5*I193*1000)*100</f>
        <v>0.4556952380952381</v>
      </c>
      <c r="AJ193" s="38">
        <v>0</v>
      </c>
      <c r="AK193" s="38">
        <f>AJ193/(3.5*I193*1000)*100</f>
        <v>0</v>
      </c>
      <c r="AL193" s="38">
        <v>0</v>
      </c>
      <c r="AM193" s="38">
        <f>AL193/(3.5*I193*1000)*100</f>
        <v>0</v>
      </c>
      <c r="AN193" s="12"/>
      <c r="AO193" s="12"/>
      <c r="AP193" s="1"/>
      <c r="AQ193" s="41">
        <f>SUM(N193:Q193)</f>
        <v>0.73999999999999988</v>
      </c>
      <c r="AR193" s="41">
        <f>SUM(T193:W193)</f>
        <v>0.75</v>
      </c>
      <c r="AS193" s="12">
        <f>SUM(Z193:AB193)</f>
        <v>0.75</v>
      </c>
      <c r="AT193" s="1"/>
      <c r="AU193" s="1">
        <f>I193/AQ193</f>
        <v>1.0135135135135136</v>
      </c>
      <c r="AV193" s="1">
        <f>I193/AR193</f>
        <v>1</v>
      </c>
      <c r="AW193" s="1">
        <f>I193/AS193</f>
        <v>1</v>
      </c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</row>
    <row r="194" spans="1:88" s="22" customFormat="1">
      <c r="A194" s="1">
        <v>1533</v>
      </c>
      <c r="B194" s="34" t="s">
        <v>2104</v>
      </c>
      <c r="C194" s="34">
        <v>414</v>
      </c>
      <c r="D194" s="69">
        <v>3051</v>
      </c>
      <c r="E194" s="34">
        <v>102</v>
      </c>
      <c r="F194" s="34" t="s">
        <v>2108</v>
      </c>
      <c r="G194" s="58" t="s">
        <v>2109</v>
      </c>
      <c r="H194" s="58" t="s">
        <v>2110</v>
      </c>
      <c r="I194" s="35">
        <v>12.919</v>
      </c>
      <c r="J194" s="34">
        <v>2</v>
      </c>
      <c r="K194" s="34" t="s">
        <v>12</v>
      </c>
      <c r="L194" s="10">
        <v>42266</v>
      </c>
      <c r="M194" s="37" t="s">
        <v>191</v>
      </c>
      <c r="N194" s="38">
        <v>5.375</v>
      </c>
      <c r="O194" s="38">
        <v>3.75</v>
      </c>
      <c r="P194" s="38">
        <v>2.35</v>
      </c>
      <c r="Q194" s="38">
        <v>1.4</v>
      </c>
      <c r="R194" s="38">
        <v>3.1480000000000001</v>
      </c>
      <c r="S194" s="38">
        <f t="shared" si="24"/>
        <v>3</v>
      </c>
      <c r="T194" s="38">
        <v>11.775</v>
      </c>
      <c r="U194" s="38">
        <v>0.85</v>
      </c>
      <c r="V194" s="38">
        <v>0.17499999999999999</v>
      </c>
      <c r="W194" s="38">
        <v>7.4999999999999997E-2</v>
      </c>
      <c r="X194" s="38">
        <v>5.13</v>
      </c>
      <c r="Y194" s="38">
        <f t="shared" si="25"/>
        <v>5</v>
      </c>
      <c r="Z194" s="38">
        <v>0</v>
      </c>
      <c r="AA194" s="38">
        <v>0</v>
      </c>
      <c r="AB194" s="38">
        <v>12.919</v>
      </c>
      <c r="AC194" s="38">
        <v>1.163</v>
      </c>
      <c r="AD194" s="39">
        <v>734</v>
      </c>
      <c r="AE194" s="38">
        <v>648.12</v>
      </c>
      <c r="AF194" s="38">
        <f>(AD194+AE194*0.5)/(3.5*I194*1000)*100</f>
        <v>2.3399865093494632</v>
      </c>
      <c r="AG194" s="38">
        <f t="shared" si="26"/>
        <v>2.2999999999999998</v>
      </c>
      <c r="AH194" s="38">
        <v>16</v>
      </c>
      <c r="AI194" s="38">
        <f>AH194/(3.5*I194*1000)*100</f>
        <v>3.538531288357126E-2</v>
      </c>
      <c r="AJ194" s="38">
        <v>1344.89</v>
      </c>
      <c r="AK194" s="38">
        <f>AJ194/(3.5*I194*1000)*100</f>
        <v>2.9743345902491352</v>
      </c>
      <c r="AL194" s="38">
        <v>340</v>
      </c>
      <c r="AM194" s="38">
        <f>AL194/(3.5*I194*1000)*100</f>
        <v>0.75193789877588935</v>
      </c>
      <c r="AN194" s="25"/>
      <c r="AO194" s="25">
        <f>AE194*0.5</f>
        <v>324.06</v>
      </c>
      <c r="AP194" s="25">
        <f>(AD194+AH194+AJ194+AL194+AO194)*I194</f>
        <v>35642.875050000002</v>
      </c>
      <c r="AQ194" s="25"/>
      <c r="AR194" s="25">
        <f>SUM(N194:Q194)</f>
        <v>12.875</v>
      </c>
      <c r="AS194" s="25">
        <f>SUM(T194:W194)</f>
        <v>12.875</v>
      </c>
      <c r="AT194" s="25"/>
      <c r="AV194" s="41"/>
      <c r="AW194" s="41"/>
      <c r="AX194" s="41"/>
      <c r="AY194" s="41"/>
    </row>
    <row r="195" spans="1:88" s="22" customFormat="1">
      <c r="A195" s="1">
        <v>248</v>
      </c>
      <c r="B195" s="34" t="s">
        <v>436</v>
      </c>
      <c r="C195" s="34">
        <v>537</v>
      </c>
      <c r="D195" s="34">
        <v>1326</v>
      </c>
      <c r="E195" s="34">
        <v>100</v>
      </c>
      <c r="F195" s="34" t="s">
        <v>465</v>
      </c>
      <c r="G195" s="20">
        <v>0</v>
      </c>
      <c r="H195" s="20">
        <v>13896</v>
      </c>
      <c r="I195" s="35">
        <v>13.896000000000001</v>
      </c>
      <c r="J195" s="33">
        <v>2</v>
      </c>
      <c r="K195" s="34" t="s">
        <v>238</v>
      </c>
      <c r="L195" s="10">
        <v>42200</v>
      </c>
      <c r="M195" s="37" t="s">
        <v>191</v>
      </c>
      <c r="N195" s="38">
        <v>8.99</v>
      </c>
      <c r="O195" s="38">
        <v>3.3</v>
      </c>
      <c r="P195" s="38">
        <v>1.1000000000000001</v>
      </c>
      <c r="Q195" s="38">
        <v>0.5</v>
      </c>
      <c r="R195" s="38">
        <v>2.4630100000000001</v>
      </c>
      <c r="S195" s="38">
        <f t="shared" ref="S195:S258" si="33">ROUND(R195/5,1)*5</f>
        <v>2.5</v>
      </c>
      <c r="T195" s="38">
        <v>12.07</v>
      </c>
      <c r="U195" s="38">
        <v>1.2</v>
      </c>
      <c r="V195" s="38">
        <v>0.45</v>
      </c>
      <c r="W195" s="38">
        <v>0.18</v>
      </c>
      <c r="X195" s="38">
        <v>6.01227</v>
      </c>
      <c r="Y195" s="38">
        <f t="shared" ref="Y195:Y258" si="34">ROUND(X195/5,1)*5</f>
        <v>6</v>
      </c>
      <c r="Z195" s="38">
        <v>0</v>
      </c>
      <c r="AA195" s="38">
        <v>0</v>
      </c>
      <c r="AB195" s="38">
        <v>13.9</v>
      </c>
      <c r="AC195" s="38">
        <v>1.15299</v>
      </c>
      <c r="AD195" s="39">
        <v>1092</v>
      </c>
      <c r="AE195" s="38">
        <v>71.06</v>
      </c>
      <c r="AF195" s="38">
        <v>2.318303314417304</v>
      </c>
      <c r="AG195" s="38">
        <f t="shared" ref="AG195:AG258" si="35">ROUND(AF195,1)</f>
        <v>2.2999999999999998</v>
      </c>
      <c r="AH195" s="38">
        <v>247</v>
      </c>
      <c r="AI195" s="38">
        <v>0.50785426433094827</v>
      </c>
      <c r="AJ195" s="38">
        <v>156</v>
      </c>
      <c r="AK195" s="55">
        <v>0.32075006168270415</v>
      </c>
      <c r="AL195" s="55">
        <v>41</v>
      </c>
      <c r="AM195" s="55">
        <v>8.429969569865943E-2</v>
      </c>
      <c r="AN195" s="40"/>
      <c r="AO195" s="25">
        <f>SUM(N195:Q195)</f>
        <v>13.889999999999999</v>
      </c>
      <c r="AP195" s="25">
        <f>SUM(T195:W195)</f>
        <v>13.899999999999999</v>
      </c>
      <c r="AQ195" s="268">
        <v>13.896000000000001</v>
      </c>
      <c r="AR195" s="41"/>
      <c r="AS195" s="41"/>
      <c r="AT195" s="41"/>
      <c r="AU195" s="41">
        <f>SUM(N195:Q195)</f>
        <v>13.889999999999999</v>
      </c>
      <c r="AV195" s="41">
        <f>SUM(T195:W195)</f>
        <v>13.899999999999999</v>
      </c>
      <c r="AW195" s="41">
        <f>SUM(Z195:AB195)</f>
        <v>13.9</v>
      </c>
      <c r="AY195" s="22">
        <f>I195/AU195</f>
        <v>1.0004319654427647</v>
      </c>
      <c r="AZ195" s="22">
        <f>I195/AV195</f>
        <v>0.99971223021582745</v>
      </c>
      <c r="BA195" s="22">
        <f>I195/AW195</f>
        <v>0.99971223021582734</v>
      </c>
    </row>
    <row r="196" spans="1:88" s="22" customFormat="1">
      <c r="A196" s="1">
        <v>545</v>
      </c>
      <c r="B196" s="34" t="s">
        <v>915</v>
      </c>
      <c r="C196" s="34">
        <v>558</v>
      </c>
      <c r="D196" s="34">
        <v>1341</v>
      </c>
      <c r="E196" s="34">
        <v>100</v>
      </c>
      <c r="F196" s="34" t="s">
        <v>944</v>
      </c>
      <c r="G196" s="34" t="s">
        <v>92</v>
      </c>
      <c r="H196" s="34" t="s">
        <v>945</v>
      </c>
      <c r="I196" s="34">
        <v>1.659</v>
      </c>
      <c r="J196" s="34" t="s">
        <v>238</v>
      </c>
      <c r="K196" s="34">
        <v>2</v>
      </c>
      <c r="L196" s="10">
        <v>42271</v>
      </c>
      <c r="M196" s="37" t="s">
        <v>191</v>
      </c>
      <c r="N196" s="38">
        <v>1.0900000000000001</v>
      </c>
      <c r="O196" s="38">
        <v>0.19</v>
      </c>
      <c r="P196" s="38">
        <v>0.23</v>
      </c>
      <c r="Q196" s="38">
        <v>0.18</v>
      </c>
      <c r="R196" s="38">
        <v>2.8565499999999999</v>
      </c>
      <c r="S196" s="38">
        <f t="shared" si="33"/>
        <v>3</v>
      </c>
      <c r="T196" s="38">
        <v>1.59</v>
      </c>
      <c r="U196" s="38">
        <v>0</v>
      </c>
      <c r="V196" s="38">
        <v>0</v>
      </c>
      <c r="W196" s="38">
        <v>7.0000000000000007E-2</v>
      </c>
      <c r="X196" s="38">
        <v>3.7763399999999998</v>
      </c>
      <c r="Y196" s="38">
        <f t="shared" si="34"/>
        <v>4</v>
      </c>
      <c r="Z196" s="38">
        <v>0</v>
      </c>
      <c r="AA196" s="38">
        <v>0</v>
      </c>
      <c r="AB196" s="38">
        <v>0.72999999999999987</v>
      </c>
      <c r="AC196" s="38">
        <v>1.85524</v>
      </c>
      <c r="AD196" s="39">
        <v>133.21</v>
      </c>
      <c r="AE196" s="38">
        <v>1.78</v>
      </c>
      <c r="AF196" s="38">
        <v>2.3094809999999999</v>
      </c>
      <c r="AG196" s="38">
        <f t="shared" si="35"/>
        <v>2.2999999999999998</v>
      </c>
      <c r="AH196" s="38">
        <v>88.49</v>
      </c>
      <c r="AI196" s="38">
        <v>1.5239819999999999</v>
      </c>
      <c r="AJ196" s="38">
        <v>0</v>
      </c>
      <c r="AK196" s="38">
        <v>0</v>
      </c>
      <c r="AL196" s="38">
        <v>0</v>
      </c>
      <c r="AM196" s="38">
        <v>0</v>
      </c>
      <c r="AN196" s="41"/>
      <c r="AO196" s="41"/>
      <c r="AP196" s="73"/>
      <c r="AQ196" s="73"/>
    </row>
    <row r="197" spans="1:88" s="22" customFormat="1">
      <c r="A197" s="1">
        <v>1199</v>
      </c>
      <c r="B197" s="34" t="s">
        <v>1674</v>
      </c>
      <c r="C197" s="34">
        <v>435</v>
      </c>
      <c r="D197" s="34">
        <v>2129</v>
      </c>
      <c r="E197" s="34">
        <v>100</v>
      </c>
      <c r="F197" s="34" t="s">
        <v>1684</v>
      </c>
      <c r="G197" s="34" t="s">
        <v>1685</v>
      </c>
      <c r="H197" s="34" t="s">
        <v>92</v>
      </c>
      <c r="I197" s="55">
        <v>1.2</v>
      </c>
      <c r="J197" s="34">
        <v>6</v>
      </c>
      <c r="K197" s="34" t="s">
        <v>1521</v>
      </c>
      <c r="L197" s="10">
        <v>42282</v>
      </c>
      <c r="M197" s="37" t="s">
        <v>191</v>
      </c>
      <c r="N197" s="38">
        <v>0.22500000000000001</v>
      </c>
      <c r="O197" s="38">
        <v>0.2</v>
      </c>
      <c r="P197" s="38">
        <v>0.35</v>
      </c>
      <c r="Q197" s="38">
        <v>0.17499999999999999</v>
      </c>
      <c r="R197" s="38">
        <v>4.4594699999999996</v>
      </c>
      <c r="S197" s="38">
        <f t="shared" si="33"/>
        <v>4.5</v>
      </c>
      <c r="T197" s="38">
        <v>0.9</v>
      </c>
      <c r="U197" s="38">
        <v>0.05</v>
      </c>
      <c r="V197" s="38">
        <v>0</v>
      </c>
      <c r="W197" s="38">
        <v>0</v>
      </c>
      <c r="X197" s="38">
        <v>5.3997900000000003</v>
      </c>
      <c r="Y197" s="38">
        <f t="shared" si="34"/>
        <v>5.5</v>
      </c>
      <c r="Z197" s="38">
        <v>0</v>
      </c>
      <c r="AA197" s="38">
        <v>0</v>
      </c>
      <c r="AB197" s="55">
        <v>1.2</v>
      </c>
      <c r="AC197" s="38">
        <v>1.1755</v>
      </c>
      <c r="AD197" s="39">
        <v>95.203999999999994</v>
      </c>
      <c r="AE197" s="38">
        <v>2.0099999999999998</v>
      </c>
      <c r="AF197" s="38">
        <f t="shared" ref="AF197:AF202" si="36">(AD197+AE197*0.5)/(3.5*I197*1000)*100</f>
        <v>2.2906904761904761</v>
      </c>
      <c r="AG197" s="38">
        <f t="shared" si="35"/>
        <v>2.2999999999999998</v>
      </c>
      <c r="AH197" s="38">
        <v>48.96</v>
      </c>
      <c r="AI197" s="38">
        <v>1.1657139999999999</v>
      </c>
      <c r="AJ197" s="38">
        <v>0</v>
      </c>
      <c r="AK197" s="38">
        <v>0</v>
      </c>
      <c r="AL197" s="38">
        <v>0</v>
      </c>
      <c r="AM197" s="38">
        <v>0</v>
      </c>
      <c r="AN197" s="12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</row>
    <row r="198" spans="1:88" s="22" customFormat="1">
      <c r="A198" s="1">
        <v>1477</v>
      </c>
      <c r="B198" s="34" t="s">
        <v>2016</v>
      </c>
      <c r="C198" s="34">
        <v>411</v>
      </c>
      <c r="D198" s="69">
        <v>351</v>
      </c>
      <c r="E198" s="34">
        <v>100</v>
      </c>
      <c r="F198" s="34" t="s">
        <v>2029</v>
      </c>
      <c r="G198" s="20">
        <v>9425</v>
      </c>
      <c r="H198" s="20" t="s">
        <v>2030</v>
      </c>
      <c r="I198" s="188">
        <v>2.903</v>
      </c>
      <c r="J198" s="34">
        <v>8</v>
      </c>
      <c r="K198" s="34" t="s">
        <v>237</v>
      </c>
      <c r="L198" s="10">
        <v>42247</v>
      </c>
      <c r="M198" s="37" t="s">
        <v>191</v>
      </c>
      <c r="N198" s="38">
        <v>0.77100000000000002</v>
      </c>
      <c r="O198" s="38">
        <v>0.45400000000000001</v>
      </c>
      <c r="P198" s="38">
        <v>0.65800000000000003</v>
      </c>
      <c r="Q198" s="38">
        <v>1.0209999999999999</v>
      </c>
      <c r="R198" s="38">
        <v>4.2160000000000002</v>
      </c>
      <c r="S198" s="38">
        <f t="shared" si="33"/>
        <v>4</v>
      </c>
      <c r="T198" s="38">
        <v>1.925</v>
      </c>
      <c r="U198" s="38">
        <v>0.25</v>
      </c>
      <c r="V198" s="38">
        <v>0.35</v>
      </c>
      <c r="W198" s="38">
        <v>2.5000000000000001E-2</v>
      </c>
      <c r="X198" s="38">
        <v>7.3730000000000002</v>
      </c>
      <c r="Y198" s="38">
        <f t="shared" si="34"/>
        <v>7.5</v>
      </c>
      <c r="Z198" s="38">
        <v>0</v>
      </c>
      <c r="AA198" s="38">
        <v>0</v>
      </c>
      <c r="AB198" s="38">
        <f>SUM(T198:W198)</f>
        <v>2.5499999999999998</v>
      </c>
      <c r="AC198" s="38">
        <v>1.286</v>
      </c>
      <c r="AD198" s="39">
        <v>220</v>
      </c>
      <c r="AE198" s="38">
        <v>24.42</v>
      </c>
      <c r="AF198" s="38">
        <f t="shared" si="36"/>
        <v>2.2854190246542987</v>
      </c>
      <c r="AG198" s="38">
        <f t="shared" si="35"/>
        <v>2.2999999999999998</v>
      </c>
      <c r="AH198" s="38">
        <v>0</v>
      </c>
      <c r="AI198" s="38">
        <f>AH198/(3.5*I198*1000)*100</f>
        <v>0</v>
      </c>
      <c r="AJ198" s="38">
        <v>14.46</v>
      </c>
      <c r="AK198" s="38">
        <f>AJ198/(3.5*I198*1000)*100</f>
        <v>0.14231583091383299</v>
      </c>
      <c r="AL198" s="38">
        <v>0</v>
      </c>
      <c r="AM198" s="38">
        <f>AL198/(3.5*I198*1000)*100</f>
        <v>0</v>
      </c>
      <c r="AN198" s="60"/>
      <c r="AO198" s="60">
        <f>AE198*0.5</f>
        <v>12.21</v>
      </c>
      <c r="AP198" s="60">
        <f>(AD198+AH198+AJ198+AL198+AO198)*I198</f>
        <v>716.08301000000006</v>
      </c>
      <c r="AQ198" s="60"/>
      <c r="AR198" s="60"/>
      <c r="AS198" s="60"/>
      <c r="AT198" s="60"/>
      <c r="AU198" s="61"/>
      <c r="AV198" s="40"/>
      <c r="AW198" s="40"/>
      <c r="AX198" s="40"/>
      <c r="AY198" s="40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</row>
    <row r="199" spans="1:88" s="22" customFormat="1">
      <c r="A199" s="1">
        <v>1067</v>
      </c>
      <c r="B199" s="88" t="s">
        <v>1467</v>
      </c>
      <c r="C199" s="88">
        <v>619</v>
      </c>
      <c r="D199" s="8">
        <v>359</v>
      </c>
      <c r="E199" s="88">
        <v>101</v>
      </c>
      <c r="F199" s="34" t="s">
        <v>1470</v>
      </c>
      <c r="G199" s="58" t="s">
        <v>1471</v>
      </c>
      <c r="H199" s="58" t="s">
        <v>92</v>
      </c>
      <c r="I199" s="35">
        <v>10.396000000000001</v>
      </c>
      <c r="J199" s="9">
        <v>4</v>
      </c>
      <c r="K199" s="88" t="s">
        <v>96</v>
      </c>
      <c r="L199" s="116">
        <v>42094</v>
      </c>
      <c r="M199" s="37" t="s">
        <v>191</v>
      </c>
      <c r="N199" s="117">
        <v>8.09</v>
      </c>
      <c r="O199" s="117">
        <v>1.01</v>
      </c>
      <c r="P199" s="117">
        <v>0.74</v>
      </c>
      <c r="Q199" s="117">
        <v>0.56999999999999995</v>
      </c>
      <c r="R199" s="117">
        <v>2.3618100000000002</v>
      </c>
      <c r="S199" s="38">
        <f t="shared" si="33"/>
        <v>2.5</v>
      </c>
      <c r="T199" s="117">
        <v>9.5399999999999991</v>
      </c>
      <c r="U199" s="117">
        <v>0.76</v>
      </c>
      <c r="V199" s="117">
        <v>0.08</v>
      </c>
      <c r="W199" s="117">
        <v>0.03</v>
      </c>
      <c r="X199" s="117">
        <v>6.2090800000000002</v>
      </c>
      <c r="Y199" s="38">
        <f t="shared" si="34"/>
        <v>6</v>
      </c>
      <c r="Z199" s="117">
        <v>0</v>
      </c>
      <c r="AA199" s="117">
        <v>0</v>
      </c>
      <c r="AB199" s="117">
        <v>10.4</v>
      </c>
      <c r="AC199" s="117">
        <v>1.28962</v>
      </c>
      <c r="AD199" s="39">
        <v>814.18</v>
      </c>
      <c r="AE199" s="38">
        <v>0</v>
      </c>
      <c r="AF199" s="169">
        <f t="shared" si="36"/>
        <v>2.237618864398395</v>
      </c>
      <c r="AG199" s="38">
        <f t="shared" si="35"/>
        <v>2.2000000000000002</v>
      </c>
      <c r="AH199" s="38">
        <v>0</v>
      </c>
      <c r="AI199" s="99">
        <f>AH199/(3.5*I199*1000)*100</f>
        <v>0</v>
      </c>
      <c r="AJ199" s="38">
        <v>0</v>
      </c>
      <c r="AK199" s="99">
        <f>AJ199/(3.5*I199*1000)*100</f>
        <v>0</v>
      </c>
      <c r="AL199" s="38">
        <v>0</v>
      </c>
      <c r="AM199" s="99">
        <f>AL199/(3.5*I199*1000)*100</f>
        <v>0</v>
      </c>
      <c r="AN199" s="12"/>
      <c r="AO199" s="12"/>
      <c r="AP199" s="12">
        <f>AE199*0.5</f>
        <v>0</v>
      </c>
      <c r="AQ199" s="12">
        <f>(AD199+AH199+AJ199+AL199+AP199)*I199</f>
        <v>8464.2152800000003</v>
      </c>
      <c r="AR199" s="12"/>
      <c r="AS199" s="25">
        <f>SUM(N199:Q199)</f>
        <v>10.41</v>
      </c>
      <c r="AT199" s="22">
        <f>SUM(T199:W199)</f>
        <v>10.409999999999998</v>
      </c>
      <c r="AU199" s="268">
        <v>10.396000000000001</v>
      </c>
      <c r="AV199" s="41">
        <f>SUM(N199:Q199)</f>
        <v>10.41</v>
      </c>
      <c r="AW199" s="41">
        <f>SUM(T199:W199)</f>
        <v>10.409999999999998</v>
      </c>
      <c r="AX199" s="41">
        <f>SUM(Z199:AB199)</f>
        <v>10.4</v>
      </c>
      <c r="AZ199" s="22">
        <f>I199/AV199</f>
        <v>0.99865513928914507</v>
      </c>
      <c r="BA199" s="22">
        <f>I199/AW199</f>
        <v>0.99865513928914529</v>
      </c>
      <c r="BB199" s="22">
        <f>I199/AX199</f>
        <v>0.99961538461538468</v>
      </c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</row>
    <row r="200" spans="1:88" s="22" customFormat="1">
      <c r="A200" s="1">
        <v>1272</v>
      </c>
      <c r="B200" s="34" t="s">
        <v>1775</v>
      </c>
      <c r="C200" s="88">
        <v>438</v>
      </c>
      <c r="D200" s="88">
        <v>3420</v>
      </c>
      <c r="E200" s="88">
        <v>100</v>
      </c>
      <c r="F200" s="88" t="s">
        <v>1812</v>
      </c>
      <c r="G200" s="88" t="s">
        <v>92</v>
      </c>
      <c r="H200" s="88" t="s">
        <v>1813</v>
      </c>
      <c r="I200" s="115">
        <v>4.0999999999999996</v>
      </c>
      <c r="J200" s="88">
        <v>2</v>
      </c>
      <c r="K200" s="181" t="s">
        <v>238</v>
      </c>
      <c r="L200" s="116">
        <v>42282</v>
      </c>
      <c r="M200" s="37" t="s">
        <v>191</v>
      </c>
      <c r="N200" s="117">
        <v>1.75</v>
      </c>
      <c r="O200" s="117">
        <v>1.4</v>
      </c>
      <c r="P200" s="117">
        <v>0.57499999999999996</v>
      </c>
      <c r="Q200" s="117">
        <v>0.35</v>
      </c>
      <c r="R200" s="117">
        <v>3.1023900000000002</v>
      </c>
      <c r="S200" s="38">
        <f t="shared" si="33"/>
        <v>3</v>
      </c>
      <c r="T200" s="117">
        <v>3.9</v>
      </c>
      <c r="U200" s="38">
        <v>0.125</v>
      </c>
      <c r="V200" s="38">
        <v>0.05</v>
      </c>
      <c r="W200" s="38">
        <v>0</v>
      </c>
      <c r="X200" s="38">
        <v>4.5577699999999997</v>
      </c>
      <c r="Y200" s="38">
        <f t="shared" si="34"/>
        <v>4.5</v>
      </c>
      <c r="Z200" s="38">
        <v>0</v>
      </c>
      <c r="AA200" s="38">
        <v>0</v>
      </c>
      <c r="AB200" s="55">
        <v>4.0999999999999996</v>
      </c>
      <c r="AC200" s="38">
        <v>1.4407399999999999</v>
      </c>
      <c r="AD200" s="39">
        <v>305.60000000000002</v>
      </c>
      <c r="AE200" s="38">
        <v>20.32</v>
      </c>
      <c r="AF200" s="117">
        <f t="shared" si="36"/>
        <v>2.2004181184668998</v>
      </c>
      <c r="AG200" s="38">
        <f t="shared" si="35"/>
        <v>2.2000000000000002</v>
      </c>
      <c r="AH200" s="117">
        <v>175.21</v>
      </c>
      <c r="AI200" s="117">
        <f>AH200/(3.5*I200*1000)*100</f>
        <v>1.2209756097560978</v>
      </c>
      <c r="AJ200" s="117">
        <v>2.4700000000000002</v>
      </c>
      <c r="AK200" s="117">
        <v>1.7212999999999999E-2</v>
      </c>
      <c r="AL200" s="117">
        <v>0</v>
      </c>
      <c r="AM200" s="117">
        <v>0</v>
      </c>
      <c r="AN200" s="12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</row>
    <row r="201" spans="1:88" s="22" customFormat="1">
      <c r="A201" s="1">
        <v>1198</v>
      </c>
      <c r="B201" s="34" t="s">
        <v>1674</v>
      </c>
      <c r="C201" s="34">
        <v>435</v>
      </c>
      <c r="D201" s="34">
        <v>2129</v>
      </c>
      <c r="E201" s="34">
        <v>100</v>
      </c>
      <c r="F201" s="34" t="s">
        <v>1684</v>
      </c>
      <c r="G201" s="34" t="s">
        <v>92</v>
      </c>
      <c r="H201" s="34" t="s">
        <v>1685</v>
      </c>
      <c r="I201" s="55">
        <v>1.2</v>
      </c>
      <c r="J201" s="34">
        <v>6</v>
      </c>
      <c r="K201" s="34" t="s">
        <v>1520</v>
      </c>
      <c r="L201" s="10">
        <v>42282</v>
      </c>
      <c r="M201" s="37" t="s">
        <v>191</v>
      </c>
      <c r="N201" s="38">
        <v>0.45</v>
      </c>
      <c r="O201" s="38">
        <v>0.125</v>
      </c>
      <c r="P201" s="38">
        <v>0.32500000000000001</v>
      </c>
      <c r="Q201" s="38">
        <v>0.17499999999999999</v>
      </c>
      <c r="R201" s="38">
        <v>3.83209</v>
      </c>
      <c r="S201" s="38">
        <f t="shared" si="33"/>
        <v>4</v>
      </c>
      <c r="T201" s="38">
        <v>1</v>
      </c>
      <c r="U201" s="38">
        <v>7.4999999999999997E-2</v>
      </c>
      <c r="V201" s="38">
        <v>0</v>
      </c>
      <c r="W201" s="38">
        <v>0</v>
      </c>
      <c r="X201" s="38">
        <v>4.3232299999999997</v>
      </c>
      <c r="Y201" s="38">
        <f t="shared" si="34"/>
        <v>4.5</v>
      </c>
      <c r="Z201" s="38">
        <v>0</v>
      </c>
      <c r="AA201" s="38">
        <v>0</v>
      </c>
      <c r="AB201" s="55">
        <v>1.2</v>
      </c>
      <c r="AC201" s="38">
        <v>1.19719</v>
      </c>
      <c r="AD201" s="39">
        <v>88.745000000000005</v>
      </c>
      <c r="AE201" s="38">
        <v>6.47</v>
      </c>
      <c r="AF201" s="38">
        <f t="shared" si="36"/>
        <v>2.19</v>
      </c>
      <c r="AG201" s="38">
        <f t="shared" si="35"/>
        <v>2.2000000000000002</v>
      </c>
      <c r="AH201" s="38">
        <v>16.324999999999999</v>
      </c>
      <c r="AI201" s="38">
        <v>0.38868999999999998</v>
      </c>
      <c r="AJ201" s="38">
        <v>0</v>
      </c>
      <c r="AK201" s="38">
        <v>0</v>
      </c>
      <c r="AL201" s="38">
        <v>1.02</v>
      </c>
      <c r="AM201" s="38">
        <v>2.4285999999999999E-2</v>
      </c>
      <c r="AN201" s="12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</row>
    <row r="202" spans="1:88" s="22" customFormat="1">
      <c r="A202" s="1">
        <v>1509</v>
      </c>
      <c r="B202" s="34" t="s">
        <v>2069</v>
      </c>
      <c r="C202" s="34">
        <v>413</v>
      </c>
      <c r="D202" s="69">
        <v>352</v>
      </c>
      <c r="E202" s="34">
        <v>201</v>
      </c>
      <c r="F202" s="34" t="s">
        <v>2079</v>
      </c>
      <c r="G202" s="58" t="s">
        <v>2080</v>
      </c>
      <c r="H202" s="58" t="s">
        <v>389</v>
      </c>
      <c r="I202" s="35">
        <v>2.6</v>
      </c>
      <c r="J202" s="34">
        <v>2</v>
      </c>
      <c r="K202" s="34" t="s">
        <v>12</v>
      </c>
      <c r="L202" s="10">
        <v>42266</v>
      </c>
      <c r="M202" s="37" t="s">
        <v>191</v>
      </c>
      <c r="N202" s="38">
        <v>0.32500000000000001</v>
      </c>
      <c r="O202" s="38">
        <v>0.8</v>
      </c>
      <c r="P202" s="38">
        <v>0.52500000000000002</v>
      </c>
      <c r="Q202" s="38">
        <v>0.875</v>
      </c>
      <c r="R202" s="38">
        <v>4.4742600000000001</v>
      </c>
      <c r="S202" s="38">
        <f t="shared" si="33"/>
        <v>4.5</v>
      </c>
      <c r="T202" s="38">
        <v>2.15</v>
      </c>
      <c r="U202" s="38">
        <v>0.27500000000000002</v>
      </c>
      <c r="V202" s="38">
        <v>0.1</v>
      </c>
      <c r="W202" s="38">
        <v>0</v>
      </c>
      <c r="X202" s="38">
        <v>7.1023699999999996</v>
      </c>
      <c r="Y202" s="38">
        <f t="shared" si="34"/>
        <v>7</v>
      </c>
      <c r="Z202" s="38">
        <v>0</v>
      </c>
      <c r="AA202" s="38">
        <v>0</v>
      </c>
      <c r="AB202" s="196">
        <v>2.6</v>
      </c>
      <c r="AC202" s="38">
        <v>0.99827699999999997</v>
      </c>
      <c r="AD202" s="39">
        <v>101</v>
      </c>
      <c r="AE202" s="38">
        <v>194.32</v>
      </c>
      <c r="AF202" s="38">
        <f t="shared" si="36"/>
        <v>2.1775824175824172</v>
      </c>
      <c r="AG202" s="38">
        <f t="shared" si="35"/>
        <v>2.2000000000000002</v>
      </c>
      <c r="AH202" s="38">
        <v>0</v>
      </c>
      <c r="AI202" s="38">
        <f>AH202/(3.5*I202*1000)*100</f>
        <v>0</v>
      </c>
      <c r="AJ202" s="38">
        <v>802.32</v>
      </c>
      <c r="AK202" s="38">
        <f>AJ202/(3.5*I202*1000)*100</f>
        <v>8.816703296703297</v>
      </c>
      <c r="AL202" s="38">
        <v>305</v>
      </c>
      <c r="AM202" s="38">
        <f>AL202/(3.5*I202*1000)*100</f>
        <v>3.3516483516483517</v>
      </c>
      <c r="AN202" s="25"/>
      <c r="AO202" s="25">
        <f>AE202*0.5</f>
        <v>97.16</v>
      </c>
      <c r="AP202" s="25">
        <f>(AD202+AH202+AJ202+AL202+AO202)*I202</f>
        <v>3394.248000000001</v>
      </c>
      <c r="AQ202" s="25">
        <f>(AD202+AH202+AJ202+AL202)*I202</f>
        <v>3141.6320000000005</v>
      </c>
      <c r="AR202" s="25">
        <f>SUM(N202:Q202)</f>
        <v>2.5249999999999999</v>
      </c>
      <c r="AS202" s="25">
        <f>SUM(T202:W202)</f>
        <v>2.5249999999999999</v>
      </c>
      <c r="AU202" s="275">
        <v>2.6</v>
      </c>
      <c r="AV202" s="41">
        <f>SUM(N202:Q202)</f>
        <v>2.5249999999999999</v>
      </c>
      <c r="AW202" s="41">
        <f>SUM(T202:W202)</f>
        <v>2.5249999999999999</v>
      </c>
      <c r="AX202" s="41">
        <f>SUM(Z202:AB202)</f>
        <v>2.6</v>
      </c>
      <c r="AZ202" s="22">
        <f>I202/AV202</f>
        <v>1.0297029702970297</v>
      </c>
      <c r="BA202" s="22">
        <f>I202/AW202</f>
        <v>1.0297029702970297</v>
      </c>
      <c r="BB202" s="22">
        <f>I202/AX202</f>
        <v>1</v>
      </c>
    </row>
    <row r="203" spans="1:88" s="22" customFormat="1">
      <c r="A203" s="1">
        <v>683</v>
      </c>
      <c r="B203" s="34" t="s">
        <v>1084</v>
      </c>
      <c r="C203" s="34">
        <v>624</v>
      </c>
      <c r="D203" s="34">
        <v>2230</v>
      </c>
      <c r="E203" s="34">
        <v>100</v>
      </c>
      <c r="F203" s="9" t="s">
        <v>1093</v>
      </c>
      <c r="G203" s="20">
        <v>0</v>
      </c>
      <c r="H203" s="20">
        <v>3144</v>
      </c>
      <c r="I203" s="35">
        <v>3.1440000000000001</v>
      </c>
      <c r="J203" s="127">
        <v>2</v>
      </c>
      <c r="K203" s="34" t="s">
        <v>238</v>
      </c>
      <c r="L203" s="10">
        <v>42170</v>
      </c>
      <c r="M203" s="37" t="s">
        <v>191</v>
      </c>
      <c r="N203" s="38">
        <v>2.0499999999999998</v>
      </c>
      <c r="O203" s="38">
        <v>0.6</v>
      </c>
      <c r="P203" s="38">
        <v>0.27500000000000002</v>
      </c>
      <c r="Q203" s="38">
        <v>0.25</v>
      </c>
      <c r="R203" s="38">
        <v>2.6804700000000001</v>
      </c>
      <c r="S203" s="38">
        <f t="shared" si="33"/>
        <v>2.5</v>
      </c>
      <c r="T203" s="38">
        <v>3.0750000000000002</v>
      </c>
      <c r="U203" s="38">
        <v>7.4999999999999997E-2</v>
      </c>
      <c r="V203" s="38">
        <v>2.5000000000000001E-2</v>
      </c>
      <c r="W203" s="38">
        <v>0</v>
      </c>
      <c r="X203" s="38">
        <v>2.5075099999999999</v>
      </c>
      <c r="Y203" s="38">
        <f t="shared" si="34"/>
        <v>2.5</v>
      </c>
      <c r="Z203" s="38">
        <v>0</v>
      </c>
      <c r="AA203" s="38">
        <v>0</v>
      </c>
      <c r="AB203" s="38">
        <f>N203+O203+P203+Q203</f>
        <v>3.1749999999999998</v>
      </c>
      <c r="AC203" s="38">
        <v>1.19268</v>
      </c>
      <c r="AD203" s="39">
        <v>189.42</v>
      </c>
      <c r="AE203" s="38">
        <v>96.9</v>
      </c>
      <c r="AF203" s="38">
        <v>2.16167</v>
      </c>
      <c r="AG203" s="38">
        <f t="shared" si="35"/>
        <v>2.2000000000000002</v>
      </c>
      <c r="AH203" s="38">
        <v>0</v>
      </c>
      <c r="AI203" s="38">
        <v>0</v>
      </c>
      <c r="AJ203" s="38">
        <v>183.09</v>
      </c>
      <c r="AK203" s="38">
        <v>1.6638500000000001</v>
      </c>
      <c r="AL203" s="38">
        <v>0</v>
      </c>
      <c r="AM203" s="38">
        <v>0</v>
      </c>
      <c r="AN203" s="25"/>
      <c r="AO203" s="25">
        <f>AE203*0.5</f>
        <v>48.45</v>
      </c>
      <c r="AP203" s="25">
        <f>(AD203+AH203+AJ203+AL203+AO203)*I203</f>
        <v>1323.4982399999999</v>
      </c>
      <c r="AQ203" s="25">
        <f>SUM(N203:Q203)</f>
        <v>3.1749999999999998</v>
      </c>
      <c r="AR203" s="25">
        <f>SUM(T203:W203)</f>
        <v>3.1750000000000003</v>
      </c>
      <c r="AT203" s="41"/>
      <c r="AU203" s="41"/>
      <c r="AV203" s="41"/>
      <c r="AW203" s="41"/>
    </row>
    <row r="204" spans="1:88" s="22" customFormat="1">
      <c r="A204" s="1">
        <v>25</v>
      </c>
      <c r="B204" s="4" t="s">
        <v>21</v>
      </c>
      <c r="C204" s="14">
        <v>522</v>
      </c>
      <c r="D204" s="19">
        <v>121</v>
      </c>
      <c r="E204" s="16">
        <v>101</v>
      </c>
      <c r="F204" s="16" t="s">
        <v>22</v>
      </c>
      <c r="G204" s="20">
        <v>0</v>
      </c>
      <c r="H204" s="20">
        <v>15315</v>
      </c>
      <c r="I204" s="21">
        <v>15.315</v>
      </c>
      <c r="J204" s="8">
        <v>2</v>
      </c>
      <c r="K204" s="9" t="s">
        <v>238</v>
      </c>
      <c r="L204" s="24">
        <v>42235</v>
      </c>
      <c r="M204" s="37" t="s">
        <v>191</v>
      </c>
      <c r="N204" s="11">
        <v>7.45</v>
      </c>
      <c r="O204" s="11">
        <v>4.2</v>
      </c>
      <c r="P204" s="11">
        <v>2.4750000000000001</v>
      </c>
      <c r="Q204" s="11">
        <v>1.2250000000000001</v>
      </c>
      <c r="R204" s="11">
        <v>2.9459900000000001</v>
      </c>
      <c r="S204" s="38">
        <f t="shared" si="33"/>
        <v>3</v>
      </c>
      <c r="T204" s="11">
        <v>15.275</v>
      </c>
      <c r="U204" s="11">
        <v>7.4999999999999997E-2</v>
      </c>
      <c r="V204" s="11">
        <v>0</v>
      </c>
      <c r="W204" s="11">
        <v>0</v>
      </c>
      <c r="X204" s="11">
        <v>2.3554200000000001</v>
      </c>
      <c r="Y204" s="38">
        <f t="shared" si="34"/>
        <v>2.5</v>
      </c>
      <c r="Z204" s="11">
        <v>0</v>
      </c>
      <c r="AA204" s="11">
        <v>0</v>
      </c>
      <c r="AB204" s="11">
        <f>SUM(N204:Q204)</f>
        <v>15.35</v>
      </c>
      <c r="AC204" s="11">
        <v>1.0471900000000001</v>
      </c>
      <c r="AD204" s="164">
        <v>947.01</v>
      </c>
      <c r="AE204" s="11">
        <v>371.84</v>
      </c>
      <c r="AF204" s="11">
        <f>(AD204+AE204*0.5)/(3.5*I204*1000)*100</f>
        <v>2.1135767921272328</v>
      </c>
      <c r="AG204" s="38">
        <f t="shared" si="35"/>
        <v>2.1</v>
      </c>
      <c r="AH204" s="11">
        <v>0</v>
      </c>
      <c r="AI204" s="11">
        <f>AH204/(3.5*I204*1000)*100</f>
        <v>0</v>
      </c>
      <c r="AJ204" s="11">
        <v>121</v>
      </c>
      <c r="AK204" s="11">
        <f>AJ204/(3.5*I204*1000)*100</f>
        <v>0.22573573993750293</v>
      </c>
      <c r="AL204" s="11">
        <v>0</v>
      </c>
      <c r="AM204" s="11">
        <f>AL204/(3.5*I204*1000)*100</f>
        <v>0</v>
      </c>
      <c r="AO204" s="25"/>
      <c r="AP204" s="25"/>
    </row>
    <row r="205" spans="1:88" s="22" customFormat="1">
      <c r="A205" s="1">
        <v>345</v>
      </c>
      <c r="B205" s="34" t="s">
        <v>470</v>
      </c>
      <c r="C205" s="34">
        <v>639</v>
      </c>
      <c r="D205" s="34">
        <v>2339</v>
      </c>
      <c r="E205" s="34">
        <v>200</v>
      </c>
      <c r="F205" s="34" t="s">
        <v>482</v>
      </c>
      <c r="G205" s="58">
        <v>36975</v>
      </c>
      <c r="H205" s="58">
        <v>37959</v>
      </c>
      <c r="I205" s="35">
        <v>0.98399999999999999</v>
      </c>
      <c r="J205" s="62">
        <v>2</v>
      </c>
      <c r="K205" s="34" t="s">
        <v>12</v>
      </c>
      <c r="L205" s="10">
        <v>42157</v>
      </c>
      <c r="M205" s="37" t="s">
        <v>191</v>
      </c>
      <c r="N205" s="38">
        <v>0.59</v>
      </c>
      <c r="O205" s="38">
        <v>0.16</v>
      </c>
      <c r="P205" s="38">
        <v>0.18</v>
      </c>
      <c r="Q205" s="38">
        <v>0.06</v>
      </c>
      <c r="R205" s="38">
        <v>2.7509399999999999</v>
      </c>
      <c r="S205" s="38">
        <f t="shared" si="33"/>
        <v>3</v>
      </c>
      <c r="T205" s="38">
        <v>0.96</v>
      </c>
      <c r="U205" s="38">
        <v>0.04</v>
      </c>
      <c r="V205" s="38">
        <v>0</v>
      </c>
      <c r="W205" s="38">
        <v>0</v>
      </c>
      <c r="X205" s="38">
        <v>3.1702499999999998</v>
      </c>
      <c r="Y205" s="38">
        <f t="shared" si="34"/>
        <v>3</v>
      </c>
      <c r="Z205" s="38">
        <v>0</v>
      </c>
      <c r="AA205" s="38">
        <v>0</v>
      </c>
      <c r="AB205" s="38">
        <f>N205+O205+P205+Q205</f>
        <v>0.99</v>
      </c>
      <c r="AC205" s="38">
        <v>1.10687</v>
      </c>
      <c r="AD205" s="39">
        <v>21</v>
      </c>
      <c r="AE205" s="38">
        <v>103</v>
      </c>
      <c r="AF205" s="38">
        <f>(AD205+AE205*0.5)/(3.5*I205*1000)*100</f>
        <v>2.105110336817654</v>
      </c>
      <c r="AG205" s="38">
        <f t="shared" si="35"/>
        <v>2.1</v>
      </c>
      <c r="AH205" s="38">
        <v>0.78</v>
      </c>
      <c r="AI205" s="38">
        <f>AH205/(3.5*I205*1000)*100</f>
        <v>2.2648083623693381E-2</v>
      </c>
      <c r="AJ205" s="38">
        <v>0</v>
      </c>
      <c r="AK205" s="38">
        <v>0</v>
      </c>
      <c r="AL205" s="38">
        <v>0</v>
      </c>
      <c r="AM205" s="38">
        <v>0</v>
      </c>
      <c r="AN205" s="25"/>
      <c r="AO205" s="25">
        <f>AE205*0.5</f>
        <v>51.5</v>
      </c>
      <c r="AP205" s="25">
        <f>(AD205+AH205+AJ205+AL205+AO205)*I205</f>
        <v>72.107519999999994</v>
      </c>
      <c r="AQ205" s="25"/>
      <c r="AR205" s="25"/>
      <c r="AS205" s="25">
        <f>SUM(N205:Q205)</f>
        <v>0.99</v>
      </c>
      <c r="AT205" s="25"/>
      <c r="AU205" s="41">
        <f>SUM(N205:Q205)</f>
        <v>0.99</v>
      </c>
      <c r="AV205" s="41">
        <f>SUM(T205:W205)</f>
        <v>1</v>
      </c>
      <c r="AW205" s="41">
        <f>SUM(Z205:AB205)</f>
        <v>0.99</v>
      </c>
      <c r="AY205" s="22">
        <f>I205/AU205</f>
        <v>0.9939393939393939</v>
      </c>
      <c r="AZ205" s="22">
        <f>I205/AV205</f>
        <v>0.98399999999999999</v>
      </c>
      <c r="BA205" s="22">
        <f>I205/AW205</f>
        <v>0.9939393939393939</v>
      </c>
    </row>
    <row r="206" spans="1:88" s="22" customFormat="1">
      <c r="A206" s="1">
        <v>183</v>
      </c>
      <c r="B206" s="34" t="s">
        <v>332</v>
      </c>
      <c r="C206" s="34">
        <v>533</v>
      </c>
      <c r="D206" s="34">
        <v>1306</v>
      </c>
      <c r="E206" s="34">
        <v>100</v>
      </c>
      <c r="F206" s="34" t="s">
        <v>369</v>
      </c>
      <c r="G206" s="20">
        <v>0</v>
      </c>
      <c r="H206" s="20">
        <v>15579</v>
      </c>
      <c r="I206" s="35">
        <v>15.579000000000001</v>
      </c>
      <c r="J206" s="36">
        <v>2</v>
      </c>
      <c r="K206" s="34" t="s">
        <v>238</v>
      </c>
      <c r="L206" s="10">
        <v>42203</v>
      </c>
      <c r="M206" s="37" t="s">
        <v>191</v>
      </c>
      <c r="N206" s="38">
        <v>9.43</v>
      </c>
      <c r="O206" s="38">
        <v>4.01</v>
      </c>
      <c r="P206" s="38">
        <v>1.5</v>
      </c>
      <c r="Q206" s="38">
        <v>0.64</v>
      </c>
      <c r="R206" s="38">
        <v>2.52935</v>
      </c>
      <c r="S206" s="38">
        <f t="shared" si="33"/>
        <v>2.5</v>
      </c>
      <c r="T206" s="38">
        <v>14.94</v>
      </c>
      <c r="U206" s="38">
        <v>0.44</v>
      </c>
      <c r="V206" s="38">
        <v>0.1</v>
      </c>
      <c r="W206" s="38">
        <v>0.1</v>
      </c>
      <c r="X206" s="38">
        <v>3.7551299999999999</v>
      </c>
      <c r="Y206" s="38">
        <f t="shared" si="34"/>
        <v>4</v>
      </c>
      <c r="Z206" s="38">
        <v>0</v>
      </c>
      <c r="AA206" s="38">
        <v>0</v>
      </c>
      <c r="AB206" s="38">
        <v>15.58</v>
      </c>
      <c r="AC206" s="38">
        <v>1.1500999999999999</v>
      </c>
      <c r="AD206" s="39">
        <v>1139</v>
      </c>
      <c r="AE206" s="38">
        <v>14.41</v>
      </c>
      <c r="AF206" s="38">
        <f>(AD206+AE206*0.5)/(3.5*I206*1000)*100</f>
        <v>2.1021063152778923</v>
      </c>
      <c r="AG206" s="38">
        <f t="shared" si="35"/>
        <v>2.1</v>
      </c>
      <c r="AH206" s="38">
        <v>0</v>
      </c>
      <c r="AI206" s="38">
        <f>AH206/(3.5*I206*1000)*100</f>
        <v>0</v>
      </c>
      <c r="AJ206" s="38">
        <v>0</v>
      </c>
      <c r="AK206" s="38">
        <f>AJ206/(3.5*I206*1000)*100</f>
        <v>0</v>
      </c>
      <c r="AL206" s="38">
        <v>0</v>
      </c>
      <c r="AM206" s="38">
        <f>AL206/(3.5*I206*1000)*100</f>
        <v>0</v>
      </c>
      <c r="AN206" s="25"/>
      <c r="AO206" s="25">
        <f>AE206*0.5</f>
        <v>7.2050000000000001</v>
      </c>
      <c r="AP206" s="25">
        <f>(AD206+AH206+AJ206+AL206+AO206)*I206</f>
        <v>17856.727694999998</v>
      </c>
      <c r="AQ206" s="25"/>
      <c r="AR206" s="25">
        <f>SUM(N206:Q206)</f>
        <v>15.58</v>
      </c>
      <c r="AS206" s="25">
        <f>SUM(T206:W206)</f>
        <v>15.579999999999998</v>
      </c>
      <c r="AU206" s="41">
        <f>SUM(N206:Q206)</f>
        <v>15.58</v>
      </c>
      <c r="AV206" s="41">
        <f>SUM(T206:W206)</f>
        <v>15.579999999999998</v>
      </c>
      <c r="AW206" s="41">
        <f>SUM(Z206:AB206)</f>
        <v>15.58</v>
      </c>
      <c r="AX206" s="41"/>
      <c r="AY206" s="22">
        <f>I206/AU206</f>
        <v>0.9999358151476252</v>
      </c>
      <c r="AZ206" s="22">
        <f>I206/AV206</f>
        <v>0.99993581514762531</v>
      </c>
      <c r="BA206" s="22">
        <f>I206/AW206</f>
        <v>0.9999358151476252</v>
      </c>
    </row>
    <row r="207" spans="1:88" s="22" customFormat="1">
      <c r="A207" s="1">
        <v>1071</v>
      </c>
      <c r="B207" s="34" t="s">
        <v>1467</v>
      </c>
      <c r="C207" s="34">
        <v>619</v>
      </c>
      <c r="D207" s="8">
        <v>3067</v>
      </c>
      <c r="E207" s="34">
        <v>100</v>
      </c>
      <c r="F207" s="34" t="s">
        <v>1474</v>
      </c>
      <c r="G207" s="58">
        <v>1255</v>
      </c>
      <c r="H207" s="58">
        <v>32691</v>
      </c>
      <c r="I207" s="35">
        <v>31.436</v>
      </c>
      <c r="J207" s="9">
        <v>2</v>
      </c>
      <c r="K207" s="34" t="s">
        <v>238</v>
      </c>
      <c r="L207" s="10">
        <v>42095</v>
      </c>
      <c r="M207" s="37" t="s">
        <v>191</v>
      </c>
      <c r="N207" s="38">
        <v>23.07</v>
      </c>
      <c r="O207" s="38">
        <v>5.33</v>
      </c>
      <c r="P207" s="38">
        <v>1.98</v>
      </c>
      <c r="Q207" s="38">
        <v>1.08</v>
      </c>
      <c r="R207" s="38">
        <v>2.4537900000000001</v>
      </c>
      <c r="S207" s="38">
        <f t="shared" si="33"/>
        <v>2.5</v>
      </c>
      <c r="T207" s="38">
        <v>27.87</v>
      </c>
      <c r="U207" s="38">
        <v>2.0299999999999998</v>
      </c>
      <c r="V207" s="38">
        <v>0.95</v>
      </c>
      <c r="W207" s="38">
        <v>0.6</v>
      </c>
      <c r="X207" s="38">
        <v>6.3853600000000004</v>
      </c>
      <c r="Y207" s="38">
        <f t="shared" si="34"/>
        <v>6.5</v>
      </c>
      <c r="Z207" s="117">
        <v>0</v>
      </c>
      <c r="AA207" s="117">
        <v>0</v>
      </c>
      <c r="AB207" s="117">
        <v>31.44</v>
      </c>
      <c r="AC207" s="38">
        <v>1.1883900000000001</v>
      </c>
      <c r="AD207" s="39">
        <v>1769.52</v>
      </c>
      <c r="AE207" s="38">
        <v>1053.7</v>
      </c>
      <c r="AF207" s="11">
        <f>(AD207+AE207*0.5)/(3.5*I207*1000)*100</f>
        <v>2.0871157726355589</v>
      </c>
      <c r="AG207" s="38">
        <f t="shared" si="35"/>
        <v>2.1</v>
      </c>
      <c r="AH207" s="38">
        <v>4117.04</v>
      </c>
      <c r="AI207" s="38">
        <f>AH207/(3.5*I207*1000)*100</f>
        <v>3.7418791921909369</v>
      </c>
      <c r="AJ207" s="38">
        <v>1769.52</v>
      </c>
      <c r="AK207" s="38">
        <f>AJ207/(3.5*I207*1000)*100</f>
        <v>1.6082744078672315</v>
      </c>
      <c r="AL207" s="38">
        <v>8</v>
      </c>
      <c r="AM207" s="38">
        <f>AL207/(3.5*I207*1000)*100</f>
        <v>7.2710086706778395E-3</v>
      </c>
      <c r="AN207" s="25"/>
      <c r="AO207" s="25"/>
      <c r="AP207" s="12">
        <f>AE207*0.5</f>
        <v>526.85</v>
      </c>
      <c r="AQ207" s="12">
        <f>(AD207+AH207+AJ207+AL207+AP207)*I207</f>
        <v>257490.07548</v>
      </c>
      <c r="AR207" s="25"/>
      <c r="AS207" s="25">
        <f>SUM(N207:Q207)</f>
        <v>31.46</v>
      </c>
      <c r="AT207" s="22">
        <f>SUM(T207:W207)</f>
        <v>31.450000000000003</v>
      </c>
      <c r="AU207" s="268">
        <v>31.436</v>
      </c>
      <c r="AV207" s="41">
        <f>SUM(N207:Q207)</f>
        <v>31.46</v>
      </c>
      <c r="AW207" s="41">
        <f>SUM(T207:W207)</f>
        <v>31.450000000000003</v>
      </c>
      <c r="AX207" s="41">
        <f>SUM(Z207:AB207)</f>
        <v>31.44</v>
      </c>
      <c r="AZ207" s="22">
        <f>I207/AV207</f>
        <v>0.99923712650985375</v>
      </c>
      <c r="BA207" s="22">
        <f>I207/AW207</f>
        <v>0.99955484896661362</v>
      </c>
      <c r="BB207" s="22">
        <f>I207/AX207</f>
        <v>0.99987277353689563</v>
      </c>
    </row>
    <row r="208" spans="1:88" s="22" customFormat="1">
      <c r="A208" s="1">
        <v>1155</v>
      </c>
      <c r="B208" s="74" t="s">
        <v>1577</v>
      </c>
      <c r="C208" s="34">
        <v>432</v>
      </c>
      <c r="D208" s="34">
        <v>3188</v>
      </c>
      <c r="E208" s="34">
        <v>102</v>
      </c>
      <c r="F208" s="34" t="s">
        <v>1613</v>
      </c>
      <c r="G208" s="34" t="s">
        <v>1614</v>
      </c>
      <c r="H208" s="34" t="s">
        <v>1615</v>
      </c>
      <c r="I208" s="55">
        <v>2.0590000000000002</v>
      </c>
      <c r="J208" s="34">
        <v>2</v>
      </c>
      <c r="K208" s="34" t="s">
        <v>12</v>
      </c>
      <c r="L208" s="10">
        <v>42282</v>
      </c>
      <c r="M208" s="37" t="s">
        <v>191</v>
      </c>
      <c r="N208" s="38">
        <v>1.5</v>
      </c>
      <c r="O208" s="38">
        <v>0.25</v>
      </c>
      <c r="P208" s="38">
        <v>0.1</v>
      </c>
      <c r="Q208" s="38">
        <v>0.22500000000000001</v>
      </c>
      <c r="R208" s="38">
        <v>3.2858999999999998</v>
      </c>
      <c r="S208" s="38">
        <f t="shared" si="33"/>
        <v>3.5</v>
      </c>
      <c r="T208" s="38">
        <v>1.7749999999999999</v>
      </c>
      <c r="U208" s="38">
        <v>0.2</v>
      </c>
      <c r="V208" s="38">
        <v>7.4999999999999997E-2</v>
      </c>
      <c r="W208" s="38">
        <v>2.5000000000000001E-2</v>
      </c>
      <c r="X208" s="38">
        <v>5.88408</v>
      </c>
      <c r="Y208" s="38">
        <f t="shared" si="34"/>
        <v>6</v>
      </c>
      <c r="Z208" s="38">
        <v>0</v>
      </c>
      <c r="AA208" s="38">
        <v>0</v>
      </c>
      <c r="AB208" s="38">
        <v>2.0750000000000002</v>
      </c>
      <c r="AC208" s="38">
        <v>0.94733999999999996</v>
      </c>
      <c r="AD208" s="39">
        <v>148.62</v>
      </c>
      <c r="AE208" s="38">
        <v>3.5</v>
      </c>
      <c r="AF208" s="38">
        <v>2.0865879999999999</v>
      </c>
      <c r="AG208" s="38">
        <f t="shared" si="35"/>
        <v>2.1</v>
      </c>
      <c r="AH208" s="38">
        <v>145.26</v>
      </c>
      <c r="AI208" s="38">
        <v>2.0156800000000001</v>
      </c>
      <c r="AJ208" s="38">
        <v>0</v>
      </c>
      <c r="AK208" s="38">
        <v>0</v>
      </c>
      <c r="AL208" s="38">
        <v>0</v>
      </c>
      <c r="AM208" s="38">
        <v>0</v>
      </c>
      <c r="AN208" s="114"/>
      <c r="AO208" s="73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</row>
    <row r="209" spans="1:88" s="22" customFormat="1">
      <c r="A209" s="1">
        <v>1691</v>
      </c>
      <c r="B209" s="34" t="s">
        <v>2279</v>
      </c>
      <c r="C209" s="34">
        <v>421</v>
      </c>
      <c r="D209" s="8">
        <v>3245</v>
      </c>
      <c r="E209" s="34">
        <v>400</v>
      </c>
      <c r="F209" s="34" t="s">
        <v>2292</v>
      </c>
      <c r="G209" s="58">
        <v>81317</v>
      </c>
      <c r="H209" s="58">
        <v>92292</v>
      </c>
      <c r="I209" s="35">
        <v>10.975</v>
      </c>
      <c r="J209" s="9">
        <v>2</v>
      </c>
      <c r="K209" s="34" t="s">
        <v>238</v>
      </c>
      <c r="L209" s="10">
        <v>42226</v>
      </c>
      <c r="M209" s="37" t="s">
        <v>191</v>
      </c>
      <c r="N209" s="38">
        <v>2.7</v>
      </c>
      <c r="O209" s="38">
        <v>4.2</v>
      </c>
      <c r="P209" s="38">
        <v>2.3250000000000002</v>
      </c>
      <c r="Q209" s="38">
        <v>1.75</v>
      </c>
      <c r="R209" s="38">
        <v>3.6799300000000001</v>
      </c>
      <c r="S209" s="38">
        <f t="shared" si="33"/>
        <v>3.5</v>
      </c>
      <c r="T209" s="38">
        <v>8.4749999999999996</v>
      </c>
      <c r="U209" s="38">
        <v>1.825</v>
      </c>
      <c r="V209" s="38">
        <v>0.45</v>
      </c>
      <c r="W209" s="38">
        <v>0.22500000000000001</v>
      </c>
      <c r="X209" s="38">
        <v>7.2781099999999999</v>
      </c>
      <c r="Y209" s="38">
        <f t="shared" si="34"/>
        <v>7.5</v>
      </c>
      <c r="Z209" s="38">
        <v>0</v>
      </c>
      <c r="AA209" s="38">
        <v>0</v>
      </c>
      <c r="AB209" s="38">
        <v>10.975</v>
      </c>
      <c r="AC209" s="38">
        <v>1.3354699999999999</v>
      </c>
      <c r="AD209" s="39">
        <v>800.99</v>
      </c>
      <c r="AE209" s="38">
        <v>0</v>
      </c>
      <c r="AF209" s="38">
        <f>(AD209+AE209*0.5)/(3.5*I209*1000)*100</f>
        <v>2.0852326716563621</v>
      </c>
      <c r="AG209" s="38">
        <f t="shared" si="35"/>
        <v>2.1</v>
      </c>
      <c r="AH209" s="38">
        <v>0</v>
      </c>
      <c r="AI209" s="38">
        <f>AH209/(3.5*I209*1000)*100</f>
        <v>0</v>
      </c>
      <c r="AJ209" s="38">
        <v>416</v>
      </c>
      <c r="AK209" s="38">
        <f>AJ209/(3.5*I209*1000)*100</f>
        <v>1.0829808005206638</v>
      </c>
      <c r="AL209" s="38">
        <v>0</v>
      </c>
      <c r="AM209" s="38">
        <f>AL209/(3.5*I209*1000)*100</f>
        <v>0</v>
      </c>
      <c r="AN209" s="25"/>
      <c r="AO209" s="25">
        <f>AE209*0.5</f>
        <v>0</v>
      </c>
      <c r="AP209" s="25">
        <f>(AD209+AH209+AJ209+AL209+AO209)*I209</f>
        <v>13356.465249999999</v>
      </c>
      <c r="AQ209" s="25">
        <f>SUM(N209:Q209)</f>
        <v>10.975000000000001</v>
      </c>
      <c r="AR209" s="25">
        <f>SUM(T209:W209)</f>
        <v>10.974999999999998</v>
      </c>
      <c r="AT209" s="41"/>
      <c r="AU209" s="41"/>
      <c r="AV209" s="41"/>
      <c r="AW209" s="41"/>
    </row>
    <row r="210" spans="1:88" s="22" customFormat="1">
      <c r="A210" s="1">
        <v>982</v>
      </c>
      <c r="B210" s="34" t="s">
        <v>1380</v>
      </c>
      <c r="C210" s="34">
        <v>614</v>
      </c>
      <c r="D210" s="8">
        <v>206</v>
      </c>
      <c r="E210" s="34">
        <v>200</v>
      </c>
      <c r="F210" s="34" t="s">
        <v>1381</v>
      </c>
      <c r="G210" s="58">
        <v>12210</v>
      </c>
      <c r="H210" s="58">
        <v>36576</v>
      </c>
      <c r="I210" s="35">
        <v>24.38</v>
      </c>
      <c r="J210" s="9">
        <v>2</v>
      </c>
      <c r="K210" s="34" t="s">
        <v>238</v>
      </c>
      <c r="L210" s="10">
        <v>42131</v>
      </c>
      <c r="M210" s="37" t="s">
        <v>191</v>
      </c>
      <c r="N210" s="38">
        <v>18.492000000000001</v>
      </c>
      <c r="O210" s="38">
        <v>4.8129999999999997</v>
      </c>
      <c r="P210" s="38">
        <v>0.96299999999999997</v>
      </c>
      <c r="Q210" s="38">
        <v>0.113</v>
      </c>
      <c r="R210" s="38">
        <v>2.12384</v>
      </c>
      <c r="S210" s="38">
        <f t="shared" si="33"/>
        <v>2</v>
      </c>
      <c r="T210" s="38">
        <v>21.256</v>
      </c>
      <c r="U210" s="38">
        <v>2.4670000000000001</v>
      </c>
      <c r="V210" s="38">
        <v>0.6</v>
      </c>
      <c r="W210" s="38">
        <v>5.7000000000000002E-2</v>
      </c>
      <c r="X210" s="38">
        <v>5.2315100000000001</v>
      </c>
      <c r="Y210" s="38">
        <f t="shared" si="34"/>
        <v>5</v>
      </c>
      <c r="Z210" s="38">
        <v>0</v>
      </c>
      <c r="AA210" s="38">
        <v>0</v>
      </c>
      <c r="AB210" s="38">
        <f>SUM(N210:Q210)</f>
        <v>24.381</v>
      </c>
      <c r="AC210" s="38">
        <v>1.70512</v>
      </c>
      <c r="AD210" s="39">
        <v>1758.52</v>
      </c>
      <c r="AE210" s="38">
        <v>0</v>
      </c>
      <c r="AF210" s="11">
        <f>(AD210+AE210*0.5)/(3.5*I210*1000)*100</f>
        <v>2.0608461268018283</v>
      </c>
      <c r="AG210" s="38">
        <f t="shared" si="35"/>
        <v>2.1</v>
      </c>
      <c r="AH210" s="38">
        <v>0</v>
      </c>
      <c r="AI210" s="38">
        <f>AH210/(3.5*I210*1000)*100</f>
        <v>0</v>
      </c>
      <c r="AJ210" s="38">
        <v>0</v>
      </c>
      <c r="AK210" s="38">
        <f>AJ210/(3.5*I210*1000)*100</f>
        <v>0</v>
      </c>
      <c r="AL210" s="38">
        <v>0</v>
      </c>
      <c r="AM210" s="38">
        <f>AL210/(3.5*I210*1000)*100</f>
        <v>0</v>
      </c>
      <c r="AN210" s="25"/>
      <c r="AO210" s="25">
        <f>(AD210+AH210+AJ210+AL210)*I210</f>
        <v>42872.717599999996</v>
      </c>
      <c r="AP210" s="25"/>
      <c r="AQ210" s="25">
        <f>SUM(N210:Q210)</f>
        <v>24.381</v>
      </c>
      <c r="AR210" s="25">
        <f>SUM(T210:W210)</f>
        <v>24.38</v>
      </c>
      <c r="AS210" s="268">
        <v>21.873999999999999</v>
      </c>
      <c r="AT210" s="41"/>
      <c r="AU210" s="41"/>
      <c r="AV210" s="4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</row>
    <row r="211" spans="1:88" s="22" customFormat="1">
      <c r="A211" s="1">
        <v>1315</v>
      </c>
      <c r="B211" s="74" t="s">
        <v>1851</v>
      </c>
      <c r="C211" s="34">
        <v>444</v>
      </c>
      <c r="D211" s="75">
        <v>323</v>
      </c>
      <c r="E211" s="69">
        <v>208</v>
      </c>
      <c r="F211" s="34" t="s">
        <v>1859</v>
      </c>
      <c r="G211" s="20">
        <v>204826</v>
      </c>
      <c r="H211" s="20">
        <v>287167</v>
      </c>
      <c r="I211" s="21">
        <v>82.340999999999994</v>
      </c>
      <c r="J211" s="8">
        <v>2</v>
      </c>
      <c r="K211" s="34" t="s">
        <v>238</v>
      </c>
      <c r="L211" s="10">
        <v>42210</v>
      </c>
      <c r="M211" s="37" t="s">
        <v>191</v>
      </c>
      <c r="N211" s="38">
        <v>36.950000000000003</v>
      </c>
      <c r="O211" s="38">
        <v>22.975000000000001</v>
      </c>
      <c r="P211" s="38">
        <v>13.6</v>
      </c>
      <c r="Q211" s="38">
        <v>9.1</v>
      </c>
      <c r="R211" s="38">
        <v>3.1640299999999999</v>
      </c>
      <c r="S211" s="38">
        <f t="shared" si="33"/>
        <v>3</v>
      </c>
      <c r="T211" s="38">
        <v>77.474999999999994</v>
      </c>
      <c r="U211" s="38">
        <v>3.3</v>
      </c>
      <c r="V211" s="38">
        <v>0.85</v>
      </c>
      <c r="W211" s="38">
        <v>0.97499999999999998</v>
      </c>
      <c r="X211" s="38">
        <v>3.6281099999999999</v>
      </c>
      <c r="Y211" s="38">
        <f t="shared" si="34"/>
        <v>3.5</v>
      </c>
      <c r="Z211" s="38">
        <v>0</v>
      </c>
      <c r="AA211" s="38">
        <v>0</v>
      </c>
      <c r="AB211" s="38">
        <v>82.625</v>
      </c>
      <c r="AC211" s="38">
        <v>1.1949799999999999</v>
      </c>
      <c r="AD211" s="39">
        <v>5839</v>
      </c>
      <c r="AE211" s="38">
        <v>145</v>
      </c>
      <c r="AF211" s="38">
        <v>2.0512259991984552</v>
      </c>
      <c r="AG211" s="38">
        <f t="shared" si="35"/>
        <v>2.1</v>
      </c>
      <c r="AH211" s="38">
        <v>957</v>
      </c>
      <c r="AI211" s="38">
        <v>0.33206855810419039</v>
      </c>
      <c r="AJ211" s="38">
        <v>836</v>
      </c>
      <c r="AK211" s="38">
        <v>0.29008287834389046</v>
      </c>
      <c r="AL211" s="38">
        <v>3</v>
      </c>
      <c r="AM211" s="38">
        <v>1.0409672667842959E-3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</row>
    <row r="212" spans="1:88" s="22" customFormat="1">
      <c r="A212" s="1">
        <v>401</v>
      </c>
      <c r="B212" s="74" t="s">
        <v>655</v>
      </c>
      <c r="C212" s="34">
        <v>511</v>
      </c>
      <c r="D212" s="75">
        <v>1061</v>
      </c>
      <c r="E212" s="69">
        <v>100</v>
      </c>
      <c r="F212" s="34" t="s">
        <v>669</v>
      </c>
      <c r="G212" s="20" t="s">
        <v>92</v>
      </c>
      <c r="H212" s="20" t="s">
        <v>670</v>
      </c>
      <c r="I212" s="21">
        <v>2.3759999999999999</v>
      </c>
      <c r="J212" s="8" t="s">
        <v>671</v>
      </c>
      <c r="K212" s="34">
        <v>8</v>
      </c>
      <c r="L212" s="18">
        <v>42266</v>
      </c>
      <c r="M212" s="37" t="s">
        <v>191</v>
      </c>
      <c r="N212" s="38">
        <v>0.66</v>
      </c>
      <c r="O212" s="38">
        <v>1.03</v>
      </c>
      <c r="P212" s="38">
        <v>0.4</v>
      </c>
      <c r="Q212" s="38">
        <v>0.28000000000000003</v>
      </c>
      <c r="R212" s="38">
        <v>3.8103199999999999</v>
      </c>
      <c r="S212" s="38">
        <f t="shared" si="33"/>
        <v>4</v>
      </c>
      <c r="T212" s="38">
        <v>2.38</v>
      </c>
      <c r="U212" s="38">
        <v>0</v>
      </c>
      <c r="V212" s="38">
        <v>0</v>
      </c>
      <c r="W212" s="38">
        <v>0</v>
      </c>
      <c r="X212" s="38">
        <v>1.94503</v>
      </c>
      <c r="Y212" s="38">
        <f t="shared" si="34"/>
        <v>2</v>
      </c>
      <c r="Z212" s="38">
        <v>0</v>
      </c>
      <c r="AA212" s="38">
        <v>0</v>
      </c>
      <c r="AB212" s="38">
        <v>2.38</v>
      </c>
      <c r="AC212" s="38">
        <v>1.056</v>
      </c>
      <c r="AD212" s="39">
        <v>163.25299999999999</v>
      </c>
      <c r="AE212" s="38">
        <v>14.336</v>
      </c>
      <c r="AF212" s="38">
        <v>2.049315</v>
      </c>
      <c r="AG212" s="38">
        <f t="shared" si="35"/>
        <v>2</v>
      </c>
      <c r="AH212" s="38">
        <v>125</v>
      </c>
      <c r="AI212" s="38">
        <v>1.5031270000000001</v>
      </c>
      <c r="AJ212" s="38">
        <v>1</v>
      </c>
      <c r="AK212" s="38">
        <v>1.2024999999999999E-2</v>
      </c>
      <c r="AL212" s="38">
        <v>0</v>
      </c>
      <c r="AM212" s="38">
        <v>0</v>
      </c>
      <c r="AN212" s="72"/>
      <c r="AO212" s="41"/>
      <c r="AP212" s="41"/>
      <c r="AQ212" s="41">
        <f>SUM(N212:Q212)</f>
        <v>2.37</v>
      </c>
      <c r="AR212" s="41">
        <f>SUM(T212:W212)</f>
        <v>2.38</v>
      </c>
      <c r="AS212" s="41">
        <f>SUM(Z212:AB212)</f>
        <v>2.38</v>
      </c>
      <c r="AU212" s="22">
        <f>I212/AQ212</f>
        <v>1.0025316455696203</v>
      </c>
      <c r="AV212" s="22">
        <f>I212/AR212</f>
        <v>0.99831932773109244</v>
      </c>
      <c r="AW212" s="22">
        <f>I212/AS212</f>
        <v>0.99831932773109244</v>
      </c>
    </row>
    <row r="213" spans="1:88" s="22" customFormat="1">
      <c r="A213" s="1">
        <v>169</v>
      </c>
      <c r="B213" s="34" t="s">
        <v>332</v>
      </c>
      <c r="C213" s="34">
        <v>533</v>
      </c>
      <c r="D213" s="34">
        <v>109</v>
      </c>
      <c r="E213" s="34">
        <v>100</v>
      </c>
      <c r="F213" s="34" t="s">
        <v>346</v>
      </c>
      <c r="G213" s="20" t="s">
        <v>92</v>
      </c>
      <c r="H213" s="20" t="s">
        <v>347</v>
      </c>
      <c r="I213" s="35">
        <v>31.425000000000001</v>
      </c>
      <c r="J213" s="36">
        <v>2</v>
      </c>
      <c r="K213" s="34" t="s">
        <v>238</v>
      </c>
      <c r="L213" s="10">
        <v>42199</v>
      </c>
      <c r="M213" s="37" t="s">
        <v>191</v>
      </c>
      <c r="N213" s="38">
        <v>16.5</v>
      </c>
      <c r="O213" s="38">
        <v>9.4600000000000009</v>
      </c>
      <c r="P213" s="38">
        <v>3.61</v>
      </c>
      <c r="Q213" s="38">
        <v>1.86</v>
      </c>
      <c r="R213" s="38">
        <v>2.4620000000000002</v>
      </c>
      <c r="S213" s="38">
        <f t="shared" si="33"/>
        <v>2.5</v>
      </c>
      <c r="T213" s="38">
        <v>29.08</v>
      </c>
      <c r="U213" s="38">
        <v>1.61</v>
      </c>
      <c r="V213" s="38">
        <v>0.55000000000000004</v>
      </c>
      <c r="W213" s="38">
        <v>0.18</v>
      </c>
      <c r="X213" s="38">
        <v>5.12</v>
      </c>
      <c r="Y213" s="38">
        <f t="shared" si="34"/>
        <v>5</v>
      </c>
      <c r="Z213" s="38">
        <v>0.02</v>
      </c>
      <c r="AA213" s="38">
        <v>7.0000000000000007E-2</v>
      </c>
      <c r="AB213" s="38">
        <v>31.33</v>
      </c>
      <c r="AC213" s="38">
        <v>1.226</v>
      </c>
      <c r="AD213" s="39">
        <v>1717.1</v>
      </c>
      <c r="AE213" s="38">
        <v>1072.6199999999999</v>
      </c>
      <c r="AF213" s="38">
        <f>(AD213+AE213*0.5)/(3.5*I213*1000)*100</f>
        <v>2.0487873622002497</v>
      </c>
      <c r="AG213" s="38">
        <f t="shared" si="35"/>
        <v>2</v>
      </c>
      <c r="AH213" s="38">
        <v>268.73</v>
      </c>
      <c r="AI213" s="38">
        <f>AH213/(3.5*I213*1000)*100</f>
        <v>0.24432776451869531</v>
      </c>
      <c r="AJ213" s="38">
        <v>112.54</v>
      </c>
      <c r="AK213" s="38">
        <f>AJ213/(3.5*I213*1000)*100</f>
        <v>0.10232071826343904</v>
      </c>
      <c r="AL213" s="38">
        <v>356.62</v>
      </c>
      <c r="AM213" s="38">
        <f t="shared" ref="AM213:AM218" si="37">AL213/(3.5*I213*1000)*100</f>
        <v>0.32423684509603368</v>
      </c>
      <c r="AN213" s="25"/>
      <c r="AO213" s="25">
        <f>AE213*0.5</f>
        <v>536.30999999999995</v>
      </c>
      <c r="AP213" s="25">
        <f>(AD213+AH213+AJ213+AL213+AO213)*I213</f>
        <v>94001.602499999994</v>
      </c>
      <c r="AQ213" s="25"/>
      <c r="AR213" s="25">
        <f>SUM(N213:Q213)</f>
        <v>31.43</v>
      </c>
      <c r="AS213" s="25">
        <f>SUM(T213:W213)</f>
        <v>31.419999999999998</v>
      </c>
      <c r="AU213" s="41">
        <f>SUM(N213:Q213)</f>
        <v>31.43</v>
      </c>
      <c r="AV213" s="41">
        <f>SUM(T213:W213)</f>
        <v>31.419999999999998</v>
      </c>
      <c r="AW213" s="41">
        <f>SUM(Z213:AB213)</f>
        <v>31.419999999999998</v>
      </c>
      <c r="AX213" s="41"/>
      <c r="AY213" s="22">
        <f>I213/AU213</f>
        <v>0.99984091632198535</v>
      </c>
      <c r="AZ213" s="22">
        <f>I213/AV213</f>
        <v>1.0001591343093572</v>
      </c>
      <c r="BA213" s="22">
        <f>I213/AW213</f>
        <v>1.0001591343093572</v>
      </c>
    </row>
    <row r="214" spans="1:88" s="22" customFormat="1">
      <c r="A214" s="1">
        <v>464</v>
      </c>
      <c r="B214" s="74" t="s">
        <v>780</v>
      </c>
      <c r="C214" s="34">
        <v>515</v>
      </c>
      <c r="D214" s="34">
        <v>1121</v>
      </c>
      <c r="E214" s="34">
        <v>100</v>
      </c>
      <c r="F214" s="34" t="s">
        <v>792</v>
      </c>
      <c r="G214" s="34" t="s">
        <v>92</v>
      </c>
      <c r="H214" s="34" t="s">
        <v>793</v>
      </c>
      <c r="I214" s="55">
        <v>0.80600000000000005</v>
      </c>
      <c r="J214" s="5" t="s">
        <v>238</v>
      </c>
      <c r="K214" s="34">
        <v>2</v>
      </c>
      <c r="L214" s="10">
        <v>42269</v>
      </c>
      <c r="M214" s="37" t="s">
        <v>191</v>
      </c>
      <c r="N214" s="38">
        <v>0.56999999999999995</v>
      </c>
      <c r="O214" s="38">
        <v>0.17</v>
      </c>
      <c r="P214" s="38">
        <v>0.03</v>
      </c>
      <c r="Q214" s="38">
        <v>0.04</v>
      </c>
      <c r="R214" s="38">
        <v>2.37243</v>
      </c>
      <c r="S214" s="38">
        <f t="shared" si="33"/>
        <v>2.5</v>
      </c>
      <c r="T214" s="38">
        <v>0.81</v>
      </c>
      <c r="U214" s="38">
        <v>0</v>
      </c>
      <c r="V214" s="38">
        <v>0</v>
      </c>
      <c r="W214" s="38">
        <v>0</v>
      </c>
      <c r="X214" s="38">
        <v>2.6680799999999998</v>
      </c>
      <c r="Y214" s="38">
        <f t="shared" si="34"/>
        <v>2.5</v>
      </c>
      <c r="Z214" s="38">
        <v>0</v>
      </c>
      <c r="AA214" s="38">
        <v>0</v>
      </c>
      <c r="AB214" s="38">
        <v>0.92500000000000016</v>
      </c>
      <c r="AC214" s="38">
        <v>0.90367600000000003</v>
      </c>
      <c r="AD214" s="39">
        <v>56.21</v>
      </c>
      <c r="AE214" s="38">
        <v>2.6349999999999998</v>
      </c>
      <c r="AF214" s="38">
        <f>(AD214+AE214*0.5)/(3.5*I214*1000)*100</f>
        <v>2.0392591279688057</v>
      </c>
      <c r="AG214" s="38">
        <f t="shared" si="35"/>
        <v>2</v>
      </c>
      <c r="AH214" s="38">
        <v>86.956999999999994</v>
      </c>
      <c r="AI214" s="38">
        <f>AH214/(3.5*I214*1000)*100</f>
        <v>3.0824884792626723</v>
      </c>
      <c r="AJ214" s="38">
        <v>0</v>
      </c>
      <c r="AK214" s="38">
        <f>AJ214/(3.5*I214*1000)*100</f>
        <v>0</v>
      </c>
      <c r="AL214" s="38">
        <v>0</v>
      </c>
      <c r="AM214" s="38">
        <f t="shared" si="37"/>
        <v>0</v>
      </c>
      <c r="AN214" s="41"/>
      <c r="AO214" s="41"/>
      <c r="AP214" s="114"/>
      <c r="AQ214" s="73"/>
      <c r="AR214" s="73"/>
      <c r="AS214" s="73"/>
    </row>
    <row r="215" spans="1:88" s="22" customFormat="1">
      <c r="A215" s="1">
        <v>76</v>
      </c>
      <c r="B215" s="4" t="s">
        <v>44</v>
      </c>
      <c r="C215" s="14">
        <v>524</v>
      </c>
      <c r="D215" s="19">
        <v>1103</v>
      </c>
      <c r="E215" s="16">
        <v>100</v>
      </c>
      <c r="F215" s="14" t="s">
        <v>54</v>
      </c>
      <c r="G215" s="20" t="s">
        <v>92</v>
      </c>
      <c r="H215" s="20" t="s">
        <v>139</v>
      </c>
      <c r="I215" s="21">
        <v>6</v>
      </c>
      <c r="J215" s="8">
        <v>2</v>
      </c>
      <c r="K215" s="9" t="s">
        <v>238</v>
      </c>
      <c r="L215" s="18">
        <v>42227</v>
      </c>
      <c r="M215" s="37" t="s">
        <v>191</v>
      </c>
      <c r="N215" s="11">
        <v>3.375</v>
      </c>
      <c r="O215" s="11">
        <v>2.0750000000000002</v>
      </c>
      <c r="P215" s="11">
        <v>0.5</v>
      </c>
      <c r="Q215" s="11">
        <v>0.05</v>
      </c>
      <c r="R215" s="11">
        <v>2.5478299999999998</v>
      </c>
      <c r="S215" s="38">
        <f t="shared" si="33"/>
        <v>2.5</v>
      </c>
      <c r="T215" s="11">
        <v>5.8250000000000002</v>
      </c>
      <c r="U215" s="11">
        <v>0.17499999999999999</v>
      </c>
      <c r="V215" s="11">
        <v>0</v>
      </c>
      <c r="W215" s="11">
        <v>0</v>
      </c>
      <c r="X215" s="11">
        <v>3.54549</v>
      </c>
      <c r="Y215" s="38">
        <f t="shared" si="34"/>
        <v>3.5</v>
      </c>
      <c r="Z215" s="11">
        <v>0</v>
      </c>
      <c r="AA215" s="11">
        <v>0</v>
      </c>
      <c r="AB215" s="11">
        <v>6</v>
      </c>
      <c r="AC215" s="11">
        <v>1.3838999999999999</v>
      </c>
      <c r="AD215" s="11">
        <v>418.83</v>
      </c>
      <c r="AE215" s="11">
        <v>0</v>
      </c>
      <c r="AF215" s="11">
        <f>(AD215+AE215*0.5)/(3.5*I215*1000)*100</f>
        <v>1.9944285714285712</v>
      </c>
      <c r="AG215" s="38">
        <f t="shared" si="35"/>
        <v>2</v>
      </c>
      <c r="AH215" s="11">
        <v>0</v>
      </c>
      <c r="AI215" s="11">
        <f>AH215/(3.5*I215*1000)*100</f>
        <v>0</v>
      </c>
      <c r="AJ215" s="11">
        <v>0</v>
      </c>
      <c r="AK215" s="11">
        <f>AJ215/(3.5*I215*1000)*100</f>
        <v>0</v>
      </c>
      <c r="AL215" s="11">
        <v>0</v>
      </c>
      <c r="AM215" s="11">
        <f t="shared" si="37"/>
        <v>0</v>
      </c>
      <c r="AN215" s="25"/>
      <c r="AO215" s="25"/>
    </row>
    <row r="216" spans="1:88" s="22" customFormat="1" ht="23.25" customHeight="1">
      <c r="A216" s="1">
        <v>573</v>
      </c>
      <c r="B216" s="34" t="s">
        <v>948</v>
      </c>
      <c r="C216" s="34">
        <v>551</v>
      </c>
      <c r="D216" s="34">
        <v>2474</v>
      </c>
      <c r="E216" s="34">
        <v>100</v>
      </c>
      <c r="F216" s="119" t="s">
        <v>974</v>
      </c>
      <c r="G216" s="20">
        <v>0</v>
      </c>
      <c r="H216" s="20">
        <v>4043</v>
      </c>
      <c r="I216" s="35">
        <v>4.0430000000000001</v>
      </c>
      <c r="J216" s="71">
        <v>2</v>
      </c>
      <c r="K216" s="34" t="s">
        <v>238</v>
      </c>
      <c r="L216" s="10">
        <v>42223</v>
      </c>
      <c r="M216" s="37" t="s">
        <v>191</v>
      </c>
      <c r="N216" s="38">
        <v>3.04</v>
      </c>
      <c r="O216" s="38">
        <v>0.68</v>
      </c>
      <c r="P216" s="38">
        <v>0.27</v>
      </c>
      <c r="Q216" s="38">
        <v>0.05</v>
      </c>
      <c r="R216" s="38">
        <v>2.09497</v>
      </c>
      <c r="S216" s="38">
        <f t="shared" si="33"/>
        <v>2</v>
      </c>
      <c r="T216" s="38">
        <v>3.94</v>
      </c>
      <c r="U216" s="38">
        <v>0.11</v>
      </c>
      <c r="V216" s="38">
        <v>0.05</v>
      </c>
      <c r="W216" s="38">
        <v>0</v>
      </c>
      <c r="X216" s="38">
        <v>4.3889800000000001</v>
      </c>
      <c r="Y216" s="38">
        <f t="shared" si="34"/>
        <v>4.5</v>
      </c>
      <c r="Z216" s="38">
        <v>0</v>
      </c>
      <c r="AA216" s="38">
        <v>0</v>
      </c>
      <c r="AB216" s="38">
        <f>T216+U216+V216+W216</f>
        <v>4.0999999999999996</v>
      </c>
      <c r="AC216" s="38">
        <v>1.1559200000000001</v>
      </c>
      <c r="AD216" s="38">
        <v>280</v>
      </c>
      <c r="AE216" s="38">
        <v>0</v>
      </c>
      <c r="AF216" s="38">
        <v>1.9787286668315605</v>
      </c>
      <c r="AG216" s="38">
        <f t="shared" si="35"/>
        <v>2</v>
      </c>
      <c r="AH216" s="38">
        <v>0</v>
      </c>
      <c r="AI216" s="38">
        <v>0</v>
      </c>
      <c r="AJ216" s="38">
        <v>0</v>
      </c>
      <c r="AK216" s="38">
        <v>0</v>
      </c>
      <c r="AL216" s="38">
        <v>0</v>
      </c>
      <c r="AM216" s="38">
        <f t="shared" si="37"/>
        <v>0</v>
      </c>
      <c r="AN216" s="25"/>
      <c r="AO216" s="25">
        <f>AE216*0.5</f>
        <v>0</v>
      </c>
      <c r="AP216" s="25">
        <f>(AD216+AH216+AJ216+AL216+AO216)*I216</f>
        <v>1132.04</v>
      </c>
      <c r="AQ216" s="25">
        <f>SUM(N216:Q216)</f>
        <v>4.04</v>
      </c>
      <c r="AR216" s="25">
        <f>SUM(T216:W216)</f>
        <v>4.0999999999999996</v>
      </c>
      <c r="AS216" s="268">
        <v>4.0430000000000001</v>
      </c>
      <c r="AT216" s="41"/>
      <c r="AU216" s="41">
        <f>SUM(N216:Q216)</f>
        <v>4.04</v>
      </c>
      <c r="AV216" s="41">
        <f>SUM(T216:W216)</f>
        <v>4.0999999999999996</v>
      </c>
      <c r="AW216" s="41">
        <f>SUM(Z216:AB216)</f>
        <v>4.0999999999999996</v>
      </c>
      <c r="AY216" s="22">
        <f>I216/AU216</f>
        <v>1.0007425742574259</v>
      </c>
      <c r="AZ216" s="22">
        <f>I216/AV216</f>
        <v>0.98609756097560985</v>
      </c>
      <c r="BA216" s="22">
        <f>I216/AW216</f>
        <v>0.98609756097560985</v>
      </c>
    </row>
    <row r="217" spans="1:88" s="22" customFormat="1">
      <c r="A217" s="1">
        <v>1092</v>
      </c>
      <c r="B217" s="34" t="s">
        <v>1467</v>
      </c>
      <c r="C217" s="34">
        <v>619</v>
      </c>
      <c r="D217" s="8">
        <v>3618</v>
      </c>
      <c r="E217" s="34">
        <v>100</v>
      </c>
      <c r="F217" s="34" t="s">
        <v>1510</v>
      </c>
      <c r="G217" s="58" t="s">
        <v>1511</v>
      </c>
      <c r="H217" s="58" t="s">
        <v>92</v>
      </c>
      <c r="I217" s="35">
        <v>6.05</v>
      </c>
      <c r="J217" s="9">
        <v>2</v>
      </c>
      <c r="K217" s="34" t="s">
        <v>12</v>
      </c>
      <c r="L217" s="10">
        <v>42094</v>
      </c>
      <c r="M217" s="37" t="s">
        <v>191</v>
      </c>
      <c r="N217" s="52">
        <v>4.42</v>
      </c>
      <c r="O217" s="52">
        <v>1.21</v>
      </c>
      <c r="P217" s="52">
        <v>0.27</v>
      </c>
      <c r="Q217" s="52">
        <v>0.17</v>
      </c>
      <c r="R217" s="38">
        <v>2.3416700000000001</v>
      </c>
      <c r="S217" s="38">
        <f t="shared" si="33"/>
        <v>2.5</v>
      </c>
      <c r="T217" s="38">
        <v>4.75</v>
      </c>
      <c r="U217" s="38">
        <v>0.92</v>
      </c>
      <c r="V217" s="38">
        <v>0.32</v>
      </c>
      <c r="W217" s="38">
        <v>0.08</v>
      </c>
      <c r="X217" s="38">
        <v>7.0513300000000001</v>
      </c>
      <c r="Y217" s="38">
        <f t="shared" si="34"/>
        <v>7</v>
      </c>
      <c r="Z217" s="117">
        <v>0</v>
      </c>
      <c r="AA217" s="117">
        <v>0</v>
      </c>
      <c r="AB217" s="117">
        <v>6.05</v>
      </c>
      <c r="AC217" s="38">
        <v>1.1413</v>
      </c>
      <c r="AD217" s="38">
        <v>415.48</v>
      </c>
      <c r="AE217" s="52">
        <v>0</v>
      </c>
      <c r="AF217" s="11">
        <f>(AD217+AE217*0.5)/(3.5*I217*1000)*100</f>
        <v>1.9621251475796933</v>
      </c>
      <c r="AG217" s="38">
        <f t="shared" si="35"/>
        <v>2</v>
      </c>
      <c r="AH217" s="52">
        <v>6.55</v>
      </c>
      <c r="AI217" s="38">
        <f>AH217/(3.5*I217*1000)*100</f>
        <v>3.0932703659976388E-2</v>
      </c>
      <c r="AJ217" s="52">
        <v>0</v>
      </c>
      <c r="AK217" s="38">
        <f>AJ217/(3.5*I217*1000)*100</f>
        <v>0</v>
      </c>
      <c r="AL217" s="52">
        <v>0</v>
      </c>
      <c r="AM217" s="38">
        <f t="shared" si="37"/>
        <v>0</v>
      </c>
      <c r="AN217" s="25"/>
      <c r="AO217" s="25"/>
      <c r="AP217" s="12">
        <f>AE217*0.5</f>
        <v>0</v>
      </c>
      <c r="AQ217" s="12">
        <f>(AD217+AH217+AJ217+AL217+AP217)*I217</f>
        <v>2553.2815000000001</v>
      </c>
      <c r="AR217" s="25"/>
      <c r="AS217" s="25">
        <f>SUM(N217:Q217)</f>
        <v>6.07</v>
      </c>
      <c r="AT217" s="22">
        <f>SUM(T217:W217)</f>
        <v>6.07</v>
      </c>
      <c r="AU217" s="268">
        <v>6.05</v>
      </c>
      <c r="AV217" s="41">
        <f>SUM(N217:Q217)</f>
        <v>6.07</v>
      </c>
      <c r="AW217" s="41">
        <f>SUM(T217:W217)</f>
        <v>6.07</v>
      </c>
      <c r="AX217" s="41">
        <f>SUM(Z217:AB217)</f>
        <v>6.05</v>
      </c>
      <c r="AZ217" s="22">
        <f>I217/AV217</f>
        <v>0.99670510708401971</v>
      </c>
      <c r="BA217" s="22">
        <f>I217/AW217</f>
        <v>0.99670510708401971</v>
      </c>
      <c r="BB217" s="22">
        <f>I217/AX217</f>
        <v>1</v>
      </c>
    </row>
    <row r="218" spans="1:88" s="22" customFormat="1" ht="23.25" customHeight="1">
      <c r="A218" s="1">
        <v>1538</v>
      </c>
      <c r="B218" s="34" t="s">
        <v>2104</v>
      </c>
      <c r="C218" s="34">
        <v>414</v>
      </c>
      <c r="D218" s="69">
        <v>3288</v>
      </c>
      <c r="E218" s="34">
        <v>100</v>
      </c>
      <c r="F218" s="34" t="s">
        <v>2115</v>
      </c>
      <c r="G218" s="58">
        <v>0</v>
      </c>
      <c r="H218" s="58">
        <v>14573</v>
      </c>
      <c r="I218" s="35">
        <v>14.573</v>
      </c>
      <c r="J218" s="34">
        <v>2</v>
      </c>
      <c r="K218" s="34" t="s">
        <v>238</v>
      </c>
      <c r="L218" s="10">
        <v>42266</v>
      </c>
      <c r="M218" s="37" t="s">
        <v>191</v>
      </c>
      <c r="N218" s="38">
        <v>8.5749999999999993</v>
      </c>
      <c r="O218" s="38">
        <v>3.5750000000000002</v>
      </c>
      <c r="P218" s="38">
        <v>1.5</v>
      </c>
      <c r="Q218" s="38">
        <v>0.85</v>
      </c>
      <c r="R218" s="38">
        <v>2.6467399999999999</v>
      </c>
      <c r="S218" s="38">
        <f t="shared" si="33"/>
        <v>2.5</v>
      </c>
      <c r="T218" s="38">
        <v>14.3</v>
      </c>
      <c r="U218" s="38">
        <v>0.17499999999999999</v>
      </c>
      <c r="V218" s="38">
        <v>2.5000000000000001E-2</v>
      </c>
      <c r="W218" s="38">
        <v>0</v>
      </c>
      <c r="X218" s="38">
        <v>3.70051</v>
      </c>
      <c r="Y218" s="38">
        <f t="shared" si="34"/>
        <v>3.5</v>
      </c>
      <c r="Z218" s="38">
        <v>0</v>
      </c>
      <c r="AA218" s="38">
        <v>0</v>
      </c>
      <c r="AB218" s="38">
        <v>14.573</v>
      </c>
      <c r="AC218" s="38">
        <v>1.2902</v>
      </c>
      <c r="AD218" s="38">
        <v>202</v>
      </c>
      <c r="AE218" s="38">
        <v>1591.46</v>
      </c>
      <c r="AF218" s="38">
        <f>(AD218+AE218*0.5)/(3.5*I218*1000)*100</f>
        <v>1.9561223789591318</v>
      </c>
      <c r="AG218" s="38">
        <f t="shared" si="35"/>
        <v>2</v>
      </c>
      <c r="AH218" s="38">
        <v>13199</v>
      </c>
      <c r="AI218" s="38">
        <f>AH218/(3.5*I218*1000)*100</f>
        <v>25.877601435139347</v>
      </c>
      <c r="AJ218" s="38">
        <v>1280.0999999999999</v>
      </c>
      <c r="AK218" s="38">
        <f>AJ218/(3.5*I218*1000)*100</f>
        <v>2.5097293429139995</v>
      </c>
      <c r="AL218" s="38">
        <v>417</v>
      </c>
      <c r="AM218" s="38">
        <f t="shared" si="37"/>
        <v>0.8175588907078648</v>
      </c>
      <c r="AN218" s="25"/>
      <c r="AO218" s="25">
        <f>AE218*0.5</f>
        <v>795.73</v>
      </c>
      <c r="AP218" s="25">
        <f>(AD218+AH218+AJ218+AL218+AO218)*I218</f>
        <v>231620.78459</v>
      </c>
      <c r="AQ218" s="25"/>
      <c r="AR218" s="25">
        <f>SUM(N218:Q218)</f>
        <v>14.499999999999998</v>
      </c>
      <c r="AS218" s="25">
        <f>SUM(T218:W218)</f>
        <v>14.500000000000002</v>
      </c>
      <c r="AT218" s="25"/>
      <c r="AV218" s="41"/>
      <c r="AW218" s="41"/>
      <c r="AX218" s="41"/>
      <c r="AY218" s="41"/>
    </row>
    <row r="219" spans="1:88" s="22" customFormat="1">
      <c r="A219" s="1">
        <v>2126</v>
      </c>
      <c r="B219" s="34" t="s">
        <v>2754</v>
      </c>
      <c r="C219" s="34">
        <v>324</v>
      </c>
      <c r="D219" s="75">
        <v>4029</v>
      </c>
      <c r="E219" s="8">
        <v>100</v>
      </c>
      <c r="F219" s="9" t="s">
        <v>2767</v>
      </c>
      <c r="G219" s="20">
        <v>2836</v>
      </c>
      <c r="H219" s="20">
        <v>0</v>
      </c>
      <c r="I219" s="21">
        <v>2.8359999999999999</v>
      </c>
      <c r="J219" s="9">
        <v>4</v>
      </c>
      <c r="K219" s="34" t="s">
        <v>96</v>
      </c>
      <c r="L219" s="18">
        <v>42138</v>
      </c>
      <c r="M219" s="37" t="s">
        <v>191</v>
      </c>
      <c r="N219" s="38">
        <v>0.95</v>
      </c>
      <c r="O219" s="38">
        <v>1.05</v>
      </c>
      <c r="P219" s="38">
        <v>1</v>
      </c>
      <c r="Q219" s="38">
        <v>0.72499999999999998</v>
      </c>
      <c r="R219" s="38">
        <v>3.66201</v>
      </c>
      <c r="S219" s="38">
        <f t="shared" si="33"/>
        <v>3.5</v>
      </c>
      <c r="T219" s="38">
        <v>3.5750000000000002</v>
      </c>
      <c r="U219" s="38">
        <v>0.1</v>
      </c>
      <c r="V219" s="38">
        <v>0.05</v>
      </c>
      <c r="W219" s="38">
        <v>0</v>
      </c>
      <c r="X219" s="38">
        <v>4.55403</v>
      </c>
      <c r="Y219" s="38">
        <f t="shared" si="34"/>
        <v>4.5</v>
      </c>
      <c r="Z219" s="38">
        <v>0</v>
      </c>
      <c r="AA219" s="38">
        <v>0</v>
      </c>
      <c r="AB219" s="38">
        <v>3.7250000000000001</v>
      </c>
      <c r="AC219" s="38">
        <v>1.2876399999999999</v>
      </c>
      <c r="AD219" s="38">
        <v>162.96</v>
      </c>
      <c r="AE219" s="38">
        <v>62.33</v>
      </c>
      <c r="AF219" s="38">
        <v>1.9557223453556316</v>
      </c>
      <c r="AG219" s="38">
        <f t="shared" si="35"/>
        <v>2</v>
      </c>
      <c r="AH219" s="38">
        <v>258.20999999999998</v>
      </c>
      <c r="AI219" s="38">
        <v>2.6013499899254482</v>
      </c>
      <c r="AJ219" s="38">
        <v>1.2</v>
      </c>
      <c r="AK219" s="38">
        <v>1.2089462018940157E-2</v>
      </c>
      <c r="AL219" s="38">
        <v>0</v>
      </c>
      <c r="AM219" s="38">
        <v>0</v>
      </c>
      <c r="AN219" s="41"/>
      <c r="AO219" s="41"/>
      <c r="AP219" s="73"/>
      <c r="AQ219" s="73"/>
      <c r="AR219" s="73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</row>
    <row r="220" spans="1:88" s="22" customFormat="1" ht="23.25" customHeight="1">
      <c r="A220" s="1">
        <v>1322</v>
      </c>
      <c r="B220" s="74" t="s">
        <v>1851</v>
      </c>
      <c r="C220" s="34">
        <v>444</v>
      </c>
      <c r="D220" s="75">
        <v>3085</v>
      </c>
      <c r="E220" s="69">
        <v>101</v>
      </c>
      <c r="F220" s="34" t="s">
        <v>1866</v>
      </c>
      <c r="G220" s="20">
        <v>0</v>
      </c>
      <c r="H220" s="20">
        <v>20738</v>
      </c>
      <c r="I220" s="21">
        <v>20.738</v>
      </c>
      <c r="J220" s="8">
        <v>2</v>
      </c>
      <c r="K220" s="34" t="s">
        <v>238</v>
      </c>
      <c r="L220" s="10">
        <v>42213</v>
      </c>
      <c r="M220" s="37" t="s">
        <v>191</v>
      </c>
      <c r="N220" s="38">
        <v>12.775</v>
      </c>
      <c r="O220" s="38">
        <v>6.55</v>
      </c>
      <c r="P220" s="38">
        <v>1.05</v>
      </c>
      <c r="Q220" s="38">
        <v>0.45</v>
      </c>
      <c r="R220" s="38">
        <v>2.5072399999999999</v>
      </c>
      <c r="S220" s="38">
        <f t="shared" si="33"/>
        <v>2.5</v>
      </c>
      <c r="T220" s="38">
        <v>20.5</v>
      </c>
      <c r="U220" s="38">
        <v>0.3</v>
      </c>
      <c r="V220" s="38">
        <v>2.5000000000000001E-2</v>
      </c>
      <c r="W220" s="38">
        <v>0</v>
      </c>
      <c r="X220" s="38">
        <v>2.9802200000000001</v>
      </c>
      <c r="Y220" s="38">
        <f t="shared" si="34"/>
        <v>3</v>
      </c>
      <c r="Z220" s="38">
        <v>0</v>
      </c>
      <c r="AA220" s="38">
        <v>0</v>
      </c>
      <c r="AB220" s="38">
        <v>20.824999999999999</v>
      </c>
      <c r="AC220" s="38">
        <v>1.13713</v>
      </c>
      <c r="AD220" s="38">
        <v>562</v>
      </c>
      <c r="AE220" s="38">
        <v>1710</v>
      </c>
      <c r="AF220" s="38">
        <v>1.9522477715167463</v>
      </c>
      <c r="AG220" s="38">
        <f t="shared" si="35"/>
        <v>2</v>
      </c>
      <c r="AH220" s="38">
        <v>3</v>
      </c>
      <c r="AI220" s="38">
        <v>4.1331992339804086E-3</v>
      </c>
      <c r="AJ220" s="38">
        <v>0</v>
      </c>
      <c r="AK220" s="38">
        <v>0</v>
      </c>
      <c r="AL220" s="38">
        <v>0</v>
      </c>
      <c r="AM220" s="38">
        <v>0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</row>
    <row r="221" spans="1:88" s="22" customFormat="1">
      <c r="A221" s="1">
        <v>1774</v>
      </c>
      <c r="B221" s="34" t="s">
        <v>2369</v>
      </c>
      <c r="C221" s="34">
        <v>426</v>
      </c>
      <c r="D221" s="8">
        <v>3191</v>
      </c>
      <c r="E221" s="34">
        <v>102</v>
      </c>
      <c r="F221" s="34" t="s">
        <v>2375</v>
      </c>
      <c r="G221" s="58">
        <v>25545</v>
      </c>
      <c r="H221" s="58">
        <v>13600</v>
      </c>
      <c r="I221" s="35">
        <v>11.945</v>
      </c>
      <c r="J221" s="9">
        <v>4</v>
      </c>
      <c r="K221" s="34" t="s">
        <v>96</v>
      </c>
      <c r="L221" s="10">
        <v>42233</v>
      </c>
      <c r="M221" s="37" t="s">
        <v>191</v>
      </c>
      <c r="N221" s="38">
        <v>5.6749999999999998</v>
      </c>
      <c r="O221" s="38">
        <v>4.0250000000000004</v>
      </c>
      <c r="P221" s="38">
        <v>1.7</v>
      </c>
      <c r="Q221" s="38">
        <v>0.6</v>
      </c>
      <c r="R221" s="38">
        <v>2.8227699999999998</v>
      </c>
      <c r="S221" s="38">
        <f t="shared" si="33"/>
        <v>3</v>
      </c>
      <c r="T221" s="38">
        <v>10.074999999999999</v>
      </c>
      <c r="U221" s="38">
        <v>1.45</v>
      </c>
      <c r="V221" s="38">
        <v>0.4</v>
      </c>
      <c r="W221" s="38">
        <v>7.4999999999999997E-2</v>
      </c>
      <c r="X221" s="38">
        <v>7.3393699999999997</v>
      </c>
      <c r="Y221" s="38">
        <f t="shared" si="34"/>
        <v>7.5</v>
      </c>
      <c r="Z221" s="38">
        <v>0</v>
      </c>
      <c r="AA221" s="38">
        <v>0</v>
      </c>
      <c r="AB221" s="38">
        <f>SUM(T221:W221)</f>
        <v>11.999999999999998</v>
      </c>
      <c r="AC221" s="38">
        <v>1.28416</v>
      </c>
      <c r="AD221" s="38">
        <v>804.99</v>
      </c>
      <c r="AE221" s="38">
        <v>17.510000000000002</v>
      </c>
      <c r="AF221" s="38">
        <v>1.94641</v>
      </c>
      <c r="AG221" s="38">
        <f t="shared" si="35"/>
        <v>1.9</v>
      </c>
      <c r="AH221" s="38">
        <v>0</v>
      </c>
      <c r="AI221" s="38">
        <v>0</v>
      </c>
      <c r="AJ221" s="38">
        <v>2420</v>
      </c>
      <c r="AK221" s="38">
        <v>5.7884349999999998</v>
      </c>
      <c r="AL221" s="38">
        <v>200.75</v>
      </c>
      <c r="AM221" s="38">
        <v>0.48018</v>
      </c>
      <c r="AN221" s="25"/>
      <c r="AO221" s="25">
        <f>AE221*0.5</f>
        <v>8.7550000000000008</v>
      </c>
      <c r="AP221" s="25">
        <f>(AD221+AH221+AJ221+AL221+AO221)*I221</f>
        <v>41025.042775000002</v>
      </c>
      <c r="AQ221" s="25">
        <f>SUM(N221:Q221)</f>
        <v>11.999999999999998</v>
      </c>
      <c r="AR221" s="25">
        <f>SUM(T221:W221)</f>
        <v>11.999999999999998</v>
      </c>
      <c r="AT221" s="41"/>
      <c r="AU221" s="41"/>
      <c r="AV221" s="41"/>
      <c r="AW221" s="41"/>
    </row>
    <row r="222" spans="1:88" s="22" customFormat="1" ht="23.25" customHeight="1">
      <c r="A222" s="1">
        <v>1769</v>
      </c>
      <c r="B222" s="34" t="s">
        <v>2369</v>
      </c>
      <c r="C222" s="34">
        <v>426</v>
      </c>
      <c r="D222" s="8">
        <v>3139</v>
      </c>
      <c r="E222" s="34">
        <v>100</v>
      </c>
      <c r="F222" s="34" t="s">
        <v>2371</v>
      </c>
      <c r="G222" s="58">
        <v>0</v>
      </c>
      <c r="H222" s="58">
        <v>21234</v>
      </c>
      <c r="I222" s="35">
        <v>21.234000000000002</v>
      </c>
      <c r="J222" s="9">
        <v>2</v>
      </c>
      <c r="K222" s="34" t="s">
        <v>238</v>
      </c>
      <c r="L222" s="10">
        <v>42233</v>
      </c>
      <c r="M222" s="37" t="s">
        <v>191</v>
      </c>
      <c r="N222" s="38">
        <v>17.3</v>
      </c>
      <c r="O222" s="38">
        <v>2.875</v>
      </c>
      <c r="P222" s="38">
        <v>0.82499999999999996</v>
      </c>
      <c r="Q222" s="38">
        <v>0.2</v>
      </c>
      <c r="R222" s="38">
        <v>2.0503300000000002</v>
      </c>
      <c r="S222" s="38">
        <f t="shared" si="33"/>
        <v>2</v>
      </c>
      <c r="T222" s="38">
        <v>20.875</v>
      </c>
      <c r="U222" s="38">
        <v>0.32500000000000001</v>
      </c>
      <c r="V222" s="38">
        <v>0</v>
      </c>
      <c r="W222" s="38">
        <v>0</v>
      </c>
      <c r="X222" s="38">
        <v>4.5953099999999996</v>
      </c>
      <c r="Y222" s="38">
        <f t="shared" si="34"/>
        <v>4.5</v>
      </c>
      <c r="Z222" s="38">
        <v>0</v>
      </c>
      <c r="AA222" s="38">
        <v>0</v>
      </c>
      <c r="AB222" s="38">
        <f>SUM(T222:W222)</f>
        <v>21.2</v>
      </c>
      <c r="AC222" s="38">
        <v>1.33389</v>
      </c>
      <c r="AD222" s="38">
        <v>1434.24</v>
      </c>
      <c r="AE222" s="38">
        <v>21.78</v>
      </c>
      <c r="AF222" s="38">
        <v>1.9444999999999999</v>
      </c>
      <c r="AG222" s="38">
        <f t="shared" si="35"/>
        <v>1.9</v>
      </c>
      <c r="AH222" s="38">
        <v>5071.63</v>
      </c>
      <c r="AI222" s="38">
        <v>6.8241399999999999</v>
      </c>
      <c r="AJ222" s="38">
        <v>6619</v>
      </c>
      <c r="AK222" s="38">
        <v>8.9062020000000004</v>
      </c>
      <c r="AL222" s="38">
        <v>414.59</v>
      </c>
      <c r="AM222" s="38">
        <v>0.55784999999999996</v>
      </c>
      <c r="AN222" s="25"/>
      <c r="AO222" s="25">
        <f>AE222*0.5</f>
        <v>10.89</v>
      </c>
      <c r="AP222" s="25">
        <f>(AD222+AH222+AJ222+AL222+AO222)*I222</f>
        <v>287728.13189999998</v>
      </c>
      <c r="AQ222" s="25">
        <f>SUM(N222:Q222)</f>
        <v>21.2</v>
      </c>
      <c r="AR222" s="25">
        <f>SUM(T222:W222)</f>
        <v>21.2</v>
      </c>
      <c r="AT222" s="41"/>
      <c r="AU222" s="41"/>
      <c r="AV222" s="41"/>
      <c r="AW222" s="41"/>
    </row>
    <row r="223" spans="1:88" s="22" customFormat="1">
      <c r="A223" s="1">
        <v>1290</v>
      </c>
      <c r="B223" s="74" t="s">
        <v>1820</v>
      </c>
      <c r="C223" s="34">
        <v>441</v>
      </c>
      <c r="D223" s="75">
        <v>3373</v>
      </c>
      <c r="E223" s="69">
        <v>200</v>
      </c>
      <c r="F223" s="34" t="s">
        <v>1836</v>
      </c>
      <c r="G223" s="58">
        <v>17200</v>
      </c>
      <c r="H223" s="58">
        <v>11670</v>
      </c>
      <c r="I223" s="55">
        <v>5.53</v>
      </c>
      <c r="J223" s="34">
        <v>2</v>
      </c>
      <c r="K223" s="34" t="s">
        <v>12</v>
      </c>
      <c r="L223" s="10">
        <v>42184</v>
      </c>
      <c r="M223" s="37" t="s">
        <v>191</v>
      </c>
      <c r="N223" s="38">
        <v>4.5250000000000004</v>
      </c>
      <c r="O223" s="38">
        <v>0.6</v>
      </c>
      <c r="P223" s="38">
        <v>0.25</v>
      </c>
      <c r="Q223" s="38">
        <v>2.5000000000000001E-2</v>
      </c>
      <c r="R223" s="38">
        <v>2.0363000000000002</v>
      </c>
      <c r="S223" s="38">
        <f t="shared" si="33"/>
        <v>2</v>
      </c>
      <c r="T223" s="38">
        <v>5.2750000000000004</v>
      </c>
      <c r="U223" s="38">
        <v>0.125</v>
      </c>
      <c r="V223" s="38">
        <v>0</v>
      </c>
      <c r="W223" s="38">
        <v>0</v>
      </c>
      <c r="X223" s="38">
        <v>4.4304699999999997</v>
      </c>
      <c r="Y223" s="38">
        <f t="shared" si="34"/>
        <v>4.5</v>
      </c>
      <c r="Z223" s="38">
        <v>0</v>
      </c>
      <c r="AA223" s="38">
        <v>0</v>
      </c>
      <c r="AB223" s="38">
        <v>5.4</v>
      </c>
      <c r="AC223" s="38">
        <v>0.98384300000000002</v>
      </c>
      <c r="AD223" s="38">
        <v>354.77</v>
      </c>
      <c r="AE223" s="38">
        <v>34.700000000000003</v>
      </c>
      <c r="AF223" s="38">
        <v>1.9226039783001809</v>
      </c>
      <c r="AG223" s="38">
        <f t="shared" si="35"/>
        <v>1.9</v>
      </c>
      <c r="AH223" s="38">
        <v>127.54</v>
      </c>
      <c r="AI223" s="38">
        <v>0.65895117540687165</v>
      </c>
      <c r="AJ223" s="38">
        <v>3.4</v>
      </c>
      <c r="AK223" s="38">
        <v>1.7566520278997674E-2</v>
      </c>
      <c r="AL223" s="38">
        <v>0</v>
      </c>
      <c r="AM223" s="38">
        <v>0</v>
      </c>
      <c r="AN223" s="40"/>
      <c r="AO223" s="12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</row>
    <row r="224" spans="1:88" s="22" customFormat="1" ht="23.25" customHeight="1">
      <c r="A224" s="1">
        <v>153</v>
      </c>
      <c r="B224" s="34" t="s">
        <v>294</v>
      </c>
      <c r="C224" s="34">
        <v>531</v>
      </c>
      <c r="D224" s="34">
        <v>1154</v>
      </c>
      <c r="E224" s="34">
        <v>100</v>
      </c>
      <c r="F224" s="34" t="s">
        <v>322</v>
      </c>
      <c r="G224" s="20" t="s">
        <v>92</v>
      </c>
      <c r="H224" s="20" t="s">
        <v>182</v>
      </c>
      <c r="I224" s="35">
        <v>30.788</v>
      </c>
      <c r="J224" s="36">
        <v>2</v>
      </c>
      <c r="K224" s="34" t="s">
        <v>238</v>
      </c>
      <c r="L224" s="18">
        <v>42222</v>
      </c>
      <c r="M224" s="37" t="s">
        <v>191</v>
      </c>
      <c r="N224" s="38">
        <v>12.64</v>
      </c>
      <c r="O224" s="38">
        <v>6.18</v>
      </c>
      <c r="P224" s="38">
        <v>7.56</v>
      </c>
      <c r="Q224" s="38">
        <v>4.42</v>
      </c>
      <c r="R224" s="38">
        <v>3.2549999999999999</v>
      </c>
      <c r="S224" s="38">
        <f t="shared" si="33"/>
        <v>3.5</v>
      </c>
      <c r="T224" s="38">
        <v>12.6</v>
      </c>
      <c r="U224" s="38">
        <v>6.45</v>
      </c>
      <c r="V224" s="38">
        <v>4.0999999999999996</v>
      </c>
      <c r="W224" s="38">
        <v>7.66</v>
      </c>
      <c r="X224" s="38">
        <v>14.74</v>
      </c>
      <c r="Y224" s="38">
        <f t="shared" si="34"/>
        <v>14.5</v>
      </c>
      <c r="Z224" s="38">
        <v>0</v>
      </c>
      <c r="AA224" s="38">
        <v>0</v>
      </c>
      <c r="AB224" s="38">
        <v>30.79</v>
      </c>
      <c r="AC224" s="38">
        <v>1.597</v>
      </c>
      <c r="AD224" s="39">
        <v>1539.2</v>
      </c>
      <c r="AE224" s="38">
        <v>1034.2500000000007</v>
      </c>
      <c r="AF224" s="38">
        <f>(AD224+AE224*0.5)/(3.5*I224*1000)*100</f>
        <v>1.9082805916962085</v>
      </c>
      <c r="AG224" s="38">
        <f t="shared" si="35"/>
        <v>1.9</v>
      </c>
      <c r="AH224" s="38">
        <v>157.32</v>
      </c>
      <c r="AI224" s="38">
        <f>AH224/(3.5*I224*1000)*100</f>
        <v>0.14599380092429332</v>
      </c>
      <c r="AJ224" s="38">
        <v>3414.1400000000003</v>
      </c>
      <c r="AK224" s="38">
        <f>AJ224/(3.5*I224*1000)*100</f>
        <v>3.1683401696393778</v>
      </c>
      <c r="AL224" s="38">
        <v>7563.6200000000035</v>
      </c>
      <c r="AM224" s="38">
        <f>AL224/(3.5*I224*1000)*100</f>
        <v>7.0190797898995934</v>
      </c>
      <c r="AN224" s="40"/>
      <c r="AO224" s="40">
        <f>AE224*0.5</f>
        <v>517.12500000000034</v>
      </c>
      <c r="AP224" s="40">
        <f>(AD224+AH224+AJ224+AL224+AO224)*I224</f>
        <v>406136.97714000009</v>
      </c>
      <c r="AQ224" s="25">
        <f>SUM(N224:Q224)</f>
        <v>30.799999999999997</v>
      </c>
      <c r="AR224" s="25">
        <f>SUM(T224:W224)</f>
        <v>30.81</v>
      </c>
      <c r="AS224" s="22">
        <v>0</v>
      </c>
      <c r="AT224" s="41"/>
      <c r="AU224" s="41">
        <f>SUM(N224:Q224)</f>
        <v>30.799999999999997</v>
      </c>
      <c r="AV224" s="41">
        <f>SUM(T224:W224)</f>
        <v>30.81</v>
      </c>
      <c r="AW224" s="41">
        <f>SUM(Z224:AB224)</f>
        <v>30.79</v>
      </c>
      <c r="AY224" s="22">
        <f>I224/AU224</f>
        <v>0.99961038961038973</v>
      </c>
      <c r="AZ224" s="22">
        <f>I224/AV224</f>
        <v>0.99928594612138921</v>
      </c>
      <c r="BA224" s="22">
        <f>I224/AW224</f>
        <v>0.99993504384540444</v>
      </c>
    </row>
    <row r="225" spans="1:88" s="22" customFormat="1">
      <c r="A225" s="1">
        <v>1368</v>
      </c>
      <c r="B225" s="74" t="s">
        <v>1905</v>
      </c>
      <c r="C225" s="34">
        <v>445</v>
      </c>
      <c r="D225" s="75">
        <v>3351</v>
      </c>
      <c r="E225" s="69">
        <v>200</v>
      </c>
      <c r="F225" s="184" t="s">
        <v>1918</v>
      </c>
      <c r="G225" s="20">
        <v>35602</v>
      </c>
      <c r="H225" s="20">
        <v>18500</v>
      </c>
      <c r="I225" s="21">
        <v>17.001999999999999</v>
      </c>
      <c r="J225" s="8">
        <v>2</v>
      </c>
      <c r="K225" s="34" t="s">
        <v>12</v>
      </c>
      <c r="L225" s="10">
        <v>42207</v>
      </c>
      <c r="M225" s="37" t="s">
        <v>191</v>
      </c>
      <c r="N225" s="52">
        <v>13.875</v>
      </c>
      <c r="O225" s="52">
        <v>1.7749999999999999</v>
      </c>
      <c r="P225" s="52">
        <v>0.57499999999999996</v>
      </c>
      <c r="Q225" s="38">
        <v>0.95</v>
      </c>
      <c r="R225" s="38">
        <v>2.2474099999999999</v>
      </c>
      <c r="S225" s="38">
        <f t="shared" si="33"/>
        <v>2</v>
      </c>
      <c r="T225" s="38">
        <v>16.725000000000001</v>
      </c>
      <c r="U225" s="38">
        <v>0.4</v>
      </c>
      <c r="V225" s="38">
        <v>2.5000000000000001E-2</v>
      </c>
      <c r="W225" s="38">
        <v>2.5000000000000001E-2</v>
      </c>
      <c r="X225" s="38">
        <v>4.3209</v>
      </c>
      <c r="Y225" s="38">
        <f t="shared" si="34"/>
        <v>4.5</v>
      </c>
      <c r="Z225" s="38">
        <v>0</v>
      </c>
      <c r="AA225" s="38">
        <v>0</v>
      </c>
      <c r="AB225" s="38">
        <v>17.175000000000001</v>
      </c>
      <c r="AC225" s="38">
        <v>1.0817000000000001</v>
      </c>
      <c r="AD225" s="54">
        <v>892</v>
      </c>
      <c r="AE225" s="52">
        <v>484</v>
      </c>
      <c r="AF225" s="38">
        <v>1.9056581578637808</v>
      </c>
      <c r="AG225" s="38">
        <f t="shared" si="35"/>
        <v>1.9</v>
      </c>
      <c r="AH225" s="52">
        <v>0</v>
      </c>
      <c r="AI225" s="38">
        <v>0</v>
      </c>
      <c r="AJ225" s="52">
        <v>92</v>
      </c>
      <c r="AK225" s="38">
        <v>0.15460366007360479</v>
      </c>
      <c r="AL225" s="52">
        <v>0</v>
      </c>
      <c r="AM225" s="38">
        <v>0</v>
      </c>
      <c r="AN225" s="72"/>
      <c r="AO225" s="41"/>
      <c r="AP225" s="41"/>
      <c r="AQ225" s="41"/>
      <c r="AR225" s="41"/>
      <c r="AS225" s="73"/>
      <c r="AT225" s="73"/>
      <c r="AU225" s="73"/>
      <c r="AV225" s="73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</row>
    <row r="226" spans="1:88" s="22" customFormat="1" ht="23.25" customHeight="1">
      <c r="A226" s="1">
        <v>969</v>
      </c>
      <c r="B226" s="9" t="s">
        <v>1359</v>
      </c>
      <c r="C226" s="9">
        <v>612</v>
      </c>
      <c r="D226" s="8">
        <v>2161</v>
      </c>
      <c r="E226" s="9">
        <v>100</v>
      </c>
      <c r="F226" s="9" t="s">
        <v>1367</v>
      </c>
      <c r="G226" s="20">
        <v>15514</v>
      </c>
      <c r="H226" s="20">
        <v>0</v>
      </c>
      <c r="I226" s="35">
        <v>15.513999999999999</v>
      </c>
      <c r="J226" s="9">
        <v>2</v>
      </c>
      <c r="K226" s="9" t="s">
        <v>12</v>
      </c>
      <c r="L226" s="18">
        <v>42116</v>
      </c>
      <c r="M226" s="37" t="s">
        <v>191</v>
      </c>
      <c r="N226" s="11">
        <v>5.15</v>
      </c>
      <c r="O226" s="11">
        <v>5.8</v>
      </c>
      <c r="P226" s="11">
        <v>3.4249999999999998</v>
      </c>
      <c r="Q226" s="11">
        <v>1.2749999999999999</v>
      </c>
      <c r="R226" s="11">
        <v>3.2352699999999999</v>
      </c>
      <c r="S226" s="38">
        <f t="shared" si="33"/>
        <v>3</v>
      </c>
      <c r="T226" s="11">
        <v>13.475</v>
      </c>
      <c r="U226" s="11">
        <v>1.6</v>
      </c>
      <c r="V226" s="11">
        <v>0.32500000000000001</v>
      </c>
      <c r="W226" s="11">
        <v>0.25</v>
      </c>
      <c r="X226" s="11">
        <v>5.9111799999999999</v>
      </c>
      <c r="Y226" s="38">
        <f t="shared" si="34"/>
        <v>6</v>
      </c>
      <c r="Z226" s="11">
        <v>0</v>
      </c>
      <c r="AA226" s="11">
        <v>0</v>
      </c>
      <c r="AB226" s="11">
        <f>SUM(N226:Q226)</f>
        <v>15.65</v>
      </c>
      <c r="AC226" s="11">
        <v>1.7061500000000001</v>
      </c>
      <c r="AD226" s="164">
        <v>1027.8399999999999</v>
      </c>
      <c r="AE226" s="11">
        <v>0</v>
      </c>
      <c r="AF226" s="11">
        <v>1.89293</v>
      </c>
      <c r="AG226" s="38">
        <f t="shared" si="35"/>
        <v>1.9</v>
      </c>
      <c r="AH226" s="11">
        <v>406</v>
      </c>
      <c r="AI226" s="11">
        <v>0.74770999999999999</v>
      </c>
      <c r="AJ226" s="11">
        <v>0</v>
      </c>
      <c r="AK226" s="11">
        <v>0</v>
      </c>
      <c r="AL226" s="11">
        <v>103</v>
      </c>
      <c r="AM226" s="11">
        <v>0.18969</v>
      </c>
      <c r="AN226" s="72"/>
      <c r="AO226" s="72"/>
      <c r="AP226" s="72">
        <f>AE226*0.5</f>
        <v>0</v>
      </c>
      <c r="AQ226" s="25">
        <f>(AD225+AH225+AJ225+AL225+AP226)*I225</f>
        <v>16729.967999999997</v>
      </c>
      <c r="AR226" s="25"/>
      <c r="AS226" s="25"/>
      <c r="AT226" s="25"/>
      <c r="AU226" s="25">
        <f>SUM(N226:Q226)</f>
        <v>15.65</v>
      </c>
      <c r="AV226" s="41">
        <f>SUM(T226:W226)</f>
        <v>15.649999999999999</v>
      </c>
      <c r="AW226" s="41"/>
      <c r="AX226" s="41"/>
      <c r="AY226" s="4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</row>
    <row r="227" spans="1:88" s="48" customFormat="1" ht="23.25" customHeight="1">
      <c r="A227" s="1">
        <v>517</v>
      </c>
      <c r="B227" s="88" t="s">
        <v>871</v>
      </c>
      <c r="C227" s="88">
        <v>557</v>
      </c>
      <c r="D227" s="88">
        <v>1104</v>
      </c>
      <c r="E227" s="88">
        <v>100</v>
      </c>
      <c r="F227" s="88" t="s">
        <v>885</v>
      </c>
      <c r="G227" s="88" t="s">
        <v>886</v>
      </c>
      <c r="H227" s="88" t="s">
        <v>92</v>
      </c>
      <c r="I227" s="115">
        <v>0.94599999999999995</v>
      </c>
      <c r="J227" s="88" t="s">
        <v>12</v>
      </c>
      <c r="K227" s="88">
        <v>2</v>
      </c>
      <c r="L227" s="116">
        <v>42270</v>
      </c>
      <c r="M227" s="37" t="s">
        <v>191</v>
      </c>
      <c r="N227" s="38">
        <v>0.57499999999999996</v>
      </c>
      <c r="O227" s="38">
        <v>0.3</v>
      </c>
      <c r="P227" s="38">
        <v>0.05</v>
      </c>
      <c r="Q227" s="38">
        <v>0.03</v>
      </c>
      <c r="R227" s="38">
        <v>2.5552600000000001</v>
      </c>
      <c r="S227" s="38">
        <f t="shared" si="33"/>
        <v>2.5</v>
      </c>
      <c r="T227" s="38">
        <v>0.95</v>
      </c>
      <c r="U227" s="38">
        <v>0</v>
      </c>
      <c r="V227" s="38">
        <v>0</v>
      </c>
      <c r="W227" s="38">
        <v>0</v>
      </c>
      <c r="X227" s="38">
        <v>0.75463199999999997</v>
      </c>
      <c r="Y227" s="38">
        <f t="shared" si="34"/>
        <v>1</v>
      </c>
      <c r="Z227" s="117">
        <v>0</v>
      </c>
      <c r="AA227" s="117">
        <v>0</v>
      </c>
      <c r="AB227" s="117">
        <v>0.95500000000000007</v>
      </c>
      <c r="AC227" s="117">
        <v>0.907053</v>
      </c>
      <c r="AD227" s="117">
        <v>49.32</v>
      </c>
      <c r="AE227" s="117">
        <v>25.65</v>
      </c>
      <c r="AF227" s="117">
        <v>1.876925</v>
      </c>
      <c r="AG227" s="38">
        <f t="shared" si="35"/>
        <v>1.9</v>
      </c>
      <c r="AH227" s="117">
        <v>65.739999999999995</v>
      </c>
      <c r="AI227" s="117">
        <v>1.985503</v>
      </c>
      <c r="AJ227" s="117">
        <v>0</v>
      </c>
      <c r="AK227" s="117">
        <v>0</v>
      </c>
      <c r="AL227" s="117">
        <v>0</v>
      </c>
      <c r="AM227" s="117">
        <v>0</v>
      </c>
      <c r="AN227" s="49"/>
      <c r="AO227" s="25"/>
      <c r="AP227" s="22"/>
      <c r="AR227" s="178"/>
      <c r="AS227" s="178"/>
      <c r="AT227" s="178"/>
      <c r="AU227" s="1"/>
      <c r="AV227" s="1"/>
      <c r="AW227" s="1"/>
      <c r="AX227" s="1"/>
      <c r="AY227" s="1"/>
      <c r="AZ227" s="1"/>
      <c r="BA227" s="1"/>
      <c r="BB227" s="178"/>
      <c r="BC227" s="178"/>
      <c r="BD227" s="178"/>
      <c r="BE227" s="178"/>
      <c r="BF227" s="178"/>
      <c r="BG227" s="178"/>
      <c r="BH227" s="178"/>
      <c r="BI227" s="178"/>
      <c r="BJ227" s="178"/>
      <c r="BK227" s="178"/>
      <c r="BL227" s="178"/>
      <c r="BM227" s="178"/>
      <c r="BN227" s="178"/>
      <c r="BO227" s="178"/>
      <c r="BP227" s="178"/>
      <c r="BQ227" s="178"/>
      <c r="BR227" s="178"/>
      <c r="BS227" s="178"/>
      <c r="BT227" s="178"/>
      <c r="BU227" s="178"/>
      <c r="BV227" s="178"/>
      <c r="BW227" s="178"/>
      <c r="BX227" s="178"/>
      <c r="BY227" s="178"/>
      <c r="BZ227" s="178"/>
      <c r="CA227" s="178"/>
      <c r="CB227" s="178"/>
      <c r="CC227" s="178"/>
      <c r="CD227" s="178"/>
      <c r="CE227" s="178"/>
      <c r="CF227" s="178"/>
      <c r="CG227" s="178"/>
      <c r="CH227" s="178"/>
      <c r="CI227" s="178"/>
      <c r="CJ227" s="178"/>
    </row>
    <row r="228" spans="1:88" s="22" customFormat="1">
      <c r="A228" s="1">
        <v>916</v>
      </c>
      <c r="B228" s="34" t="s">
        <v>1309</v>
      </c>
      <c r="C228" s="34">
        <v>638</v>
      </c>
      <c r="D228" s="8">
        <v>226</v>
      </c>
      <c r="E228" s="34">
        <v>402</v>
      </c>
      <c r="F228" s="34" t="s">
        <v>1311</v>
      </c>
      <c r="G228" s="58">
        <v>277679</v>
      </c>
      <c r="H228" s="58">
        <v>313384</v>
      </c>
      <c r="I228" s="35">
        <v>35.704999999999998</v>
      </c>
      <c r="J228" s="9">
        <v>4</v>
      </c>
      <c r="K228" s="34" t="s">
        <v>237</v>
      </c>
      <c r="L228" s="10">
        <v>42136</v>
      </c>
      <c r="M228" s="37" t="s">
        <v>191</v>
      </c>
      <c r="N228" s="38">
        <v>19.100000000000001</v>
      </c>
      <c r="O228" s="38">
        <v>10.85</v>
      </c>
      <c r="P228" s="38">
        <v>4.125</v>
      </c>
      <c r="Q228" s="38">
        <v>1.45</v>
      </c>
      <c r="R228" s="38">
        <v>2.6782400000000002</v>
      </c>
      <c r="S228" s="38">
        <f t="shared" si="33"/>
        <v>2.5</v>
      </c>
      <c r="T228" s="38">
        <v>23.375</v>
      </c>
      <c r="U228" s="38">
        <v>9.6</v>
      </c>
      <c r="V228" s="38">
        <v>2.2250000000000001</v>
      </c>
      <c r="W228" s="38">
        <v>0.32500000000000001</v>
      </c>
      <c r="X228" s="38">
        <v>8.7358200000000004</v>
      </c>
      <c r="Y228" s="38">
        <f t="shared" si="34"/>
        <v>8.5</v>
      </c>
      <c r="Z228" s="38">
        <v>0</v>
      </c>
      <c r="AA228" s="39">
        <v>0</v>
      </c>
      <c r="AB228" s="38">
        <f>N228+O228+P228+Q228</f>
        <v>35.525000000000006</v>
      </c>
      <c r="AC228" s="38">
        <v>1.49569</v>
      </c>
      <c r="AD228" s="38">
        <v>2461.8200000000002</v>
      </c>
      <c r="AE228" s="38">
        <v>0</v>
      </c>
      <c r="AF228" s="38">
        <v>1.84623</v>
      </c>
      <c r="AG228" s="38">
        <f t="shared" si="35"/>
        <v>1.8</v>
      </c>
      <c r="AH228" s="38">
        <v>2.2000000000000002</v>
      </c>
      <c r="AI228" s="38">
        <v>1.65E-3</v>
      </c>
      <c r="AJ228" s="38">
        <v>173.9</v>
      </c>
      <c r="AK228" s="38">
        <v>0.130416</v>
      </c>
      <c r="AL228" s="38">
        <v>0</v>
      </c>
      <c r="AM228" s="38">
        <v>0</v>
      </c>
      <c r="AN228" s="40"/>
      <c r="AO228" s="40"/>
      <c r="AP228" s="40">
        <f>AE228*0.5</f>
        <v>0</v>
      </c>
      <c r="AQ228" s="49">
        <f>(AD228+AH228+AJ228+AL228+AP228)*I228</f>
        <v>94186.933600000004</v>
      </c>
      <c r="AR228" s="25"/>
      <c r="AS228" s="25"/>
      <c r="AT228" s="25">
        <f>SUM(N228:Q228)</f>
        <v>35.525000000000006</v>
      </c>
      <c r="AU228" s="25">
        <f>SUM(T228:W228)</f>
        <v>35.525000000000006</v>
      </c>
      <c r="AW228" s="41"/>
      <c r="AX228" s="41"/>
      <c r="AY228" s="41"/>
      <c r="AZ228" s="41"/>
    </row>
    <row r="229" spans="1:88" s="22" customFormat="1">
      <c r="A229" s="1">
        <v>1252</v>
      </c>
      <c r="B229" s="34" t="s">
        <v>1725</v>
      </c>
      <c r="C229" s="88">
        <v>437</v>
      </c>
      <c r="D229" s="88">
        <v>3628</v>
      </c>
      <c r="E229" s="88">
        <v>100</v>
      </c>
      <c r="F229" s="88" t="s">
        <v>1773</v>
      </c>
      <c r="G229" s="88" t="s">
        <v>92</v>
      </c>
      <c r="H229" s="88" t="s">
        <v>1774</v>
      </c>
      <c r="I229" s="115">
        <v>0.23</v>
      </c>
      <c r="J229" s="88">
        <v>2</v>
      </c>
      <c r="K229" s="181" t="s">
        <v>238</v>
      </c>
      <c r="L229" s="116">
        <v>42282</v>
      </c>
      <c r="M229" s="37" t="s">
        <v>191</v>
      </c>
      <c r="N229" s="38">
        <v>0.17499999999999999</v>
      </c>
      <c r="O229" s="38">
        <v>0</v>
      </c>
      <c r="P229" s="38">
        <v>0</v>
      </c>
      <c r="Q229" s="38">
        <v>7.4999999999999997E-2</v>
      </c>
      <c r="R229" s="38">
        <v>3.8260000000000001</v>
      </c>
      <c r="S229" s="38">
        <f t="shared" si="33"/>
        <v>4</v>
      </c>
      <c r="T229" s="38">
        <v>0.25</v>
      </c>
      <c r="U229" s="38">
        <v>0</v>
      </c>
      <c r="V229" s="38">
        <v>0</v>
      </c>
      <c r="W229" s="38">
        <v>0</v>
      </c>
      <c r="X229" s="38">
        <v>1.3948</v>
      </c>
      <c r="Y229" s="38">
        <f t="shared" si="34"/>
        <v>1.5</v>
      </c>
      <c r="Z229" s="38">
        <v>0</v>
      </c>
      <c r="AA229" s="254">
        <v>0</v>
      </c>
      <c r="AB229" s="117">
        <v>0.23</v>
      </c>
      <c r="AC229" s="117">
        <v>1.1564000000000001</v>
      </c>
      <c r="AD229" s="117">
        <v>14.6</v>
      </c>
      <c r="AE229" s="117">
        <v>0.33600000000000002</v>
      </c>
      <c r="AF229" s="117">
        <f>(AD229+AE229*0.5)/(3.5*I229*1000)*100</f>
        <v>1.8345341614906832</v>
      </c>
      <c r="AG229" s="38">
        <f t="shared" si="35"/>
        <v>1.8</v>
      </c>
      <c r="AH229" s="117">
        <v>2.0019999999999998</v>
      </c>
      <c r="AI229" s="117">
        <f>AH229/(3.5*I229*1000)*100</f>
        <v>0.24869565217391301</v>
      </c>
      <c r="AJ229" s="117">
        <v>0</v>
      </c>
      <c r="AK229" s="117">
        <f>AJ229/(3.5*I229*1000)*100</f>
        <v>0</v>
      </c>
      <c r="AL229" s="117">
        <v>0</v>
      </c>
      <c r="AM229" s="117">
        <f>AJ229/(3.5*I229*1000)*100</f>
        <v>0</v>
      </c>
      <c r="AN229" s="12"/>
      <c r="AO229" s="1"/>
      <c r="AP229" s="1"/>
      <c r="AQ229" s="178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</row>
    <row r="230" spans="1:88" s="22" customFormat="1" ht="22.5" customHeight="1">
      <c r="A230" s="1">
        <v>95</v>
      </c>
      <c r="B230" s="4" t="s">
        <v>61</v>
      </c>
      <c r="C230" s="14">
        <v>526</v>
      </c>
      <c r="D230" s="19">
        <v>1250</v>
      </c>
      <c r="E230" s="16">
        <v>100</v>
      </c>
      <c r="F230" s="14" t="s">
        <v>70</v>
      </c>
      <c r="G230" s="27" t="s">
        <v>92</v>
      </c>
      <c r="H230" s="27" t="s">
        <v>159</v>
      </c>
      <c r="I230" s="28">
        <v>2.2999999999999998</v>
      </c>
      <c r="J230" s="16">
        <v>2</v>
      </c>
      <c r="K230" s="14" t="s">
        <v>238</v>
      </c>
      <c r="L230" s="29">
        <v>42244</v>
      </c>
      <c r="M230" s="246" t="s">
        <v>191</v>
      </c>
      <c r="N230" s="30">
        <v>0.22</v>
      </c>
      <c r="O230" s="30">
        <v>0.71</v>
      </c>
      <c r="P230" s="30">
        <v>1.04</v>
      </c>
      <c r="Q230" s="30">
        <v>0.33</v>
      </c>
      <c r="R230" s="30">
        <v>3.9197600000000001</v>
      </c>
      <c r="S230" s="38">
        <f t="shared" si="33"/>
        <v>4</v>
      </c>
      <c r="T230" s="30">
        <v>2.2999999999999998</v>
      </c>
      <c r="U230" s="30">
        <v>0</v>
      </c>
      <c r="V230" s="30">
        <v>0</v>
      </c>
      <c r="W230" s="30">
        <v>0</v>
      </c>
      <c r="X230" s="30">
        <v>2.3868900000000002</v>
      </c>
      <c r="Y230" s="38">
        <f t="shared" si="34"/>
        <v>2.5</v>
      </c>
      <c r="Z230" s="30">
        <v>0</v>
      </c>
      <c r="AA230" s="256">
        <v>0</v>
      </c>
      <c r="AB230" s="30">
        <v>2.2999999999999998</v>
      </c>
      <c r="AC230" s="30">
        <v>1.1698500000000001</v>
      </c>
      <c r="AD230" s="30">
        <v>145.19999999999999</v>
      </c>
      <c r="AE230" s="30">
        <v>0</v>
      </c>
      <c r="AF230" s="30">
        <f>(AD230+AE230*0.5)/(3.5*I230*1000)*100</f>
        <v>1.8037267080745343</v>
      </c>
      <c r="AG230" s="38">
        <f t="shared" si="35"/>
        <v>1.8</v>
      </c>
      <c r="AH230" s="30">
        <v>0</v>
      </c>
      <c r="AI230" s="30">
        <f>AH230/(3.5*I230*1000)*100</f>
        <v>0</v>
      </c>
      <c r="AJ230" s="30">
        <v>0</v>
      </c>
      <c r="AK230" s="30">
        <f>AJ230/(3.5*I230*1000)*100</f>
        <v>0</v>
      </c>
      <c r="AL230" s="30">
        <v>0</v>
      </c>
      <c r="AM230" s="30">
        <f>AL230/(3.5*I230*1000)*100</f>
        <v>0</v>
      </c>
      <c r="AO230" s="25"/>
      <c r="AP230" s="25">
        <f>N230+O230+P230+Q230</f>
        <v>2.2999999999999998</v>
      </c>
      <c r="AQ230" s="49">
        <f>T230+U230+V230+W230</f>
        <v>2.2999999999999998</v>
      </c>
      <c r="AR230" s="25">
        <f>Z230+AA230+AB230</f>
        <v>2.2999999999999998</v>
      </c>
      <c r="AT230" s="22">
        <f>I230/AP230</f>
        <v>1</v>
      </c>
      <c r="AU230" s="22">
        <f>I230/AQ230</f>
        <v>1</v>
      </c>
      <c r="AV230" s="22">
        <f>I230/AR230</f>
        <v>1</v>
      </c>
    </row>
    <row r="231" spans="1:88" s="22" customFormat="1">
      <c r="A231" s="1">
        <v>1747</v>
      </c>
      <c r="B231" s="34" t="s">
        <v>2324</v>
      </c>
      <c r="C231" s="34">
        <v>423</v>
      </c>
      <c r="D231" s="8">
        <v>3448</v>
      </c>
      <c r="E231" s="34">
        <v>100</v>
      </c>
      <c r="F231" s="34" t="s">
        <v>2344</v>
      </c>
      <c r="G231" s="58">
        <v>10908</v>
      </c>
      <c r="H231" s="58">
        <v>0</v>
      </c>
      <c r="I231" s="35">
        <v>10.907999999999999</v>
      </c>
      <c r="J231" s="9">
        <v>2</v>
      </c>
      <c r="K231" s="34" t="s">
        <v>12</v>
      </c>
      <c r="L231" s="10">
        <v>42234</v>
      </c>
      <c r="M231" s="37" t="s">
        <v>191</v>
      </c>
      <c r="N231" s="38">
        <v>7.1</v>
      </c>
      <c r="O231" s="38">
        <v>2.75</v>
      </c>
      <c r="P231" s="38">
        <v>0.77500000000000002</v>
      </c>
      <c r="Q231" s="38">
        <v>0.4</v>
      </c>
      <c r="R231" s="38">
        <v>2.3109799999999998</v>
      </c>
      <c r="S231" s="38">
        <f t="shared" si="33"/>
        <v>2.5</v>
      </c>
      <c r="T231" s="38">
        <v>10.375</v>
      </c>
      <c r="U231" s="38">
        <v>0.45</v>
      </c>
      <c r="V231" s="38">
        <v>0.05</v>
      </c>
      <c r="W231" s="38">
        <v>0.15</v>
      </c>
      <c r="X231" s="38">
        <v>2.7364799999999998</v>
      </c>
      <c r="Y231" s="38">
        <f t="shared" si="34"/>
        <v>2.5</v>
      </c>
      <c r="Z231" s="38">
        <v>0</v>
      </c>
      <c r="AA231" s="254">
        <v>0</v>
      </c>
      <c r="AB231" s="35">
        <v>10.907999999999999</v>
      </c>
      <c r="AC231" s="38">
        <v>1.24837</v>
      </c>
      <c r="AD231" s="38">
        <v>4.41</v>
      </c>
      <c r="AE231" s="38">
        <v>1356.12</v>
      </c>
      <c r="AF231" s="38">
        <f>(AD231+AE231*0.5)/(3.5*I231*1000)*100</f>
        <v>1.7876001885902875</v>
      </c>
      <c r="AG231" s="38">
        <f t="shared" si="35"/>
        <v>1.8</v>
      </c>
      <c r="AH231" s="38">
        <v>0</v>
      </c>
      <c r="AI231" s="38">
        <f>AH231/(3.5*I231*1000)*100</f>
        <v>0</v>
      </c>
      <c r="AJ231" s="38">
        <v>914</v>
      </c>
      <c r="AK231" s="38">
        <f>AJ231/(3.5*I231*1000)*100</f>
        <v>2.3940489287023943</v>
      </c>
      <c r="AL231" s="38">
        <v>18.38</v>
      </c>
      <c r="AM231" s="38">
        <v>4.8140000000000002E-2</v>
      </c>
      <c r="AN231" s="25"/>
      <c r="AO231" s="12">
        <f>AE231*0.5</f>
        <v>678.06</v>
      </c>
      <c r="AP231" s="12">
        <f>(AD231+AH231+AJ231+AL231+AO231)*I231</f>
        <v>17614.783799999997</v>
      </c>
      <c r="AQ231" s="49">
        <f>SUM(N231:Q231)</f>
        <v>11.025</v>
      </c>
      <c r="AR231" s="25">
        <f>SUM(T231:W231)</f>
        <v>11.025</v>
      </c>
      <c r="AT231" s="41"/>
      <c r="AU231" s="41"/>
      <c r="AV231" s="41"/>
      <c r="AW231" s="41"/>
    </row>
    <row r="232" spans="1:88" s="22" customFormat="1">
      <c r="A232" s="1">
        <v>2020</v>
      </c>
      <c r="B232" s="34" t="s">
        <v>2646</v>
      </c>
      <c r="C232" s="34">
        <v>325</v>
      </c>
      <c r="D232" s="75">
        <v>4256</v>
      </c>
      <c r="E232" s="8">
        <v>100</v>
      </c>
      <c r="F232" s="34" t="s">
        <v>2668</v>
      </c>
      <c r="G232" s="58">
        <v>0</v>
      </c>
      <c r="H232" s="58">
        <v>24159</v>
      </c>
      <c r="I232" s="21">
        <v>24.158999999999999</v>
      </c>
      <c r="J232" s="8">
        <v>2</v>
      </c>
      <c r="K232" s="8" t="s">
        <v>238</v>
      </c>
      <c r="L232" s="18">
        <v>42117</v>
      </c>
      <c r="M232" s="37" t="s">
        <v>191</v>
      </c>
      <c r="N232" s="38">
        <v>9.08</v>
      </c>
      <c r="O232" s="38">
        <v>8.9600000000000009</v>
      </c>
      <c r="P232" s="38">
        <v>4.16</v>
      </c>
      <c r="Q232" s="38">
        <v>1.96</v>
      </c>
      <c r="R232" s="38">
        <v>3.0972</v>
      </c>
      <c r="S232" s="38">
        <f t="shared" si="33"/>
        <v>3</v>
      </c>
      <c r="T232" s="38">
        <v>20.66</v>
      </c>
      <c r="U232" s="38">
        <v>2.67</v>
      </c>
      <c r="V232" s="38">
        <v>0.47</v>
      </c>
      <c r="W232" s="38">
        <v>0.36</v>
      </c>
      <c r="X232" s="38">
        <v>6.0231500000000002</v>
      </c>
      <c r="Y232" s="38">
        <f t="shared" si="34"/>
        <v>6</v>
      </c>
      <c r="Z232" s="38">
        <v>0</v>
      </c>
      <c r="AA232" s="39">
        <v>0</v>
      </c>
      <c r="AB232" s="38">
        <v>24.16</v>
      </c>
      <c r="AC232" s="38">
        <v>1.33846</v>
      </c>
      <c r="AD232" s="38">
        <v>1504.21</v>
      </c>
      <c r="AE232" s="38">
        <v>0</v>
      </c>
      <c r="AF232" s="38">
        <f>(AD232+AE232*0.5)/(3.5*I232*1000)*100</f>
        <v>1.77894070828381</v>
      </c>
      <c r="AG232" s="38">
        <f t="shared" si="35"/>
        <v>1.8</v>
      </c>
      <c r="AH232" s="38">
        <v>6</v>
      </c>
      <c r="AI232" s="38">
        <f>AH232/(3.5*I232*1000)*100</f>
        <v>7.0958471554522715E-3</v>
      </c>
      <c r="AJ232" s="38">
        <v>371.12</v>
      </c>
      <c r="AK232" s="38">
        <f>AJ232/(3.5*I232*1000)*100</f>
        <v>0.43890179938857449</v>
      </c>
      <c r="AL232" s="38">
        <v>0</v>
      </c>
      <c r="AM232" s="38">
        <f>AL232/(3.5*I232*1000)*100</f>
        <v>0</v>
      </c>
      <c r="AN232" s="12"/>
      <c r="AO232" s="12"/>
      <c r="AP232" s="1"/>
      <c r="AQ232" s="49">
        <f>SUM(N232:Q232)</f>
        <v>24.16</v>
      </c>
      <c r="AR232" s="41">
        <f>SUM(T232:W232)</f>
        <v>24.159999999999997</v>
      </c>
      <c r="AS232" s="12">
        <f>SUM(Z232:AB232)</f>
        <v>24.16</v>
      </c>
      <c r="AT232" s="1"/>
      <c r="AU232" s="1">
        <f>I232/AQ232</f>
        <v>0.99995860927152314</v>
      </c>
      <c r="AV232" s="1">
        <f>I232/AR232</f>
        <v>0.99995860927152325</v>
      </c>
      <c r="AW232" s="1">
        <f>I232/AS232</f>
        <v>0.99995860927152314</v>
      </c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</row>
    <row r="233" spans="1:88" s="22" customFormat="1">
      <c r="A233" s="1">
        <v>2107</v>
      </c>
      <c r="B233" s="34" t="s">
        <v>2754</v>
      </c>
      <c r="C233" s="34">
        <v>324</v>
      </c>
      <c r="D233" s="75">
        <v>402</v>
      </c>
      <c r="E233" s="8">
        <v>102</v>
      </c>
      <c r="F233" s="9" t="s">
        <v>2756</v>
      </c>
      <c r="G233" s="20">
        <v>21856</v>
      </c>
      <c r="H233" s="20">
        <v>48958</v>
      </c>
      <c r="I233" s="21">
        <v>27.102</v>
      </c>
      <c r="J233" s="9">
        <v>4</v>
      </c>
      <c r="K233" s="34" t="s">
        <v>237</v>
      </c>
      <c r="L233" s="18">
        <v>42139</v>
      </c>
      <c r="M233" s="37" t="s">
        <v>191</v>
      </c>
      <c r="N233" s="38">
        <v>16.5</v>
      </c>
      <c r="O233" s="38">
        <v>5.2249999999999996</v>
      </c>
      <c r="P233" s="38">
        <v>3.5</v>
      </c>
      <c r="Q233" s="38">
        <v>1.925</v>
      </c>
      <c r="R233" s="38">
        <v>2.6863199999999998</v>
      </c>
      <c r="S233" s="38">
        <f t="shared" si="33"/>
        <v>2.5</v>
      </c>
      <c r="T233" s="38">
        <v>24</v>
      </c>
      <c r="U233" s="38">
        <v>2.375</v>
      </c>
      <c r="V233" s="38">
        <v>0.55000000000000004</v>
      </c>
      <c r="W233" s="38">
        <v>0.22500000000000001</v>
      </c>
      <c r="X233" s="38">
        <v>5.9686500000000002</v>
      </c>
      <c r="Y233" s="38">
        <f t="shared" si="34"/>
        <v>6</v>
      </c>
      <c r="Z233" s="38">
        <v>0</v>
      </c>
      <c r="AA233" s="39">
        <v>0</v>
      </c>
      <c r="AB233" s="147">
        <v>27.150000000000002</v>
      </c>
      <c r="AC233" s="38">
        <v>1.22926</v>
      </c>
      <c r="AD233" s="147">
        <v>1674</v>
      </c>
      <c r="AE233" s="147">
        <v>0</v>
      </c>
      <c r="AF233" s="38">
        <v>1.7647616939182136</v>
      </c>
      <c r="AG233" s="38">
        <f t="shared" si="35"/>
        <v>1.8</v>
      </c>
      <c r="AH233" s="147">
        <v>25</v>
      </c>
      <c r="AI233" s="38">
        <v>2.6355461378706896E-2</v>
      </c>
      <c r="AJ233" s="147">
        <v>0</v>
      </c>
      <c r="AK233" s="38">
        <v>0</v>
      </c>
      <c r="AL233" s="147">
        <v>0</v>
      </c>
      <c r="AM233" s="38">
        <v>0</v>
      </c>
      <c r="AN233" s="41"/>
      <c r="AO233" s="41"/>
      <c r="AP233" s="73"/>
      <c r="AQ233" s="48"/>
      <c r="AR233" s="73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</row>
    <row r="234" spans="1:88" s="22" customFormat="1">
      <c r="A234" s="1">
        <v>621</v>
      </c>
      <c r="B234" s="34" t="s">
        <v>1017</v>
      </c>
      <c r="C234" s="34">
        <v>555</v>
      </c>
      <c r="D234" s="34">
        <v>2115</v>
      </c>
      <c r="E234" s="34">
        <v>102</v>
      </c>
      <c r="F234" s="9" t="s">
        <v>1024</v>
      </c>
      <c r="G234" s="118">
        <v>27450</v>
      </c>
      <c r="H234" s="118">
        <v>47821</v>
      </c>
      <c r="I234" s="35">
        <v>20.370999999999999</v>
      </c>
      <c r="J234" s="78">
        <v>2</v>
      </c>
      <c r="K234" s="34" t="s">
        <v>238</v>
      </c>
      <c r="L234" s="10">
        <v>42186</v>
      </c>
      <c r="M234" s="37" t="s">
        <v>191</v>
      </c>
      <c r="N234" s="38">
        <v>9.3000000000000007</v>
      </c>
      <c r="O234" s="38">
        <v>6.2</v>
      </c>
      <c r="P234" s="38">
        <v>2.5249999999999999</v>
      </c>
      <c r="Q234" s="38">
        <v>1.1000000000000001</v>
      </c>
      <c r="R234" s="38">
        <v>2.8134399999999999</v>
      </c>
      <c r="S234" s="38">
        <f t="shared" si="33"/>
        <v>3</v>
      </c>
      <c r="T234" s="38">
        <v>18.7</v>
      </c>
      <c r="U234" s="38">
        <v>0.32500000000000001</v>
      </c>
      <c r="V234" s="38">
        <v>0.1</v>
      </c>
      <c r="W234" s="38">
        <v>0</v>
      </c>
      <c r="X234" s="38">
        <v>2.7690100000000002</v>
      </c>
      <c r="Y234" s="38">
        <f t="shared" si="34"/>
        <v>3</v>
      </c>
      <c r="Z234" s="38">
        <v>0</v>
      </c>
      <c r="AA234" s="39">
        <v>0</v>
      </c>
      <c r="AB234" s="38">
        <f>N234+O234+P234+Q234</f>
        <v>19.125</v>
      </c>
      <c r="AC234" s="38">
        <v>1.2171799999999999</v>
      </c>
      <c r="AD234" s="38">
        <v>1142</v>
      </c>
      <c r="AE234" s="38">
        <v>224.6</v>
      </c>
      <c r="AF234" s="38">
        <f>(AD234+AE234*0.5)/(3.5*I234*1000)*100</f>
        <v>1.7592235460774073</v>
      </c>
      <c r="AG234" s="38">
        <f t="shared" si="35"/>
        <v>1.8</v>
      </c>
      <c r="AH234" s="38">
        <v>0</v>
      </c>
      <c r="AI234" s="38">
        <f>AH234/(3.5*I234*1000)*100</f>
        <v>0</v>
      </c>
      <c r="AJ234" s="38">
        <v>19</v>
      </c>
      <c r="AK234" s="38">
        <f>AJ234/(3.5*I234*1000)*100</f>
        <v>2.664852696760802E-2</v>
      </c>
      <c r="AL234" s="38">
        <v>0</v>
      </c>
      <c r="AM234" s="38">
        <f>AL234/(3.5*I234*1000)*100</f>
        <v>0</v>
      </c>
      <c r="AN234" s="25"/>
      <c r="AO234" s="25">
        <f>AE234*0.5</f>
        <v>112.3</v>
      </c>
      <c r="AP234" s="25">
        <f>(AD234+AH234+AJ234+AL234+AO234)*I234</f>
        <v>25938.394299999996</v>
      </c>
      <c r="AQ234" s="49">
        <f>SUM(N234:Q234)</f>
        <v>19.125</v>
      </c>
      <c r="AR234" s="25">
        <f>SUM(T234:W234)</f>
        <v>19.125</v>
      </c>
      <c r="AT234" s="41"/>
      <c r="AU234" s="41"/>
      <c r="AV234" s="41"/>
      <c r="AW234" s="41"/>
    </row>
    <row r="235" spans="1:88" s="22" customFormat="1">
      <c r="A235" s="1">
        <v>1908</v>
      </c>
      <c r="B235" s="34" t="s">
        <v>2550</v>
      </c>
      <c r="C235" s="34">
        <v>337</v>
      </c>
      <c r="D235" s="75">
        <v>3335</v>
      </c>
      <c r="E235" s="8">
        <v>100</v>
      </c>
      <c r="F235" s="9" t="s">
        <v>2554</v>
      </c>
      <c r="G235" s="20">
        <v>0</v>
      </c>
      <c r="H235" s="20">
        <v>26398</v>
      </c>
      <c r="I235" s="21">
        <v>26.398</v>
      </c>
      <c r="J235" s="8">
        <v>2</v>
      </c>
      <c r="K235" s="8" t="s">
        <v>238</v>
      </c>
      <c r="L235" s="18">
        <v>42091</v>
      </c>
      <c r="M235" s="247" t="s">
        <v>191</v>
      </c>
      <c r="N235" s="38">
        <v>11.37</v>
      </c>
      <c r="O235" s="38">
        <v>8.9600000000000009</v>
      </c>
      <c r="P235" s="38">
        <v>3.82</v>
      </c>
      <c r="Q235" s="38">
        <v>2.25</v>
      </c>
      <c r="R235" s="38">
        <v>3.0329899999999999</v>
      </c>
      <c r="S235" s="38">
        <f t="shared" si="33"/>
        <v>3</v>
      </c>
      <c r="T235" s="38">
        <v>20.62</v>
      </c>
      <c r="U235" s="38">
        <v>2.97</v>
      </c>
      <c r="V235" s="38">
        <v>1.36</v>
      </c>
      <c r="W235" s="38">
        <v>1.44</v>
      </c>
      <c r="X235" s="38">
        <v>7.4954400000000003</v>
      </c>
      <c r="Y235" s="38">
        <f t="shared" si="34"/>
        <v>7.5</v>
      </c>
      <c r="Z235" s="38">
        <v>0</v>
      </c>
      <c r="AA235" s="39">
        <v>0</v>
      </c>
      <c r="AB235" s="38">
        <v>26.4</v>
      </c>
      <c r="AC235" s="38">
        <v>1.15825</v>
      </c>
      <c r="AD235" s="38">
        <v>1480.36</v>
      </c>
      <c r="AE235" s="38">
        <v>268.83999999999997</v>
      </c>
      <c r="AF235" s="38">
        <v>1.7477298063706126</v>
      </c>
      <c r="AG235" s="38">
        <f t="shared" si="35"/>
        <v>1.7</v>
      </c>
      <c r="AH235" s="38">
        <v>88.79</v>
      </c>
      <c r="AI235" s="38">
        <v>9.6100353922916257E-2</v>
      </c>
      <c r="AJ235" s="38">
        <v>165.46</v>
      </c>
      <c r="AK235" s="38">
        <v>0.17908283095039668</v>
      </c>
      <c r="AL235" s="38">
        <v>1</v>
      </c>
      <c r="AM235" s="38">
        <f>AL235/(3.5*I235*1000)*100</f>
        <v>1.0823330771811718E-3</v>
      </c>
      <c r="AN235" s="1"/>
      <c r="AO235" s="1"/>
      <c r="AP235" s="1"/>
      <c r="AQ235" s="49">
        <f>SUM(N235:Q235)</f>
        <v>26.4</v>
      </c>
      <c r="AR235" s="41">
        <f>SUM(T235:W235)</f>
        <v>26.39</v>
      </c>
      <c r="AS235" s="12">
        <f>SUM(Z235:AB235)</f>
        <v>26.4</v>
      </c>
      <c r="AT235" s="1"/>
      <c r="AU235" s="1">
        <f>I235/AQ235</f>
        <v>0.99992424242424249</v>
      </c>
      <c r="AV235" s="1">
        <f>I235/AR235</f>
        <v>1.0003031451307314</v>
      </c>
      <c r="AW235" s="1">
        <f>I235/AS235</f>
        <v>0.99992424242424249</v>
      </c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</row>
    <row r="236" spans="1:88" s="22" customFormat="1">
      <c r="A236" s="1">
        <v>2181</v>
      </c>
      <c r="B236" s="34" t="s">
        <v>2798</v>
      </c>
      <c r="C236" s="34">
        <v>311</v>
      </c>
      <c r="D236" s="75">
        <v>4208</v>
      </c>
      <c r="E236" s="8">
        <v>100</v>
      </c>
      <c r="F236" s="9" t="s">
        <v>2819</v>
      </c>
      <c r="G236" s="20">
        <v>0</v>
      </c>
      <c r="H236" s="20">
        <v>6225</v>
      </c>
      <c r="I236" s="21">
        <v>6.2249999999999996</v>
      </c>
      <c r="J236" s="8">
        <v>2</v>
      </c>
      <c r="K236" s="8" t="s">
        <v>238</v>
      </c>
      <c r="L236" s="18">
        <v>42145</v>
      </c>
      <c r="M236" s="37" t="s">
        <v>191</v>
      </c>
      <c r="N236" s="38">
        <v>4.7750000000000004</v>
      </c>
      <c r="O236" s="38">
        <v>0.85</v>
      </c>
      <c r="P236" s="38">
        <v>0.47499999999999998</v>
      </c>
      <c r="Q236" s="38">
        <v>0.125</v>
      </c>
      <c r="R236" s="38">
        <v>2.22715</v>
      </c>
      <c r="S236" s="38">
        <f t="shared" si="33"/>
        <v>2</v>
      </c>
      <c r="T236" s="38">
        <v>5.375</v>
      </c>
      <c r="U236" s="38">
        <v>0.65</v>
      </c>
      <c r="V236" s="38">
        <v>0.1</v>
      </c>
      <c r="W236" s="38">
        <v>0.1</v>
      </c>
      <c r="X236" s="38">
        <v>5.7255799999999999</v>
      </c>
      <c r="Y236" s="38">
        <f t="shared" si="34"/>
        <v>5.5</v>
      </c>
      <c r="Z236" s="38">
        <v>0</v>
      </c>
      <c r="AA236" s="39">
        <v>0</v>
      </c>
      <c r="AB236" s="38">
        <v>6.2249999999999996</v>
      </c>
      <c r="AC236" s="38">
        <v>1.3399000000000001</v>
      </c>
      <c r="AD236" s="38">
        <v>378.3</v>
      </c>
      <c r="AE236" s="38">
        <v>0</v>
      </c>
      <c r="AF236" s="38">
        <f>(AD236+AE236*0.5)/(3.5*I236*1000)*100</f>
        <v>1.7363166953528402</v>
      </c>
      <c r="AG236" s="38">
        <f t="shared" si="35"/>
        <v>1.7</v>
      </c>
      <c r="AH236" s="38">
        <v>34.01</v>
      </c>
      <c r="AI236" s="38">
        <f>AH236/(3.5*I236*1000)*100</f>
        <v>0.15609868043602984</v>
      </c>
      <c r="AJ236" s="38">
        <v>36.53</v>
      </c>
      <c r="AK236" s="38">
        <f>AJ236/(3.5*I236*1000)*100</f>
        <v>0.16766494549627081</v>
      </c>
      <c r="AL236" s="38">
        <v>0</v>
      </c>
      <c r="AM236" s="38">
        <f>AL236/(3.5*I236*1000)*100</f>
        <v>0</v>
      </c>
      <c r="AN236" s="72"/>
      <c r="AO236" s="41"/>
      <c r="AP236" s="41"/>
      <c r="AQ236" s="49">
        <f>SUM(N236:Q236)</f>
        <v>6.2249999999999996</v>
      </c>
      <c r="AR236" s="41">
        <f>SUM(T236:W236)</f>
        <v>6.2249999999999996</v>
      </c>
      <c r="AS236" s="12">
        <f>SUM(Z236:AB236)</f>
        <v>6.2249999999999996</v>
      </c>
      <c r="AT236" s="1"/>
      <c r="AU236" s="1">
        <f>I236/AQ236</f>
        <v>1</v>
      </c>
      <c r="AV236" s="1">
        <f>I236/AR236</f>
        <v>1</v>
      </c>
      <c r="AW236" s="1">
        <f>I236/AS236</f>
        <v>1</v>
      </c>
    </row>
    <row r="237" spans="1:88" s="22" customFormat="1">
      <c r="A237" s="1">
        <v>1841</v>
      </c>
      <c r="B237" s="34" t="s">
        <v>2461</v>
      </c>
      <c r="C237" s="34">
        <v>332</v>
      </c>
      <c r="D237" s="75">
        <v>3181</v>
      </c>
      <c r="E237" s="8">
        <v>100</v>
      </c>
      <c r="F237" s="9" t="s">
        <v>2465</v>
      </c>
      <c r="G237" s="20">
        <v>0</v>
      </c>
      <c r="H237" s="20">
        <v>2852</v>
      </c>
      <c r="I237" s="21">
        <v>2.8519999999999999</v>
      </c>
      <c r="J237" s="8">
        <v>4</v>
      </c>
      <c r="K237" s="8" t="s">
        <v>237</v>
      </c>
      <c r="L237" s="18">
        <v>42101</v>
      </c>
      <c r="M237" s="247" t="s">
        <v>191</v>
      </c>
      <c r="N237" s="38">
        <v>2.35</v>
      </c>
      <c r="O237" s="38">
        <v>0.2</v>
      </c>
      <c r="P237" s="38">
        <v>0.17499999999999999</v>
      </c>
      <c r="Q237" s="38">
        <v>0.1</v>
      </c>
      <c r="R237" s="38">
        <v>2.15646</v>
      </c>
      <c r="S237" s="38">
        <f t="shared" si="33"/>
        <v>2</v>
      </c>
      <c r="T237" s="38">
        <v>2.75</v>
      </c>
      <c r="U237" s="38">
        <v>7.4999999999999997E-2</v>
      </c>
      <c r="V237" s="38">
        <v>0</v>
      </c>
      <c r="W237" s="38">
        <v>0</v>
      </c>
      <c r="X237" s="38">
        <v>3.1776300000000002</v>
      </c>
      <c r="Y237" s="38">
        <f t="shared" si="34"/>
        <v>3</v>
      </c>
      <c r="Z237" s="38">
        <v>0</v>
      </c>
      <c r="AA237" s="164">
        <v>0</v>
      </c>
      <c r="AB237" s="38">
        <v>2.8250000000000002</v>
      </c>
      <c r="AC237" s="38">
        <v>1.1333</v>
      </c>
      <c r="AD237" s="38">
        <v>158.94</v>
      </c>
      <c r="AE237" s="38">
        <v>26.22</v>
      </c>
      <c r="AF237" s="38">
        <v>1.7236024844720497</v>
      </c>
      <c r="AG237" s="38">
        <f t="shared" si="35"/>
        <v>1.7</v>
      </c>
      <c r="AH237" s="38">
        <v>102.75</v>
      </c>
      <c r="AI237" s="38">
        <v>1.0293528351031858</v>
      </c>
      <c r="AJ237" s="38">
        <v>0</v>
      </c>
      <c r="AK237" s="38">
        <v>0</v>
      </c>
      <c r="AL237" s="38">
        <v>12.369</v>
      </c>
      <c r="AM237" s="38">
        <f>AL237/(3.5*I237*1000)*100</f>
        <v>0.12391304347826088</v>
      </c>
      <c r="AN237" s="73"/>
      <c r="AO237" s="73"/>
      <c r="AP237" s="73"/>
      <c r="AQ237" s="48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</row>
    <row r="238" spans="1:88" s="22" customFormat="1">
      <c r="A238" s="1">
        <v>2116</v>
      </c>
      <c r="B238" s="34" t="s">
        <v>2754</v>
      </c>
      <c r="C238" s="34">
        <v>324</v>
      </c>
      <c r="D238" s="75">
        <v>4024</v>
      </c>
      <c r="E238" s="8">
        <v>101</v>
      </c>
      <c r="F238" s="9" t="s">
        <v>2761</v>
      </c>
      <c r="G238" s="20">
        <v>11650</v>
      </c>
      <c r="H238" s="20">
        <v>0</v>
      </c>
      <c r="I238" s="21">
        <v>11.65</v>
      </c>
      <c r="J238" s="9">
        <v>4</v>
      </c>
      <c r="K238" s="34" t="s">
        <v>1521</v>
      </c>
      <c r="L238" s="18">
        <v>42138</v>
      </c>
      <c r="M238" s="37" t="s">
        <v>191</v>
      </c>
      <c r="N238" s="38">
        <v>5.55</v>
      </c>
      <c r="O238" s="38">
        <v>2.5249999999999999</v>
      </c>
      <c r="P238" s="38">
        <v>2.0499999999999998</v>
      </c>
      <c r="Q238" s="38">
        <v>1.5249999999999999</v>
      </c>
      <c r="R238" s="38">
        <v>3.14303</v>
      </c>
      <c r="S238" s="38">
        <f t="shared" si="33"/>
        <v>3</v>
      </c>
      <c r="T238" s="38">
        <v>10.199999999999999</v>
      </c>
      <c r="U238" s="38">
        <v>0.72499999999999998</v>
      </c>
      <c r="V238" s="38">
        <v>0.25</v>
      </c>
      <c r="W238" s="38">
        <v>0.47499999999999998</v>
      </c>
      <c r="X238" s="38">
        <v>5.8225499999999997</v>
      </c>
      <c r="Y238" s="38">
        <f t="shared" si="34"/>
        <v>6</v>
      </c>
      <c r="Z238" s="38">
        <v>0</v>
      </c>
      <c r="AA238" s="39">
        <v>0</v>
      </c>
      <c r="AB238" s="38">
        <v>11.65</v>
      </c>
      <c r="AC238" s="38">
        <v>1.1543099999999999</v>
      </c>
      <c r="AD238" s="38">
        <v>638.79</v>
      </c>
      <c r="AE238" s="38">
        <v>125.88</v>
      </c>
      <c r="AF238" s="38">
        <v>1.7209809932556714</v>
      </c>
      <c r="AG238" s="38">
        <f t="shared" si="35"/>
        <v>1.7</v>
      </c>
      <c r="AH238" s="38">
        <v>14.752000000000001</v>
      </c>
      <c r="AI238" s="38">
        <v>3.6179031269160028E-2</v>
      </c>
      <c r="AJ238" s="38">
        <v>7.53</v>
      </c>
      <c r="AK238" s="38">
        <v>1.8467198038013489E-2</v>
      </c>
      <c r="AL238" s="38">
        <v>0</v>
      </c>
      <c r="AM238" s="38">
        <v>0</v>
      </c>
      <c r="AN238" s="41"/>
      <c r="AO238" s="41"/>
      <c r="AP238" s="73"/>
      <c r="AQ238" s="48"/>
      <c r="AR238" s="73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</row>
    <row r="239" spans="1:88" s="22" customFormat="1">
      <c r="A239" s="1">
        <v>1390</v>
      </c>
      <c r="B239" s="34" t="s">
        <v>1940</v>
      </c>
      <c r="C239" s="34">
        <v>446</v>
      </c>
      <c r="D239" s="75">
        <v>3183</v>
      </c>
      <c r="E239" s="69">
        <v>102</v>
      </c>
      <c r="F239" s="34" t="s">
        <v>1945</v>
      </c>
      <c r="G239" s="20">
        <v>21963</v>
      </c>
      <c r="H239" s="20">
        <v>28460</v>
      </c>
      <c r="I239" s="21">
        <v>6.4969999999999999</v>
      </c>
      <c r="J239" s="8">
        <v>2</v>
      </c>
      <c r="K239" s="34" t="s">
        <v>238</v>
      </c>
      <c r="L239" s="10">
        <v>42220</v>
      </c>
      <c r="M239" s="37" t="s">
        <v>191</v>
      </c>
      <c r="N239" s="38">
        <v>4.3899999999999997</v>
      </c>
      <c r="O239" s="38">
        <v>1.48</v>
      </c>
      <c r="P239" s="38">
        <v>0.48</v>
      </c>
      <c r="Q239" s="38">
        <v>0.15</v>
      </c>
      <c r="R239" s="38">
        <v>2.4633600000000002</v>
      </c>
      <c r="S239" s="38">
        <f t="shared" si="33"/>
        <v>2.5</v>
      </c>
      <c r="T239" s="38">
        <v>5.54</v>
      </c>
      <c r="U239" s="38">
        <v>0.78</v>
      </c>
      <c r="V239" s="38">
        <v>0.1</v>
      </c>
      <c r="W239" s="38">
        <v>0.08</v>
      </c>
      <c r="X239" s="38">
        <v>6.7824900000000001</v>
      </c>
      <c r="Y239" s="38">
        <f t="shared" si="34"/>
        <v>7</v>
      </c>
      <c r="Z239" s="38">
        <v>0</v>
      </c>
      <c r="AA239" s="39">
        <v>0</v>
      </c>
      <c r="AB239" s="11">
        <v>6.5</v>
      </c>
      <c r="AC239" s="38">
        <v>1.44278</v>
      </c>
      <c r="AD239" s="38">
        <v>352.65</v>
      </c>
      <c r="AE239" s="38">
        <v>75.400000000000006</v>
      </c>
      <c r="AF239" s="38">
        <v>1.7166164603443346</v>
      </c>
      <c r="AG239" s="38">
        <f t="shared" si="35"/>
        <v>1.7</v>
      </c>
      <c r="AH239" s="38">
        <v>32.6</v>
      </c>
      <c r="AI239" s="38">
        <v>0.14336287077552279</v>
      </c>
      <c r="AJ239" s="38">
        <v>0</v>
      </c>
      <c r="AK239" s="38">
        <v>0</v>
      </c>
      <c r="AL239" s="38">
        <v>0</v>
      </c>
      <c r="AM239" s="38">
        <v>0</v>
      </c>
      <c r="AN239" s="12"/>
      <c r="AO239" s="1"/>
      <c r="AP239" s="12">
        <f>SUM(N239:Q239)</f>
        <v>6.5</v>
      </c>
      <c r="AQ239" s="270">
        <f>SUM(T239:W239)</f>
        <v>6.5</v>
      </c>
      <c r="AR239" s="12">
        <f>SUM(Z239:AB239)</f>
        <v>6.5</v>
      </c>
      <c r="AS239" s="1"/>
      <c r="AT239" s="1">
        <f>I239/AP239</f>
        <v>0.99953846153846149</v>
      </c>
      <c r="AU239" s="1">
        <f>I239/AQ239</f>
        <v>0.99953846153846149</v>
      </c>
      <c r="AV239" s="1">
        <f>I239/AR239</f>
        <v>0.99953846153846149</v>
      </c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</row>
    <row r="240" spans="1:88" s="22" customFormat="1">
      <c r="A240" s="1">
        <v>1304</v>
      </c>
      <c r="B240" s="74" t="s">
        <v>1820</v>
      </c>
      <c r="C240" s="34">
        <v>441</v>
      </c>
      <c r="D240" s="75">
        <v>3605</v>
      </c>
      <c r="E240" s="69">
        <v>100</v>
      </c>
      <c r="F240" s="34" t="s">
        <v>1849</v>
      </c>
      <c r="G240" s="58">
        <v>888</v>
      </c>
      <c r="H240" s="58">
        <v>0</v>
      </c>
      <c r="I240" s="55">
        <v>0.88800000000000001</v>
      </c>
      <c r="J240" s="34">
        <v>2</v>
      </c>
      <c r="K240" s="34" t="s">
        <v>12</v>
      </c>
      <c r="L240" s="10">
        <v>42186</v>
      </c>
      <c r="M240" s="37" t="s">
        <v>191</v>
      </c>
      <c r="N240" s="38">
        <v>0.32500000000000001</v>
      </c>
      <c r="O240" s="38">
        <v>0.22500000000000001</v>
      </c>
      <c r="P240" s="38">
        <v>7.4999999999999997E-2</v>
      </c>
      <c r="Q240" s="38">
        <v>0.2</v>
      </c>
      <c r="R240" s="38">
        <v>4.6399999999999997</v>
      </c>
      <c r="S240" s="38">
        <f t="shared" si="33"/>
        <v>4.5</v>
      </c>
      <c r="T240" s="38">
        <v>0.82499999999999996</v>
      </c>
      <c r="U240" s="38">
        <v>0</v>
      </c>
      <c r="V240" s="38">
        <v>0</v>
      </c>
      <c r="W240" s="38">
        <v>0</v>
      </c>
      <c r="X240" s="38">
        <v>3.6504799999999999</v>
      </c>
      <c r="Y240" s="38">
        <f t="shared" si="34"/>
        <v>3.5</v>
      </c>
      <c r="Z240" s="38">
        <v>0</v>
      </c>
      <c r="AA240" s="39">
        <v>0</v>
      </c>
      <c r="AB240" s="38">
        <v>0.82499999999999996</v>
      </c>
      <c r="AC240" s="38">
        <v>1.31803</v>
      </c>
      <c r="AD240" s="38">
        <v>45.2</v>
      </c>
      <c r="AE240" s="38">
        <v>16.3</v>
      </c>
      <c r="AF240" s="38">
        <v>1.7165379665379665</v>
      </c>
      <c r="AG240" s="38">
        <f t="shared" si="35"/>
        <v>1.7</v>
      </c>
      <c r="AH240" s="38">
        <v>245.3</v>
      </c>
      <c r="AI240" s="38">
        <v>7.8925353925353923</v>
      </c>
      <c r="AJ240" s="38">
        <v>0</v>
      </c>
      <c r="AK240" s="38">
        <v>0</v>
      </c>
      <c r="AL240" s="38">
        <v>0</v>
      </c>
      <c r="AM240" s="38">
        <v>0</v>
      </c>
      <c r="AN240" s="40"/>
      <c r="AO240" s="12"/>
      <c r="AP240" s="1"/>
      <c r="AQ240" s="178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</row>
    <row r="241" spans="1:88" s="22" customFormat="1">
      <c r="A241" s="1">
        <v>1240</v>
      </c>
      <c r="B241" s="34" t="s">
        <v>1725</v>
      </c>
      <c r="C241" s="88">
        <v>437</v>
      </c>
      <c r="D241" s="88">
        <v>3220</v>
      </c>
      <c r="E241" s="88">
        <v>200</v>
      </c>
      <c r="F241" s="88" t="s">
        <v>1752</v>
      </c>
      <c r="G241" s="88" t="s">
        <v>1753</v>
      </c>
      <c r="H241" s="88" t="s">
        <v>1754</v>
      </c>
      <c r="I241" s="115">
        <v>4.234</v>
      </c>
      <c r="J241" s="88">
        <v>4</v>
      </c>
      <c r="K241" s="88" t="s">
        <v>12</v>
      </c>
      <c r="L241" s="116">
        <v>42282</v>
      </c>
      <c r="M241" s="37" t="s">
        <v>191</v>
      </c>
      <c r="N241" s="38">
        <v>1.65</v>
      </c>
      <c r="O241" s="38">
        <v>1.75</v>
      </c>
      <c r="P241" s="38">
        <v>0.7</v>
      </c>
      <c r="Q241" s="38">
        <v>0.17499999999999999</v>
      </c>
      <c r="R241" s="38">
        <v>2.96427</v>
      </c>
      <c r="S241" s="38">
        <f t="shared" si="33"/>
        <v>3</v>
      </c>
      <c r="T241" s="38">
        <v>3.1749999999999998</v>
      </c>
      <c r="U241" s="38">
        <v>0.65</v>
      </c>
      <c r="V241" s="38">
        <v>0.25</v>
      </c>
      <c r="W241" s="38">
        <v>0.2</v>
      </c>
      <c r="X241" s="38">
        <v>7.5772599999999999</v>
      </c>
      <c r="Y241" s="38">
        <f t="shared" si="34"/>
        <v>7.5</v>
      </c>
      <c r="Z241" s="38">
        <v>0</v>
      </c>
      <c r="AA241" s="254">
        <v>0</v>
      </c>
      <c r="AB241" s="117">
        <v>4.234</v>
      </c>
      <c r="AC241" s="117">
        <v>1.4245699999999999</v>
      </c>
      <c r="AD241" s="117">
        <v>241.67</v>
      </c>
      <c r="AE241" s="117">
        <v>18.963999999999999</v>
      </c>
      <c r="AF241" s="117">
        <f>(AD241+AE241*0.5)/(3.5*I241*1000)*100</f>
        <v>1.6947972197854106</v>
      </c>
      <c r="AG241" s="38">
        <f t="shared" si="35"/>
        <v>1.7</v>
      </c>
      <c r="AH241" s="117">
        <v>147.86000000000001</v>
      </c>
      <c r="AI241" s="117">
        <f>AH241/(3.5*I241*1000)*100</f>
        <v>0.997773129091032</v>
      </c>
      <c r="AJ241" s="117">
        <v>0</v>
      </c>
      <c r="AK241" s="117">
        <f>AJ241/(3.5*I241*1000)*100</f>
        <v>0</v>
      </c>
      <c r="AL241" s="117">
        <v>0</v>
      </c>
      <c r="AM241" s="117">
        <f>AJ241/(3.5*I241*1000)*100</f>
        <v>0</v>
      </c>
      <c r="AN241" s="12"/>
      <c r="AO241" s="1"/>
      <c r="AP241" s="1"/>
      <c r="AQ241" s="178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</row>
    <row r="242" spans="1:88" s="22" customFormat="1">
      <c r="A242" s="1">
        <v>163</v>
      </c>
      <c r="B242" s="34" t="s">
        <v>332</v>
      </c>
      <c r="C242" s="34">
        <v>533</v>
      </c>
      <c r="D242" s="34">
        <v>1</v>
      </c>
      <c r="E242" s="34">
        <v>1403</v>
      </c>
      <c r="F242" s="34" t="s">
        <v>338</v>
      </c>
      <c r="G242" s="50" t="s">
        <v>339</v>
      </c>
      <c r="H242" s="50" t="s">
        <v>340</v>
      </c>
      <c r="I242" s="35">
        <v>14.052</v>
      </c>
      <c r="J242" s="33">
        <v>4</v>
      </c>
      <c r="K242" s="34" t="s">
        <v>237</v>
      </c>
      <c r="L242" s="10">
        <v>42203</v>
      </c>
      <c r="M242" s="37" t="s">
        <v>191</v>
      </c>
      <c r="N242" s="38">
        <v>7.14</v>
      </c>
      <c r="O242" s="38">
        <v>3.64</v>
      </c>
      <c r="P242" s="38">
        <v>2.42</v>
      </c>
      <c r="Q242" s="38">
        <v>0.86</v>
      </c>
      <c r="R242" s="38">
        <v>3.2080000000000002</v>
      </c>
      <c r="S242" s="38">
        <f t="shared" si="33"/>
        <v>3</v>
      </c>
      <c r="T242" s="38">
        <v>9.24</v>
      </c>
      <c r="U242" s="38">
        <v>3.84</v>
      </c>
      <c r="V242" s="38">
        <v>0.61</v>
      </c>
      <c r="W242" s="38">
        <v>0.37</v>
      </c>
      <c r="X242" s="38">
        <v>8.4749999999999996</v>
      </c>
      <c r="Y242" s="38">
        <f t="shared" si="34"/>
        <v>8.5</v>
      </c>
      <c r="Z242" s="38">
        <v>0</v>
      </c>
      <c r="AA242" s="39">
        <v>0</v>
      </c>
      <c r="AB242" s="38">
        <v>14.05</v>
      </c>
      <c r="AC242" s="38">
        <v>0.98699999999999999</v>
      </c>
      <c r="AD242" s="38">
        <v>652.54999999999995</v>
      </c>
      <c r="AE242" s="38">
        <v>348.28</v>
      </c>
      <c r="AF242" s="38">
        <f>(AD242+AE242*0.5)/(3.5*I242*1000)*100</f>
        <v>1.6808791834410961</v>
      </c>
      <c r="AG242" s="38">
        <f t="shared" si="35"/>
        <v>1.7</v>
      </c>
      <c r="AH242" s="38">
        <v>0.84</v>
      </c>
      <c r="AI242" s="38">
        <f>AH242/(3.5*I242*1000)*100</f>
        <v>1.7079419299743809E-3</v>
      </c>
      <c r="AJ242" s="38">
        <v>291.39</v>
      </c>
      <c r="AK242" s="38">
        <f>AJ242/(3.5*I242*1000)*100</f>
        <v>0.59247285592289856</v>
      </c>
      <c r="AL242" s="38">
        <v>0</v>
      </c>
      <c r="AM242" s="38">
        <f>AL242/(3.5*I242*1000)*100</f>
        <v>0</v>
      </c>
      <c r="AN242" s="25"/>
      <c r="AO242" s="25">
        <f>AE242*0.5</f>
        <v>174.14</v>
      </c>
      <c r="AP242" s="25">
        <f>(AD242+AH242+AJ242+AL242+AO242)*I242</f>
        <v>15723.063840000001</v>
      </c>
      <c r="AQ242" s="49"/>
      <c r="AR242" s="25">
        <f>SUM(N242:Q242)</f>
        <v>14.059999999999999</v>
      </c>
      <c r="AS242" s="25">
        <f>SUM(T242:W242)</f>
        <v>14.059999999999999</v>
      </c>
      <c r="AU242" s="41">
        <f>SUM(N242:Q242)</f>
        <v>14.059999999999999</v>
      </c>
      <c r="AV242" s="41">
        <f>SUM(T242:W242)</f>
        <v>14.059999999999999</v>
      </c>
      <c r="AW242" s="41">
        <f>SUM(Z242:AB242)</f>
        <v>14.05</v>
      </c>
      <c r="AX242" s="41"/>
      <c r="AY242" s="22">
        <f>I242/AU242</f>
        <v>0.99943100995732581</v>
      </c>
      <c r="AZ242" s="22">
        <f>I242/AV242</f>
        <v>0.99943100995732581</v>
      </c>
      <c r="BA242" s="22">
        <f>I242/AW242</f>
        <v>1.0001423487544483</v>
      </c>
    </row>
    <row r="243" spans="1:88" s="22" customFormat="1">
      <c r="A243" s="1">
        <v>1962</v>
      </c>
      <c r="B243" s="34" t="s">
        <v>2586</v>
      </c>
      <c r="C243" s="34">
        <v>321</v>
      </c>
      <c r="D243" s="75">
        <v>4186</v>
      </c>
      <c r="E243" s="8">
        <v>100</v>
      </c>
      <c r="F243" s="34" t="s">
        <v>2607</v>
      </c>
      <c r="G243" s="58">
        <v>16564</v>
      </c>
      <c r="H243" s="58">
        <v>0</v>
      </c>
      <c r="I243" s="21">
        <v>16.564</v>
      </c>
      <c r="J243" s="8">
        <v>2</v>
      </c>
      <c r="K243" s="8" t="s">
        <v>12</v>
      </c>
      <c r="L243" s="18">
        <v>42124</v>
      </c>
      <c r="M243" s="37" t="s">
        <v>191</v>
      </c>
      <c r="N243" s="38">
        <v>5.3</v>
      </c>
      <c r="O243" s="38">
        <v>5.2</v>
      </c>
      <c r="P243" s="38">
        <v>3.0249999999999999</v>
      </c>
      <c r="Q243" s="38">
        <v>2.95</v>
      </c>
      <c r="R243" s="38">
        <v>3.4941900000000001</v>
      </c>
      <c r="S243" s="38">
        <f t="shared" si="33"/>
        <v>3.5</v>
      </c>
      <c r="T243" s="38">
        <v>8.3000000000000007</v>
      </c>
      <c r="U243" s="38">
        <v>3.8</v>
      </c>
      <c r="V243" s="38">
        <v>2</v>
      </c>
      <c r="W243" s="38">
        <v>2.375</v>
      </c>
      <c r="X243" s="38">
        <v>12.115500000000001</v>
      </c>
      <c r="Y243" s="38">
        <f t="shared" si="34"/>
        <v>12</v>
      </c>
      <c r="Z243" s="38">
        <v>0</v>
      </c>
      <c r="AA243" s="39">
        <v>0</v>
      </c>
      <c r="AB243" s="38">
        <v>16.475000000000001</v>
      </c>
      <c r="AC243" s="38">
        <v>1.5343500000000001</v>
      </c>
      <c r="AD243" s="38">
        <v>824.87</v>
      </c>
      <c r="AE243" s="38">
        <v>289.86</v>
      </c>
      <c r="AF243" s="38">
        <f>(AD243+AE243*0.5)/(3.5*I243*1000)*100</f>
        <v>1.6728188498292336</v>
      </c>
      <c r="AG243" s="38">
        <f t="shared" si="35"/>
        <v>1.7</v>
      </c>
      <c r="AH243" s="38">
        <v>1659.91</v>
      </c>
      <c r="AI243" s="38">
        <f>AH243/(3.5*I243*1000)*100</f>
        <v>2.8631972953392899</v>
      </c>
      <c r="AJ243" s="38">
        <v>414.39</v>
      </c>
      <c r="AK243" s="38">
        <f>AH243/(3.5*L243*1000)*100</f>
        <v>1.1258664894122116E-3</v>
      </c>
      <c r="AL243" s="38">
        <v>12</v>
      </c>
      <c r="AM243" s="38">
        <f>AL243/(3.5*I243*1000)*100</f>
        <v>2.0698934004898747E-2</v>
      </c>
      <c r="AN243" s="73"/>
      <c r="AO243" s="72"/>
      <c r="AP243" s="41"/>
      <c r="AQ243" s="49"/>
      <c r="AR243" s="73"/>
      <c r="AS243" s="73"/>
      <c r="AT243" s="73"/>
      <c r="AU243" s="73"/>
      <c r="AV243" s="73"/>
      <c r="AW243" s="73"/>
      <c r="AX243" s="73"/>
      <c r="AY243" s="73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</row>
    <row r="244" spans="1:88" s="22" customFormat="1">
      <c r="A244" s="1">
        <v>1930</v>
      </c>
      <c r="B244" s="34" t="s">
        <v>2559</v>
      </c>
      <c r="C244" s="34">
        <v>338</v>
      </c>
      <c r="D244" s="75">
        <v>3400</v>
      </c>
      <c r="E244" s="8">
        <v>100</v>
      </c>
      <c r="F244" s="9" t="s">
        <v>2576</v>
      </c>
      <c r="G244" s="20">
        <v>0</v>
      </c>
      <c r="H244" s="20">
        <v>7853</v>
      </c>
      <c r="I244" s="21">
        <v>7.8529999999999998</v>
      </c>
      <c r="J244" s="8">
        <v>2</v>
      </c>
      <c r="K244" s="8" t="s">
        <v>238</v>
      </c>
      <c r="L244" s="18">
        <v>42096</v>
      </c>
      <c r="M244" s="247" t="s">
        <v>191</v>
      </c>
      <c r="N244" s="38">
        <v>4.38</v>
      </c>
      <c r="O244" s="38">
        <v>2.16</v>
      </c>
      <c r="P244" s="38">
        <v>1.01</v>
      </c>
      <c r="Q244" s="38">
        <v>0.3</v>
      </c>
      <c r="R244" s="38">
        <v>2.65821</v>
      </c>
      <c r="S244" s="38">
        <f t="shared" si="33"/>
        <v>2.5</v>
      </c>
      <c r="T244" s="38">
        <v>6.49</v>
      </c>
      <c r="U244" s="38">
        <v>1.06</v>
      </c>
      <c r="V244" s="38">
        <v>0.25</v>
      </c>
      <c r="W244" s="38">
        <v>0.05</v>
      </c>
      <c r="X244" s="38">
        <v>6.9544199999999998</v>
      </c>
      <c r="Y244" s="38">
        <f t="shared" si="34"/>
        <v>7</v>
      </c>
      <c r="Z244" s="38">
        <v>0</v>
      </c>
      <c r="AA244" s="39">
        <v>0</v>
      </c>
      <c r="AB244" s="38">
        <v>7.85</v>
      </c>
      <c r="AC244" s="38">
        <v>1.6739999999999999</v>
      </c>
      <c r="AD244" s="38">
        <v>352.65</v>
      </c>
      <c r="AE244" s="38">
        <v>211.1</v>
      </c>
      <c r="AF244" s="38">
        <v>1.6670608138836842</v>
      </c>
      <c r="AG244" s="38">
        <f t="shared" si="35"/>
        <v>1.7</v>
      </c>
      <c r="AH244" s="38">
        <v>99.3</v>
      </c>
      <c r="AI244" s="38">
        <v>0.36128140292154043</v>
      </c>
      <c r="AJ244" s="38">
        <v>1.5</v>
      </c>
      <c r="AK244" s="38">
        <v>5.4574230048571063E-3</v>
      </c>
      <c r="AL244" s="38">
        <v>0</v>
      </c>
      <c r="AM244" s="38">
        <f>AL244/(3.5*I244*1000)*100</f>
        <v>0</v>
      </c>
      <c r="AN244" s="41"/>
      <c r="AO244" s="73"/>
      <c r="AP244" s="41"/>
      <c r="AQ244" s="49">
        <f>SUM(N244:Q244)</f>
        <v>7.85</v>
      </c>
      <c r="AR244" s="41">
        <f>SUM(T244:W244)</f>
        <v>7.8500000000000005</v>
      </c>
      <c r="AS244" s="12">
        <f>SUM(Z244:AB244)</f>
        <v>7.85</v>
      </c>
      <c r="AT244" s="1"/>
      <c r="AU244" s="1">
        <f>I244/AQ244</f>
        <v>1.0003821656050955</v>
      </c>
      <c r="AV244" s="1">
        <f>I244/AR244</f>
        <v>1.0003821656050955</v>
      </c>
      <c r="AW244" s="1">
        <f>I244/AS244</f>
        <v>1.0003821656050955</v>
      </c>
      <c r="AX244" s="1">
        <f>AT244/I269</f>
        <v>0</v>
      </c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</row>
    <row r="245" spans="1:88" s="22" customFormat="1">
      <c r="A245" s="1">
        <v>1297</v>
      </c>
      <c r="B245" s="74" t="s">
        <v>1820</v>
      </c>
      <c r="C245" s="34">
        <v>441</v>
      </c>
      <c r="D245" s="75">
        <v>3534</v>
      </c>
      <c r="E245" s="69">
        <v>100</v>
      </c>
      <c r="F245" s="34" t="s">
        <v>1843</v>
      </c>
      <c r="G245" s="58">
        <v>0</v>
      </c>
      <c r="H245" s="58">
        <v>1041</v>
      </c>
      <c r="I245" s="55">
        <v>1.0409999999999999</v>
      </c>
      <c r="J245" s="34">
        <v>2</v>
      </c>
      <c r="K245" s="34" t="s">
        <v>238</v>
      </c>
      <c r="L245" s="10">
        <v>42187</v>
      </c>
      <c r="M245" s="37" t="s">
        <v>191</v>
      </c>
      <c r="N245" s="38">
        <v>0.7</v>
      </c>
      <c r="O245" s="38">
        <v>0.125</v>
      </c>
      <c r="P245" s="38">
        <v>0.1</v>
      </c>
      <c r="Q245" s="38">
        <v>7.4999999999999997E-2</v>
      </c>
      <c r="R245" s="38">
        <v>2.6577500000000001</v>
      </c>
      <c r="S245" s="38">
        <f t="shared" si="33"/>
        <v>2.5</v>
      </c>
      <c r="T245" s="38">
        <v>1</v>
      </c>
      <c r="U245" s="38">
        <v>0</v>
      </c>
      <c r="V245" s="38">
        <v>0</v>
      </c>
      <c r="W245" s="38">
        <v>0</v>
      </c>
      <c r="X245" s="38">
        <v>3.3399299999999998</v>
      </c>
      <c r="Y245" s="38">
        <f t="shared" si="34"/>
        <v>3.5</v>
      </c>
      <c r="Z245" s="38">
        <v>0</v>
      </c>
      <c r="AA245" s="39">
        <v>0</v>
      </c>
      <c r="AB245" s="38">
        <v>0.99999999999999989</v>
      </c>
      <c r="AC245" s="38">
        <v>1.1204799999999999</v>
      </c>
      <c r="AD245" s="38">
        <v>57.8</v>
      </c>
      <c r="AE245" s="38">
        <v>3.9</v>
      </c>
      <c r="AF245" s="38">
        <v>1.6399066831343492</v>
      </c>
      <c r="AG245" s="38">
        <f t="shared" si="35"/>
        <v>1.6</v>
      </c>
      <c r="AH245" s="38">
        <v>125.57</v>
      </c>
      <c r="AI245" s="38">
        <v>3.4464114175929739</v>
      </c>
      <c r="AJ245" s="38">
        <v>0</v>
      </c>
      <c r="AK245" s="38">
        <v>0</v>
      </c>
      <c r="AL245" s="38">
        <v>0</v>
      </c>
      <c r="AM245" s="38">
        <v>0</v>
      </c>
      <c r="AN245" s="40"/>
      <c r="AO245" s="12"/>
      <c r="AP245" s="1"/>
      <c r="AQ245" s="178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</row>
    <row r="246" spans="1:88" s="22" customFormat="1">
      <c r="A246" s="1">
        <v>210</v>
      </c>
      <c r="B246" s="34" t="s">
        <v>383</v>
      </c>
      <c r="C246" s="34">
        <v>535</v>
      </c>
      <c r="D246" s="34">
        <v>1251</v>
      </c>
      <c r="E246" s="34">
        <v>101</v>
      </c>
      <c r="F246" s="34" t="s">
        <v>404</v>
      </c>
      <c r="G246" s="20">
        <v>0</v>
      </c>
      <c r="H246" s="20">
        <v>30000</v>
      </c>
      <c r="I246" s="35">
        <v>30</v>
      </c>
      <c r="J246" s="36">
        <v>2</v>
      </c>
      <c r="K246" s="34" t="s">
        <v>238</v>
      </c>
      <c r="L246" s="18">
        <v>42210</v>
      </c>
      <c r="M246" s="37" t="s">
        <v>191</v>
      </c>
      <c r="N246" s="38">
        <v>18.68</v>
      </c>
      <c r="O246" s="38">
        <v>6.68</v>
      </c>
      <c r="P246" s="38">
        <v>2.96</v>
      </c>
      <c r="Q246" s="38">
        <v>1.69</v>
      </c>
      <c r="R246" s="38">
        <v>2.5928100000000001</v>
      </c>
      <c r="S246" s="38">
        <f t="shared" si="33"/>
        <v>2.5</v>
      </c>
      <c r="T246" s="38">
        <v>26.56</v>
      </c>
      <c r="U246" s="38">
        <v>2.14</v>
      </c>
      <c r="V246" s="38">
        <v>1.18</v>
      </c>
      <c r="W246" s="38">
        <v>0.13</v>
      </c>
      <c r="X246" s="38">
        <v>5.3227599999999997</v>
      </c>
      <c r="Y246" s="38">
        <f t="shared" si="34"/>
        <v>5.5</v>
      </c>
      <c r="Z246" s="38">
        <v>0</v>
      </c>
      <c r="AA246" s="39">
        <v>0</v>
      </c>
      <c r="AB246" s="38">
        <v>30</v>
      </c>
      <c r="AC246" s="38">
        <v>1.2984800000000001</v>
      </c>
      <c r="AD246" s="38">
        <v>1600</v>
      </c>
      <c r="AE246" s="38">
        <v>242.01</v>
      </c>
      <c r="AF246" s="38">
        <f>(AD246+AE246*0.5)/(3.5*I246*1000)*100</f>
        <v>1.6390523809523809</v>
      </c>
      <c r="AG246" s="38">
        <f t="shared" si="35"/>
        <v>1.6</v>
      </c>
      <c r="AH246" s="38">
        <v>197</v>
      </c>
      <c r="AI246" s="38">
        <f>AH246/(3.5*I246*1000)*100</f>
        <v>0.18761904761904763</v>
      </c>
      <c r="AJ246" s="38">
        <v>743</v>
      </c>
      <c r="AK246" s="38">
        <f>AJ246/(3.5*I246*1000)*100</f>
        <v>0.70761904761904759</v>
      </c>
      <c r="AL246" s="38">
        <v>0</v>
      </c>
      <c r="AM246" s="38">
        <f>AL246/(3.5*I246*1000)*100</f>
        <v>0</v>
      </c>
      <c r="AN246" s="25"/>
      <c r="AO246" s="25"/>
      <c r="AP246" s="25">
        <f>AE246*0.5</f>
        <v>121.005</v>
      </c>
      <c r="AQ246" s="49">
        <f>(AD246+AH246+AJ246+AL246+AP246)*I246</f>
        <v>79830.150000000009</v>
      </c>
      <c r="AR246" s="25"/>
      <c r="AS246" s="25"/>
      <c r="AT246" s="25"/>
      <c r="AU246" s="41">
        <f>SUM(N246:Q246)</f>
        <v>30.01</v>
      </c>
      <c r="AV246" s="41">
        <f>SUM(T246:W246)</f>
        <v>30.009999999999998</v>
      </c>
      <c r="AW246" s="41">
        <f>SUM(Z246:AB246)</f>
        <v>30</v>
      </c>
      <c r="AX246" s="41"/>
      <c r="AY246" s="22">
        <f>I246/AU246</f>
        <v>0.99966677774075308</v>
      </c>
      <c r="AZ246" s="22">
        <f>I246/AV246</f>
        <v>0.99966677774075319</v>
      </c>
      <c r="BA246" s="22">
        <f>I246/AW246</f>
        <v>1</v>
      </c>
    </row>
    <row r="247" spans="1:88" s="22" customFormat="1">
      <c r="A247" s="1">
        <v>2145</v>
      </c>
      <c r="B247" s="34" t="s">
        <v>2780</v>
      </c>
      <c r="C247" s="34">
        <v>327</v>
      </c>
      <c r="D247" s="75">
        <v>4118</v>
      </c>
      <c r="E247" s="8">
        <v>100</v>
      </c>
      <c r="F247" s="9" t="s">
        <v>2786</v>
      </c>
      <c r="G247" s="20">
        <v>0</v>
      </c>
      <c r="H247" s="20">
        <v>45279</v>
      </c>
      <c r="I247" s="21">
        <v>45.279000000000003</v>
      </c>
      <c r="J247" s="9">
        <v>2</v>
      </c>
      <c r="K247" s="9" t="s">
        <v>238</v>
      </c>
      <c r="L247" s="18">
        <v>42135</v>
      </c>
      <c r="M247" s="37" t="s">
        <v>191</v>
      </c>
      <c r="N247" s="38">
        <v>24.375</v>
      </c>
      <c r="O247" s="38">
        <v>13.3</v>
      </c>
      <c r="P247" s="38">
        <v>4.7</v>
      </c>
      <c r="Q247" s="38">
        <v>2.7</v>
      </c>
      <c r="R247" s="38">
        <v>2.7037800000000001</v>
      </c>
      <c r="S247" s="38">
        <f t="shared" si="33"/>
        <v>2.5</v>
      </c>
      <c r="T247" s="38">
        <v>43.075000000000003</v>
      </c>
      <c r="U247" s="38">
        <v>1.7749999999999999</v>
      </c>
      <c r="V247" s="38">
        <v>0.2</v>
      </c>
      <c r="W247" s="38">
        <v>2.5000000000000001E-2</v>
      </c>
      <c r="X247" s="38">
        <v>3.8184999999999998</v>
      </c>
      <c r="Y247" s="38">
        <f t="shared" si="34"/>
        <v>4</v>
      </c>
      <c r="Z247" s="38">
        <v>0</v>
      </c>
      <c r="AA247" s="39">
        <v>0</v>
      </c>
      <c r="AB247" s="38">
        <v>45.075000000000003</v>
      </c>
      <c r="AC247" s="38">
        <v>1.3684099999999999</v>
      </c>
      <c r="AD247" s="38">
        <v>2476</v>
      </c>
      <c r="AE247" s="38">
        <v>230</v>
      </c>
      <c r="AF247" s="38">
        <f>(AD247+AE247*0.5)/(3.5*I247*1000)*100</f>
        <v>1.6349427202140376</v>
      </c>
      <c r="AG247" s="38">
        <f t="shared" si="35"/>
        <v>1.6</v>
      </c>
      <c r="AH247" s="38">
        <v>0</v>
      </c>
      <c r="AI247" s="38">
        <f>AH247/(3.5*I247*1000)*100</f>
        <v>0</v>
      </c>
      <c r="AJ247" s="38">
        <v>1221</v>
      </c>
      <c r="AK247" s="38">
        <f>AJ247/(3.5*I247*1000)*100</f>
        <v>0.77046123557751445</v>
      </c>
      <c r="AL247" s="38">
        <v>0</v>
      </c>
      <c r="AM247" s="38">
        <f>AL247/(3.5*I247*1000)*100</f>
        <v>0</v>
      </c>
      <c r="AN247" s="25"/>
      <c r="AO247" s="25"/>
      <c r="AQ247" s="48"/>
    </row>
    <row r="248" spans="1:88" s="22" customFormat="1">
      <c r="A248" s="1">
        <v>1622</v>
      </c>
      <c r="B248" s="9" t="s">
        <v>2182</v>
      </c>
      <c r="C248" s="9">
        <v>417</v>
      </c>
      <c r="D248" s="8">
        <v>370</v>
      </c>
      <c r="E248" s="9">
        <v>100</v>
      </c>
      <c r="F248" s="9" t="s">
        <v>2190</v>
      </c>
      <c r="G248" s="20" t="s">
        <v>92</v>
      </c>
      <c r="H248" s="20" t="s">
        <v>2191</v>
      </c>
      <c r="I248" s="35">
        <v>2.742</v>
      </c>
      <c r="J248" s="9">
        <v>4</v>
      </c>
      <c r="K248" s="9" t="s">
        <v>237</v>
      </c>
      <c r="L248" s="18">
        <v>42240</v>
      </c>
      <c r="M248" s="37" t="s">
        <v>191</v>
      </c>
      <c r="N248" s="11">
        <v>0.55000000000000004</v>
      </c>
      <c r="O248" s="11">
        <v>0.85</v>
      </c>
      <c r="P248" s="11">
        <v>0.57499999999999996</v>
      </c>
      <c r="Q248" s="11">
        <v>0.8</v>
      </c>
      <c r="R248" s="11">
        <v>4.0570000000000004</v>
      </c>
      <c r="S248" s="38">
        <f t="shared" si="33"/>
        <v>4</v>
      </c>
      <c r="T248" s="11">
        <v>2.4500000000000002</v>
      </c>
      <c r="U248" s="11">
        <v>0.3</v>
      </c>
      <c r="V248" s="11">
        <v>2.5000000000000001E-2</v>
      </c>
      <c r="W248" s="11">
        <v>0</v>
      </c>
      <c r="X248" s="11">
        <v>6.7069999999999999</v>
      </c>
      <c r="Y248" s="38">
        <f t="shared" si="34"/>
        <v>6.5</v>
      </c>
      <c r="Z248" s="11">
        <v>0</v>
      </c>
      <c r="AA248" s="164">
        <v>0</v>
      </c>
      <c r="AB248" s="11">
        <f>SUM(N248:Q248)</f>
        <v>2.7749999999999999</v>
      </c>
      <c r="AC248" s="11">
        <v>1.306</v>
      </c>
      <c r="AD248" s="11">
        <v>154</v>
      </c>
      <c r="AE248" s="11">
        <v>5.55</v>
      </c>
      <c r="AF248" s="11">
        <f>(AD248+AE248*0.5)/(3.5*I248*1000)*100</f>
        <v>1.633583411482755</v>
      </c>
      <c r="AG248" s="38">
        <f t="shared" si="35"/>
        <v>1.6</v>
      </c>
      <c r="AH248" s="11">
        <v>0</v>
      </c>
      <c r="AI248" s="11">
        <f>AH248/(3.5*I248*1000)*100</f>
        <v>0</v>
      </c>
      <c r="AJ248" s="11">
        <v>48.35</v>
      </c>
      <c r="AK248" s="38">
        <f>AJ248/(3.5*I248*1000)*100</f>
        <v>0.50380327185578833</v>
      </c>
      <c r="AL248" s="11">
        <v>0</v>
      </c>
      <c r="AM248" s="38">
        <f>AL248/(3.5*I248*1000)*100</f>
        <v>0</v>
      </c>
      <c r="AN248" s="25">
        <f>IF(G248=G249,1,0)</f>
        <v>0</v>
      </c>
      <c r="AO248" s="25">
        <f>AE248*0.5</f>
        <v>2.7749999999999999</v>
      </c>
      <c r="AP248" s="25">
        <f>(AD248+AH248+AJ248+AL248+AO248)*I248</f>
        <v>562.45275000000004</v>
      </c>
      <c r="AQ248" s="49">
        <f>(AD248+AH248+AJ248+AL248)*I248</f>
        <v>554.84370000000001</v>
      </c>
      <c r="AR248" s="25">
        <f>SUM(N248:Q248)</f>
        <v>2.7749999999999999</v>
      </c>
      <c r="AS248" s="25">
        <f>SUM(T248:W248)</f>
        <v>2.7749999999999999</v>
      </c>
      <c r="AU248" s="41"/>
      <c r="AV248" s="275">
        <v>2.742</v>
      </c>
      <c r="AW248" s="41"/>
      <c r="AX248" s="41"/>
    </row>
    <row r="249" spans="1:88" s="22" customFormat="1">
      <c r="A249" s="1">
        <v>1289</v>
      </c>
      <c r="B249" s="74" t="s">
        <v>1820</v>
      </c>
      <c r="C249" s="34">
        <v>441</v>
      </c>
      <c r="D249" s="75">
        <v>3365</v>
      </c>
      <c r="E249" s="69">
        <v>100</v>
      </c>
      <c r="F249" s="34" t="s">
        <v>1835</v>
      </c>
      <c r="G249" s="58">
        <v>1500</v>
      </c>
      <c r="H249" s="58">
        <v>35107</v>
      </c>
      <c r="I249" s="55">
        <v>33.606999999999999</v>
      </c>
      <c r="J249" s="34">
        <v>2</v>
      </c>
      <c r="K249" s="34" t="s">
        <v>12</v>
      </c>
      <c r="L249" s="10">
        <v>42184</v>
      </c>
      <c r="M249" s="37" t="s">
        <v>191</v>
      </c>
      <c r="N249" s="38">
        <v>17.574999999999999</v>
      </c>
      <c r="O249" s="38">
        <v>8.9</v>
      </c>
      <c r="P249" s="38">
        <v>4.5</v>
      </c>
      <c r="Q249" s="38">
        <v>2.35</v>
      </c>
      <c r="R249" s="38">
        <v>2.8132899999999998</v>
      </c>
      <c r="S249" s="38">
        <f t="shared" si="33"/>
        <v>3</v>
      </c>
      <c r="T249" s="38">
        <v>31.6</v>
      </c>
      <c r="U249" s="38">
        <v>1.1499999999999999</v>
      </c>
      <c r="V249" s="38">
        <v>0.52500000000000002</v>
      </c>
      <c r="W249" s="38">
        <v>0.05</v>
      </c>
      <c r="X249" s="38">
        <v>3.8947500000000002</v>
      </c>
      <c r="Y249" s="38">
        <f t="shared" si="34"/>
        <v>4</v>
      </c>
      <c r="Z249" s="38">
        <v>0</v>
      </c>
      <c r="AA249" s="39">
        <v>0</v>
      </c>
      <c r="AB249" s="38">
        <v>33.325000000000003</v>
      </c>
      <c r="AC249" s="38">
        <v>1.18485</v>
      </c>
      <c r="AD249" s="38">
        <v>1877</v>
      </c>
      <c r="AE249" s="38">
        <v>42</v>
      </c>
      <c r="AF249" s="38">
        <v>1.6136094096042917</v>
      </c>
      <c r="AG249" s="38">
        <f t="shared" si="35"/>
        <v>1.6</v>
      </c>
      <c r="AH249" s="38">
        <v>114</v>
      </c>
      <c r="AI249" s="38">
        <v>9.6918584138508568E-2</v>
      </c>
      <c r="AJ249" s="38">
        <v>0</v>
      </c>
      <c r="AK249" s="38">
        <v>0</v>
      </c>
      <c r="AL249" s="38">
        <v>5</v>
      </c>
      <c r="AM249" s="38">
        <v>5</v>
      </c>
      <c r="AN249" s="40"/>
      <c r="AO249" s="12"/>
      <c r="AP249" s="1"/>
      <c r="AQ249" s="178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</row>
    <row r="250" spans="1:88" s="22" customFormat="1">
      <c r="A250" s="1">
        <v>478</v>
      </c>
      <c r="B250" s="74" t="s">
        <v>780</v>
      </c>
      <c r="C250" s="34">
        <v>515</v>
      </c>
      <c r="D250" s="34">
        <v>2475</v>
      </c>
      <c r="E250" s="34">
        <v>100</v>
      </c>
      <c r="F250" s="34" t="s">
        <v>819</v>
      </c>
      <c r="G250" s="34" t="s">
        <v>92</v>
      </c>
      <c r="H250" s="34" t="s">
        <v>820</v>
      </c>
      <c r="I250" s="55">
        <v>1.6830000000000001</v>
      </c>
      <c r="J250" s="5" t="s">
        <v>238</v>
      </c>
      <c r="K250" s="34">
        <v>2</v>
      </c>
      <c r="L250" s="10">
        <v>42268</v>
      </c>
      <c r="M250" s="37" t="s">
        <v>191</v>
      </c>
      <c r="N250" s="38">
        <v>0.62</v>
      </c>
      <c r="O250" s="38">
        <v>0.62</v>
      </c>
      <c r="P250" s="38">
        <v>0.19</v>
      </c>
      <c r="Q250" s="38">
        <v>0.26</v>
      </c>
      <c r="R250" s="38">
        <v>3.52826</v>
      </c>
      <c r="S250" s="38">
        <f t="shared" si="33"/>
        <v>3.5</v>
      </c>
      <c r="T250" s="38">
        <v>1.61</v>
      </c>
      <c r="U250" s="38">
        <v>7.0000000000000007E-2</v>
      </c>
      <c r="V250" s="38">
        <v>0</v>
      </c>
      <c r="W250" s="38">
        <v>0</v>
      </c>
      <c r="X250" s="38">
        <v>4.4547400000000001</v>
      </c>
      <c r="Y250" s="38">
        <f t="shared" si="34"/>
        <v>4.5</v>
      </c>
      <c r="Z250" s="38">
        <v>0</v>
      </c>
      <c r="AA250" s="39">
        <v>0</v>
      </c>
      <c r="AB250" s="38">
        <v>1.155</v>
      </c>
      <c r="AC250" s="38">
        <v>1.43059</v>
      </c>
      <c r="AD250" s="38">
        <v>88.64</v>
      </c>
      <c r="AE250" s="38">
        <v>12.686999999999999</v>
      </c>
      <c r="AF250" s="38">
        <f>(AD250+AE250*0.5)/(3.5*I250*1000)*100</f>
        <v>1.6124862066038539</v>
      </c>
      <c r="AG250" s="38">
        <f t="shared" si="35"/>
        <v>1.6</v>
      </c>
      <c r="AH250" s="38">
        <v>65.98</v>
      </c>
      <c r="AI250" s="38">
        <f>AH250/(3.5*I250*1000)*100</f>
        <v>1.1201086495204142</v>
      </c>
      <c r="AJ250" s="38">
        <v>0</v>
      </c>
      <c r="AK250" s="38">
        <f>AJ250/(3.5*I250*1000)*100</f>
        <v>0</v>
      </c>
      <c r="AL250" s="38">
        <v>0</v>
      </c>
      <c r="AM250" s="38">
        <f>AL250/(3.5*I250*1000)*100</f>
        <v>0</v>
      </c>
      <c r="AN250" s="41"/>
      <c r="AO250" s="41"/>
      <c r="AP250" s="114"/>
      <c r="AQ250" s="48"/>
      <c r="AR250" s="73"/>
      <c r="AS250" s="73"/>
    </row>
    <row r="251" spans="1:88" s="22" customFormat="1">
      <c r="A251" s="1">
        <v>687</v>
      </c>
      <c r="B251" s="34" t="s">
        <v>1084</v>
      </c>
      <c r="C251" s="34">
        <v>624</v>
      </c>
      <c r="D251" s="34">
        <v>2270</v>
      </c>
      <c r="E251" s="34">
        <v>100</v>
      </c>
      <c r="F251" s="34" t="s">
        <v>1097</v>
      </c>
      <c r="G251" s="58">
        <v>0</v>
      </c>
      <c r="H251" s="58">
        <v>17750</v>
      </c>
      <c r="I251" s="35">
        <v>17.75</v>
      </c>
      <c r="J251" s="127">
        <v>2</v>
      </c>
      <c r="K251" s="34" t="s">
        <v>238</v>
      </c>
      <c r="L251" s="10">
        <v>42170</v>
      </c>
      <c r="M251" s="37" t="s">
        <v>191</v>
      </c>
      <c r="N251" s="38">
        <v>10.199999999999999</v>
      </c>
      <c r="O251" s="38">
        <v>3.2</v>
      </c>
      <c r="P251" s="38">
        <v>2.25</v>
      </c>
      <c r="Q251" s="38">
        <v>2.0499999999999998</v>
      </c>
      <c r="R251" s="38">
        <v>2.9622600000000001</v>
      </c>
      <c r="S251" s="38">
        <f t="shared" si="33"/>
        <v>3</v>
      </c>
      <c r="T251" s="38">
        <v>16</v>
      </c>
      <c r="U251" s="38">
        <v>1.45</v>
      </c>
      <c r="V251" s="38">
        <v>0.2</v>
      </c>
      <c r="W251" s="38">
        <v>2.5000000000000001E-2</v>
      </c>
      <c r="X251" s="38">
        <v>5.6189400000000003</v>
      </c>
      <c r="Y251" s="38">
        <f t="shared" si="34"/>
        <v>5.5</v>
      </c>
      <c r="Z251" s="38">
        <v>0</v>
      </c>
      <c r="AA251" s="39">
        <v>0</v>
      </c>
      <c r="AB251" s="38">
        <f>N251+O251+P251+Q251</f>
        <v>17.7</v>
      </c>
      <c r="AC251" s="38">
        <v>1.3929800000000001</v>
      </c>
      <c r="AD251" s="38">
        <v>949.84</v>
      </c>
      <c r="AE251" s="38">
        <v>68.62</v>
      </c>
      <c r="AF251" s="38">
        <v>1.5841400000000001</v>
      </c>
      <c r="AG251" s="38">
        <f t="shared" si="35"/>
        <v>1.6</v>
      </c>
      <c r="AH251" s="38">
        <v>1620.13</v>
      </c>
      <c r="AI251" s="38">
        <v>2.6078600000000001</v>
      </c>
      <c r="AJ251" s="38">
        <v>1108.9000000000001</v>
      </c>
      <c r="AK251" s="38">
        <v>1.78495</v>
      </c>
      <c r="AL251" s="38">
        <v>69.739999999999995</v>
      </c>
      <c r="AM251" s="38">
        <v>0.11226</v>
      </c>
      <c r="AN251" s="25"/>
      <c r="AO251" s="25">
        <f>AE251*0.5</f>
        <v>34.31</v>
      </c>
      <c r="AP251" s="25">
        <f>(AD251+AH251+AJ251+AL251+AO251)*I251</f>
        <v>67146.83</v>
      </c>
      <c r="AQ251" s="49">
        <f>SUM(N251:Q251)</f>
        <v>17.7</v>
      </c>
      <c r="AR251" s="25">
        <f>SUM(T251:W251)</f>
        <v>17.674999999999997</v>
      </c>
      <c r="AT251" s="41"/>
      <c r="AU251" s="41"/>
      <c r="AV251" s="41"/>
      <c r="AW251" s="41"/>
    </row>
    <row r="252" spans="1:88" s="22" customFormat="1">
      <c r="A252" s="1">
        <v>2056</v>
      </c>
      <c r="B252" s="34" t="s">
        <v>2697</v>
      </c>
      <c r="C252" s="34">
        <v>328</v>
      </c>
      <c r="D252" s="75">
        <v>4143</v>
      </c>
      <c r="E252" s="8">
        <v>100</v>
      </c>
      <c r="F252" s="34" t="s">
        <v>2703</v>
      </c>
      <c r="G252" s="58">
        <v>0</v>
      </c>
      <c r="H252" s="58">
        <v>29895</v>
      </c>
      <c r="I252" s="21">
        <v>29.895</v>
      </c>
      <c r="J252" s="8">
        <v>2</v>
      </c>
      <c r="K252" s="8" t="s">
        <v>238</v>
      </c>
      <c r="L252" s="18">
        <v>42119</v>
      </c>
      <c r="M252" s="37" t="s">
        <v>191</v>
      </c>
      <c r="N252" s="38">
        <v>19.7</v>
      </c>
      <c r="O252" s="38">
        <v>5.125</v>
      </c>
      <c r="P252" s="38">
        <v>2.9750000000000001</v>
      </c>
      <c r="Q252" s="38">
        <v>1.9750000000000001</v>
      </c>
      <c r="R252" s="38">
        <v>2.4944000000000002</v>
      </c>
      <c r="S252" s="38">
        <f t="shared" si="33"/>
        <v>2.5</v>
      </c>
      <c r="T252" s="38">
        <v>29.05</v>
      </c>
      <c r="U252" s="38">
        <v>0.57499999999999996</v>
      </c>
      <c r="V252" s="38">
        <v>0.125</v>
      </c>
      <c r="W252" s="38">
        <v>2.5000000000000001E-2</v>
      </c>
      <c r="X252" s="38">
        <v>2.9998100000000001</v>
      </c>
      <c r="Y252" s="38">
        <f t="shared" si="34"/>
        <v>3</v>
      </c>
      <c r="Z252" s="38">
        <v>0</v>
      </c>
      <c r="AA252" s="39">
        <v>0</v>
      </c>
      <c r="AB252" s="38">
        <v>29.775000000000002</v>
      </c>
      <c r="AC252" s="38">
        <v>1.45444</v>
      </c>
      <c r="AD252" s="38">
        <v>1501.75</v>
      </c>
      <c r="AE252" s="38">
        <v>304.79000000000002</v>
      </c>
      <c r="AF252" s="38">
        <v>1.58090937328268</v>
      </c>
      <c r="AG252" s="38">
        <f t="shared" si="35"/>
        <v>1.6</v>
      </c>
      <c r="AH252" s="38">
        <v>128.86000000000001</v>
      </c>
      <c r="AI252" s="38">
        <v>0.12315485150407379</v>
      </c>
      <c r="AJ252" s="38">
        <v>12.18</v>
      </c>
      <c r="AK252" s="38">
        <v>1.1640742599096839E-2</v>
      </c>
      <c r="AL252" s="38">
        <v>2</v>
      </c>
      <c r="AM252" s="38">
        <f>AL252/(3.5*I252*1000)*100</f>
        <v>1.9114519867154086E-3</v>
      </c>
      <c r="AN252" s="72"/>
      <c r="AO252" s="41"/>
      <c r="AP252" s="41"/>
      <c r="AQ252" s="48"/>
      <c r="AR252" s="73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</row>
    <row r="253" spans="1:88" s="22" customFormat="1">
      <c r="A253" s="1">
        <v>1729</v>
      </c>
      <c r="B253" s="34" t="s">
        <v>2324</v>
      </c>
      <c r="C253" s="34">
        <v>423</v>
      </c>
      <c r="D253" s="8">
        <v>317</v>
      </c>
      <c r="E253" s="88">
        <v>101</v>
      </c>
      <c r="F253" s="34" t="s">
        <v>2325</v>
      </c>
      <c r="G253" s="58">
        <v>10000</v>
      </c>
      <c r="H253" s="58">
        <v>0</v>
      </c>
      <c r="I253" s="35">
        <v>10</v>
      </c>
      <c r="J253" s="9">
        <v>4</v>
      </c>
      <c r="K253" s="88" t="s">
        <v>96</v>
      </c>
      <c r="L253" s="116">
        <v>42234</v>
      </c>
      <c r="M253" s="37" t="s">
        <v>191</v>
      </c>
      <c r="N253" s="38">
        <v>5.4</v>
      </c>
      <c r="O253" s="38">
        <v>2.9249999999999998</v>
      </c>
      <c r="P253" s="38">
        <v>1.425</v>
      </c>
      <c r="Q253" s="38">
        <v>0.25</v>
      </c>
      <c r="R253" s="38">
        <v>2.7399399999999998</v>
      </c>
      <c r="S253" s="38">
        <f t="shared" si="33"/>
        <v>2.5</v>
      </c>
      <c r="T253" s="38">
        <v>9.4749999999999996</v>
      </c>
      <c r="U253" s="38">
        <v>0.5</v>
      </c>
      <c r="V253" s="38">
        <v>0</v>
      </c>
      <c r="W253" s="38">
        <v>2.5000000000000001E-2</v>
      </c>
      <c r="X253" s="38">
        <v>7.0833700000000004</v>
      </c>
      <c r="Y253" s="38">
        <f t="shared" si="34"/>
        <v>7</v>
      </c>
      <c r="Z253" s="38">
        <v>0</v>
      </c>
      <c r="AA253" s="254">
        <v>0</v>
      </c>
      <c r="AB253" s="35">
        <v>10</v>
      </c>
      <c r="AC253" s="117">
        <v>1.19814</v>
      </c>
      <c r="AD253" s="38">
        <v>467.28</v>
      </c>
      <c r="AE253" s="38">
        <v>171.91</v>
      </c>
      <c r="AF253" s="38">
        <v>1.58067</v>
      </c>
      <c r="AG253" s="38">
        <f t="shared" si="35"/>
        <v>1.6</v>
      </c>
      <c r="AH253" s="38">
        <v>7839.71</v>
      </c>
      <c r="AI253" s="38">
        <v>22.3992</v>
      </c>
      <c r="AJ253" s="38">
        <f>1275+8917.33</f>
        <v>10192.33</v>
      </c>
      <c r="AK253" s="38">
        <f>AJ253/(3.5*I253*1000)*100</f>
        <v>29.120942857142857</v>
      </c>
      <c r="AL253" s="38">
        <v>0</v>
      </c>
      <c r="AM253" s="38">
        <v>0</v>
      </c>
      <c r="AN253" s="12"/>
      <c r="AO253" s="12">
        <f>AE253*0.5</f>
        <v>85.954999999999998</v>
      </c>
      <c r="AP253" s="12">
        <f>(AD253+AH253+AJ253+AL253+AO253)*I253</f>
        <v>185852.75</v>
      </c>
      <c r="AQ253" s="269">
        <f>SUM(N253:Q253)</f>
        <v>10</v>
      </c>
      <c r="AR253" s="136">
        <f>SUM(T253:W253)</f>
        <v>10</v>
      </c>
      <c r="AS253" s="1"/>
      <c r="AT253" s="41"/>
      <c r="AU253" s="41"/>
      <c r="AV253" s="41"/>
      <c r="AW253" s="4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</row>
    <row r="254" spans="1:88" s="22" customFormat="1">
      <c r="A254" s="1">
        <v>261</v>
      </c>
      <c r="B254" s="34" t="s">
        <v>265</v>
      </c>
      <c r="C254" s="34">
        <v>539</v>
      </c>
      <c r="D254" s="34">
        <v>1170</v>
      </c>
      <c r="E254" s="34">
        <v>100</v>
      </c>
      <c r="F254" s="34" t="s">
        <v>285</v>
      </c>
      <c r="G254" s="20" t="s">
        <v>92</v>
      </c>
      <c r="H254" s="20" t="s">
        <v>286</v>
      </c>
      <c r="I254" s="35">
        <v>14.62</v>
      </c>
      <c r="J254" s="36">
        <v>2</v>
      </c>
      <c r="K254" s="34" t="s">
        <v>269</v>
      </c>
      <c r="L254" s="10">
        <v>42212</v>
      </c>
      <c r="M254" s="37" t="s">
        <v>191</v>
      </c>
      <c r="N254" s="38">
        <v>5.83</v>
      </c>
      <c r="O254" s="38">
        <v>5.23</v>
      </c>
      <c r="P254" s="38">
        <v>2.2599999999999998</v>
      </c>
      <c r="Q254" s="38">
        <v>1.31</v>
      </c>
      <c r="R254" s="38">
        <v>3.0769899999999999</v>
      </c>
      <c r="S254" s="38">
        <f t="shared" si="33"/>
        <v>3</v>
      </c>
      <c r="T254" s="38">
        <v>12.36</v>
      </c>
      <c r="U254" s="38">
        <v>1.36</v>
      </c>
      <c r="V254" s="38">
        <v>0.57999999999999996</v>
      </c>
      <c r="W254" s="38">
        <v>0.33</v>
      </c>
      <c r="X254" s="38">
        <v>6.6578400000000002</v>
      </c>
      <c r="Y254" s="38">
        <f t="shared" si="34"/>
        <v>6.5</v>
      </c>
      <c r="Z254" s="38">
        <v>0</v>
      </c>
      <c r="AA254" s="39">
        <v>0</v>
      </c>
      <c r="AB254" s="38">
        <v>14.62</v>
      </c>
      <c r="AC254" s="38">
        <v>1.09253</v>
      </c>
      <c r="AD254" s="38">
        <v>793</v>
      </c>
      <c r="AE254" s="38">
        <v>17.170000000000002</v>
      </c>
      <c r="AF254" s="38">
        <v>1.5665135821770573</v>
      </c>
      <c r="AG254" s="38">
        <f t="shared" si="35"/>
        <v>1.6</v>
      </c>
      <c r="AH254" s="38">
        <v>2</v>
      </c>
      <c r="AI254" s="38">
        <v>3.9085401602501476E-3</v>
      </c>
      <c r="AJ254" s="38">
        <v>434</v>
      </c>
      <c r="AK254" s="38">
        <v>0.84815321477428196</v>
      </c>
      <c r="AL254" s="38">
        <v>0</v>
      </c>
      <c r="AM254" s="38">
        <v>0</v>
      </c>
      <c r="AN254" s="56"/>
      <c r="AO254" s="56"/>
      <c r="AP254" s="25">
        <f>SUM(N254:Q254)</f>
        <v>14.63</v>
      </c>
      <c r="AQ254" s="49">
        <f>SUM(T254:W254)</f>
        <v>14.629999999999999</v>
      </c>
      <c r="AS254" s="41"/>
      <c r="AT254" s="41"/>
      <c r="AU254" s="41"/>
      <c r="AV254" s="41">
        <f>SUM(N254:Q254)</f>
        <v>14.63</v>
      </c>
      <c r="AW254" s="41">
        <f>SUM(T254:W254)</f>
        <v>14.629999999999999</v>
      </c>
      <c r="AX254" s="41">
        <f>SUM(Z254:AB254)</f>
        <v>14.62</v>
      </c>
      <c r="AZ254" s="22">
        <f>I254/AV254</f>
        <v>0.99931647300068338</v>
      </c>
      <c r="BA254" s="22">
        <f>I254/AW254</f>
        <v>0.99931647300068349</v>
      </c>
      <c r="BB254" s="22">
        <f>I254/AX254</f>
        <v>1</v>
      </c>
    </row>
    <row r="255" spans="1:88" s="22" customFormat="1">
      <c r="A255" s="1">
        <v>2144</v>
      </c>
      <c r="B255" s="34" t="s">
        <v>2780</v>
      </c>
      <c r="C255" s="34">
        <v>327</v>
      </c>
      <c r="D255" s="75">
        <v>4090</v>
      </c>
      <c r="E255" s="8">
        <v>100</v>
      </c>
      <c r="F255" s="9" t="s">
        <v>2785</v>
      </c>
      <c r="G255" s="20">
        <v>0</v>
      </c>
      <c r="H255" s="20">
        <v>13963</v>
      </c>
      <c r="I255" s="21">
        <v>13.962999999999999</v>
      </c>
      <c r="J255" s="9">
        <v>2</v>
      </c>
      <c r="K255" s="9" t="s">
        <v>238</v>
      </c>
      <c r="L255" s="18">
        <v>42135</v>
      </c>
      <c r="M255" s="37" t="s">
        <v>191</v>
      </c>
      <c r="N255" s="38">
        <v>5.4249999999999998</v>
      </c>
      <c r="O255" s="38">
        <v>4.7249999999999996</v>
      </c>
      <c r="P255" s="38">
        <v>2.65</v>
      </c>
      <c r="Q255" s="38">
        <v>1.175</v>
      </c>
      <c r="R255" s="38">
        <v>3.1149399999999998</v>
      </c>
      <c r="S255" s="38">
        <f t="shared" si="33"/>
        <v>3</v>
      </c>
      <c r="T255" s="38">
        <v>13.175000000000001</v>
      </c>
      <c r="U255" s="38">
        <v>0.625</v>
      </c>
      <c r="V255" s="38">
        <v>0.125</v>
      </c>
      <c r="W255" s="38">
        <v>0.05</v>
      </c>
      <c r="X255" s="38">
        <v>4.0747900000000001</v>
      </c>
      <c r="Y255" s="38">
        <f t="shared" si="34"/>
        <v>4</v>
      </c>
      <c r="Z255" s="38">
        <v>0</v>
      </c>
      <c r="AA255" s="39">
        <v>0</v>
      </c>
      <c r="AB255" s="38">
        <v>13.975</v>
      </c>
      <c r="AC255" s="38">
        <v>1.2237800000000001</v>
      </c>
      <c r="AD255" s="38">
        <v>657</v>
      </c>
      <c r="AE255" s="38">
        <v>215</v>
      </c>
      <c r="AF255" s="38">
        <f>(AD255+AE255*0.5)/(3.5*I255*1000)*100</f>
        <v>1.5643384045589874</v>
      </c>
      <c r="AG255" s="38">
        <f t="shared" si="35"/>
        <v>1.6</v>
      </c>
      <c r="AH255" s="38">
        <v>2</v>
      </c>
      <c r="AI255" s="38">
        <f t="shared" ref="AI255:AI260" si="38">AH255/(3.5*I255*1000)*100</f>
        <v>4.0924484095722366E-3</v>
      </c>
      <c r="AJ255" s="38">
        <v>42</v>
      </c>
      <c r="AK255" s="38">
        <f t="shared" ref="AK255:AK260" si="39">AJ255/(3.5*I255*1000)*100</f>
        <v>8.5941416601016979E-2</v>
      </c>
      <c r="AL255" s="38">
        <v>0</v>
      </c>
      <c r="AM255" s="38">
        <f t="shared" ref="AM255:AM260" si="40">AL255/(3.5*I255*1000)*100</f>
        <v>0</v>
      </c>
      <c r="AN255" s="25"/>
      <c r="AO255" s="25"/>
    </row>
    <row r="256" spans="1:88" s="22" customFormat="1">
      <c r="A256" s="1">
        <v>2148</v>
      </c>
      <c r="B256" s="34" t="s">
        <v>2780</v>
      </c>
      <c r="C256" s="34">
        <v>327</v>
      </c>
      <c r="D256" s="75">
        <v>4283</v>
      </c>
      <c r="E256" s="8">
        <v>100</v>
      </c>
      <c r="F256" s="9" t="s">
        <v>2788</v>
      </c>
      <c r="G256" s="20">
        <v>1842</v>
      </c>
      <c r="H256" s="20">
        <v>0</v>
      </c>
      <c r="I256" s="21">
        <v>1.8420000000000001</v>
      </c>
      <c r="J256" s="9">
        <v>4</v>
      </c>
      <c r="K256" s="9" t="s">
        <v>96</v>
      </c>
      <c r="L256" s="18">
        <v>42135</v>
      </c>
      <c r="M256" s="37" t="s">
        <v>191</v>
      </c>
      <c r="N256" s="38">
        <v>0.72499999999999998</v>
      </c>
      <c r="O256" s="38">
        <v>0.22500000000000001</v>
      </c>
      <c r="P256" s="38">
        <v>0.32500000000000001</v>
      </c>
      <c r="Q256" s="38">
        <v>0.22500000000000001</v>
      </c>
      <c r="R256" s="38">
        <v>2.9649999999999999</v>
      </c>
      <c r="S256" s="38">
        <f t="shared" si="33"/>
        <v>3</v>
      </c>
      <c r="T256" s="38">
        <v>1.45</v>
      </c>
      <c r="U256" s="38">
        <v>2.5000000000000001E-2</v>
      </c>
      <c r="V256" s="38">
        <v>2.5000000000000001E-2</v>
      </c>
      <c r="W256" s="38">
        <v>0</v>
      </c>
      <c r="X256" s="38">
        <v>3.1498200000000001</v>
      </c>
      <c r="Y256" s="38">
        <f t="shared" si="34"/>
        <v>3</v>
      </c>
      <c r="Z256" s="38">
        <v>0</v>
      </c>
      <c r="AA256" s="39">
        <v>0</v>
      </c>
      <c r="AB256" s="38">
        <v>1.5</v>
      </c>
      <c r="AC256" s="38">
        <v>0.97796700000000003</v>
      </c>
      <c r="AD256" s="38">
        <v>98.66</v>
      </c>
      <c r="AE256" s="38">
        <v>4.0199999999999996</v>
      </c>
      <c r="AF256" s="38">
        <f>(AD256+AE256*0.5)/(3.5*I256*1000)*100</f>
        <v>1.5615014735535908</v>
      </c>
      <c r="AG256" s="38">
        <f t="shared" si="35"/>
        <v>1.6</v>
      </c>
      <c r="AH256" s="38">
        <v>63.58</v>
      </c>
      <c r="AI256" s="38">
        <f t="shared" si="38"/>
        <v>0.98619512951760513</v>
      </c>
      <c r="AJ256" s="38">
        <v>0</v>
      </c>
      <c r="AK256" s="38">
        <f t="shared" si="39"/>
        <v>0</v>
      </c>
      <c r="AL256" s="38">
        <v>1.0580000000000001</v>
      </c>
      <c r="AM256" s="38">
        <f t="shared" si="40"/>
        <v>1.6410733674577321E-2</v>
      </c>
      <c r="AN256" s="25"/>
      <c r="AO256" s="25"/>
    </row>
    <row r="257" spans="1:88" s="22" customFormat="1">
      <c r="A257" s="1">
        <v>1413</v>
      </c>
      <c r="B257" s="34" t="s">
        <v>1957</v>
      </c>
      <c r="C257" s="34">
        <v>447</v>
      </c>
      <c r="D257" s="75">
        <v>3213</v>
      </c>
      <c r="E257" s="69">
        <v>200</v>
      </c>
      <c r="F257" s="184" t="s">
        <v>1968</v>
      </c>
      <c r="G257" s="20">
        <v>41101</v>
      </c>
      <c r="H257" s="20">
        <v>32068</v>
      </c>
      <c r="I257" s="21">
        <v>9.0329999999999995</v>
      </c>
      <c r="J257" s="8">
        <v>2</v>
      </c>
      <c r="K257" s="34" t="s">
        <v>12</v>
      </c>
      <c r="L257" s="10">
        <v>42215</v>
      </c>
      <c r="M257" s="37" t="s">
        <v>191</v>
      </c>
      <c r="N257" s="38">
        <v>5.7</v>
      </c>
      <c r="O257" s="38">
        <f>2.6/2</f>
        <v>1.3</v>
      </c>
      <c r="P257" s="38">
        <v>0.625</v>
      </c>
      <c r="Q257" s="38">
        <v>2.5000000000000001E-2</v>
      </c>
      <c r="R257" s="38">
        <v>2.4294699999999998</v>
      </c>
      <c r="S257" s="38">
        <f t="shared" si="33"/>
        <v>2.5</v>
      </c>
      <c r="T257" s="38">
        <v>8.85</v>
      </c>
      <c r="U257" s="38">
        <v>7.4999999999999997E-2</v>
      </c>
      <c r="V257" s="38">
        <v>0</v>
      </c>
      <c r="W257" s="38">
        <v>2.5000000000000001E-2</v>
      </c>
      <c r="X257" s="38">
        <v>2.6190199999999999</v>
      </c>
      <c r="Y257" s="38">
        <f t="shared" si="34"/>
        <v>2.5</v>
      </c>
      <c r="Z257" s="38">
        <v>0</v>
      </c>
      <c r="AA257" s="39">
        <v>0</v>
      </c>
      <c r="AB257" s="38">
        <v>7.65</v>
      </c>
      <c r="AC257" s="38">
        <v>1.09575</v>
      </c>
      <c r="AD257" s="38">
        <v>0</v>
      </c>
      <c r="AE257" s="38">
        <v>983</v>
      </c>
      <c r="AF257" s="38">
        <v>1.5546171972608376</v>
      </c>
      <c r="AG257" s="38">
        <f t="shared" si="35"/>
        <v>1.6</v>
      </c>
      <c r="AH257" s="38">
        <v>0</v>
      </c>
      <c r="AI257" s="38">
        <f t="shared" si="38"/>
        <v>0</v>
      </c>
      <c r="AJ257" s="38">
        <v>0</v>
      </c>
      <c r="AK257" s="38">
        <f t="shared" si="39"/>
        <v>0</v>
      </c>
      <c r="AL257" s="38">
        <v>0</v>
      </c>
      <c r="AM257" s="38">
        <f t="shared" si="40"/>
        <v>0</v>
      </c>
      <c r="AN257" s="41"/>
    </row>
    <row r="258" spans="1:88" s="22" customFormat="1">
      <c r="A258" s="1">
        <v>11</v>
      </c>
      <c r="B258" s="4" t="s">
        <v>8</v>
      </c>
      <c r="C258" s="14">
        <v>521</v>
      </c>
      <c r="D258" s="19">
        <v>1010</v>
      </c>
      <c r="E258" s="16">
        <v>100</v>
      </c>
      <c r="F258" s="14" t="s">
        <v>13</v>
      </c>
      <c r="G258" s="20">
        <v>2140</v>
      </c>
      <c r="H258" s="20">
        <v>0</v>
      </c>
      <c r="I258" s="21">
        <v>2.14</v>
      </c>
      <c r="J258" s="8">
        <v>2</v>
      </c>
      <c r="K258" s="9" t="s">
        <v>12</v>
      </c>
      <c r="L258" s="18">
        <v>42232</v>
      </c>
      <c r="M258" s="37" t="s">
        <v>191</v>
      </c>
      <c r="N258" s="11">
        <v>1.675</v>
      </c>
      <c r="O258" s="11">
        <v>0.375</v>
      </c>
      <c r="P258" s="11">
        <v>0.125</v>
      </c>
      <c r="Q258" s="11">
        <v>0</v>
      </c>
      <c r="R258" s="11">
        <v>2.2637200000000002</v>
      </c>
      <c r="S258" s="38">
        <f t="shared" si="33"/>
        <v>2.5</v>
      </c>
      <c r="T258" s="11">
        <v>2.1749999999999998</v>
      </c>
      <c r="U258" s="11">
        <v>0</v>
      </c>
      <c r="V258" s="11">
        <v>0</v>
      </c>
      <c r="W258" s="11">
        <v>0</v>
      </c>
      <c r="X258" s="11">
        <v>1.1240000000000001</v>
      </c>
      <c r="Y258" s="38">
        <f t="shared" si="34"/>
        <v>1</v>
      </c>
      <c r="Z258" s="11">
        <v>0</v>
      </c>
      <c r="AA258" s="164">
        <v>0</v>
      </c>
      <c r="AB258" s="11">
        <v>2.1749999999999998</v>
      </c>
      <c r="AC258" s="11">
        <v>1.0209999999999999</v>
      </c>
      <c r="AD258" s="11">
        <v>36.94</v>
      </c>
      <c r="AE258" s="11">
        <v>158.13999999999999</v>
      </c>
      <c r="AF258" s="11">
        <f>(AD258+AE258*0.5)/(3.5*I258*1000)*100</f>
        <v>1.5488651535380507</v>
      </c>
      <c r="AG258" s="38">
        <f t="shared" si="35"/>
        <v>1.5</v>
      </c>
      <c r="AH258" s="11">
        <v>9.6</v>
      </c>
      <c r="AI258" s="11">
        <f t="shared" si="38"/>
        <v>0.12817089452603472</v>
      </c>
      <c r="AJ258" s="11">
        <v>0</v>
      </c>
      <c r="AK258" s="11">
        <f t="shared" si="39"/>
        <v>0</v>
      </c>
      <c r="AL258" s="11">
        <v>0</v>
      </c>
      <c r="AM258" s="11">
        <f t="shared" si="40"/>
        <v>0</v>
      </c>
      <c r="AQ258" s="12">
        <f>N258+O258+P258+Q258</f>
        <v>2.1749999999999998</v>
      </c>
      <c r="AR258" s="12">
        <f>T258+U258+V258+W258</f>
        <v>2.1749999999999998</v>
      </c>
      <c r="AS258" s="12">
        <f>Z258+AA258+AB258</f>
        <v>2.1749999999999998</v>
      </c>
      <c r="AU258" s="22">
        <v>1.0163551401869158</v>
      </c>
      <c r="AV258" s="22">
        <v>1.0163551401869158</v>
      </c>
      <c r="AW258" s="22">
        <v>1.0163551401869158</v>
      </c>
    </row>
    <row r="259" spans="1:88" s="22" customFormat="1">
      <c r="A259" s="1">
        <v>1452</v>
      </c>
      <c r="B259" s="34" t="s">
        <v>1987</v>
      </c>
      <c r="C259" s="34">
        <v>448</v>
      </c>
      <c r="D259" s="75">
        <v>3027</v>
      </c>
      <c r="E259" s="69">
        <v>200</v>
      </c>
      <c r="F259" s="34" t="s">
        <v>2002</v>
      </c>
      <c r="G259" s="20">
        <v>17436</v>
      </c>
      <c r="H259" s="20">
        <v>15900</v>
      </c>
      <c r="I259" s="21">
        <v>1.536</v>
      </c>
      <c r="J259" s="8">
        <v>2</v>
      </c>
      <c r="K259" s="34" t="s">
        <v>12</v>
      </c>
      <c r="L259" s="10">
        <v>42181</v>
      </c>
      <c r="M259" s="37" t="s">
        <v>191</v>
      </c>
      <c r="N259" s="38">
        <v>0.875</v>
      </c>
      <c r="O259" s="38">
        <v>0.42499999999999999</v>
      </c>
      <c r="P259" s="38">
        <v>0.1</v>
      </c>
      <c r="Q259" s="38">
        <v>0.15</v>
      </c>
      <c r="R259" s="38">
        <v>2.7885499999999999</v>
      </c>
      <c r="S259" s="38">
        <f t="shared" ref="S259:S322" si="41">ROUND(R259/5,1)*5</f>
        <v>3</v>
      </c>
      <c r="T259" s="38">
        <v>1.175</v>
      </c>
      <c r="U259" s="38">
        <v>0.375</v>
      </c>
      <c r="V259" s="38">
        <v>0</v>
      </c>
      <c r="W259" s="38">
        <v>0</v>
      </c>
      <c r="X259" s="38">
        <v>5.4619799999999996</v>
      </c>
      <c r="Y259" s="38">
        <f t="shared" ref="Y259:Y322" si="42">ROUND(X259/5,1)*5</f>
        <v>5.5</v>
      </c>
      <c r="Z259" s="38">
        <v>0</v>
      </c>
      <c r="AA259" s="39">
        <v>0</v>
      </c>
      <c r="AB259" s="38">
        <v>1.55</v>
      </c>
      <c r="AC259" s="38">
        <v>1.3530500000000001</v>
      </c>
      <c r="AD259" s="38">
        <v>78</v>
      </c>
      <c r="AE259" s="38">
        <v>6</v>
      </c>
      <c r="AF259" s="38">
        <f>(AD259+AE259*0.5)/(3.5*I259*1000)*100</f>
        <v>1.5066964285714286</v>
      </c>
      <c r="AG259" s="38">
        <f t="shared" ref="AG259:AG322" si="43">ROUND(AF259,1)</f>
        <v>1.5</v>
      </c>
      <c r="AH259" s="38">
        <v>1</v>
      </c>
      <c r="AI259" s="38">
        <f t="shared" si="38"/>
        <v>1.8601190476190476E-2</v>
      </c>
      <c r="AJ259" s="38">
        <v>0</v>
      </c>
      <c r="AK259" s="38">
        <f t="shared" si="39"/>
        <v>0</v>
      </c>
      <c r="AL259" s="38">
        <v>1</v>
      </c>
      <c r="AM259" s="38">
        <f t="shared" si="40"/>
        <v>1.8601190476190476E-2</v>
      </c>
      <c r="AN259" s="72"/>
      <c r="AO259" s="41"/>
      <c r="AP259" s="41"/>
      <c r="AQ259" s="73"/>
      <c r="AR259" s="73"/>
      <c r="AS259" s="73"/>
      <c r="AT259" s="73"/>
      <c r="AU259" s="73"/>
      <c r="AV259" s="73"/>
    </row>
    <row r="260" spans="1:88" s="22" customFormat="1">
      <c r="A260" s="1">
        <v>570</v>
      </c>
      <c r="B260" s="34" t="s">
        <v>948</v>
      </c>
      <c r="C260" s="34">
        <v>551</v>
      </c>
      <c r="D260" s="34">
        <v>2385</v>
      </c>
      <c r="E260" s="34">
        <v>100</v>
      </c>
      <c r="F260" s="9" t="s">
        <v>971</v>
      </c>
      <c r="G260" s="20">
        <v>16973</v>
      </c>
      <c r="H260" s="20">
        <v>0</v>
      </c>
      <c r="I260" s="35">
        <v>16.972999999999999</v>
      </c>
      <c r="J260" s="71">
        <v>2</v>
      </c>
      <c r="K260" s="34" t="s">
        <v>12</v>
      </c>
      <c r="L260" s="10">
        <v>42223</v>
      </c>
      <c r="M260" s="37" t="s">
        <v>191</v>
      </c>
      <c r="N260" s="38">
        <v>10.11</v>
      </c>
      <c r="O260" s="38">
        <v>2.91</v>
      </c>
      <c r="P260" s="38">
        <v>2.44</v>
      </c>
      <c r="Q260" s="38">
        <v>1.53</v>
      </c>
      <c r="R260" s="38">
        <v>2.72275</v>
      </c>
      <c r="S260" s="38">
        <f t="shared" si="41"/>
        <v>2.5</v>
      </c>
      <c r="T260" s="38">
        <v>16.37</v>
      </c>
      <c r="U260" s="38">
        <v>0.59</v>
      </c>
      <c r="V260" s="38">
        <v>0.03</v>
      </c>
      <c r="W260" s="38">
        <v>0</v>
      </c>
      <c r="X260" s="38">
        <v>5.0111100000000004</v>
      </c>
      <c r="Y260" s="38">
        <f t="shared" si="42"/>
        <v>5</v>
      </c>
      <c r="Z260" s="38">
        <v>0</v>
      </c>
      <c r="AA260" s="39">
        <v>0</v>
      </c>
      <c r="AB260" s="38">
        <f>T260+U260+V260+W260</f>
        <v>16.990000000000002</v>
      </c>
      <c r="AC260" s="38">
        <v>1.1914400000000001</v>
      </c>
      <c r="AD260" s="38">
        <v>554</v>
      </c>
      <c r="AE260" s="38">
        <v>664.48</v>
      </c>
      <c r="AF260" s="38">
        <f>(AD260+AE260*0.5)/(3.5*I260*1000)*100</f>
        <v>1.4918483978756176</v>
      </c>
      <c r="AG260" s="38">
        <f t="shared" si="43"/>
        <v>1.5</v>
      </c>
      <c r="AH260" s="38">
        <v>0</v>
      </c>
      <c r="AI260" s="38">
        <f t="shared" si="38"/>
        <v>0</v>
      </c>
      <c r="AJ260" s="38">
        <v>436</v>
      </c>
      <c r="AK260" s="38">
        <f t="shared" si="39"/>
        <v>0.73393877671259389</v>
      </c>
      <c r="AL260" s="38">
        <v>0</v>
      </c>
      <c r="AM260" s="38">
        <f t="shared" si="40"/>
        <v>0</v>
      </c>
      <c r="AN260" s="25"/>
      <c r="AO260" s="25">
        <f>AE260*0.5</f>
        <v>332.24</v>
      </c>
      <c r="AP260" s="25">
        <f>(AD260+AH260+AJ260+AL260+AO260)*I260</f>
        <v>22442.379519999999</v>
      </c>
      <c r="AQ260" s="25">
        <f>SUM(N260:Q260)</f>
        <v>16.989999999999998</v>
      </c>
      <c r="AR260" s="25">
        <f>SUM(T260:W260)</f>
        <v>16.990000000000002</v>
      </c>
      <c r="AS260" s="268">
        <v>16.972999999999999</v>
      </c>
      <c r="AT260" s="41"/>
      <c r="AU260" s="41">
        <f>SUM(N260:Q260)</f>
        <v>16.989999999999998</v>
      </c>
      <c r="AV260" s="41">
        <f>SUM(T260:W260)</f>
        <v>16.990000000000002</v>
      </c>
      <c r="AW260" s="41">
        <f>SUM(Z260:AB260)</f>
        <v>16.990000000000002</v>
      </c>
      <c r="AY260" s="22">
        <f>I260/AU260</f>
        <v>0.99899941141848148</v>
      </c>
      <c r="AZ260" s="22">
        <f>I260/AV260</f>
        <v>0.99899941141848125</v>
      </c>
      <c r="BA260" s="22">
        <f>I260/AW260</f>
        <v>0.99899941141848125</v>
      </c>
    </row>
    <row r="261" spans="1:88" s="22" customFormat="1">
      <c r="A261" s="1">
        <v>298</v>
      </c>
      <c r="B261" s="34" t="s">
        <v>509</v>
      </c>
      <c r="C261" s="34">
        <v>642</v>
      </c>
      <c r="D261" s="34">
        <v>2342</v>
      </c>
      <c r="E261" s="34">
        <v>100</v>
      </c>
      <c r="F261" s="34" t="s">
        <v>526</v>
      </c>
      <c r="G261" s="58">
        <v>0</v>
      </c>
      <c r="H261" s="58">
        <v>19213</v>
      </c>
      <c r="I261" s="35">
        <v>19.213000000000001</v>
      </c>
      <c r="J261" s="62">
        <v>2</v>
      </c>
      <c r="K261" s="34" t="s">
        <v>238</v>
      </c>
      <c r="L261" s="10">
        <v>42163</v>
      </c>
      <c r="M261" s="37" t="s">
        <v>191</v>
      </c>
      <c r="N261" s="38">
        <v>14.45</v>
      </c>
      <c r="O261" s="38">
        <v>3.1</v>
      </c>
      <c r="P261" s="38">
        <v>1.05</v>
      </c>
      <c r="Q261" s="38">
        <v>0.52500000000000002</v>
      </c>
      <c r="R261" s="38">
        <v>2.2282500000000001</v>
      </c>
      <c r="S261" s="38">
        <f t="shared" si="41"/>
        <v>2</v>
      </c>
      <c r="T261" s="38">
        <v>18.425000000000001</v>
      </c>
      <c r="U261" s="38">
        <v>0.67500000000000004</v>
      </c>
      <c r="V261" s="38">
        <v>2.5000000000000001E-2</v>
      </c>
      <c r="W261" s="38">
        <v>0</v>
      </c>
      <c r="X261" s="38">
        <v>3.5363600000000002</v>
      </c>
      <c r="Y261" s="38">
        <f t="shared" si="42"/>
        <v>3.5</v>
      </c>
      <c r="Z261" s="38">
        <v>0</v>
      </c>
      <c r="AA261" s="39">
        <v>0</v>
      </c>
      <c r="AB261" s="38">
        <f>T261+U261+V261+W261</f>
        <v>19.125</v>
      </c>
      <c r="AC261" s="38">
        <v>1.3480700000000001</v>
      </c>
      <c r="AD261" s="38">
        <v>778</v>
      </c>
      <c r="AE261" s="38">
        <v>447</v>
      </c>
      <c r="AF261" s="38">
        <v>1.4893189878876654</v>
      </c>
      <c r="AG261" s="38">
        <f t="shared" si="43"/>
        <v>1.5</v>
      </c>
      <c r="AH261" s="38">
        <v>0</v>
      </c>
      <c r="AI261" s="38">
        <v>0</v>
      </c>
      <c r="AJ261" s="38">
        <v>135.55000000000001</v>
      </c>
      <c r="AK261" s="38">
        <v>0.2015748265683206</v>
      </c>
      <c r="AL261" s="38">
        <v>0</v>
      </c>
      <c r="AM261" s="38">
        <v>0</v>
      </c>
      <c r="AN261" s="60"/>
      <c r="AO261" s="60"/>
      <c r="AP261" s="60">
        <f>AE261*0.5</f>
        <v>223.5</v>
      </c>
      <c r="AQ261" s="64">
        <f>(AD261+AH261+AJ261+AL261+AP261)*I261</f>
        <v>21846.141650000001</v>
      </c>
      <c r="AR261" s="60"/>
      <c r="AS261" s="25">
        <f>SUM(N261:Q261)</f>
        <v>19.125</v>
      </c>
      <c r="AT261" s="25"/>
      <c r="AU261" s="41">
        <f>SUM(N261:Q261)</f>
        <v>19.125</v>
      </c>
      <c r="AV261" s="41">
        <f>SUM(T261:W261)</f>
        <v>19.125</v>
      </c>
      <c r="AW261" s="41">
        <f>SUM(Z261:AB261)</f>
        <v>19.125</v>
      </c>
      <c r="AY261" s="22">
        <f>I261/AU261</f>
        <v>1.0046013071895425</v>
      </c>
      <c r="AZ261" s="22">
        <f>I261/AV261</f>
        <v>1.0046013071895425</v>
      </c>
      <c r="BA261" s="22">
        <f>I261/AW261</f>
        <v>1.0046013071895425</v>
      </c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</row>
    <row r="262" spans="1:88" s="22" customFormat="1">
      <c r="A262" s="1">
        <v>874</v>
      </c>
      <c r="B262" s="34" t="s">
        <v>1259</v>
      </c>
      <c r="C262" s="34">
        <v>631</v>
      </c>
      <c r="D262" s="148">
        <v>2406</v>
      </c>
      <c r="E262" s="34">
        <v>100</v>
      </c>
      <c r="F262" s="34" t="s">
        <v>1266</v>
      </c>
      <c r="G262" s="58">
        <v>0</v>
      </c>
      <c r="H262" s="58">
        <v>24020</v>
      </c>
      <c r="I262" s="35">
        <v>24.02</v>
      </c>
      <c r="J262" s="9">
        <v>2</v>
      </c>
      <c r="K262" s="34" t="s">
        <v>238</v>
      </c>
      <c r="L262" s="10">
        <v>42139</v>
      </c>
      <c r="M262" s="37" t="s">
        <v>191</v>
      </c>
      <c r="N262" s="38">
        <v>16.125</v>
      </c>
      <c r="O262" s="38">
        <v>5.0750000000000002</v>
      </c>
      <c r="P262" s="38">
        <v>1.575</v>
      </c>
      <c r="Q262" s="38">
        <v>0.7</v>
      </c>
      <c r="R262" s="38">
        <v>2.3891</v>
      </c>
      <c r="S262" s="38">
        <f t="shared" si="41"/>
        <v>2.5</v>
      </c>
      <c r="T262" s="38">
        <v>21.25</v>
      </c>
      <c r="U262" s="38">
        <v>1.5249999999999999</v>
      </c>
      <c r="V262" s="38">
        <v>0.625</v>
      </c>
      <c r="W262" s="38">
        <v>7.4999999999999997E-2</v>
      </c>
      <c r="X262" s="38">
        <v>5.4947699999999999</v>
      </c>
      <c r="Y262" s="38">
        <f t="shared" si="42"/>
        <v>5.5</v>
      </c>
      <c r="Z262" s="38">
        <v>0</v>
      </c>
      <c r="AA262" s="39">
        <v>0</v>
      </c>
      <c r="AB262" s="38">
        <f>N262+O262+P262+Q262</f>
        <v>23.474999999999998</v>
      </c>
      <c r="AC262" s="38">
        <v>1.3265499999999999</v>
      </c>
      <c r="AD262" s="38">
        <v>2.16</v>
      </c>
      <c r="AE262" s="38">
        <v>2492.1799999999998</v>
      </c>
      <c r="AF262" s="38">
        <v>1.4847699999999999</v>
      </c>
      <c r="AG262" s="38">
        <f t="shared" si="43"/>
        <v>1.5</v>
      </c>
      <c r="AH262" s="38">
        <v>0</v>
      </c>
      <c r="AI262" s="38">
        <v>0</v>
      </c>
      <c r="AJ262" s="38">
        <v>0</v>
      </c>
      <c r="AK262" s="38">
        <v>0</v>
      </c>
      <c r="AL262" s="38">
        <v>0</v>
      </c>
      <c r="AM262" s="38">
        <v>0</v>
      </c>
      <c r="AN262" s="25"/>
      <c r="AO262" s="25">
        <f>AE262*0.5</f>
        <v>1246.0899999999999</v>
      </c>
      <c r="AP262" s="25">
        <f>(AD262+AH262+AJ262+AL262+AO262)*I262</f>
        <v>29982.965</v>
      </c>
      <c r="AQ262" s="25"/>
      <c r="AR262" s="25"/>
      <c r="AS262" s="25">
        <f>SUM(N262:Q262)</f>
        <v>23.474999999999998</v>
      </c>
      <c r="AT262" s="25">
        <f>SUM(T262:W262)</f>
        <v>23.474999999999998</v>
      </c>
      <c r="AU262" s="25"/>
      <c r="AW262" s="41"/>
      <c r="AX262" s="41"/>
      <c r="AY262" s="41"/>
      <c r="AZ262" s="41"/>
    </row>
    <row r="263" spans="1:88" s="22" customFormat="1">
      <c r="A263" s="1">
        <v>1314</v>
      </c>
      <c r="B263" s="74" t="s">
        <v>1851</v>
      </c>
      <c r="C263" s="34">
        <v>444</v>
      </c>
      <c r="D263" s="75">
        <v>323</v>
      </c>
      <c r="E263" s="69">
        <v>207</v>
      </c>
      <c r="F263" s="34" t="s">
        <v>1858</v>
      </c>
      <c r="G263" s="20">
        <v>199826</v>
      </c>
      <c r="H263" s="20">
        <v>204826</v>
      </c>
      <c r="I263" s="21">
        <v>5</v>
      </c>
      <c r="J263" s="8">
        <v>2</v>
      </c>
      <c r="K263" s="34" t="s">
        <v>238</v>
      </c>
      <c r="L263" s="10">
        <v>42209</v>
      </c>
      <c r="M263" s="37" t="s">
        <v>191</v>
      </c>
      <c r="N263" s="38">
        <v>0</v>
      </c>
      <c r="O263" s="38">
        <v>1.7</v>
      </c>
      <c r="P263" s="38">
        <v>2.2749999999999999</v>
      </c>
      <c r="Q263" s="38">
        <v>1.075</v>
      </c>
      <c r="R263" s="38">
        <v>4.69564</v>
      </c>
      <c r="S263" s="38">
        <f t="shared" si="41"/>
        <v>4.5</v>
      </c>
      <c r="T263" s="38">
        <v>5</v>
      </c>
      <c r="U263" s="38">
        <v>2.5000000000000001E-2</v>
      </c>
      <c r="V263" s="38">
        <v>2.5000000000000001E-2</v>
      </c>
      <c r="W263" s="38">
        <v>0</v>
      </c>
      <c r="X263" s="38">
        <v>4.8779300000000001</v>
      </c>
      <c r="Y263" s="38">
        <f t="shared" si="42"/>
        <v>5</v>
      </c>
      <c r="Z263" s="38">
        <v>0</v>
      </c>
      <c r="AA263" s="39">
        <v>0</v>
      </c>
      <c r="AB263" s="38">
        <v>5.05</v>
      </c>
      <c r="AC263" s="38">
        <v>1.68943</v>
      </c>
      <c r="AD263" s="38">
        <v>235.7</v>
      </c>
      <c r="AE263" s="38">
        <v>45.13</v>
      </c>
      <c r="AF263" s="38">
        <v>1.4757999999999998</v>
      </c>
      <c r="AG263" s="38">
        <f t="shared" si="43"/>
        <v>1.5</v>
      </c>
      <c r="AH263" s="38">
        <v>76.319999999999993</v>
      </c>
      <c r="AI263" s="38">
        <v>0.43611428571428568</v>
      </c>
      <c r="AJ263" s="38">
        <v>0</v>
      </c>
      <c r="AK263" s="38">
        <v>0</v>
      </c>
      <c r="AL263" s="38">
        <v>0</v>
      </c>
      <c r="AM263" s="38">
        <v>0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</row>
    <row r="264" spans="1:88" s="22" customFormat="1">
      <c r="A264" s="1">
        <v>601</v>
      </c>
      <c r="B264" s="34" t="s">
        <v>994</v>
      </c>
      <c r="C264" s="34">
        <v>554</v>
      </c>
      <c r="D264" s="34">
        <v>211</v>
      </c>
      <c r="E264" s="34">
        <v>201</v>
      </c>
      <c r="F264" s="9" t="s">
        <v>1003</v>
      </c>
      <c r="G264" s="118">
        <v>112000</v>
      </c>
      <c r="H264" s="118">
        <v>146419</v>
      </c>
      <c r="I264" s="35">
        <v>34.418999999999997</v>
      </c>
      <c r="J264" s="71">
        <v>2</v>
      </c>
      <c r="K264" s="34" t="s">
        <v>238</v>
      </c>
      <c r="L264" s="10">
        <v>42181</v>
      </c>
      <c r="M264" s="37" t="s">
        <v>191</v>
      </c>
      <c r="N264" s="38">
        <v>16.47</v>
      </c>
      <c r="O264" s="38">
        <v>10.19</v>
      </c>
      <c r="P264" s="38">
        <v>4.93</v>
      </c>
      <c r="Q264" s="38">
        <v>2.85</v>
      </c>
      <c r="R264" s="38">
        <v>2.6610900000000002</v>
      </c>
      <c r="S264" s="38">
        <f t="shared" si="41"/>
        <v>2.5</v>
      </c>
      <c r="T264" s="38">
        <v>32.96</v>
      </c>
      <c r="U264" s="38">
        <v>1.1000000000000001</v>
      </c>
      <c r="V264" s="38">
        <v>0.23</v>
      </c>
      <c r="W264" s="38">
        <v>0.13</v>
      </c>
      <c r="X264" s="38">
        <v>4.0807799999999999</v>
      </c>
      <c r="Y264" s="38">
        <f t="shared" si="42"/>
        <v>4</v>
      </c>
      <c r="Z264" s="38">
        <v>0</v>
      </c>
      <c r="AA264" s="39">
        <v>0</v>
      </c>
      <c r="AB264" s="38">
        <v>34.42</v>
      </c>
      <c r="AC264" s="38">
        <v>1.1188400000000001</v>
      </c>
      <c r="AD264" s="38">
        <v>1716</v>
      </c>
      <c r="AE264" s="38">
        <v>120.01</v>
      </c>
      <c r="AF264" s="38">
        <v>1.4742729306487696</v>
      </c>
      <c r="AG264" s="38">
        <f t="shared" si="43"/>
        <v>1.5</v>
      </c>
      <c r="AH264" s="38">
        <v>6</v>
      </c>
      <c r="AI264" s="38">
        <v>4.9806377706665336E-3</v>
      </c>
      <c r="AJ264" s="38">
        <v>2142</v>
      </c>
      <c r="AK264" s="38">
        <v>1.7780876841279527</v>
      </c>
      <c r="AL264" s="38">
        <v>0</v>
      </c>
      <c r="AM264" s="38">
        <f>AL264/(3.5*I264*1000)*100</f>
        <v>0</v>
      </c>
      <c r="AN264" s="60"/>
      <c r="AO264" s="60">
        <f>AE264*0.5</f>
        <v>60.005000000000003</v>
      </c>
      <c r="AP264" s="60">
        <f>(AD264+AH264+AJ264+AL264+AO264)*I264</f>
        <v>135060.328095</v>
      </c>
      <c r="AQ264" s="25">
        <f>SUM(N264:Q264)</f>
        <v>34.44</v>
      </c>
      <c r="AR264" s="25">
        <f>SUM(T264:W264)</f>
        <v>34.42</v>
      </c>
      <c r="AS264" s="268">
        <v>34.418999999999997</v>
      </c>
      <c r="AT264" s="40"/>
      <c r="AU264" s="41">
        <f>SUM(N264:Q264)</f>
        <v>34.44</v>
      </c>
      <c r="AV264" s="41">
        <f>SUM(T264:W264)</f>
        <v>34.42</v>
      </c>
      <c r="AW264" s="41">
        <f>SUM(Z264:AB264)</f>
        <v>34.42</v>
      </c>
      <c r="AY264" s="22">
        <f>I264/AU264</f>
        <v>0.99939024390243902</v>
      </c>
      <c r="AZ264" s="22">
        <f>I264/AV264</f>
        <v>0.99997094712376511</v>
      </c>
      <c r="BA264" s="22">
        <f>I264/AW264</f>
        <v>0.99997094712376511</v>
      </c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</row>
    <row r="265" spans="1:88" s="22" customFormat="1">
      <c r="A265" s="1">
        <v>819</v>
      </c>
      <c r="B265" s="34" t="s">
        <v>1204</v>
      </c>
      <c r="C265" s="34">
        <v>647</v>
      </c>
      <c r="D265" s="150">
        <v>2009</v>
      </c>
      <c r="E265" s="34">
        <v>100</v>
      </c>
      <c r="F265" s="34" t="s">
        <v>1212</v>
      </c>
      <c r="G265" s="58">
        <v>0</v>
      </c>
      <c r="H265" s="58">
        <v>16687</v>
      </c>
      <c r="I265" s="35">
        <v>16.687000000000001</v>
      </c>
      <c r="J265" s="9">
        <v>2</v>
      </c>
      <c r="K265" s="34" t="s">
        <v>238</v>
      </c>
      <c r="L265" s="10">
        <v>42154</v>
      </c>
      <c r="M265" s="37" t="s">
        <v>191</v>
      </c>
      <c r="N265" s="38">
        <v>12.324999999999999</v>
      </c>
      <c r="O265" s="38">
        <v>2.5750000000000002</v>
      </c>
      <c r="P265" s="38">
        <v>1.2250000000000001</v>
      </c>
      <c r="Q265" s="38">
        <v>0.55000000000000004</v>
      </c>
      <c r="R265" s="38">
        <v>2.5510000000000002</v>
      </c>
      <c r="S265" s="38">
        <f t="shared" si="41"/>
        <v>2.5</v>
      </c>
      <c r="T265" s="38">
        <v>15.975</v>
      </c>
      <c r="U265" s="38">
        <v>0.57499999999999996</v>
      </c>
      <c r="V265" s="38">
        <v>7.4999999999999997E-2</v>
      </c>
      <c r="W265" s="38">
        <v>0.05</v>
      </c>
      <c r="X265" s="38">
        <v>4.4950000000000001</v>
      </c>
      <c r="Y265" s="38">
        <f t="shared" si="42"/>
        <v>4.5</v>
      </c>
      <c r="Z265" s="38">
        <v>0</v>
      </c>
      <c r="AA265" s="39">
        <v>0</v>
      </c>
      <c r="AB265" s="38">
        <f>N265+O265+P265+Q265</f>
        <v>16.675000000000001</v>
      </c>
      <c r="AC265" s="38">
        <v>1.1160000000000001</v>
      </c>
      <c r="AD265" s="38">
        <v>46</v>
      </c>
      <c r="AE265" s="38">
        <v>1611</v>
      </c>
      <c r="AF265" s="38">
        <f>(AD265+AE265*0.5)/(3.5*I265*1000)*100</f>
        <v>1.4579356042770675</v>
      </c>
      <c r="AG265" s="38">
        <f t="shared" si="43"/>
        <v>1.5</v>
      </c>
      <c r="AH265" s="38">
        <v>35</v>
      </c>
      <c r="AI265" s="38">
        <f>AH265/(3.5*I265*1000)*100</f>
        <v>5.9926889195181875E-2</v>
      </c>
      <c r="AJ265" s="38">
        <v>53</v>
      </c>
      <c r="AK265" s="38">
        <f>AJ265/(3.5*I265*1000)*100</f>
        <v>9.0746432209846836E-2</v>
      </c>
      <c r="AL265" s="38">
        <v>34</v>
      </c>
      <c r="AM265" s="38">
        <f>AL265/(3.5*I265*1000)*100</f>
        <v>5.8214692361033812E-2</v>
      </c>
      <c r="AN265" s="25"/>
      <c r="AO265" s="25">
        <f>AE265*0.5</f>
        <v>805.5</v>
      </c>
      <c r="AP265" s="25">
        <f>(AD265+AH265+AJ265+AL265+AO265)*I265</f>
        <v>16244.794500000002</v>
      </c>
      <c r="AQ265" s="25">
        <f>SUM(N265:Q265)</f>
        <v>16.675000000000001</v>
      </c>
      <c r="AR265" s="25">
        <f>SUM(T265:W265)</f>
        <v>16.675000000000001</v>
      </c>
      <c r="AS265" s="268">
        <v>16.687000000000001</v>
      </c>
      <c r="AT265" s="41"/>
      <c r="AU265" s="41"/>
      <c r="AV265" s="41"/>
      <c r="AW265" s="41"/>
    </row>
    <row r="266" spans="1:88" s="61" customFormat="1">
      <c r="A266" s="1">
        <v>1168</v>
      </c>
      <c r="B266" s="74" t="s">
        <v>1577</v>
      </c>
      <c r="C266" s="34">
        <v>432</v>
      </c>
      <c r="D266" s="34">
        <v>3566</v>
      </c>
      <c r="E266" s="34">
        <v>100</v>
      </c>
      <c r="F266" s="34" t="s">
        <v>1637</v>
      </c>
      <c r="G266" s="34" t="s">
        <v>1638</v>
      </c>
      <c r="H266" s="34" t="s">
        <v>92</v>
      </c>
      <c r="I266" s="55">
        <v>2.903</v>
      </c>
      <c r="J266" s="34">
        <v>2</v>
      </c>
      <c r="K266" s="34" t="s">
        <v>12</v>
      </c>
      <c r="L266" s="10">
        <v>42282</v>
      </c>
      <c r="M266" s="37" t="s">
        <v>191</v>
      </c>
      <c r="N266" s="38">
        <v>1.4</v>
      </c>
      <c r="O266" s="38">
        <v>0.8</v>
      </c>
      <c r="P266" s="38">
        <v>0.47499999999999998</v>
      </c>
      <c r="Q266" s="38">
        <v>0.15</v>
      </c>
      <c r="R266" s="38">
        <v>2.98726</v>
      </c>
      <c r="S266" s="38">
        <f t="shared" si="41"/>
        <v>3</v>
      </c>
      <c r="T266" s="38">
        <v>2.8</v>
      </c>
      <c r="U266" s="38">
        <v>2.5000000000000001E-2</v>
      </c>
      <c r="V266" s="38">
        <v>0</v>
      </c>
      <c r="W266" s="38">
        <v>0</v>
      </c>
      <c r="X266" s="38">
        <v>3.9791099999999999</v>
      </c>
      <c r="Y266" s="38">
        <f t="shared" si="42"/>
        <v>4</v>
      </c>
      <c r="Z266" s="38">
        <v>0</v>
      </c>
      <c r="AA266" s="38">
        <v>0</v>
      </c>
      <c r="AB266" s="38">
        <v>2.8250000000000002</v>
      </c>
      <c r="AC266" s="38">
        <v>1.0760000000000001</v>
      </c>
      <c r="AD266" s="38">
        <v>147.59</v>
      </c>
      <c r="AE266" s="38">
        <v>0.33600000000000002</v>
      </c>
      <c r="AF266" s="38">
        <v>1.4542390000000001</v>
      </c>
      <c r="AG266" s="38">
        <f t="shared" si="43"/>
        <v>1.5</v>
      </c>
      <c r="AH266" s="38">
        <v>159.6</v>
      </c>
      <c r="AI266" s="38">
        <v>1.570789</v>
      </c>
      <c r="AJ266" s="38">
        <v>0</v>
      </c>
      <c r="AK266" s="38">
        <v>0</v>
      </c>
      <c r="AL266" s="38">
        <v>0</v>
      </c>
      <c r="AM266" s="38">
        <v>0</v>
      </c>
      <c r="AN266" s="114"/>
      <c r="AO266" s="73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</row>
    <row r="267" spans="1:88" s="61" customFormat="1">
      <c r="A267" s="1">
        <v>562</v>
      </c>
      <c r="B267" s="34" t="s">
        <v>948</v>
      </c>
      <c r="C267" s="34">
        <v>551</v>
      </c>
      <c r="D267" s="34">
        <v>2278</v>
      </c>
      <c r="E267" s="34">
        <v>100</v>
      </c>
      <c r="F267" s="9" t="s">
        <v>963</v>
      </c>
      <c r="G267" s="20">
        <v>18252</v>
      </c>
      <c r="H267" s="20">
        <v>0</v>
      </c>
      <c r="I267" s="35">
        <v>18.251999999999999</v>
      </c>
      <c r="J267" s="71">
        <v>2</v>
      </c>
      <c r="K267" s="34" t="s">
        <v>12</v>
      </c>
      <c r="L267" s="10">
        <v>42223</v>
      </c>
      <c r="M267" s="37" t="s">
        <v>191</v>
      </c>
      <c r="N267" s="38">
        <v>14.04</v>
      </c>
      <c r="O267" s="38">
        <v>2.52</v>
      </c>
      <c r="P267" s="38">
        <v>1.28</v>
      </c>
      <c r="Q267" s="38">
        <v>0.43</v>
      </c>
      <c r="R267" s="38">
        <v>2.1307499999999999</v>
      </c>
      <c r="S267" s="38">
        <f t="shared" si="41"/>
        <v>2</v>
      </c>
      <c r="T267" s="38">
        <v>17.93</v>
      </c>
      <c r="U267" s="38">
        <v>0.23</v>
      </c>
      <c r="V267" s="38">
        <v>0.08</v>
      </c>
      <c r="W267" s="38">
        <v>0.03</v>
      </c>
      <c r="X267" s="38">
        <v>3.2053500000000001</v>
      </c>
      <c r="Y267" s="38">
        <f t="shared" si="42"/>
        <v>3</v>
      </c>
      <c r="Z267" s="38">
        <v>0</v>
      </c>
      <c r="AA267" s="38">
        <v>0</v>
      </c>
      <c r="AB267" s="38">
        <f>T267+U267+V267+W267</f>
        <v>18.27</v>
      </c>
      <c r="AC267" s="38">
        <v>1.06463</v>
      </c>
      <c r="AD267" s="38">
        <v>273</v>
      </c>
      <c r="AE267" s="38">
        <v>1311.18</v>
      </c>
      <c r="AF267" s="38">
        <f>(AD267+AE267*0.5)/(3.5*I267*1000)*100</f>
        <v>1.4536019536019538</v>
      </c>
      <c r="AG267" s="38">
        <f t="shared" si="43"/>
        <v>1.5</v>
      </c>
      <c r="AH267" s="38">
        <v>7</v>
      </c>
      <c r="AI267" s="38">
        <f>AH267/(3.5*I267*1000)*100</f>
        <v>1.0957703265395573E-2</v>
      </c>
      <c r="AJ267" s="38">
        <v>28</v>
      </c>
      <c r="AK267" s="38">
        <f>AJ267/(3.5*I267*1000)*100</f>
        <v>4.3830813061582291E-2</v>
      </c>
      <c r="AL267" s="38">
        <v>20</v>
      </c>
      <c r="AM267" s="38">
        <f t="shared" ref="AM267:AM275" si="44">AL267/(3.5*I267*1000)*100</f>
        <v>3.1307723615415922E-2</v>
      </c>
      <c r="AN267" s="25"/>
      <c r="AO267" s="25">
        <f>AE267*0.5</f>
        <v>655.59</v>
      </c>
      <c r="AP267" s="25">
        <f>(AD267+AH267+AJ267+AL267+AO267)*I267</f>
        <v>17952.484679999998</v>
      </c>
      <c r="AQ267" s="25">
        <f>SUM(N267:Q267)</f>
        <v>18.27</v>
      </c>
      <c r="AR267" s="25">
        <f>SUM(T267:W267)</f>
        <v>18.27</v>
      </c>
      <c r="AS267" s="268">
        <v>18.251999999999999</v>
      </c>
      <c r="AT267" s="41"/>
      <c r="AU267" s="41">
        <f>SUM(N267:Q267)</f>
        <v>18.27</v>
      </c>
      <c r="AV267" s="41">
        <f>SUM(T267:W267)</f>
        <v>18.27</v>
      </c>
      <c r="AW267" s="41">
        <f>SUM(Z267:AB267)</f>
        <v>18.27</v>
      </c>
      <c r="AX267" s="22"/>
      <c r="AY267" s="22">
        <f>I267/AU267</f>
        <v>0.99901477832512309</v>
      </c>
      <c r="AZ267" s="22">
        <f>I267/AV267</f>
        <v>0.99901477832512309</v>
      </c>
      <c r="BA267" s="22">
        <f>I267/AW267</f>
        <v>0.99901477832512309</v>
      </c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  <c r="CG267" s="22"/>
      <c r="CH267" s="22"/>
      <c r="CI267" s="22"/>
      <c r="CJ267" s="22"/>
    </row>
    <row r="268" spans="1:88" s="61" customFormat="1">
      <c r="A268" s="1">
        <v>267</v>
      </c>
      <c r="B268" s="34" t="s">
        <v>484</v>
      </c>
      <c r="C268" s="34">
        <v>641</v>
      </c>
      <c r="D268" s="34">
        <v>213</v>
      </c>
      <c r="E268" s="34">
        <v>304</v>
      </c>
      <c r="F268" s="34" t="s">
        <v>486</v>
      </c>
      <c r="G268" s="58" t="s">
        <v>92</v>
      </c>
      <c r="H268" s="57" t="s">
        <v>487</v>
      </c>
      <c r="I268" s="35">
        <v>1.63</v>
      </c>
      <c r="J268" s="62">
        <v>2</v>
      </c>
      <c r="K268" s="34" t="s">
        <v>238</v>
      </c>
      <c r="L268" s="10">
        <v>42160</v>
      </c>
      <c r="M268" s="37" t="s">
        <v>191</v>
      </c>
      <c r="N268" s="38">
        <v>0.27500000000000002</v>
      </c>
      <c r="O268" s="38">
        <v>0.6</v>
      </c>
      <c r="P268" s="38">
        <v>0.4</v>
      </c>
      <c r="Q268" s="38">
        <v>0.25</v>
      </c>
      <c r="R268" s="38">
        <v>3.8069999999999999</v>
      </c>
      <c r="S268" s="38">
        <f t="shared" si="41"/>
        <v>4</v>
      </c>
      <c r="T268" s="38">
        <v>1.5</v>
      </c>
      <c r="U268" s="38">
        <v>2.5000000000000001E-2</v>
      </c>
      <c r="V268" s="38">
        <v>0</v>
      </c>
      <c r="W268" s="38">
        <v>0</v>
      </c>
      <c r="X268" s="38">
        <v>2.165</v>
      </c>
      <c r="Y268" s="38">
        <f t="shared" si="42"/>
        <v>2</v>
      </c>
      <c r="Z268" s="38"/>
      <c r="AA268" s="38"/>
      <c r="AB268" s="38"/>
      <c r="AC268" s="38">
        <v>0</v>
      </c>
      <c r="AD268" s="38">
        <v>0</v>
      </c>
      <c r="AE268" s="38">
        <v>0</v>
      </c>
      <c r="AF268" s="38">
        <f>(AD268+AE268*0.5)/(3.5*I268*1000)*100</f>
        <v>0</v>
      </c>
      <c r="AG268" s="38">
        <f t="shared" si="43"/>
        <v>0</v>
      </c>
      <c r="AH268" s="38">
        <v>0</v>
      </c>
      <c r="AI268" s="38">
        <f>AH268/(3.5*I268*1000)*100</f>
        <v>0</v>
      </c>
      <c r="AJ268" s="38">
        <v>0</v>
      </c>
      <c r="AK268" s="38">
        <v>0</v>
      </c>
      <c r="AL268" s="38">
        <v>0</v>
      </c>
      <c r="AM268" s="38">
        <f t="shared" si="44"/>
        <v>0</v>
      </c>
      <c r="AN268" s="60"/>
      <c r="AO268" s="60">
        <f>AE268*0.5</f>
        <v>0</v>
      </c>
      <c r="AP268" s="60">
        <f>(AD268+AH268+AJ268+AL268+AO268)*I268</f>
        <v>0</v>
      </c>
      <c r="AQ268" s="25"/>
      <c r="AR268" s="25"/>
      <c r="AT268" s="40"/>
      <c r="AU268" s="41">
        <f>SUM(N268:Q268)</f>
        <v>1.5249999999999999</v>
      </c>
      <c r="AV268" s="41">
        <f>SUM(T268:W268)</f>
        <v>1.5249999999999999</v>
      </c>
      <c r="AW268" s="41">
        <f>SUM(Z268:AB268)</f>
        <v>0</v>
      </c>
      <c r="AY268" s="22">
        <f>I268/AU268</f>
        <v>1.0688524590163935</v>
      </c>
      <c r="AZ268" s="22">
        <f>I268/AV268</f>
        <v>1.0688524590163935</v>
      </c>
      <c r="BA268" s="22" t="e">
        <f>I268/AW268</f>
        <v>#DIV/0!</v>
      </c>
    </row>
    <row r="269" spans="1:88" s="61" customFormat="1">
      <c r="A269" s="1">
        <v>2052</v>
      </c>
      <c r="B269" s="34" t="s">
        <v>2697</v>
      </c>
      <c r="C269" s="34">
        <v>328</v>
      </c>
      <c r="D269" s="75">
        <v>4009</v>
      </c>
      <c r="E269" s="8">
        <v>100</v>
      </c>
      <c r="F269" s="34" t="s">
        <v>2700</v>
      </c>
      <c r="G269" s="58">
        <v>41000</v>
      </c>
      <c r="H269" s="58">
        <v>3450</v>
      </c>
      <c r="I269" s="21">
        <v>37.549999999999997</v>
      </c>
      <c r="J269" s="8">
        <v>4</v>
      </c>
      <c r="K269" s="8" t="s">
        <v>96</v>
      </c>
      <c r="L269" s="18">
        <v>42120</v>
      </c>
      <c r="M269" s="37" t="s">
        <v>191</v>
      </c>
      <c r="N269" s="38">
        <v>19.574999999999999</v>
      </c>
      <c r="O269" s="38">
        <v>10.125</v>
      </c>
      <c r="P269" s="38">
        <v>5.2249999999999996</v>
      </c>
      <c r="Q269" s="38">
        <v>2.2000000000000002</v>
      </c>
      <c r="R269" s="38">
        <v>2.8328899999999999</v>
      </c>
      <c r="S269" s="38">
        <f t="shared" si="41"/>
        <v>3</v>
      </c>
      <c r="T269" s="38">
        <v>31.75</v>
      </c>
      <c r="U269" s="38">
        <v>3.8</v>
      </c>
      <c r="V269" s="38">
        <v>1.125</v>
      </c>
      <c r="W269" s="38">
        <v>0.45</v>
      </c>
      <c r="X269" s="38">
        <v>6.2343200000000003</v>
      </c>
      <c r="Y269" s="38">
        <f t="shared" si="42"/>
        <v>6</v>
      </c>
      <c r="Z269" s="38">
        <v>0</v>
      </c>
      <c r="AA269" s="38">
        <v>0</v>
      </c>
      <c r="AB269" s="38">
        <v>37.125</v>
      </c>
      <c r="AC269" s="38">
        <v>1.27525</v>
      </c>
      <c r="AD269" s="38">
        <v>1861.74</v>
      </c>
      <c r="AE269" s="38">
        <v>93.86</v>
      </c>
      <c r="AF269" s="38">
        <v>1.4522883774015602</v>
      </c>
      <c r="AG269" s="38">
        <f t="shared" si="43"/>
        <v>1.5</v>
      </c>
      <c r="AH269" s="38">
        <v>550.86</v>
      </c>
      <c r="AI269" s="38">
        <v>0.41914399847821959</v>
      </c>
      <c r="AJ269" s="38">
        <v>169.22</v>
      </c>
      <c r="AK269" s="38">
        <v>0.12875784668061635</v>
      </c>
      <c r="AL269" s="38">
        <v>0</v>
      </c>
      <c r="AM269" s="38">
        <f t="shared" si="44"/>
        <v>0</v>
      </c>
      <c r="AN269" s="72"/>
      <c r="AO269" s="41"/>
      <c r="AP269" s="41"/>
      <c r="AQ269" s="73"/>
      <c r="AR269" s="73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</row>
    <row r="270" spans="1:88" s="61" customFormat="1">
      <c r="A270" s="1">
        <v>269</v>
      </c>
      <c r="B270" s="34" t="s">
        <v>484</v>
      </c>
      <c r="C270" s="34">
        <v>641</v>
      </c>
      <c r="D270" s="34">
        <v>213</v>
      </c>
      <c r="E270" s="34">
        <v>308</v>
      </c>
      <c r="F270" s="34" t="s">
        <v>489</v>
      </c>
      <c r="G270" s="58" t="s">
        <v>92</v>
      </c>
      <c r="H270" s="58" t="s">
        <v>490</v>
      </c>
      <c r="I270" s="35">
        <v>0.873</v>
      </c>
      <c r="J270" s="62">
        <v>2</v>
      </c>
      <c r="K270" s="34" t="s">
        <v>238</v>
      </c>
      <c r="L270" s="10">
        <v>42160</v>
      </c>
      <c r="M270" s="37" t="s">
        <v>191</v>
      </c>
      <c r="N270" s="38">
        <v>0.17499999999999999</v>
      </c>
      <c r="O270" s="38">
        <v>0.22500000000000001</v>
      </c>
      <c r="P270" s="38">
        <v>0.17499999999999999</v>
      </c>
      <c r="Q270" s="38">
        <v>0.22500000000000001</v>
      </c>
      <c r="R270" s="38">
        <v>4.5599999999999996</v>
      </c>
      <c r="S270" s="38">
        <f t="shared" si="41"/>
        <v>4.5</v>
      </c>
      <c r="T270" s="38">
        <v>0.77500000000000002</v>
      </c>
      <c r="U270" s="38">
        <v>2.5000000000000001E-2</v>
      </c>
      <c r="V270" s="38">
        <v>0</v>
      </c>
      <c r="W270" s="38">
        <v>0</v>
      </c>
      <c r="X270" s="38">
        <v>3.6139999999999999</v>
      </c>
      <c r="Y270" s="38">
        <f t="shared" si="42"/>
        <v>3.5</v>
      </c>
      <c r="Z270" s="38"/>
      <c r="AA270" s="38"/>
      <c r="AB270" s="38">
        <f>T270+U270+V270+W270</f>
        <v>0.8</v>
      </c>
      <c r="AC270" s="38">
        <v>0</v>
      </c>
      <c r="AD270" s="38">
        <v>0</v>
      </c>
      <c r="AE270" s="38">
        <v>0</v>
      </c>
      <c r="AF270" s="38">
        <f>(AD270+AE270*0.5)/(3.5*I270*1000)*100</f>
        <v>0</v>
      </c>
      <c r="AG270" s="38">
        <f t="shared" si="43"/>
        <v>0</v>
      </c>
      <c r="AH270" s="38">
        <v>0</v>
      </c>
      <c r="AI270" s="38">
        <f>AH270/(3.5*I270*1000)*100</f>
        <v>0</v>
      </c>
      <c r="AJ270" s="38">
        <v>0</v>
      </c>
      <c r="AK270" s="38">
        <v>0</v>
      </c>
      <c r="AL270" s="38">
        <v>0</v>
      </c>
      <c r="AM270" s="38">
        <f t="shared" si="44"/>
        <v>0</v>
      </c>
      <c r="AN270" s="60"/>
      <c r="AO270" s="60">
        <f>AE270*0.5</f>
        <v>0</v>
      </c>
      <c r="AP270" s="60">
        <f>(AD270+AH270+AJ270+AL270+AO270)*I270</f>
        <v>0</v>
      </c>
      <c r="AQ270" s="25"/>
      <c r="AR270" s="25"/>
      <c r="AT270" s="40"/>
      <c r="AU270" s="41">
        <f>SUM(N270:Q270)</f>
        <v>0.79999999999999993</v>
      </c>
      <c r="AV270" s="41">
        <f>SUM(T270:W270)</f>
        <v>0.8</v>
      </c>
      <c r="AW270" s="41">
        <f>SUM(Z270:AB270)</f>
        <v>0.8</v>
      </c>
      <c r="AY270" s="22">
        <f>I270/AU270</f>
        <v>1.0912500000000001</v>
      </c>
      <c r="AZ270" s="22">
        <f>I270/AV270</f>
        <v>1.0912499999999998</v>
      </c>
      <c r="BA270" s="22">
        <f>I270/AW270</f>
        <v>1.0912499999999998</v>
      </c>
    </row>
    <row r="271" spans="1:88" s="61" customFormat="1">
      <c r="A271" s="1">
        <v>270</v>
      </c>
      <c r="B271" s="34" t="s">
        <v>484</v>
      </c>
      <c r="C271" s="34">
        <v>641</v>
      </c>
      <c r="D271" s="34">
        <v>213</v>
      </c>
      <c r="E271" s="34">
        <v>309</v>
      </c>
      <c r="F271" s="34" t="s">
        <v>491</v>
      </c>
      <c r="G271" s="58">
        <v>0</v>
      </c>
      <c r="H271" s="58">
        <v>576</v>
      </c>
      <c r="I271" s="35">
        <v>0.57599999999999996</v>
      </c>
      <c r="J271" s="62">
        <v>2</v>
      </c>
      <c r="K271" s="34" t="s">
        <v>238</v>
      </c>
      <c r="L271" s="10">
        <v>42160</v>
      </c>
      <c r="M271" s="37" t="s">
        <v>191</v>
      </c>
      <c r="N271" s="38">
        <v>0</v>
      </c>
      <c r="O271" s="38">
        <v>0.1</v>
      </c>
      <c r="P271" s="38">
        <v>7.4999999999999997E-2</v>
      </c>
      <c r="Q271" s="38">
        <v>0.375</v>
      </c>
      <c r="R271" s="38">
        <v>7.3789999999999996</v>
      </c>
      <c r="S271" s="38">
        <f t="shared" si="41"/>
        <v>7.5</v>
      </c>
      <c r="T271" s="38">
        <v>0.55000000000000004</v>
      </c>
      <c r="U271" s="38">
        <v>0</v>
      </c>
      <c r="V271" s="38">
        <v>0</v>
      </c>
      <c r="W271" s="38">
        <v>0</v>
      </c>
      <c r="X271" s="38">
        <v>2.7410000000000001</v>
      </c>
      <c r="Y271" s="38">
        <f t="shared" si="42"/>
        <v>2.5</v>
      </c>
      <c r="Z271" s="38"/>
      <c r="AA271" s="38"/>
      <c r="AB271" s="38">
        <f>T271+U271+V271+W271</f>
        <v>0.55000000000000004</v>
      </c>
      <c r="AC271" s="38">
        <v>1.175</v>
      </c>
      <c r="AD271" s="38">
        <v>0</v>
      </c>
      <c r="AE271" s="38">
        <v>0</v>
      </c>
      <c r="AF271" s="38">
        <f>(AD271+AE271*0.5)/(3.5*I271*1000)*100</f>
        <v>0</v>
      </c>
      <c r="AG271" s="38">
        <f t="shared" si="43"/>
        <v>0</v>
      </c>
      <c r="AH271" s="38">
        <v>0</v>
      </c>
      <c r="AI271" s="38">
        <f>AH271/(3.5*I271*1000)*100</f>
        <v>0</v>
      </c>
      <c r="AJ271" s="38">
        <v>0</v>
      </c>
      <c r="AK271" s="38">
        <v>0</v>
      </c>
      <c r="AL271" s="38">
        <v>0</v>
      </c>
      <c r="AM271" s="38">
        <f t="shared" si="44"/>
        <v>0</v>
      </c>
      <c r="AN271" s="60"/>
      <c r="AO271" s="60">
        <f>AE271*0.5</f>
        <v>0</v>
      </c>
      <c r="AP271" s="60">
        <f>(AD271+AH271+AJ271+AL271+AO271)*I271</f>
        <v>0</v>
      </c>
      <c r="AQ271" s="25">
        <f>SUM(N271:Q271)</f>
        <v>0.55000000000000004</v>
      </c>
      <c r="AR271" s="25">
        <f>SUM(T271:W271)</f>
        <v>0.55000000000000004</v>
      </c>
      <c r="AT271" s="40"/>
      <c r="AU271" s="41">
        <f>SUM(N271:Q271)</f>
        <v>0.55000000000000004</v>
      </c>
      <c r="AV271" s="41">
        <f>SUM(T271:W271)</f>
        <v>0.55000000000000004</v>
      </c>
      <c r="AW271" s="41">
        <f>SUM(Z271:AB271)</f>
        <v>0.55000000000000004</v>
      </c>
      <c r="AY271" s="22">
        <f>I271/AU271</f>
        <v>1.0472727272727271</v>
      </c>
      <c r="AZ271" s="22">
        <f>I271/AV271</f>
        <v>1.0472727272727271</v>
      </c>
      <c r="BA271" s="22">
        <f>I271/AW271</f>
        <v>1.0472727272727271</v>
      </c>
    </row>
    <row r="272" spans="1:88" s="61" customFormat="1">
      <c r="A272" s="1">
        <v>271</v>
      </c>
      <c r="B272" s="34" t="s">
        <v>484</v>
      </c>
      <c r="C272" s="34">
        <v>641</v>
      </c>
      <c r="D272" s="34">
        <v>213</v>
      </c>
      <c r="E272" s="34">
        <v>310</v>
      </c>
      <c r="F272" s="34" t="s">
        <v>492</v>
      </c>
      <c r="G272" s="58">
        <v>0</v>
      </c>
      <c r="H272" s="58">
        <v>189</v>
      </c>
      <c r="I272" s="35">
        <v>0.189</v>
      </c>
      <c r="J272" s="59">
        <v>2</v>
      </c>
      <c r="K272" s="34" t="s">
        <v>238</v>
      </c>
      <c r="L272" s="10">
        <v>42160</v>
      </c>
      <c r="M272" s="37" t="s">
        <v>191</v>
      </c>
      <c r="N272" s="38">
        <v>2.5000000000000001E-2</v>
      </c>
      <c r="O272" s="38">
        <v>2.5000000000000001E-2</v>
      </c>
      <c r="P272" s="38">
        <v>2.5000000000000001E-2</v>
      </c>
      <c r="Q272" s="38">
        <v>0.1</v>
      </c>
      <c r="R272" s="38">
        <v>6.4889999999999999</v>
      </c>
      <c r="S272" s="38">
        <f t="shared" si="41"/>
        <v>6.5</v>
      </c>
      <c r="T272" s="38">
        <v>0.17499999999999999</v>
      </c>
      <c r="U272" s="38">
        <v>0</v>
      </c>
      <c r="V272" s="38">
        <v>0</v>
      </c>
      <c r="W272" s="38">
        <v>0</v>
      </c>
      <c r="X272" s="38">
        <v>1.893</v>
      </c>
      <c r="Y272" s="38">
        <f t="shared" si="42"/>
        <v>2</v>
      </c>
      <c r="Z272" s="38"/>
      <c r="AA272" s="38"/>
      <c r="AB272" s="38">
        <f>T272+U272+V272+W272</f>
        <v>0.17499999999999999</v>
      </c>
      <c r="AC272" s="38">
        <v>1.032</v>
      </c>
      <c r="AD272" s="38">
        <v>0</v>
      </c>
      <c r="AE272" s="38">
        <v>0</v>
      </c>
      <c r="AF272" s="38">
        <f>(AD272+AE272*0.5)/(3.5*I272*1000)*100</f>
        <v>0</v>
      </c>
      <c r="AG272" s="38">
        <f t="shared" si="43"/>
        <v>0</v>
      </c>
      <c r="AH272" s="38">
        <v>0</v>
      </c>
      <c r="AI272" s="38">
        <f>AH272/(3.5*I272*1000)*100</f>
        <v>0</v>
      </c>
      <c r="AJ272" s="38">
        <v>0</v>
      </c>
      <c r="AK272" s="38">
        <v>0</v>
      </c>
      <c r="AL272" s="38">
        <v>0</v>
      </c>
      <c r="AM272" s="38">
        <f t="shared" si="44"/>
        <v>0</v>
      </c>
      <c r="AN272" s="60"/>
      <c r="AO272" s="60">
        <f>AE272*0.5</f>
        <v>0</v>
      </c>
      <c r="AP272" s="60">
        <f>(AD272+AH272+AJ272+AL272+AO272)*I272</f>
        <v>0</v>
      </c>
      <c r="AQ272" s="25">
        <f>SUM(N272:Q272)</f>
        <v>0.17500000000000002</v>
      </c>
      <c r="AR272" s="25">
        <f>SUM(T272:W272)</f>
        <v>0.17499999999999999</v>
      </c>
      <c r="AT272" s="40"/>
      <c r="AU272" s="41">
        <f>SUM(N272:Q272)</f>
        <v>0.17500000000000002</v>
      </c>
      <c r="AV272" s="41">
        <f>SUM(T272:W272)</f>
        <v>0.17499999999999999</v>
      </c>
      <c r="AW272" s="41">
        <f>SUM(Z272:AB272)</f>
        <v>0.17499999999999999</v>
      </c>
      <c r="AY272" s="22">
        <f>I272/AU272</f>
        <v>1.0799999999999998</v>
      </c>
      <c r="AZ272" s="22">
        <f>I272/AV272</f>
        <v>1.08</v>
      </c>
      <c r="BA272" s="22">
        <f>I272/AW272</f>
        <v>1.08</v>
      </c>
    </row>
    <row r="273" spans="1:88" s="61" customFormat="1">
      <c r="A273" s="1">
        <v>284</v>
      </c>
      <c r="B273" s="34" t="s">
        <v>484</v>
      </c>
      <c r="C273" s="34">
        <v>641</v>
      </c>
      <c r="D273" s="34">
        <v>2358</v>
      </c>
      <c r="E273" s="34">
        <v>100</v>
      </c>
      <c r="F273" s="34" t="s">
        <v>508</v>
      </c>
      <c r="G273" s="58">
        <v>0</v>
      </c>
      <c r="H273" s="58">
        <v>11532</v>
      </c>
      <c r="I273" s="35">
        <v>11.532</v>
      </c>
      <c r="J273" s="59">
        <v>2</v>
      </c>
      <c r="K273" s="34" t="s">
        <v>238</v>
      </c>
      <c r="L273" s="10">
        <v>42159</v>
      </c>
      <c r="M273" s="37" t="s">
        <v>191</v>
      </c>
      <c r="N273" s="38">
        <v>8.3249999999999993</v>
      </c>
      <c r="O273" s="38">
        <v>2.2749999999999999</v>
      </c>
      <c r="P273" s="38">
        <v>0.57499999999999996</v>
      </c>
      <c r="Q273" s="38">
        <v>0.32500000000000001</v>
      </c>
      <c r="R273" s="38">
        <v>4.4115700000000002</v>
      </c>
      <c r="S273" s="38">
        <f t="shared" si="41"/>
        <v>4.5</v>
      </c>
      <c r="T273" s="38">
        <v>11.4</v>
      </c>
      <c r="U273" s="38">
        <v>0.1</v>
      </c>
      <c r="V273" s="38">
        <v>0</v>
      </c>
      <c r="W273" s="38">
        <v>0</v>
      </c>
      <c r="X273" s="38">
        <v>4.43377</v>
      </c>
      <c r="Y273" s="38">
        <f t="shared" si="42"/>
        <v>4.5</v>
      </c>
      <c r="Z273" s="38">
        <v>0</v>
      </c>
      <c r="AA273" s="38">
        <v>0</v>
      </c>
      <c r="AB273" s="38">
        <f>T273+U273+V273+W273</f>
        <v>11.5</v>
      </c>
      <c r="AC273" s="38">
        <v>1.09392</v>
      </c>
      <c r="AD273" s="38">
        <v>462</v>
      </c>
      <c r="AE273" s="38">
        <v>248</v>
      </c>
      <c r="AF273" s="38">
        <f>(AD273+AE273*0.5)/(3.5*I273*1000)*100</f>
        <v>1.4518606610177891</v>
      </c>
      <c r="AG273" s="38">
        <f t="shared" si="43"/>
        <v>1.5</v>
      </c>
      <c r="AH273" s="38">
        <v>0</v>
      </c>
      <c r="AI273" s="38">
        <v>0</v>
      </c>
      <c r="AJ273" s="38">
        <v>5.26</v>
      </c>
      <c r="AK273" s="38">
        <v>0</v>
      </c>
      <c r="AL273" s="38">
        <v>0</v>
      </c>
      <c r="AM273" s="38">
        <f t="shared" si="44"/>
        <v>0</v>
      </c>
      <c r="AN273" s="60"/>
      <c r="AO273" s="60">
        <f>AE273*0.5</f>
        <v>124</v>
      </c>
      <c r="AP273" s="60">
        <f>(AD273+AH273+AJ273+AL273+AO273)*I273</f>
        <v>6818.41032</v>
      </c>
      <c r="AQ273" s="25">
        <f>SUM(N273:Q273)</f>
        <v>11.499999999999998</v>
      </c>
      <c r="AR273" s="25">
        <f>SUM(T273:W273)</f>
        <v>11.5</v>
      </c>
      <c r="AT273" s="40"/>
      <c r="AU273" s="41">
        <f>SUM(N273:Q273)</f>
        <v>11.499999999999998</v>
      </c>
      <c r="AV273" s="41">
        <f>SUM(T273:W273)</f>
        <v>11.5</v>
      </c>
      <c r="AW273" s="41">
        <f>SUM(Z273:AB273)</f>
        <v>11.5</v>
      </c>
      <c r="AY273" s="22">
        <f>I273/AU273</f>
        <v>1.0027826086956524</v>
      </c>
      <c r="AZ273" s="22">
        <f>I273/AV273</f>
        <v>1.0027826086956522</v>
      </c>
      <c r="BA273" s="22">
        <f>I273/AW273</f>
        <v>1.0027826086956522</v>
      </c>
    </row>
    <row r="274" spans="1:88" s="61" customFormat="1">
      <c r="A274" s="1">
        <v>774</v>
      </c>
      <c r="B274" s="34" t="s">
        <v>1149</v>
      </c>
      <c r="C274" s="34">
        <v>622</v>
      </c>
      <c r="D274" s="8">
        <v>2322</v>
      </c>
      <c r="E274" s="34">
        <v>102</v>
      </c>
      <c r="F274" s="34" t="s">
        <v>1166</v>
      </c>
      <c r="G274" s="58">
        <v>42396</v>
      </c>
      <c r="H274" s="58">
        <v>24396</v>
      </c>
      <c r="I274" s="35">
        <v>14.781000000000001</v>
      </c>
      <c r="J274" s="9">
        <v>2</v>
      </c>
      <c r="K274" s="34" t="s">
        <v>12</v>
      </c>
      <c r="L274" s="10">
        <v>42152</v>
      </c>
      <c r="M274" s="37" t="s">
        <v>191</v>
      </c>
      <c r="N274" s="38">
        <v>13.3</v>
      </c>
      <c r="O274" s="38">
        <v>2.375</v>
      </c>
      <c r="P274" s="38">
        <v>1.25</v>
      </c>
      <c r="Q274" s="38">
        <v>1.1499999999999999</v>
      </c>
      <c r="R274" s="38">
        <v>2.2280000000000002</v>
      </c>
      <c r="S274" s="38">
        <f t="shared" si="41"/>
        <v>2</v>
      </c>
      <c r="T274" s="38">
        <v>14.07</v>
      </c>
      <c r="U274" s="38">
        <v>0.6</v>
      </c>
      <c r="V274" s="38">
        <v>0.08</v>
      </c>
      <c r="W274" s="38">
        <v>0.04</v>
      </c>
      <c r="X274" s="38">
        <v>5.5179999999999998</v>
      </c>
      <c r="Y274" s="38">
        <f t="shared" si="42"/>
        <v>5.5</v>
      </c>
      <c r="Z274" s="38">
        <v>0</v>
      </c>
      <c r="AA274" s="38">
        <v>0</v>
      </c>
      <c r="AB274" s="38">
        <v>14.79</v>
      </c>
      <c r="AC274" s="38">
        <v>1.0960000000000001</v>
      </c>
      <c r="AD274" s="38">
        <v>149</v>
      </c>
      <c r="AE274" s="38">
        <v>1196</v>
      </c>
      <c r="AF274" s="38">
        <f>(AD274+AE274*0.5)/(3.5*I274*1000)*100</f>
        <v>1.4439386471048741</v>
      </c>
      <c r="AG274" s="38">
        <f t="shared" si="43"/>
        <v>1.4</v>
      </c>
      <c r="AH274" s="38">
        <v>9537</v>
      </c>
      <c r="AI274" s="38">
        <f>AH274/(3.5*I274*1000)*100</f>
        <v>18.434863289744559</v>
      </c>
      <c r="AJ274" s="38">
        <v>201</v>
      </c>
      <c r="AK274" s="38">
        <f>AJ274/(3.5*I274*1000)*100</f>
        <v>0.38852967612862072</v>
      </c>
      <c r="AL274" s="38">
        <v>728</v>
      </c>
      <c r="AM274" s="38">
        <f t="shared" si="44"/>
        <v>1.4072119613016711</v>
      </c>
      <c r="AN274" s="25"/>
      <c r="AO274" s="25">
        <f>AE274*0.5</f>
        <v>598</v>
      </c>
      <c r="AP274" s="25">
        <f>(AD274+AH274+AJ274+AL274+AO274)*I274</f>
        <v>165739.353</v>
      </c>
      <c r="AQ274" s="25">
        <f>SUM(N274:Q274)</f>
        <v>18.074999999999999</v>
      </c>
      <c r="AR274" s="25">
        <f>SUM(T274:W274)</f>
        <v>14.79</v>
      </c>
      <c r="AS274" s="268">
        <v>18</v>
      </c>
      <c r="AT274" s="41"/>
      <c r="AU274" s="41">
        <f>SUM(N274:Q274)</f>
        <v>18.074999999999999</v>
      </c>
      <c r="AV274" s="41">
        <f>SUM(T274:W274)</f>
        <v>14.79</v>
      </c>
      <c r="AW274" s="41">
        <f>SUM(Z274:AB274)</f>
        <v>14.79</v>
      </c>
      <c r="AX274" s="22"/>
      <c r="AY274" s="22">
        <f>I274/AU274</f>
        <v>0.81775933609958518</v>
      </c>
      <c r="AZ274" s="22">
        <f>I274/AV274</f>
        <v>0.99939148073022321</v>
      </c>
      <c r="BA274" s="22">
        <f>I274/AW274</f>
        <v>0.99939148073022321</v>
      </c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  <c r="CH274" s="22"/>
      <c r="CI274" s="22"/>
      <c r="CJ274" s="22"/>
    </row>
    <row r="275" spans="1:88" s="61" customFormat="1">
      <c r="A275" s="1">
        <v>1906</v>
      </c>
      <c r="B275" s="34" t="s">
        <v>2550</v>
      </c>
      <c r="C275" s="34">
        <v>337</v>
      </c>
      <c r="D275" s="75">
        <v>3236</v>
      </c>
      <c r="E275" s="8">
        <v>100</v>
      </c>
      <c r="F275" s="9" t="s">
        <v>2552</v>
      </c>
      <c r="G275" s="20">
        <v>0</v>
      </c>
      <c r="H275" s="20">
        <v>468</v>
      </c>
      <c r="I275" s="21">
        <v>0.46800000000000003</v>
      </c>
      <c r="J275" s="8">
        <v>2</v>
      </c>
      <c r="K275" s="8" t="s">
        <v>238</v>
      </c>
      <c r="L275" s="18">
        <v>42091</v>
      </c>
      <c r="M275" s="247" t="s">
        <v>191</v>
      </c>
      <c r="N275" s="38">
        <v>0</v>
      </c>
      <c r="O275" s="38">
        <v>7.0000000000000007E-2</v>
      </c>
      <c r="P275" s="38">
        <v>0.13</v>
      </c>
      <c r="Q275" s="38">
        <v>0.27</v>
      </c>
      <c r="R275" s="38">
        <v>6.1114300000000004</v>
      </c>
      <c r="S275" s="38">
        <f t="shared" si="41"/>
        <v>6</v>
      </c>
      <c r="T275" s="38">
        <v>0.37</v>
      </c>
      <c r="U275" s="38">
        <v>0.03</v>
      </c>
      <c r="V275" s="38">
        <v>7.0000000000000007E-2</v>
      </c>
      <c r="W275" s="38">
        <v>0</v>
      </c>
      <c r="X275" s="38">
        <v>7.8474300000000001</v>
      </c>
      <c r="Y275" s="38">
        <f t="shared" si="42"/>
        <v>8</v>
      </c>
      <c r="Z275" s="38">
        <v>0</v>
      </c>
      <c r="AA275" s="38">
        <v>0</v>
      </c>
      <c r="AB275" s="38">
        <v>0.47</v>
      </c>
      <c r="AC275" s="38">
        <v>1.3747100000000001</v>
      </c>
      <c r="AD275" s="38">
        <v>18.09</v>
      </c>
      <c r="AE275" s="38">
        <v>11.1</v>
      </c>
      <c r="AF275" s="38">
        <v>1.4432234432234401</v>
      </c>
      <c r="AG275" s="38">
        <f t="shared" si="43"/>
        <v>1.4</v>
      </c>
      <c r="AH275" s="38">
        <v>0</v>
      </c>
      <c r="AI275" s="38">
        <v>0</v>
      </c>
      <c r="AJ275" s="38">
        <v>0</v>
      </c>
      <c r="AK275" s="38">
        <v>0</v>
      </c>
      <c r="AL275" s="38">
        <v>0</v>
      </c>
      <c r="AM275" s="38">
        <f t="shared" si="44"/>
        <v>0</v>
      </c>
      <c r="AN275" s="1"/>
      <c r="AO275" s="1"/>
      <c r="AP275" s="22"/>
      <c r="AQ275" s="41">
        <f>SUM(N275:Q275)</f>
        <v>0.47000000000000003</v>
      </c>
      <c r="AR275" s="41">
        <f>SUM(T275:W275)</f>
        <v>0.47000000000000003</v>
      </c>
      <c r="AS275" s="12">
        <f>SUM(Z275:AB275)</f>
        <v>0.47</v>
      </c>
      <c r="AT275" s="1"/>
      <c r="AU275" s="1">
        <f>I275/AQ275</f>
        <v>0.99574468085106382</v>
      </c>
      <c r="AV275" s="1">
        <f>I275/AR275</f>
        <v>0.99574468085106382</v>
      </c>
      <c r="AW275" s="1">
        <f>I275/AS275</f>
        <v>0.99574468085106393</v>
      </c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  <c r="CH275" s="22"/>
      <c r="CI275" s="22"/>
      <c r="CJ275" s="22"/>
    </row>
    <row r="276" spans="1:88" s="61" customFormat="1">
      <c r="A276" s="1">
        <v>2111</v>
      </c>
      <c r="B276" s="34" t="s">
        <v>2754</v>
      </c>
      <c r="C276" s="34">
        <v>324</v>
      </c>
      <c r="D276" s="75">
        <v>4021</v>
      </c>
      <c r="E276" s="8">
        <v>100</v>
      </c>
      <c r="F276" s="9" t="s">
        <v>2758</v>
      </c>
      <c r="G276" s="20">
        <v>0</v>
      </c>
      <c r="H276" s="20">
        <v>6473</v>
      </c>
      <c r="I276" s="21">
        <v>6.4729999999999999</v>
      </c>
      <c r="J276" s="9">
        <v>4</v>
      </c>
      <c r="K276" s="34" t="s">
        <v>238</v>
      </c>
      <c r="L276" s="18">
        <v>42138</v>
      </c>
      <c r="M276" s="37" t="s">
        <v>191</v>
      </c>
      <c r="N276" s="38">
        <v>1.1499999999999999</v>
      </c>
      <c r="O276" s="38">
        <v>2.1</v>
      </c>
      <c r="P276" s="38">
        <v>1.7250000000000001</v>
      </c>
      <c r="Q276" s="38">
        <v>1.7749999999999999</v>
      </c>
      <c r="R276" s="38">
        <v>4.2638100000000003</v>
      </c>
      <c r="S276" s="38">
        <f t="shared" si="41"/>
        <v>4.5</v>
      </c>
      <c r="T276" s="38">
        <v>6.35</v>
      </c>
      <c r="U276" s="38">
        <v>0.3</v>
      </c>
      <c r="V276" s="38">
        <v>0.1</v>
      </c>
      <c r="W276" s="38">
        <v>0</v>
      </c>
      <c r="X276" s="38">
        <v>4.0716200000000002</v>
      </c>
      <c r="Y276" s="38">
        <f t="shared" si="42"/>
        <v>4</v>
      </c>
      <c r="Z276" s="38">
        <v>0</v>
      </c>
      <c r="AA276" s="38">
        <v>0</v>
      </c>
      <c r="AB276" s="38">
        <v>6.75</v>
      </c>
      <c r="AC276" s="38">
        <v>1.0724800000000001</v>
      </c>
      <c r="AD276" s="38">
        <v>325.99</v>
      </c>
      <c r="AE276" s="38">
        <v>1.62</v>
      </c>
      <c r="AF276" s="38">
        <v>1.442475337114608</v>
      </c>
      <c r="AG276" s="38">
        <f t="shared" si="43"/>
        <v>1.4</v>
      </c>
      <c r="AH276" s="38">
        <v>8.31</v>
      </c>
      <c r="AI276" s="38">
        <v>3.6679834918673174E-2</v>
      </c>
      <c r="AJ276" s="38">
        <v>0</v>
      </c>
      <c r="AK276" s="38">
        <v>0</v>
      </c>
      <c r="AL276" s="38">
        <v>0</v>
      </c>
      <c r="AM276" s="38">
        <v>0</v>
      </c>
      <c r="AN276" s="41"/>
      <c r="AO276" s="41"/>
      <c r="AP276" s="73"/>
      <c r="AQ276" s="73"/>
      <c r="AR276" s="73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</row>
    <row r="277" spans="1:88" s="61" customFormat="1">
      <c r="A277" s="1">
        <v>17</v>
      </c>
      <c r="B277" s="4" t="s">
        <v>8</v>
      </c>
      <c r="C277" s="14">
        <v>521</v>
      </c>
      <c r="D277" s="19">
        <v>1099</v>
      </c>
      <c r="E277" s="16">
        <v>100</v>
      </c>
      <c r="F277" s="14" t="s">
        <v>17</v>
      </c>
      <c r="G277" s="20" t="s">
        <v>92</v>
      </c>
      <c r="H277" s="20" t="s">
        <v>93</v>
      </c>
      <c r="I277" s="21">
        <v>49.899000000000001</v>
      </c>
      <c r="J277" s="8">
        <v>2</v>
      </c>
      <c r="K277" s="9" t="s">
        <v>238</v>
      </c>
      <c r="L277" s="18">
        <v>42230</v>
      </c>
      <c r="M277" s="37" t="s">
        <v>191</v>
      </c>
      <c r="N277" s="11">
        <v>9.4</v>
      </c>
      <c r="O277" s="11">
        <v>21</v>
      </c>
      <c r="P277" s="11">
        <v>12.53</v>
      </c>
      <c r="Q277" s="11">
        <v>7.05</v>
      </c>
      <c r="R277" s="11">
        <v>3.6147300000000002</v>
      </c>
      <c r="S277" s="38">
        <f t="shared" si="41"/>
        <v>3.5</v>
      </c>
      <c r="T277" s="11">
        <v>11.475</v>
      </c>
      <c r="U277" s="11">
        <v>14.85</v>
      </c>
      <c r="V277" s="11">
        <v>15.525</v>
      </c>
      <c r="W277" s="11">
        <v>8.125</v>
      </c>
      <c r="X277" s="11">
        <v>14.2727</v>
      </c>
      <c r="Y277" s="38">
        <f t="shared" si="42"/>
        <v>14.5</v>
      </c>
      <c r="Z277" s="11">
        <v>0</v>
      </c>
      <c r="AA277" s="11">
        <v>0</v>
      </c>
      <c r="AB277" s="11">
        <v>49.98</v>
      </c>
      <c r="AC277" s="11">
        <v>1.4278200000000001</v>
      </c>
      <c r="AD277" s="11">
        <v>2504.84</v>
      </c>
      <c r="AE277" s="11">
        <v>0</v>
      </c>
      <c r="AF277" s="11">
        <f>(AD277+AE277*0.5)/(3.5*I277*1000)*100</f>
        <v>1.4342342961353363</v>
      </c>
      <c r="AG277" s="38">
        <f t="shared" si="43"/>
        <v>1.4</v>
      </c>
      <c r="AH277" s="11">
        <v>0</v>
      </c>
      <c r="AI277" s="11">
        <f>AH277/(3.5*I277*1000)*100</f>
        <v>0</v>
      </c>
      <c r="AJ277" s="11">
        <v>0</v>
      </c>
      <c r="AK277" s="11">
        <f>AJ277/(3.5*I277*1000)*100</f>
        <v>0</v>
      </c>
      <c r="AL277" s="11">
        <v>1.1499999999999999</v>
      </c>
      <c r="AM277" s="11">
        <f>AL277/(3.5*I277*1000)*100</f>
        <v>6.5847297254740286E-4</v>
      </c>
      <c r="AN277" s="22"/>
      <c r="AO277" s="22"/>
      <c r="AP277" s="22"/>
      <c r="AQ277" s="12">
        <f>N277+O277+P277+Q277</f>
        <v>49.98</v>
      </c>
      <c r="AR277" s="12">
        <f>T277+U277+V277+W277</f>
        <v>49.975000000000001</v>
      </c>
      <c r="AS277" s="12">
        <f>Z277+AA277+AB277</f>
        <v>49.98</v>
      </c>
      <c r="AT277" s="22"/>
      <c r="AU277" s="22">
        <v>1.0016232790236277</v>
      </c>
      <c r="AV277" s="22">
        <v>1.0015230766147618</v>
      </c>
      <c r="AW277" s="22">
        <v>1.0016232790236277</v>
      </c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  <c r="CI277" s="22"/>
      <c r="CJ277" s="22"/>
    </row>
    <row r="278" spans="1:88" s="61" customFormat="1">
      <c r="A278" s="1">
        <v>2105</v>
      </c>
      <c r="B278" s="34" t="s">
        <v>2754</v>
      </c>
      <c r="C278" s="34">
        <v>324</v>
      </c>
      <c r="D278" s="75">
        <v>402</v>
      </c>
      <c r="E278" s="8">
        <v>101</v>
      </c>
      <c r="F278" s="9" t="s">
        <v>2755</v>
      </c>
      <c r="G278" s="20">
        <v>0</v>
      </c>
      <c r="H278" s="20">
        <v>21856</v>
      </c>
      <c r="I278" s="21">
        <v>21.856000000000002</v>
      </c>
      <c r="J278" s="9">
        <v>4</v>
      </c>
      <c r="K278" s="34" t="s">
        <v>237</v>
      </c>
      <c r="L278" s="18">
        <v>42136</v>
      </c>
      <c r="M278" s="37" t="s">
        <v>191</v>
      </c>
      <c r="N278" s="38">
        <v>13.275</v>
      </c>
      <c r="O278" s="38">
        <v>4.5999999999999996</v>
      </c>
      <c r="P278" s="38">
        <v>2.7</v>
      </c>
      <c r="Q278" s="38">
        <v>1.45</v>
      </c>
      <c r="R278" s="38">
        <v>2.6217299999999999</v>
      </c>
      <c r="S278" s="38">
        <f t="shared" si="41"/>
        <v>2.5</v>
      </c>
      <c r="T278" s="38">
        <v>20.925000000000001</v>
      </c>
      <c r="U278" s="38">
        <v>0.97499999999999998</v>
      </c>
      <c r="V278" s="38">
        <v>0.1</v>
      </c>
      <c r="W278" s="38">
        <v>2.5000000000000001E-2</v>
      </c>
      <c r="X278" s="38">
        <v>5.0276399999999999</v>
      </c>
      <c r="Y278" s="38">
        <f t="shared" si="42"/>
        <v>5</v>
      </c>
      <c r="Z278" s="38">
        <v>0</v>
      </c>
      <c r="AA278" s="38">
        <v>0</v>
      </c>
      <c r="AB278" s="38">
        <v>22.024999999999999</v>
      </c>
      <c r="AC278" s="38">
        <v>1.3154999999999999</v>
      </c>
      <c r="AD278" s="38">
        <v>892</v>
      </c>
      <c r="AE278" s="38">
        <v>42</v>
      </c>
      <c r="AF278" s="38">
        <v>1.4286496678741598</v>
      </c>
      <c r="AG278" s="38">
        <f t="shared" si="43"/>
        <v>1.4</v>
      </c>
      <c r="AH278" s="38">
        <v>0</v>
      </c>
      <c r="AI278" s="38">
        <v>0</v>
      </c>
      <c r="AJ278" s="38">
        <v>41</v>
      </c>
      <c r="AK278" s="38">
        <v>6.4156228239693899E-2</v>
      </c>
      <c r="AL278" s="38">
        <v>2</v>
      </c>
      <c r="AM278" s="38">
        <v>2.614515791675381E-3</v>
      </c>
      <c r="AN278" s="41"/>
      <c r="AO278" s="41"/>
      <c r="AP278" s="73"/>
      <c r="AQ278" s="73"/>
      <c r="AR278" s="73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</row>
    <row r="279" spans="1:88" s="61" customFormat="1">
      <c r="A279" s="1">
        <v>2069</v>
      </c>
      <c r="B279" s="34" t="s">
        <v>2715</v>
      </c>
      <c r="C279" s="34">
        <v>329</v>
      </c>
      <c r="D279" s="75">
        <v>415</v>
      </c>
      <c r="E279" s="8">
        <v>200</v>
      </c>
      <c r="F279" s="34" t="s">
        <v>2716</v>
      </c>
      <c r="G279" s="58">
        <v>21381</v>
      </c>
      <c r="H279" s="58">
        <v>48161</v>
      </c>
      <c r="I279" s="21">
        <v>26.78</v>
      </c>
      <c r="J279" s="8">
        <v>4</v>
      </c>
      <c r="K279" s="8" t="s">
        <v>238</v>
      </c>
      <c r="L279" s="18">
        <v>42121</v>
      </c>
      <c r="M279" s="37" t="s">
        <v>191</v>
      </c>
      <c r="N279" s="38">
        <v>17.425000000000001</v>
      </c>
      <c r="O279" s="38">
        <v>6.3</v>
      </c>
      <c r="P279" s="38">
        <v>2.4</v>
      </c>
      <c r="Q279" s="38">
        <v>0.57499999999999996</v>
      </c>
      <c r="R279" s="38">
        <v>2.3181600000000002</v>
      </c>
      <c r="S279" s="38">
        <f t="shared" si="41"/>
        <v>2.5</v>
      </c>
      <c r="T279" s="38">
        <v>25.725000000000001</v>
      </c>
      <c r="U279" s="38">
        <v>0.85</v>
      </c>
      <c r="V279" s="38">
        <v>0.125</v>
      </c>
      <c r="W279" s="38">
        <v>0</v>
      </c>
      <c r="X279" s="38">
        <v>3.7921900000000002</v>
      </c>
      <c r="Y279" s="38">
        <f t="shared" si="42"/>
        <v>4</v>
      </c>
      <c r="Z279" s="38">
        <v>0</v>
      </c>
      <c r="AA279" s="38">
        <v>0</v>
      </c>
      <c r="AB279" s="38">
        <v>26.7</v>
      </c>
      <c r="AC279" s="38">
        <v>1.4297800000000001</v>
      </c>
      <c r="AD279" s="38">
        <v>1226.78</v>
      </c>
      <c r="AE279" s="38">
        <v>211.52</v>
      </c>
      <c r="AF279" s="38">
        <v>1.4216792915822043</v>
      </c>
      <c r="AG279" s="38">
        <f t="shared" si="43"/>
        <v>1.4</v>
      </c>
      <c r="AH279" s="38">
        <v>50.83</v>
      </c>
      <c r="AI279" s="38">
        <v>5.423023578363384E-2</v>
      </c>
      <c r="AJ279" s="38">
        <v>23.44</v>
      </c>
      <c r="AK279" s="38">
        <v>2.5008001707030835E-2</v>
      </c>
      <c r="AL279" s="38">
        <v>0</v>
      </c>
      <c r="AM279" s="38">
        <f>AL279/(3.5*I279*1000)*100</f>
        <v>0</v>
      </c>
      <c r="AN279" s="12"/>
      <c r="AO279" s="12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</row>
    <row r="280" spans="1:88" s="61" customFormat="1">
      <c r="A280" s="1">
        <v>1476</v>
      </c>
      <c r="B280" s="34" t="s">
        <v>2016</v>
      </c>
      <c r="C280" s="34">
        <v>411</v>
      </c>
      <c r="D280" s="69">
        <v>351</v>
      </c>
      <c r="E280" s="34">
        <v>100</v>
      </c>
      <c r="F280" s="34" t="s">
        <v>2029</v>
      </c>
      <c r="G280" s="20" t="s">
        <v>2030</v>
      </c>
      <c r="H280" s="20">
        <v>9425</v>
      </c>
      <c r="I280" s="188">
        <v>2.903</v>
      </c>
      <c r="J280" s="34">
        <v>8</v>
      </c>
      <c r="K280" s="34" t="s">
        <v>96</v>
      </c>
      <c r="L280" s="10">
        <v>42247</v>
      </c>
      <c r="M280" s="37" t="s">
        <v>191</v>
      </c>
      <c r="N280" s="38">
        <v>0.875</v>
      </c>
      <c r="O280" s="38">
        <v>0.65</v>
      </c>
      <c r="P280" s="38">
        <v>0.5</v>
      </c>
      <c r="Q280" s="38">
        <v>0.97499999999999998</v>
      </c>
      <c r="R280" s="38">
        <v>4.0599999999999996</v>
      </c>
      <c r="S280" s="38">
        <f t="shared" si="41"/>
        <v>4</v>
      </c>
      <c r="T280" s="38">
        <v>2.6749999999999998</v>
      </c>
      <c r="U280" s="38">
        <v>0.25</v>
      </c>
      <c r="V280" s="38">
        <v>0.05</v>
      </c>
      <c r="W280" s="38">
        <v>2.5000000000000001E-2</v>
      </c>
      <c r="X280" s="38">
        <v>6.3920000000000003</v>
      </c>
      <c r="Y280" s="38">
        <f t="shared" si="42"/>
        <v>6.5</v>
      </c>
      <c r="Z280" s="38">
        <v>0</v>
      </c>
      <c r="AA280" s="38">
        <v>0</v>
      </c>
      <c r="AB280" s="38">
        <f>SUM(T280:W280)</f>
        <v>2.9999999999999996</v>
      </c>
      <c r="AC280" s="38">
        <v>1.3129999999999999</v>
      </c>
      <c r="AD280" s="38">
        <v>126</v>
      </c>
      <c r="AE280" s="38">
        <v>35.72</v>
      </c>
      <c r="AF280" s="38">
        <f>(AD280+AE280*0.5)/(3.5*I280*1000)*100</f>
        <v>1.415875202991979</v>
      </c>
      <c r="AG280" s="38">
        <f t="shared" si="43"/>
        <v>1.4</v>
      </c>
      <c r="AH280" s="38">
        <v>0</v>
      </c>
      <c r="AI280" s="38">
        <f>AH280/(3.5*I280*1000)*100</f>
        <v>0</v>
      </c>
      <c r="AJ280" s="38">
        <v>3.02</v>
      </c>
      <c r="AK280" s="38">
        <f>AJ280/(3.5*I280*1000)*100</f>
        <v>2.9722946705378676E-2</v>
      </c>
      <c r="AL280" s="38">
        <v>0</v>
      </c>
      <c r="AM280" s="38">
        <f>AL280/(3.5*I280*1000)*100</f>
        <v>0</v>
      </c>
      <c r="AN280" s="60"/>
      <c r="AO280" s="60">
        <f>AE280*0.5</f>
        <v>17.86</v>
      </c>
      <c r="AP280" s="60">
        <f>(AD280+AH280+AJ280+AL280+AO280)*I280</f>
        <v>426.39263999999997</v>
      </c>
      <c r="AQ280" s="60"/>
      <c r="AR280" s="60"/>
      <c r="AS280" s="60"/>
      <c r="AT280" s="60"/>
      <c r="AV280" s="40"/>
      <c r="AW280" s="40"/>
      <c r="AX280" s="40"/>
      <c r="AY280" s="40"/>
    </row>
    <row r="281" spans="1:88" s="61" customFormat="1">
      <c r="A281" s="1">
        <v>1901</v>
      </c>
      <c r="B281" s="34" t="s">
        <v>2528</v>
      </c>
      <c r="C281" s="34">
        <v>336</v>
      </c>
      <c r="D281" s="75">
        <v>3351</v>
      </c>
      <c r="E281" s="8">
        <v>300</v>
      </c>
      <c r="F281" s="9" t="s">
        <v>2543</v>
      </c>
      <c r="G281" s="20" t="s">
        <v>2544</v>
      </c>
      <c r="H281" s="20" t="s">
        <v>2545</v>
      </c>
      <c r="I281" s="21">
        <v>3.427</v>
      </c>
      <c r="J281" s="8">
        <v>2</v>
      </c>
      <c r="K281" s="8" t="s">
        <v>12</v>
      </c>
      <c r="L281" s="18">
        <v>42089</v>
      </c>
      <c r="M281" s="247" t="s">
        <v>191</v>
      </c>
      <c r="N281" s="26">
        <v>1.7</v>
      </c>
      <c r="O281" s="26">
        <v>0.9</v>
      </c>
      <c r="P281" s="26">
        <v>0.4</v>
      </c>
      <c r="Q281" s="26">
        <v>0.43</v>
      </c>
      <c r="R281" s="26">
        <v>2.9660500000000001</v>
      </c>
      <c r="S281" s="38">
        <f t="shared" si="41"/>
        <v>3</v>
      </c>
      <c r="T281" s="26">
        <v>3.08</v>
      </c>
      <c r="U281" s="26">
        <v>0.21</v>
      </c>
      <c r="V281" s="26">
        <v>0.05</v>
      </c>
      <c r="W281" s="26">
        <v>0.08</v>
      </c>
      <c r="X281" s="26">
        <v>4.8582299999999998</v>
      </c>
      <c r="Y281" s="38">
        <f t="shared" si="42"/>
        <v>5</v>
      </c>
      <c r="Z281" s="11">
        <v>0</v>
      </c>
      <c r="AA281" s="11">
        <v>0</v>
      </c>
      <c r="AB281" s="11">
        <v>3.43</v>
      </c>
      <c r="AC281" s="11">
        <v>1.1489499999999999</v>
      </c>
      <c r="AD281" s="11">
        <v>167.98</v>
      </c>
      <c r="AE281" s="11">
        <v>1.23</v>
      </c>
      <c r="AF281" s="38">
        <f>(AD281+AE281*0.5)/(3.5*I281*1000)*100</f>
        <v>1.4056025678435951</v>
      </c>
      <c r="AG281" s="38">
        <f t="shared" si="43"/>
        <v>1.4</v>
      </c>
      <c r="AH281" s="38">
        <v>19.3</v>
      </c>
      <c r="AI281" s="38">
        <f>AH281/(3.5*I281*1000)*100</f>
        <v>0.16090708241277252</v>
      </c>
      <c r="AJ281" s="38">
        <v>86.53</v>
      </c>
      <c r="AK281" s="38">
        <f>AJ281/(3.5*I281*1000)*100</f>
        <v>0.72141398140814539</v>
      </c>
      <c r="AL281" s="38">
        <v>0.3</v>
      </c>
      <c r="AM281" s="38">
        <f>AL281/(3.5*I281*1000)*100</f>
        <v>2.501146358747759E-3</v>
      </c>
      <c r="AN281" s="1"/>
      <c r="AO281" s="1"/>
      <c r="AP281" s="22"/>
      <c r="AQ281" s="41">
        <f>SUM(N281:Q281)</f>
        <v>3.43</v>
      </c>
      <c r="AR281" s="41">
        <f>SUM(T281:W281)</f>
        <v>3.42</v>
      </c>
      <c r="AS281" s="12">
        <f>SUM(Z281:AB281)</f>
        <v>3.43</v>
      </c>
      <c r="AT281" s="1"/>
      <c r="AU281" s="1">
        <f>I281/AQ281</f>
        <v>0.99912536443148681</v>
      </c>
      <c r="AV281" s="1">
        <f>I281/AR281</f>
        <v>1.002046783625731</v>
      </c>
      <c r="AW281" s="1">
        <f>I281/AS281</f>
        <v>0.99912536443148681</v>
      </c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  <c r="CH281" s="22"/>
      <c r="CI281" s="22"/>
      <c r="CJ281" s="22"/>
    </row>
    <row r="282" spans="1:88" s="61" customFormat="1">
      <c r="A282" s="1">
        <v>2114</v>
      </c>
      <c r="B282" s="34" t="s">
        <v>2754</v>
      </c>
      <c r="C282" s="34">
        <v>324</v>
      </c>
      <c r="D282" s="75">
        <v>4022</v>
      </c>
      <c r="E282" s="8">
        <v>100</v>
      </c>
      <c r="F282" s="9" t="s">
        <v>2759</v>
      </c>
      <c r="G282" s="20">
        <v>488</v>
      </c>
      <c r="H282" s="20">
        <v>0</v>
      </c>
      <c r="I282" s="21">
        <v>0.48799999999999999</v>
      </c>
      <c r="J282" s="9">
        <v>4</v>
      </c>
      <c r="K282" s="34" t="s">
        <v>96</v>
      </c>
      <c r="L282" s="18">
        <v>42139</v>
      </c>
      <c r="M282" s="37" t="s">
        <v>191</v>
      </c>
      <c r="N282" s="38">
        <v>0.1</v>
      </c>
      <c r="O282" s="38">
        <v>0.05</v>
      </c>
      <c r="P282" s="38">
        <v>0.125</v>
      </c>
      <c r="Q282" s="38">
        <v>0.125</v>
      </c>
      <c r="R282" s="38">
        <v>4.3337500000000002</v>
      </c>
      <c r="S282" s="38">
        <f t="shared" si="41"/>
        <v>4.5</v>
      </c>
      <c r="T282" s="38">
        <v>0.4</v>
      </c>
      <c r="U282" s="38">
        <v>0</v>
      </c>
      <c r="V282" s="38">
        <v>0</v>
      </c>
      <c r="W282" s="38">
        <v>0</v>
      </c>
      <c r="X282" s="38">
        <v>4.18119</v>
      </c>
      <c r="Y282" s="38">
        <f t="shared" si="42"/>
        <v>4</v>
      </c>
      <c r="Z282" s="38">
        <v>0</v>
      </c>
      <c r="AA282" s="38">
        <v>0</v>
      </c>
      <c r="AB282" s="38">
        <v>0.4</v>
      </c>
      <c r="AC282" s="38">
        <v>1.27756</v>
      </c>
      <c r="AD282" s="38">
        <v>10.62</v>
      </c>
      <c r="AE282" s="38">
        <v>26.77</v>
      </c>
      <c r="AF282" s="38">
        <v>1.4054449648711944</v>
      </c>
      <c r="AG282" s="38">
        <f t="shared" si="43"/>
        <v>1.4</v>
      </c>
      <c r="AH282" s="38">
        <v>19.02</v>
      </c>
      <c r="AI282" s="38">
        <v>1.1135831381733021</v>
      </c>
      <c r="AJ282" s="38">
        <v>0</v>
      </c>
      <c r="AK282" s="38">
        <v>0</v>
      </c>
      <c r="AL282" s="38">
        <v>0</v>
      </c>
      <c r="AM282" s="38">
        <v>0</v>
      </c>
      <c r="AN282" s="41"/>
      <c r="AO282" s="41"/>
      <c r="AP282" s="73"/>
      <c r="AQ282" s="73"/>
      <c r="AR282" s="73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</row>
    <row r="283" spans="1:88" s="61" customFormat="1">
      <c r="A283" s="1">
        <v>560</v>
      </c>
      <c r="B283" s="34" t="s">
        <v>948</v>
      </c>
      <c r="C283" s="34">
        <v>551</v>
      </c>
      <c r="D283" s="34">
        <v>2275</v>
      </c>
      <c r="E283" s="34">
        <v>301</v>
      </c>
      <c r="F283" s="9" t="s">
        <v>961</v>
      </c>
      <c r="G283" s="118">
        <v>118800</v>
      </c>
      <c r="H283" s="118">
        <v>177738</v>
      </c>
      <c r="I283" s="35">
        <v>58.938000000000002</v>
      </c>
      <c r="J283" s="71">
        <v>2</v>
      </c>
      <c r="K283" s="34" t="s">
        <v>237</v>
      </c>
      <c r="L283" s="10">
        <v>42223</v>
      </c>
      <c r="M283" s="37" t="s">
        <v>191</v>
      </c>
      <c r="N283" s="38">
        <v>44.11</v>
      </c>
      <c r="O283" s="38">
        <v>11.56</v>
      </c>
      <c r="P283" s="38">
        <v>5.68</v>
      </c>
      <c r="Q283" s="38">
        <v>2.59</v>
      </c>
      <c r="R283" s="38">
        <v>2.2000000000000002</v>
      </c>
      <c r="S283" s="38">
        <f t="shared" si="41"/>
        <v>2</v>
      </c>
      <c r="T283" s="38">
        <v>58.71</v>
      </c>
      <c r="U283" s="38">
        <v>3.85</v>
      </c>
      <c r="V283" s="38">
        <v>0.9</v>
      </c>
      <c r="W283" s="38">
        <v>0.48</v>
      </c>
      <c r="X283" s="38">
        <v>3.1019999999999999</v>
      </c>
      <c r="Y283" s="38">
        <f t="shared" si="42"/>
        <v>3</v>
      </c>
      <c r="Z283" s="38">
        <v>0</v>
      </c>
      <c r="AA283" s="38">
        <v>0</v>
      </c>
      <c r="AB283" s="38">
        <v>58.94</v>
      </c>
      <c r="AC283" s="38">
        <v>1.101</v>
      </c>
      <c r="AD283" s="38">
        <v>1045</v>
      </c>
      <c r="AE283" s="38">
        <v>3706.42</v>
      </c>
      <c r="AF283" s="38">
        <f>(AD283+AE283*0.5)/(3.5*I283*1000)*100</f>
        <v>1.4049679324035427</v>
      </c>
      <c r="AG283" s="38">
        <f t="shared" si="43"/>
        <v>1.4</v>
      </c>
      <c r="AH283" s="38">
        <v>97</v>
      </c>
      <c r="AI283" s="38">
        <f>AH283/(3.5*I283*1000)*100</f>
        <v>4.7022779385601329E-2</v>
      </c>
      <c r="AJ283" s="38">
        <v>500</v>
      </c>
      <c r="AK283" s="38">
        <f>AJ283/(3.5*I283*1000)*100</f>
        <v>0.24238546075052234</v>
      </c>
      <c r="AL283" s="38">
        <v>642</v>
      </c>
      <c r="AM283" s="38">
        <f>AL283/(3.5*I283*1000)*100</f>
        <v>0.31122293160367065</v>
      </c>
      <c r="AN283" s="25"/>
      <c r="AO283" s="25">
        <f>AE283*0.5</f>
        <v>1853.21</v>
      </c>
      <c r="AP283" s="25">
        <f>(AD283+AH283+AJ283+AL283+AO283)*I283</f>
        <v>243838.88298000002</v>
      </c>
      <c r="AQ283" s="25">
        <f>SUM(N283:Q283)</f>
        <v>63.94</v>
      </c>
      <c r="AR283" s="25">
        <f>SUM(T283:W283)</f>
        <v>63.94</v>
      </c>
      <c r="AS283" s="268">
        <v>63.938000000000002</v>
      </c>
      <c r="AT283" s="41"/>
      <c r="AU283" s="41">
        <f>SUM(N283:Q283)</f>
        <v>63.94</v>
      </c>
      <c r="AV283" s="41">
        <f>SUM(T283:W283)</f>
        <v>63.94</v>
      </c>
      <c r="AW283" s="41">
        <f>SUM(Z283:AB283)</f>
        <v>58.94</v>
      </c>
      <c r="AX283" s="22"/>
      <c r="AY283" s="22">
        <f>I283/AU283</f>
        <v>0.92177040975914926</v>
      </c>
      <c r="AZ283" s="22">
        <f>I283/AV283</f>
        <v>0.92177040975914926</v>
      </c>
      <c r="BA283" s="22">
        <f>I283/AW283</f>
        <v>0.9999660671869699</v>
      </c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  <c r="CH283" s="22"/>
      <c r="CI283" s="22"/>
      <c r="CJ283" s="22"/>
    </row>
    <row r="284" spans="1:88" s="61" customFormat="1">
      <c r="A284" s="1">
        <v>303</v>
      </c>
      <c r="B284" s="34" t="s">
        <v>529</v>
      </c>
      <c r="C284" s="34">
        <v>643</v>
      </c>
      <c r="D284" s="34">
        <v>2026</v>
      </c>
      <c r="E284" s="34">
        <v>100</v>
      </c>
      <c r="F284" s="34" t="s">
        <v>534</v>
      </c>
      <c r="G284" s="58">
        <v>0</v>
      </c>
      <c r="H284" s="58">
        <v>47000</v>
      </c>
      <c r="I284" s="35">
        <v>47</v>
      </c>
      <c r="J284" s="62">
        <v>2</v>
      </c>
      <c r="K284" s="34" t="s">
        <v>238</v>
      </c>
      <c r="L284" s="10">
        <v>42163</v>
      </c>
      <c r="M284" s="37" t="s">
        <v>191</v>
      </c>
      <c r="N284" s="38">
        <v>32.274999999999999</v>
      </c>
      <c r="O284" s="38">
        <v>9.9</v>
      </c>
      <c r="P284" s="38">
        <v>2.8250000000000002</v>
      </c>
      <c r="Q284" s="38">
        <v>1.75</v>
      </c>
      <c r="R284" s="38">
        <v>3.5011399999999999</v>
      </c>
      <c r="S284" s="38">
        <f t="shared" si="41"/>
        <v>3.5</v>
      </c>
      <c r="T284" s="38">
        <v>45.75</v>
      </c>
      <c r="U284" s="38">
        <v>0.9</v>
      </c>
      <c r="V284" s="38">
        <v>0.1</v>
      </c>
      <c r="W284" s="38">
        <v>0</v>
      </c>
      <c r="X284" s="38">
        <v>4.3227399999999996</v>
      </c>
      <c r="Y284" s="38">
        <f t="shared" si="42"/>
        <v>4.5</v>
      </c>
      <c r="Z284" s="38">
        <v>2.5000000000000001E-2</v>
      </c>
      <c r="AA284" s="38">
        <v>2.5000000000000001E-2</v>
      </c>
      <c r="AB284" s="38">
        <v>46.725000000000001</v>
      </c>
      <c r="AC284" s="38">
        <v>1.1653800000000001</v>
      </c>
      <c r="AD284" s="38">
        <v>1145</v>
      </c>
      <c r="AE284" s="38">
        <v>2293</v>
      </c>
      <c r="AF284" s="38">
        <v>1.3930100000000001</v>
      </c>
      <c r="AG284" s="38">
        <f t="shared" si="43"/>
        <v>1.4</v>
      </c>
      <c r="AH284" s="38">
        <v>0</v>
      </c>
      <c r="AI284" s="38">
        <v>0</v>
      </c>
      <c r="AJ284" s="38">
        <v>182.77</v>
      </c>
      <c r="AK284" s="38">
        <v>0.111106</v>
      </c>
      <c r="AL284" s="38">
        <v>0</v>
      </c>
      <c r="AM284" s="38">
        <v>0</v>
      </c>
      <c r="AN284" s="25"/>
      <c r="AO284" s="25"/>
      <c r="AP284" s="25">
        <f>AE284*0.5</f>
        <v>1146.5</v>
      </c>
      <c r="AQ284" s="25">
        <f>(AD284+AH284+AJ284+AL284+AP284)*I284</f>
        <v>116290.69</v>
      </c>
      <c r="AR284" s="25">
        <f>SUM(N284:Q284)</f>
        <v>46.75</v>
      </c>
      <c r="AS284" s="25">
        <f>SUM(T284:W284)</f>
        <v>46.75</v>
      </c>
      <c r="AT284" s="22"/>
      <c r="AU284" s="41">
        <f>SUM(N284:Q284)</f>
        <v>46.75</v>
      </c>
      <c r="AV284" s="41">
        <f>SUM(T284:W284)</f>
        <v>46.75</v>
      </c>
      <c r="AW284" s="41">
        <f>SUM(Z284:AB284)</f>
        <v>46.774999999999999</v>
      </c>
      <c r="AX284" s="22"/>
      <c r="AY284" s="22">
        <f>I284/AU284</f>
        <v>1.0053475935828877</v>
      </c>
      <c r="AZ284" s="22">
        <f>I284/AV284</f>
        <v>1.0053475935828877</v>
      </c>
      <c r="BA284" s="22">
        <f>I284/AW284</f>
        <v>1.0048102618920365</v>
      </c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  <c r="CH284" s="22"/>
      <c r="CI284" s="22"/>
      <c r="CJ284" s="22"/>
    </row>
    <row r="285" spans="1:88" s="61" customFormat="1">
      <c r="A285" s="1">
        <v>2189</v>
      </c>
      <c r="B285" s="34" t="s">
        <v>2827</v>
      </c>
      <c r="C285" s="34">
        <v>314</v>
      </c>
      <c r="D285" s="75">
        <v>4018</v>
      </c>
      <c r="E285" s="8">
        <v>200</v>
      </c>
      <c r="F285" s="9" t="s">
        <v>2828</v>
      </c>
      <c r="G285" s="20" t="s">
        <v>2833</v>
      </c>
      <c r="H285" s="20" t="s">
        <v>2834</v>
      </c>
      <c r="I285" s="21">
        <v>4.45</v>
      </c>
      <c r="J285" s="8">
        <v>2</v>
      </c>
      <c r="K285" s="8" t="s">
        <v>238</v>
      </c>
      <c r="L285" s="18">
        <v>42144</v>
      </c>
      <c r="M285" s="37" t="s">
        <v>191</v>
      </c>
      <c r="N285" s="38">
        <v>0.6</v>
      </c>
      <c r="O285" s="38">
        <v>1.45</v>
      </c>
      <c r="P285" s="38">
        <v>1.2749999999999999</v>
      </c>
      <c r="Q285" s="38">
        <v>1.075</v>
      </c>
      <c r="R285" s="38">
        <v>4.2332400000000003</v>
      </c>
      <c r="S285" s="38">
        <f t="shared" si="41"/>
        <v>4</v>
      </c>
      <c r="T285" s="38">
        <v>4.0750000000000002</v>
      </c>
      <c r="U285" s="38">
        <v>0.27500000000000002</v>
      </c>
      <c r="V285" s="38">
        <v>0.05</v>
      </c>
      <c r="W285" s="38">
        <v>0</v>
      </c>
      <c r="X285" s="38">
        <v>4.8555900000000003</v>
      </c>
      <c r="Y285" s="38">
        <f t="shared" si="42"/>
        <v>5</v>
      </c>
      <c r="Z285" s="38">
        <v>0</v>
      </c>
      <c r="AA285" s="38">
        <v>0</v>
      </c>
      <c r="AB285" s="38">
        <v>4.3999999999999995</v>
      </c>
      <c r="AC285" s="38">
        <v>1.24373</v>
      </c>
      <c r="AD285" s="38">
        <v>142.84</v>
      </c>
      <c r="AE285" s="38">
        <v>147.43</v>
      </c>
      <c r="AF285" s="38">
        <f>(AD285+AE285*0.5)/(3.5*I285*1000)*100</f>
        <v>1.3904012841091491</v>
      </c>
      <c r="AG285" s="38">
        <f t="shared" si="43"/>
        <v>1.4</v>
      </c>
      <c r="AH285" s="38">
        <v>12.46</v>
      </c>
      <c r="AI285" s="38">
        <f>AH285/(3.5*I285*1000)*100</f>
        <v>7.9999999999999988E-2</v>
      </c>
      <c r="AJ285" s="38">
        <v>18.95</v>
      </c>
      <c r="AK285" s="38">
        <f>AJ285/(3.5*L285*1000)*100</f>
        <v>1.284710923093611E-5</v>
      </c>
      <c r="AL285" s="38">
        <v>0</v>
      </c>
      <c r="AM285" s="38">
        <f>AL285/(3.5*I285*1000)*100</f>
        <v>0</v>
      </c>
      <c r="AN285" s="72"/>
      <c r="AO285" s="41"/>
      <c r="AP285" s="41"/>
      <c r="AQ285" s="73"/>
      <c r="AR285" s="73"/>
      <c r="AS285" s="73"/>
      <c r="AT285" s="73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  <c r="CH285" s="22"/>
      <c r="CI285" s="22"/>
      <c r="CJ285" s="22"/>
    </row>
    <row r="286" spans="1:88" s="61" customFormat="1">
      <c r="A286" s="1">
        <v>1730</v>
      </c>
      <c r="B286" s="34" t="s">
        <v>2324</v>
      </c>
      <c r="C286" s="34">
        <v>423</v>
      </c>
      <c r="D286" s="8">
        <v>317</v>
      </c>
      <c r="E286" s="88">
        <v>102</v>
      </c>
      <c r="F286" s="34" t="s">
        <v>2326</v>
      </c>
      <c r="G286" s="58">
        <v>10000</v>
      </c>
      <c r="H286" s="58">
        <v>26200</v>
      </c>
      <c r="I286" s="35">
        <v>16.2</v>
      </c>
      <c r="J286" s="9">
        <v>4</v>
      </c>
      <c r="K286" s="88" t="s">
        <v>237</v>
      </c>
      <c r="L286" s="116">
        <v>42234</v>
      </c>
      <c r="M286" s="37" t="s">
        <v>191</v>
      </c>
      <c r="N286" s="38">
        <v>11.371</v>
      </c>
      <c r="O286" s="38">
        <v>3.286</v>
      </c>
      <c r="P286" s="38">
        <v>0.8</v>
      </c>
      <c r="Q286" s="38">
        <v>0.74299999999999999</v>
      </c>
      <c r="R286" s="38">
        <v>2.4351099999999999</v>
      </c>
      <c r="S286" s="38">
        <f t="shared" si="41"/>
        <v>2.5</v>
      </c>
      <c r="T286" s="38">
        <v>14.337999999999999</v>
      </c>
      <c r="U286" s="38">
        <v>1.542</v>
      </c>
      <c r="V286" s="38">
        <v>0.20599999999999999</v>
      </c>
      <c r="W286" s="38">
        <v>0.114</v>
      </c>
      <c r="X286" s="38">
        <v>6.5087700000000002</v>
      </c>
      <c r="Y286" s="38">
        <f t="shared" si="42"/>
        <v>6.5</v>
      </c>
      <c r="Z286" s="38">
        <v>0</v>
      </c>
      <c r="AA286" s="117">
        <v>0</v>
      </c>
      <c r="AB286" s="35">
        <v>16.2</v>
      </c>
      <c r="AC286" s="117">
        <v>1.2682800000000001</v>
      </c>
      <c r="AD286" s="39">
        <v>687.84</v>
      </c>
      <c r="AE286" s="38">
        <v>4.09</v>
      </c>
      <c r="AF286" s="38">
        <v>1.3880999999999999</v>
      </c>
      <c r="AG286" s="38">
        <f t="shared" si="43"/>
        <v>1.4</v>
      </c>
      <c r="AH286" s="38">
        <v>33.93</v>
      </c>
      <c r="AI286" s="38">
        <v>6.8269999999999997E-2</v>
      </c>
      <c r="AJ286" s="38">
        <v>838</v>
      </c>
      <c r="AK286" s="38">
        <f>AJ286/(3.5*I286*1000)*100</f>
        <v>1.4779541446208113</v>
      </c>
      <c r="AL286" s="38">
        <v>17.3</v>
      </c>
      <c r="AM286" s="38">
        <v>3.4810000000000001E-2</v>
      </c>
      <c r="AN286" s="12"/>
      <c r="AO286" s="12">
        <f>AE286*0.5</f>
        <v>2.0449999999999999</v>
      </c>
      <c r="AP286" s="12">
        <f>(AD286+AH286+AJ286+AL286+AO286)*I286</f>
        <v>25581.663</v>
      </c>
      <c r="AQ286" s="136">
        <f>SUM(N286:Q286)</f>
        <v>16.2</v>
      </c>
      <c r="AR286" s="136">
        <f>SUM(T286:W286)</f>
        <v>16.2</v>
      </c>
      <c r="AS286" s="1"/>
      <c r="AT286" s="41"/>
      <c r="AU286" s="41"/>
      <c r="AV286" s="41"/>
      <c r="AW286" s="4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</row>
    <row r="287" spans="1:88" s="61" customFormat="1">
      <c r="A287" s="1">
        <v>2186</v>
      </c>
      <c r="B287" s="34" t="s">
        <v>2798</v>
      </c>
      <c r="C287" s="34">
        <v>311</v>
      </c>
      <c r="D287" s="75">
        <v>4310</v>
      </c>
      <c r="E287" s="8">
        <v>100</v>
      </c>
      <c r="F287" s="9" t="s">
        <v>2826</v>
      </c>
      <c r="G287" s="20">
        <v>0</v>
      </c>
      <c r="H287" s="20">
        <v>278</v>
      </c>
      <c r="I287" s="21">
        <v>0.27800000000000002</v>
      </c>
      <c r="J287" s="8">
        <v>6</v>
      </c>
      <c r="K287" s="8" t="s">
        <v>238</v>
      </c>
      <c r="L287" s="18">
        <v>42147</v>
      </c>
      <c r="M287" s="37" t="s">
        <v>191</v>
      </c>
      <c r="N287" s="38">
        <v>7.4999999999999997E-2</v>
      </c>
      <c r="O287" s="38">
        <v>0.125</v>
      </c>
      <c r="P287" s="38">
        <v>2.5000000000000001E-2</v>
      </c>
      <c r="Q287" s="38">
        <v>0.05</v>
      </c>
      <c r="R287" s="38">
        <v>3.2063600000000001</v>
      </c>
      <c r="S287" s="38">
        <f t="shared" si="41"/>
        <v>3</v>
      </c>
      <c r="T287" s="38">
        <v>0.27500000000000002</v>
      </c>
      <c r="U287" s="38">
        <v>0</v>
      </c>
      <c r="V287" s="38">
        <v>0</v>
      </c>
      <c r="W287" s="38">
        <v>0</v>
      </c>
      <c r="X287" s="38">
        <v>3.8421799999999999</v>
      </c>
      <c r="Y287" s="38">
        <f t="shared" si="42"/>
        <v>4</v>
      </c>
      <c r="Z287" s="38">
        <v>0</v>
      </c>
      <c r="AA287" s="38">
        <v>0</v>
      </c>
      <c r="AB287" s="38">
        <v>0.27500000000000002</v>
      </c>
      <c r="AC287" s="38">
        <v>0.99690900000000005</v>
      </c>
      <c r="AD287" s="39">
        <v>13.33</v>
      </c>
      <c r="AE287" s="38">
        <v>0</v>
      </c>
      <c r="AF287" s="38">
        <f>(AD287+AE287*0.5)/(3.5*I287*1000)*100</f>
        <v>1.369989722507708</v>
      </c>
      <c r="AG287" s="38">
        <f t="shared" si="43"/>
        <v>1.4</v>
      </c>
      <c r="AH287" s="38">
        <v>0</v>
      </c>
      <c r="AI287" s="38">
        <f>AH287/(3.5*I287*1000)*100</f>
        <v>0</v>
      </c>
      <c r="AJ287" s="38">
        <v>0</v>
      </c>
      <c r="AK287" s="38">
        <f>AJ287/(3.5*I287*1000)*100</f>
        <v>0</v>
      </c>
      <c r="AL287" s="38">
        <v>0</v>
      </c>
      <c r="AM287" s="38">
        <f>AL287/(3.5*I287*1000)*100</f>
        <v>0</v>
      </c>
      <c r="AN287" s="72"/>
      <c r="AO287" s="41"/>
      <c r="AP287" s="41"/>
      <c r="AQ287" s="41">
        <f>SUM(N287:Q287)</f>
        <v>0.27500000000000002</v>
      </c>
      <c r="AR287" s="41">
        <f>SUM(T287:W287)</f>
        <v>0.27500000000000002</v>
      </c>
      <c r="AS287" s="12">
        <f>SUM(Z287:AB287)</f>
        <v>0.27500000000000002</v>
      </c>
      <c r="AT287" s="1"/>
      <c r="AU287" s="1">
        <f>I287/AQ287</f>
        <v>1.010909090909091</v>
      </c>
      <c r="AV287" s="1">
        <f>I287/AR287</f>
        <v>1.010909090909091</v>
      </c>
      <c r="AW287" s="1">
        <f>I287/AS287</f>
        <v>1.010909090909091</v>
      </c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</row>
    <row r="288" spans="1:88" s="61" customFormat="1">
      <c r="A288" s="1">
        <v>917</v>
      </c>
      <c r="B288" s="34" t="s">
        <v>1309</v>
      </c>
      <c r="C288" s="34">
        <v>638</v>
      </c>
      <c r="D288" s="8">
        <v>226</v>
      </c>
      <c r="E288" s="34">
        <v>402</v>
      </c>
      <c r="F288" s="34" t="s">
        <v>1311</v>
      </c>
      <c r="G288" s="58">
        <v>313384</v>
      </c>
      <c r="H288" s="58">
        <v>277679</v>
      </c>
      <c r="I288" s="35">
        <v>35.704999999999998</v>
      </c>
      <c r="J288" s="9">
        <v>4</v>
      </c>
      <c r="K288" s="34" t="s">
        <v>96</v>
      </c>
      <c r="L288" s="10">
        <v>42136</v>
      </c>
      <c r="M288" s="37" t="s">
        <v>191</v>
      </c>
      <c r="N288" s="38">
        <v>21.35</v>
      </c>
      <c r="O288" s="38">
        <v>10.35</v>
      </c>
      <c r="P288" s="38">
        <v>3.0249999999999999</v>
      </c>
      <c r="Q288" s="38">
        <v>0.85</v>
      </c>
      <c r="R288" s="38">
        <v>2.36036</v>
      </c>
      <c r="S288" s="38">
        <f t="shared" si="41"/>
        <v>2.5</v>
      </c>
      <c r="T288" s="38">
        <v>25.225000000000001</v>
      </c>
      <c r="U288" s="38">
        <v>8.7750000000000004</v>
      </c>
      <c r="V288" s="38">
        <v>1.5</v>
      </c>
      <c r="W288" s="38">
        <v>7.4999999999999997E-2</v>
      </c>
      <c r="X288" s="38">
        <v>8.0691100000000002</v>
      </c>
      <c r="Y288" s="38">
        <f t="shared" si="42"/>
        <v>8</v>
      </c>
      <c r="Z288" s="38">
        <v>0</v>
      </c>
      <c r="AA288" s="38">
        <v>0</v>
      </c>
      <c r="AB288" s="38">
        <f>N288+O288+P288+Q288</f>
        <v>35.575000000000003</v>
      </c>
      <c r="AC288" s="38">
        <v>1.45442</v>
      </c>
      <c r="AD288" s="39">
        <v>1686.26</v>
      </c>
      <c r="AE288" s="38">
        <v>38.96</v>
      </c>
      <c r="AF288" s="38">
        <v>1.3649500000000001</v>
      </c>
      <c r="AG288" s="38">
        <f t="shared" si="43"/>
        <v>1.4</v>
      </c>
      <c r="AH288" s="38">
        <v>0</v>
      </c>
      <c r="AI288" s="38">
        <v>0</v>
      </c>
      <c r="AJ288" s="38">
        <v>73.31</v>
      </c>
      <c r="AK288" s="38">
        <v>5.8663E-2</v>
      </c>
      <c r="AL288" s="38">
        <v>0</v>
      </c>
      <c r="AM288" s="38">
        <v>0</v>
      </c>
      <c r="AN288" s="40"/>
      <c r="AO288" s="40"/>
      <c r="AP288" s="40">
        <f>AE288*0.5</f>
        <v>19.48</v>
      </c>
      <c r="AQ288" s="25">
        <f>(AD288+AH288+AJ288+AL288+AP288)*I288</f>
        <v>63520.980249999993</v>
      </c>
      <c r="AR288" s="25"/>
      <c r="AS288" s="25"/>
      <c r="AT288" s="25">
        <f>SUM(N288:Q288)</f>
        <v>35.575000000000003</v>
      </c>
      <c r="AU288" s="25">
        <f>SUM(T288:W288)</f>
        <v>35.575000000000003</v>
      </c>
      <c r="AV288" s="22"/>
      <c r="AW288" s="41"/>
      <c r="AX288" s="41"/>
      <c r="AY288" s="41"/>
      <c r="AZ288" s="41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</row>
    <row r="289" spans="1:88" s="61" customFormat="1">
      <c r="A289" s="1">
        <v>1356</v>
      </c>
      <c r="B289" s="74" t="s">
        <v>1905</v>
      </c>
      <c r="C289" s="34">
        <v>445</v>
      </c>
      <c r="D289" s="75">
        <v>324</v>
      </c>
      <c r="E289" s="69">
        <v>202</v>
      </c>
      <c r="F289" s="184" t="s">
        <v>1908</v>
      </c>
      <c r="G289" s="20">
        <v>51935</v>
      </c>
      <c r="H289" s="20">
        <v>44000</v>
      </c>
      <c r="I289" s="21">
        <v>7.9349999999999996</v>
      </c>
      <c r="J289" s="8">
        <v>4</v>
      </c>
      <c r="K289" s="34" t="s">
        <v>96</v>
      </c>
      <c r="L289" s="10">
        <v>42188</v>
      </c>
      <c r="M289" s="37" t="s">
        <v>191</v>
      </c>
      <c r="N289" s="38">
        <v>4.3499999999999996</v>
      </c>
      <c r="O289" s="38">
        <v>2.65</v>
      </c>
      <c r="P289" s="38">
        <v>0.8</v>
      </c>
      <c r="Q289" s="38">
        <v>0.22500000000000001</v>
      </c>
      <c r="R289" s="38">
        <v>2.6312500000000001</v>
      </c>
      <c r="S289" s="38">
        <f t="shared" si="41"/>
        <v>2.5</v>
      </c>
      <c r="T289" s="38">
        <v>5.9249999999999998</v>
      </c>
      <c r="U289" s="38">
        <v>1.5249999999999999</v>
      </c>
      <c r="V289" s="38">
        <v>0.375</v>
      </c>
      <c r="W289" s="38">
        <v>0.2</v>
      </c>
      <c r="X289" s="38">
        <v>7.8031499999999996</v>
      </c>
      <c r="Y289" s="38">
        <f t="shared" si="42"/>
        <v>8</v>
      </c>
      <c r="Z289" s="38">
        <v>0</v>
      </c>
      <c r="AA289" s="38">
        <v>0</v>
      </c>
      <c r="AB289" s="38">
        <v>8.0250000000000004</v>
      </c>
      <c r="AC289" s="38">
        <v>1.03504</v>
      </c>
      <c r="AD289" s="39">
        <v>342.57</v>
      </c>
      <c r="AE289" s="38">
        <v>66.2</v>
      </c>
      <c r="AF289" s="38">
        <v>1.3526690071113514</v>
      </c>
      <c r="AG289" s="38">
        <f t="shared" si="43"/>
        <v>1.4</v>
      </c>
      <c r="AH289" s="38">
        <v>16.7</v>
      </c>
      <c r="AI289" s="38">
        <v>6.0131424970744446E-2</v>
      </c>
      <c r="AJ289" s="38">
        <v>0</v>
      </c>
      <c r="AK289" s="38">
        <v>0</v>
      </c>
      <c r="AL289" s="38">
        <v>0</v>
      </c>
      <c r="AM289" s="38">
        <v>0</v>
      </c>
      <c r="AN289" s="72"/>
      <c r="AO289" s="41"/>
      <c r="AP289" s="41"/>
      <c r="AQ289" s="41"/>
      <c r="AR289" s="41"/>
      <c r="AS289" s="73"/>
      <c r="AT289" s="73"/>
      <c r="AU289" s="73"/>
      <c r="AV289" s="73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</row>
    <row r="290" spans="1:88" s="61" customFormat="1">
      <c r="A290" s="1">
        <v>628</v>
      </c>
      <c r="B290" s="34" t="s">
        <v>1017</v>
      </c>
      <c r="C290" s="34">
        <v>555</v>
      </c>
      <c r="D290" s="34">
        <v>2476</v>
      </c>
      <c r="E290" s="34">
        <v>100</v>
      </c>
      <c r="F290" s="9" t="s">
        <v>1031</v>
      </c>
      <c r="G290" s="118">
        <v>0</v>
      </c>
      <c r="H290" s="118">
        <v>1016</v>
      </c>
      <c r="I290" s="35">
        <v>1.016</v>
      </c>
      <c r="J290" s="71">
        <v>2</v>
      </c>
      <c r="K290" s="34" t="s">
        <v>238</v>
      </c>
      <c r="L290" s="10">
        <v>42187</v>
      </c>
      <c r="M290" s="37" t="s">
        <v>191</v>
      </c>
      <c r="N290" s="38">
        <v>0.45</v>
      </c>
      <c r="O290" s="38">
        <v>0.27500000000000002</v>
      </c>
      <c r="P290" s="38">
        <v>0.22500000000000001</v>
      </c>
      <c r="Q290" s="38">
        <v>0.1</v>
      </c>
      <c r="R290" s="38">
        <v>3.1970000000000001</v>
      </c>
      <c r="S290" s="38">
        <f t="shared" si="41"/>
        <v>3</v>
      </c>
      <c r="T290" s="38">
        <v>1</v>
      </c>
      <c r="U290" s="38">
        <v>2.5000000000000001E-2</v>
      </c>
      <c r="V290" s="38">
        <v>0</v>
      </c>
      <c r="W290" s="38">
        <v>0</v>
      </c>
      <c r="X290" s="38">
        <v>3.0910000000000002</v>
      </c>
      <c r="Y290" s="38">
        <f t="shared" si="42"/>
        <v>3</v>
      </c>
      <c r="Z290" s="38">
        <v>0</v>
      </c>
      <c r="AA290" s="38">
        <v>0</v>
      </c>
      <c r="AB290" s="38">
        <f>N290+O290+P290+Q290</f>
        <v>1.05</v>
      </c>
      <c r="AC290" s="38">
        <v>1.1479999999999999</v>
      </c>
      <c r="AD290" s="39">
        <v>48</v>
      </c>
      <c r="AE290" s="38">
        <v>0</v>
      </c>
      <c r="AF290" s="38">
        <f>(AD290+AE290*0.5)/(3.5*I290*1000)*100</f>
        <v>1.3498312710911136</v>
      </c>
      <c r="AG290" s="38">
        <f t="shared" si="43"/>
        <v>1.3</v>
      </c>
      <c r="AH290" s="38">
        <v>0</v>
      </c>
      <c r="AI290" s="38">
        <f>AH290/(3.5*I290*1000)*100</f>
        <v>0</v>
      </c>
      <c r="AJ290" s="38">
        <v>44</v>
      </c>
      <c r="AK290" s="38">
        <f>AJ290/(3.5*I290*1000)*100</f>
        <v>1.2373453318335208</v>
      </c>
      <c r="AL290" s="38">
        <v>0</v>
      </c>
      <c r="AM290" s="38">
        <f>AL290/(3.5*I290*1000)*100</f>
        <v>0</v>
      </c>
      <c r="AN290" s="25"/>
      <c r="AO290" s="25">
        <f>AE290*0.5</f>
        <v>0</v>
      </c>
      <c r="AP290" s="25">
        <f>(AD290+AH290+AJ290+AL290+AO290)*I290</f>
        <v>93.472000000000008</v>
      </c>
      <c r="AQ290" s="25">
        <f>SUM(N290:Q290)</f>
        <v>1.05</v>
      </c>
      <c r="AR290" s="25">
        <f>SUM(T290:W290)</f>
        <v>1.0249999999999999</v>
      </c>
      <c r="AS290" s="22"/>
      <c r="AT290" s="41"/>
      <c r="AU290" s="41"/>
      <c r="AV290" s="41"/>
      <c r="AW290" s="41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  <c r="CH290" s="22"/>
      <c r="CI290" s="22"/>
      <c r="CJ290" s="22"/>
    </row>
    <row r="291" spans="1:88" s="61" customFormat="1">
      <c r="A291" s="1">
        <v>661</v>
      </c>
      <c r="B291" s="34" t="s">
        <v>1062</v>
      </c>
      <c r="C291" s="34">
        <v>623</v>
      </c>
      <c r="D291" s="34">
        <v>2021</v>
      </c>
      <c r="E291" s="34">
        <v>101</v>
      </c>
      <c r="F291" s="9" t="s">
        <v>1070</v>
      </c>
      <c r="G291" s="20">
        <v>0</v>
      </c>
      <c r="H291" s="20">
        <v>20000</v>
      </c>
      <c r="I291" s="35">
        <v>20</v>
      </c>
      <c r="J291" s="34">
        <v>2</v>
      </c>
      <c r="K291" s="34" t="s">
        <v>238</v>
      </c>
      <c r="L291" s="10">
        <v>42167</v>
      </c>
      <c r="M291" s="37" t="s">
        <v>191</v>
      </c>
      <c r="N291" s="38">
        <v>10.69</v>
      </c>
      <c r="O291" s="38">
        <v>6.14</v>
      </c>
      <c r="P291" s="38">
        <v>1.93</v>
      </c>
      <c r="Q291" s="38">
        <v>1.25</v>
      </c>
      <c r="R291" s="38">
        <v>2.7706400000000002</v>
      </c>
      <c r="S291" s="38">
        <f t="shared" si="41"/>
        <v>3</v>
      </c>
      <c r="T291" s="38">
        <v>18.48</v>
      </c>
      <c r="U291" s="38">
        <v>0.9</v>
      </c>
      <c r="V291" s="38">
        <v>0.43</v>
      </c>
      <c r="W291" s="38">
        <v>0.2</v>
      </c>
      <c r="X291" s="38">
        <v>5.2200800000000003</v>
      </c>
      <c r="Y291" s="38">
        <f t="shared" si="42"/>
        <v>5</v>
      </c>
      <c r="Z291" s="38">
        <v>0</v>
      </c>
      <c r="AA291" s="38">
        <v>0</v>
      </c>
      <c r="AB291" s="38">
        <v>20.010000000000002</v>
      </c>
      <c r="AC291" s="38">
        <v>1.13822</v>
      </c>
      <c r="AD291" s="39">
        <v>923.44</v>
      </c>
      <c r="AE291" s="38">
        <v>34.97</v>
      </c>
      <c r="AF291" s="38">
        <v>1.3441799999999999</v>
      </c>
      <c r="AG291" s="38">
        <f t="shared" si="43"/>
        <v>1.3</v>
      </c>
      <c r="AH291" s="38">
        <v>146.9</v>
      </c>
      <c r="AI291" s="38">
        <v>0.20985999999999999</v>
      </c>
      <c r="AJ291" s="38">
        <v>155.69</v>
      </c>
      <c r="AK291" s="38">
        <v>0.222414</v>
      </c>
      <c r="AL291" s="38">
        <v>2.64</v>
      </c>
      <c r="AM291" s="38">
        <v>3.7699999999999999E-3</v>
      </c>
      <c r="AN291" s="25"/>
      <c r="AO291" s="1">
        <f>AE291*0.5</f>
        <v>17.484999999999999</v>
      </c>
      <c r="AP291" s="25">
        <f>(AD291+AH291+AJ291+AL291+AO291)*I291</f>
        <v>24923.100000000006</v>
      </c>
      <c r="AQ291" s="25">
        <f>SUM(N291:Q291)</f>
        <v>20.009999999999998</v>
      </c>
      <c r="AR291" s="25">
        <f>SUM(T291:W291)</f>
        <v>20.009999999999998</v>
      </c>
      <c r="AS291" s="22"/>
      <c r="AT291" s="41"/>
      <c r="AU291" s="41">
        <f>SUM(N291:Q291)</f>
        <v>20.009999999999998</v>
      </c>
      <c r="AV291" s="41">
        <f>SUM(T291:W291)</f>
        <v>20.009999999999998</v>
      </c>
      <c r="AW291" s="41">
        <f>SUM(Z291:AB291)</f>
        <v>20.010000000000002</v>
      </c>
      <c r="AX291" s="22"/>
      <c r="AY291" s="22">
        <f>I291/AU291</f>
        <v>0.99950024987506259</v>
      </c>
      <c r="AZ291" s="22">
        <f>I291/AV291</f>
        <v>0.99950024987506259</v>
      </c>
      <c r="BA291" s="22">
        <f>I291/AW291</f>
        <v>0.99950024987506236</v>
      </c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  <c r="CH291" s="22"/>
      <c r="CI291" s="22"/>
      <c r="CJ291" s="22"/>
    </row>
    <row r="292" spans="1:88" s="61" customFormat="1">
      <c r="A292" s="1">
        <v>1923</v>
      </c>
      <c r="B292" s="34" t="s">
        <v>2559</v>
      </c>
      <c r="C292" s="34">
        <v>338</v>
      </c>
      <c r="D292" s="75">
        <v>3178</v>
      </c>
      <c r="E292" s="8">
        <v>100</v>
      </c>
      <c r="F292" s="9" t="s">
        <v>2569</v>
      </c>
      <c r="G292" s="20">
        <v>12675</v>
      </c>
      <c r="H292" s="20">
        <v>0</v>
      </c>
      <c r="I292" s="21">
        <v>12.675000000000001</v>
      </c>
      <c r="J292" s="8">
        <v>2</v>
      </c>
      <c r="K292" s="8" t="s">
        <v>12</v>
      </c>
      <c r="L292" s="18">
        <v>42097</v>
      </c>
      <c r="M292" s="247" t="s">
        <v>191</v>
      </c>
      <c r="N292" s="38">
        <v>8.82</v>
      </c>
      <c r="O292" s="38">
        <v>2.64</v>
      </c>
      <c r="P292" s="38">
        <v>0.61</v>
      </c>
      <c r="Q292" s="38">
        <v>0.61</v>
      </c>
      <c r="R292" s="38">
        <v>2.4316599999999999</v>
      </c>
      <c r="S292" s="38">
        <f t="shared" si="41"/>
        <v>2.5</v>
      </c>
      <c r="T292" s="38">
        <v>12.35</v>
      </c>
      <c r="U292" s="38">
        <v>0.25</v>
      </c>
      <c r="V292" s="38">
        <v>0.05</v>
      </c>
      <c r="W292" s="38">
        <v>0.03</v>
      </c>
      <c r="X292" s="38">
        <v>2.20905</v>
      </c>
      <c r="Y292" s="38">
        <f t="shared" si="42"/>
        <v>2</v>
      </c>
      <c r="Z292" s="38">
        <v>0</v>
      </c>
      <c r="AA292" s="38">
        <v>0</v>
      </c>
      <c r="AB292" s="38">
        <v>12.68</v>
      </c>
      <c r="AC292" s="38">
        <v>1.3391500000000001</v>
      </c>
      <c r="AD292" s="39">
        <v>546</v>
      </c>
      <c r="AE292" s="38">
        <v>96.69</v>
      </c>
      <c r="AF292" s="38">
        <v>1.3397464074387151</v>
      </c>
      <c r="AG292" s="38">
        <f t="shared" si="43"/>
        <v>1.3</v>
      </c>
      <c r="AH292" s="38">
        <v>292.57</v>
      </c>
      <c r="AI292" s="38">
        <v>0.65949845026768095</v>
      </c>
      <c r="AJ292" s="38">
        <v>0</v>
      </c>
      <c r="AK292" s="38">
        <v>0</v>
      </c>
      <c r="AL292" s="38">
        <v>0</v>
      </c>
      <c r="AM292" s="38">
        <f>AL292/(3.5*I292*1000)*100</f>
        <v>0</v>
      </c>
      <c r="AN292" s="41"/>
      <c r="AO292" s="73"/>
      <c r="AP292" s="41"/>
      <c r="AQ292" s="41">
        <f>SUM(N292:Q292)</f>
        <v>12.68</v>
      </c>
      <c r="AR292" s="41">
        <f>SUM(T292:W292)</f>
        <v>12.68</v>
      </c>
      <c r="AS292" s="12">
        <f>SUM(Z292:AB292)</f>
        <v>12.68</v>
      </c>
      <c r="AT292" s="1"/>
      <c r="AU292" s="1">
        <f>I292/AQ292</f>
        <v>0.9996056782334386</v>
      </c>
      <c r="AV292" s="1">
        <f>I292/AR292</f>
        <v>0.9996056782334386</v>
      </c>
      <c r="AW292" s="1">
        <f>I292/AS292</f>
        <v>0.9996056782334386</v>
      </c>
      <c r="AX292" s="1">
        <f>AT292/I317</f>
        <v>0</v>
      </c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</row>
    <row r="293" spans="1:88" s="61" customFormat="1">
      <c r="A293" s="1">
        <v>936</v>
      </c>
      <c r="B293" s="34" t="s">
        <v>1329</v>
      </c>
      <c r="C293" s="34">
        <v>611</v>
      </c>
      <c r="D293" s="8">
        <v>202</v>
      </c>
      <c r="E293" s="34">
        <v>202</v>
      </c>
      <c r="F293" s="34" t="s">
        <v>1331</v>
      </c>
      <c r="G293" s="58" t="s">
        <v>1332</v>
      </c>
      <c r="H293" s="58" t="s">
        <v>1333</v>
      </c>
      <c r="I293" s="35">
        <v>19.911999999999999</v>
      </c>
      <c r="J293" s="9">
        <v>2</v>
      </c>
      <c r="K293" s="34" t="s">
        <v>238</v>
      </c>
      <c r="L293" s="10">
        <v>42118</v>
      </c>
      <c r="M293" s="37" t="s">
        <v>191</v>
      </c>
      <c r="N293" s="38">
        <v>9.4</v>
      </c>
      <c r="O293" s="38">
        <v>6.5750000000000002</v>
      </c>
      <c r="P293" s="38">
        <v>2.9249999999999998</v>
      </c>
      <c r="Q293" s="38">
        <v>1.6</v>
      </c>
      <c r="R293" s="38">
        <v>2.8860000000000001</v>
      </c>
      <c r="S293" s="38">
        <f t="shared" si="41"/>
        <v>3</v>
      </c>
      <c r="T293" s="38">
        <v>17.649999999999999</v>
      </c>
      <c r="U293" s="38">
        <v>2.1749999999999998</v>
      </c>
      <c r="V293" s="38">
        <v>0.625</v>
      </c>
      <c r="W293" s="38">
        <v>0.05</v>
      </c>
      <c r="X293" s="38">
        <v>5.609</v>
      </c>
      <c r="Y293" s="38">
        <f t="shared" si="42"/>
        <v>5.5</v>
      </c>
      <c r="Z293" s="38">
        <v>0</v>
      </c>
      <c r="AA293" s="38">
        <v>0</v>
      </c>
      <c r="AB293" s="38">
        <v>19.911999999999999</v>
      </c>
      <c r="AC293" s="38">
        <v>1.1819999999999999</v>
      </c>
      <c r="AD293" s="39">
        <v>930.95</v>
      </c>
      <c r="AE293" s="38">
        <v>0</v>
      </c>
      <c r="AF293" s="38">
        <f>(AD293+AE293*0.5)/(3.5*I293*1000)*100</f>
        <v>1.3358061183493084</v>
      </c>
      <c r="AG293" s="38">
        <f t="shared" si="43"/>
        <v>1.3</v>
      </c>
      <c r="AH293" s="38">
        <v>812.09</v>
      </c>
      <c r="AI293" s="38">
        <f>AH293/(3.5*I293*1000)*100</f>
        <v>1.1652556964931413</v>
      </c>
      <c r="AJ293" s="38">
        <v>0</v>
      </c>
      <c r="AK293" s="38">
        <f>AJ293/(3.5*I293*1000)*100</f>
        <v>0</v>
      </c>
      <c r="AL293" s="38">
        <v>0</v>
      </c>
      <c r="AM293" s="38">
        <f>AL293/(3.5*I293*1000)*100</f>
        <v>0</v>
      </c>
      <c r="AN293" s="25"/>
      <c r="AO293" s="25">
        <f>AE293*0.5</f>
        <v>0</v>
      </c>
      <c r="AP293" s="25">
        <f>(AD293+AH293+AJ293+AL293+AO293)*I293</f>
        <v>34707.412479999999</v>
      </c>
      <c r="AQ293" s="25"/>
      <c r="AR293" s="25">
        <f>SUM(N293:Q293)</f>
        <v>20.500000000000004</v>
      </c>
      <c r="AS293" s="25">
        <f>SUM(T293:W293)</f>
        <v>20.5</v>
      </c>
      <c r="AT293" s="268">
        <v>20.484000000000002</v>
      </c>
      <c r="AU293" s="41"/>
      <c r="AV293" s="41"/>
      <c r="AW293" s="41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  <c r="CH293" s="22"/>
      <c r="CI293" s="22"/>
      <c r="CJ293" s="22"/>
    </row>
    <row r="294" spans="1:88" s="61" customFormat="1">
      <c r="A294" s="1">
        <v>1914</v>
      </c>
      <c r="B294" s="34" t="s">
        <v>2559</v>
      </c>
      <c r="C294" s="34">
        <v>338</v>
      </c>
      <c r="D294" s="75">
        <v>4</v>
      </c>
      <c r="E294" s="8">
        <v>501</v>
      </c>
      <c r="F294" s="9" t="s">
        <v>2560</v>
      </c>
      <c r="G294" s="20">
        <v>134587</v>
      </c>
      <c r="H294" s="20">
        <v>162217</v>
      </c>
      <c r="I294" s="21">
        <v>27.63</v>
      </c>
      <c r="J294" s="8">
        <v>7</v>
      </c>
      <c r="K294" s="8" t="s">
        <v>1520</v>
      </c>
      <c r="L294" s="18">
        <v>42095</v>
      </c>
      <c r="M294" s="247" t="s">
        <v>191</v>
      </c>
      <c r="N294" s="38">
        <v>16.73</v>
      </c>
      <c r="O294" s="38">
        <v>6.05</v>
      </c>
      <c r="P294" s="38">
        <v>3.45</v>
      </c>
      <c r="Q294" s="38">
        <v>1.4</v>
      </c>
      <c r="R294" s="38">
        <v>2.5562200000000002</v>
      </c>
      <c r="S294" s="38">
        <f t="shared" si="41"/>
        <v>2.5</v>
      </c>
      <c r="T294" s="38">
        <v>19.64</v>
      </c>
      <c r="U294" s="38">
        <v>4.83</v>
      </c>
      <c r="V294" s="38">
        <v>2.2000000000000002</v>
      </c>
      <c r="W294" s="38">
        <v>0.97</v>
      </c>
      <c r="X294" s="38">
        <v>8.1508199999999995</v>
      </c>
      <c r="Y294" s="38">
        <f t="shared" si="42"/>
        <v>8</v>
      </c>
      <c r="Z294" s="38">
        <v>0</v>
      </c>
      <c r="AA294" s="38">
        <v>0</v>
      </c>
      <c r="AB294" s="38">
        <v>27.63</v>
      </c>
      <c r="AC294" s="38">
        <v>1.5338099999999999</v>
      </c>
      <c r="AD294" s="39">
        <v>1061</v>
      </c>
      <c r="AE294" s="38">
        <v>454.5</v>
      </c>
      <c r="AF294" s="38">
        <v>1.3321441497337263</v>
      </c>
      <c r="AG294" s="38">
        <f t="shared" si="43"/>
        <v>1.3</v>
      </c>
      <c r="AH294" s="38">
        <v>124.59</v>
      </c>
      <c r="AI294" s="38">
        <v>0.12883511710873274</v>
      </c>
      <c r="AJ294" s="38">
        <v>153</v>
      </c>
      <c r="AK294" s="38">
        <v>0.15821312238250301</v>
      </c>
      <c r="AL294" s="38">
        <v>8</v>
      </c>
      <c r="AM294" s="38">
        <f>AL294/(3.5*I294*1000)*100</f>
        <v>8.2725815624838418E-3</v>
      </c>
      <c r="AN294" s="41"/>
      <c r="AO294" s="73"/>
      <c r="AP294" s="41"/>
      <c r="AQ294" s="41">
        <f>SUM(N294:Q294)</f>
        <v>27.63</v>
      </c>
      <c r="AR294" s="41">
        <f>SUM(T294:W294)</f>
        <v>27.639999999999997</v>
      </c>
      <c r="AS294" s="12">
        <f>SUM(Z294:AB294)</f>
        <v>27.63</v>
      </c>
      <c r="AT294" s="1"/>
      <c r="AU294" s="1">
        <f>I294/AQ294</f>
        <v>1</v>
      </c>
      <c r="AV294" s="1">
        <f>I294/AR294</f>
        <v>0.99963820549927651</v>
      </c>
      <c r="AW294" s="1">
        <f>I294/AS294</f>
        <v>1</v>
      </c>
      <c r="AX294" s="1">
        <f>AT294/I319</f>
        <v>0</v>
      </c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</row>
    <row r="295" spans="1:88" s="61" customFormat="1">
      <c r="A295" s="1">
        <v>1339</v>
      </c>
      <c r="B295" s="74" t="s">
        <v>1851</v>
      </c>
      <c r="C295" s="34">
        <v>444</v>
      </c>
      <c r="D295" s="75">
        <v>3457</v>
      </c>
      <c r="E295" s="69">
        <v>100</v>
      </c>
      <c r="F295" s="34" t="s">
        <v>1886</v>
      </c>
      <c r="G295" s="20">
        <v>15705</v>
      </c>
      <c r="H295" s="20">
        <v>0</v>
      </c>
      <c r="I295" s="21">
        <v>15.705</v>
      </c>
      <c r="J295" s="8">
        <v>2</v>
      </c>
      <c r="K295" s="34" t="s">
        <v>12</v>
      </c>
      <c r="L295" s="10">
        <v>42212</v>
      </c>
      <c r="M295" s="37" t="s">
        <v>191</v>
      </c>
      <c r="N295" s="38">
        <v>7.75</v>
      </c>
      <c r="O295" s="38">
        <v>5.05</v>
      </c>
      <c r="P295" s="38">
        <v>2.15</v>
      </c>
      <c r="Q295" s="38">
        <v>0.75</v>
      </c>
      <c r="R295" s="38">
        <v>2.7698999999999998</v>
      </c>
      <c r="S295" s="38">
        <f t="shared" si="41"/>
        <v>3</v>
      </c>
      <c r="T295" s="38">
        <v>14.85</v>
      </c>
      <c r="U295" s="38">
        <v>0.7</v>
      </c>
      <c r="V295" s="38">
        <v>0.125</v>
      </c>
      <c r="W295" s="38">
        <v>2.5000000000000001E-2</v>
      </c>
      <c r="X295" s="38">
        <v>3.9232800000000001</v>
      </c>
      <c r="Y295" s="38">
        <f t="shared" si="42"/>
        <v>4</v>
      </c>
      <c r="Z295" s="38">
        <v>0</v>
      </c>
      <c r="AA295" s="38">
        <v>0</v>
      </c>
      <c r="AB295" s="38">
        <v>15.700000000000001</v>
      </c>
      <c r="AC295" s="38">
        <v>1.2943</v>
      </c>
      <c r="AD295" s="39">
        <v>678</v>
      </c>
      <c r="AE295" s="38">
        <v>108</v>
      </c>
      <c r="AF295" s="38">
        <v>1.3316960021831081</v>
      </c>
      <c r="AG295" s="38">
        <f t="shared" si="43"/>
        <v>1.3</v>
      </c>
      <c r="AH295" s="38">
        <v>0</v>
      </c>
      <c r="AI295" s="38">
        <v>0</v>
      </c>
      <c r="AJ295" s="38">
        <v>73</v>
      </c>
      <c r="AK295" s="38">
        <v>0.1328057488515941</v>
      </c>
      <c r="AL295" s="38">
        <v>1</v>
      </c>
      <c r="AM295" s="38">
        <v>1.8192568335834813E-3</v>
      </c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</row>
    <row r="296" spans="1:88" s="61" customFormat="1">
      <c r="A296" s="1">
        <v>1164</v>
      </c>
      <c r="B296" s="74" t="s">
        <v>1577</v>
      </c>
      <c r="C296" s="34">
        <v>432</v>
      </c>
      <c r="D296" s="34">
        <v>3385</v>
      </c>
      <c r="E296" s="34">
        <v>100</v>
      </c>
      <c r="F296" s="34" t="s">
        <v>1631</v>
      </c>
      <c r="G296" s="34" t="s">
        <v>92</v>
      </c>
      <c r="H296" s="34" t="s">
        <v>1632</v>
      </c>
      <c r="I296" s="55">
        <v>2.35</v>
      </c>
      <c r="J296" s="34">
        <v>4</v>
      </c>
      <c r="K296" s="34" t="s">
        <v>237</v>
      </c>
      <c r="L296" s="10">
        <v>42282</v>
      </c>
      <c r="M296" s="37" t="s">
        <v>191</v>
      </c>
      <c r="N296" s="38">
        <v>1.7749999999999999</v>
      </c>
      <c r="O296" s="38">
        <v>0.375</v>
      </c>
      <c r="P296" s="38">
        <v>0.2</v>
      </c>
      <c r="Q296" s="38">
        <v>0.05</v>
      </c>
      <c r="R296" s="38">
        <v>2.25969</v>
      </c>
      <c r="S296" s="38">
        <f t="shared" si="41"/>
        <v>2.5</v>
      </c>
      <c r="T296" s="38">
        <v>2.0499999999999998</v>
      </c>
      <c r="U296" s="38">
        <v>0.22500000000000001</v>
      </c>
      <c r="V296" s="38">
        <v>7.4999999999999997E-2</v>
      </c>
      <c r="W296" s="38">
        <v>0.05</v>
      </c>
      <c r="X296" s="38">
        <v>5.9194000000000004</v>
      </c>
      <c r="Y296" s="38">
        <f t="shared" si="42"/>
        <v>6</v>
      </c>
      <c r="Z296" s="38">
        <v>0</v>
      </c>
      <c r="AA296" s="38">
        <v>0</v>
      </c>
      <c r="AB296" s="38">
        <v>2.4</v>
      </c>
      <c r="AC296" s="38">
        <v>1.4595499999999999</v>
      </c>
      <c r="AD296" s="39">
        <v>105.67</v>
      </c>
      <c r="AE296" s="38">
        <v>3.65</v>
      </c>
      <c r="AF296" s="38">
        <v>1.3069299999999999</v>
      </c>
      <c r="AG296" s="38">
        <f t="shared" si="43"/>
        <v>1.3</v>
      </c>
      <c r="AH296" s="38">
        <v>87.65</v>
      </c>
      <c r="AI296" s="38">
        <v>1.065653</v>
      </c>
      <c r="AJ296" s="38">
        <v>0</v>
      </c>
      <c r="AK296" s="38">
        <v>0</v>
      </c>
      <c r="AL296" s="38">
        <v>0</v>
      </c>
      <c r="AM296" s="38">
        <v>0</v>
      </c>
      <c r="AN296" s="114"/>
      <c r="AO296" s="73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</row>
    <row r="297" spans="1:88" s="61" customFormat="1">
      <c r="A297" s="1">
        <v>402</v>
      </c>
      <c r="B297" s="74" t="s">
        <v>655</v>
      </c>
      <c r="C297" s="34">
        <v>511</v>
      </c>
      <c r="D297" s="75">
        <v>1061</v>
      </c>
      <c r="E297" s="69">
        <v>100</v>
      </c>
      <c r="F297" s="34" t="s">
        <v>669</v>
      </c>
      <c r="G297" s="20" t="s">
        <v>670</v>
      </c>
      <c r="H297" s="20" t="s">
        <v>92</v>
      </c>
      <c r="I297" s="21">
        <v>2.3759999999999999</v>
      </c>
      <c r="J297" s="8" t="s">
        <v>672</v>
      </c>
      <c r="K297" s="34">
        <v>8</v>
      </c>
      <c r="L297" s="18">
        <v>42266</v>
      </c>
      <c r="M297" s="37" t="s">
        <v>191</v>
      </c>
      <c r="N297" s="38">
        <v>0.64</v>
      </c>
      <c r="O297" s="38">
        <v>1.1499999999999999</v>
      </c>
      <c r="P297" s="38">
        <v>0.33</v>
      </c>
      <c r="Q297" s="38">
        <v>0.26</v>
      </c>
      <c r="R297" s="38">
        <v>3.82376</v>
      </c>
      <c r="S297" s="38">
        <f t="shared" si="41"/>
        <v>4</v>
      </c>
      <c r="T297" s="38">
        <v>2.38</v>
      </c>
      <c r="U297" s="38">
        <v>0</v>
      </c>
      <c r="V297" s="38">
        <v>0</v>
      </c>
      <c r="W297" s="38">
        <v>0</v>
      </c>
      <c r="X297" s="38">
        <v>1.5960099999999999</v>
      </c>
      <c r="Y297" s="38">
        <f t="shared" si="42"/>
        <v>1.5</v>
      </c>
      <c r="Z297" s="38">
        <v>0</v>
      </c>
      <c r="AA297" s="38">
        <v>0</v>
      </c>
      <c r="AB297" s="38">
        <v>2.38</v>
      </c>
      <c r="AC297" s="38">
        <v>1.1405799999999999</v>
      </c>
      <c r="AD297" s="39">
        <v>98.65</v>
      </c>
      <c r="AE297" s="38">
        <v>18.63</v>
      </c>
      <c r="AF297" s="38">
        <v>1.2982800000000001</v>
      </c>
      <c r="AG297" s="38">
        <f t="shared" si="43"/>
        <v>1.3</v>
      </c>
      <c r="AH297" s="38">
        <v>26.37</v>
      </c>
      <c r="AI297" s="38">
        <v>0.31709999999999999</v>
      </c>
      <c r="AJ297" s="38">
        <v>1.85</v>
      </c>
      <c r="AK297" s="38">
        <v>2.2245999999999998E-2</v>
      </c>
      <c r="AL297" s="38">
        <v>0</v>
      </c>
      <c r="AM297" s="38">
        <v>0</v>
      </c>
      <c r="AN297" s="72"/>
      <c r="AO297" s="41"/>
      <c r="AP297" s="41"/>
      <c r="AQ297" s="41">
        <f>SUM(N297:Q297)</f>
        <v>2.38</v>
      </c>
      <c r="AR297" s="41">
        <f>SUM(T297:W297)</f>
        <v>2.38</v>
      </c>
      <c r="AS297" s="41">
        <f>SUM(Z297:AB297)</f>
        <v>2.38</v>
      </c>
      <c r="AT297" s="22"/>
      <c r="AU297" s="22">
        <f>I297/AQ297</f>
        <v>0.99831932773109244</v>
      </c>
      <c r="AV297" s="22">
        <f>I297/AR297</f>
        <v>0.99831932773109244</v>
      </c>
      <c r="AW297" s="22">
        <f>I297/AS297</f>
        <v>0.99831932773109244</v>
      </c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  <c r="CH297" s="22"/>
      <c r="CI297" s="22"/>
      <c r="CJ297" s="22"/>
    </row>
    <row r="298" spans="1:88" s="61" customFormat="1">
      <c r="A298" s="1">
        <v>1149</v>
      </c>
      <c r="B298" s="74" t="s">
        <v>1577</v>
      </c>
      <c r="C298" s="34">
        <v>432</v>
      </c>
      <c r="D298" s="34">
        <v>3043</v>
      </c>
      <c r="E298" s="34">
        <v>200</v>
      </c>
      <c r="F298" s="34" t="s">
        <v>1603</v>
      </c>
      <c r="G298" s="34" t="s">
        <v>1604</v>
      </c>
      <c r="H298" s="34" t="s">
        <v>92</v>
      </c>
      <c r="I298" s="55">
        <v>20.902999999999999</v>
      </c>
      <c r="J298" s="5">
        <v>2</v>
      </c>
      <c r="K298" s="34" t="s">
        <v>12</v>
      </c>
      <c r="L298" s="10">
        <v>42282</v>
      </c>
      <c r="M298" s="37" t="s">
        <v>191</v>
      </c>
      <c r="N298" s="38">
        <v>1.65</v>
      </c>
      <c r="O298" s="38">
        <v>0.75</v>
      </c>
      <c r="P298" s="38">
        <v>0.22500000000000001</v>
      </c>
      <c r="Q298" s="38">
        <v>0.3</v>
      </c>
      <c r="R298" s="38">
        <v>3.00359</v>
      </c>
      <c r="S298" s="38">
        <f t="shared" si="41"/>
        <v>3</v>
      </c>
      <c r="T298" s="38">
        <v>1.9750000000000001</v>
      </c>
      <c r="U298" s="38">
        <v>0.57499999999999996</v>
      </c>
      <c r="V298" s="38">
        <v>0.27500000000000002</v>
      </c>
      <c r="W298" s="38">
        <v>0.1</v>
      </c>
      <c r="X298" s="38">
        <v>8.49343</v>
      </c>
      <c r="Y298" s="38">
        <f t="shared" si="42"/>
        <v>8.5</v>
      </c>
      <c r="Z298" s="38">
        <v>0</v>
      </c>
      <c r="AA298" s="38">
        <v>0</v>
      </c>
      <c r="AB298" s="38">
        <v>2.9249999999999998</v>
      </c>
      <c r="AC298" s="38">
        <v>1.2325200000000001</v>
      </c>
      <c r="AD298" s="39">
        <v>123.6</v>
      </c>
      <c r="AE298" s="38">
        <v>15.25</v>
      </c>
      <c r="AF298" s="38">
        <v>1.2915209999999999</v>
      </c>
      <c r="AG298" s="38">
        <f t="shared" si="43"/>
        <v>1.3</v>
      </c>
      <c r="AH298" s="38">
        <v>8.69</v>
      </c>
      <c r="AI298" s="38">
        <v>8.5527000000000006E-2</v>
      </c>
      <c r="AJ298" s="38">
        <v>0</v>
      </c>
      <c r="AK298" s="38">
        <v>0</v>
      </c>
      <c r="AL298" s="38">
        <v>4.8</v>
      </c>
      <c r="AM298" s="38">
        <v>4.7241999999999999E-2</v>
      </c>
      <c r="AN298" s="114"/>
      <c r="AO298" s="73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  <c r="CH298" s="22"/>
      <c r="CI298" s="22"/>
      <c r="CJ298" s="22"/>
    </row>
    <row r="299" spans="1:88" s="61" customFormat="1">
      <c r="A299" s="1">
        <v>1541</v>
      </c>
      <c r="B299" s="34" t="s">
        <v>2104</v>
      </c>
      <c r="C299" s="34">
        <v>414</v>
      </c>
      <c r="D299" s="69">
        <v>3369</v>
      </c>
      <c r="E299" s="34">
        <v>100</v>
      </c>
      <c r="F299" s="34" t="s">
        <v>2117</v>
      </c>
      <c r="G299" s="58">
        <v>0</v>
      </c>
      <c r="H299" s="58">
        <v>14843</v>
      </c>
      <c r="I299" s="35">
        <v>14.843</v>
      </c>
      <c r="J299" s="34">
        <v>2</v>
      </c>
      <c r="K299" s="34" t="s">
        <v>238</v>
      </c>
      <c r="L299" s="10">
        <v>42266</v>
      </c>
      <c r="M299" s="37" t="s">
        <v>191</v>
      </c>
      <c r="N299" s="38">
        <v>9.4499999999999993</v>
      </c>
      <c r="O299" s="38">
        <v>3.0750000000000002</v>
      </c>
      <c r="P299" s="38">
        <v>1.55</v>
      </c>
      <c r="Q299" s="38">
        <v>0.82499999999999996</v>
      </c>
      <c r="R299" s="38">
        <v>2.5390799999999998</v>
      </c>
      <c r="S299" s="38">
        <f t="shared" si="41"/>
        <v>2.5</v>
      </c>
      <c r="T299" s="38">
        <v>14.324999999999999</v>
      </c>
      <c r="U299" s="38">
        <v>0.42499999999999999</v>
      </c>
      <c r="V299" s="38">
        <v>7.4999999999999997E-2</v>
      </c>
      <c r="W299" s="38">
        <v>7.4999999999999997E-2</v>
      </c>
      <c r="X299" s="38">
        <v>3.8401800000000001</v>
      </c>
      <c r="Y299" s="38">
        <f t="shared" si="42"/>
        <v>4</v>
      </c>
      <c r="Z299" s="38">
        <v>0</v>
      </c>
      <c r="AA299" s="38">
        <v>0</v>
      </c>
      <c r="AB299" s="38">
        <v>14.843</v>
      </c>
      <c r="AC299" s="38">
        <v>1.18679</v>
      </c>
      <c r="AD299" s="39">
        <v>88</v>
      </c>
      <c r="AE299" s="38">
        <v>1165.77</v>
      </c>
      <c r="AF299" s="38">
        <f>(AD299+AE299*0.5)/(3.5*I299*1000)*100</f>
        <v>1.2913927681158024</v>
      </c>
      <c r="AG299" s="38">
        <f t="shared" si="43"/>
        <v>1.3</v>
      </c>
      <c r="AH299" s="38">
        <v>245</v>
      </c>
      <c r="AI299" s="38">
        <f>AH299/(3.5*I299*1000)*100</f>
        <v>0.47160277571919423</v>
      </c>
      <c r="AJ299" s="38">
        <v>2638</v>
      </c>
      <c r="AK299" s="38">
        <f>AJ299/(3.5*I299*1000)*100</f>
        <v>5.0779107034580999</v>
      </c>
      <c r="AL299" s="38">
        <v>94</v>
      </c>
      <c r="AM299" s="38">
        <f>AL299/(3.5*I299*1000)*100</f>
        <v>0.1809414731330786</v>
      </c>
      <c r="AN299" s="25"/>
      <c r="AO299" s="25">
        <f>AE299*0.5</f>
        <v>582.88499999999999</v>
      </c>
      <c r="AP299" s="25">
        <f>(AD299+AH299+AJ299+AL299+AO299)*I299</f>
        <v>54145.557055000005</v>
      </c>
      <c r="AQ299" s="25"/>
      <c r="AR299" s="25">
        <f>SUM(N299:Q299)</f>
        <v>14.899999999999999</v>
      </c>
      <c r="AS299" s="25">
        <f>SUM(T299:W299)</f>
        <v>14.899999999999999</v>
      </c>
      <c r="AT299" s="25"/>
      <c r="AU299" s="22"/>
      <c r="AV299" s="41"/>
      <c r="AW299" s="41"/>
      <c r="AX299" s="41"/>
      <c r="AY299" s="41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  <c r="CH299" s="22"/>
      <c r="CI299" s="22"/>
      <c r="CJ299" s="22"/>
    </row>
    <row r="300" spans="1:88" s="64" customFormat="1">
      <c r="A300" s="1">
        <v>22</v>
      </c>
      <c r="B300" s="4" t="s">
        <v>8</v>
      </c>
      <c r="C300" s="14">
        <v>521</v>
      </c>
      <c r="D300" s="19">
        <v>1362</v>
      </c>
      <c r="E300" s="16">
        <v>100</v>
      </c>
      <c r="F300" s="14" t="s">
        <v>20</v>
      </c>
      <c r="G300" s="20">
        <v>0</v>
      </c>
      <c r="H300" s="20">
        <v>3860</v>
      </c>
      <c r="I300" s="21">
        <v>3.86</v>
      </c>
      <c r="J300" s="8">
        <v>2</v>
      </c>
      <c r="K300" s="9" t="s">
        <v>238</v>
      </c>
      <c r="L300" s="18">
        <v>42231</v>
      </c>
      <c r="M300" s="37" t="s">
        <v>191</v>
      </c>
      <c r="N300" s="11">
        <v>1.325</v>
      </c>
      <c r="O300" s="11">
        <v>1.575</v>
      </c>
      <c r="P300" s="11">
        <v>0.57499999999999996</v>
      </c>
      <c r="Q300" s="11">
        <v>0.35</v>
      </c>
      <c r="R300" s="11">
        <v>3.24248</v>
      </c>
      <c r="S300" s="38">
        <f t="shared" si="41"/>
        <v>3</v>
      </c>
      <c r="T300" s="11">
        <v>3.8250000000000002</v>
      </c>
      <c r="U300" s="11">
        <v>0</v>
      </c>
      <c r="V300" s="11">
        <v>0</v>
      </c>
      <c r="W300" s="11">
        <v>0</v>
      </c>
      <c r="X300" s="11">
        <v>2.3165100000000001</v>
      </c>
      <c r="Y300" s="38">
        <f t="shared" si="42"/>
        <v>2.5</v>
      </c>
      <c r="Z300" s="11">
        <v>0</v>
      </c>
      <c r="AA300" s="11">
        <v>0</v>
      </c>
      <c r="AB300" s="11">
        <v>3.8249999999999997</v>
      </c>
      <c r="AC300" s="11">
        <v>1.3901399999999999</v>
      </c>
      <c r="AD300" s="164">
        <v>158.38</v>
      </c>
      <c r="AE300" s="11">
        <v>31.52</v>
      </c>
      <c r="AF300" s="11">
        <f>(AD300+AE300*0.5)/(3.5*I300*1000)*100</f>
        <v>1.2889711324944484</v>
      </c>
      <c r="AG300" s="38">
        <f t="shared" si="43"/>
        <v>1.3</v>
      </c>
      <c r="AH300" s="11">
        <v>10.11</v>
      </c>
      <c r="AI300" s="11">
        <f>AH300/(3.5*I300*1000)*100</f>
        <v>7.4833456698741668E-2</v>
      </c>
      <c r="AJ300" s="11">
        <v>53.2</v>
      </c>
      <c r="AK300" s="11">
        <f>AJ300/(3.5*I300*1000)*100</f>
        <v>0.39378238341968913</v>
      </c>
      <c r="AL300" s="11">
        <v>0</v>
      </c>
      <c r="AM300" s="11">
        <f>AL300/(3.5*I300*1000)*100</f>
        <v>0</v>
      </c>
      <c r="AN300" s="22"/>
      <c r="AO300" s="22"/>
      <c r="AP300" s="22"/>
      <c r="AQ300" s="12">
        <f>N300+O300+P300+Q300</f>
        <v>3.8249999999999997</v>
      </c>
      <c r="AR300" s="12">
        <f>T300+U300+V300+W300</f>
        <v>3.8250000000000002</v>
      </c>
      <c r="AS300" s="12">
        <f>Z300+AA300+AB300</f>
        <v>3.8249999999999997</v>
      </c>
      <c r="AT300" s="22"/>
      <c r="AU300" s="22">
        <v>0.9909326424870466</v>
      </c>
      <c r="AV300" s="22">
        <v>0.99093264248704671</v>
      </c>
      <c r="AW300" s="22">
        <v>0.9909326424870466</v>
      </c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</row>
    <row r="301" spans="1:88" s="64" customFormat="1">
      <c r="A301" s="1">
        <v>970</v>
      </c>
      <c r="B301" s="9" t="s">
        <v>1359</v>
      </c>
      <c r="C301" s="9">
        <v>612</v>
      </c>
      <c r="D301" s="8">
        <v>2164</v>
      </c>
      <c r="E301" s="9">
        <v>100</v>
      </c>
      <c r="F301" s="9" t="s">
        <v>1368</v>
      </c>
      <c r="G301" s="20">
        <v>4522</v>
      </c>
      <c r="H301" s="20">
        <v>0</v>
      </c>
      <c r="I301" s="35">
        <v>4.5220000000000002</v>
      </c>
      <c r="J301" s="9">
        <v>2</v>
      </c>
      <c r="K301" s="9" t="s">
        <v>12</v>
      </c>
      <c r="L301" s="18">
        <v>42116</v>
      </c>
      <c r="M301" s="37" t="s">
        <v>191</v>
      </c>
      <c r="N301" s="11">
        <v>3.05</v>
      </c>
      <c r="O301" s="11">
        <v>0.75</v>
      </c>
      <c r="P301" s="11">
        <v>0.375</v>
      </c>
      <c r="Q301" s="11">
        <v>0.375</v>
      </c>
      <c r="R301" s="11">
        <v>2.7475299999999998</v>
      </c>
      <c r="S301" s="38">
        <f t="shared" si="41"/>
        <v>2.5</v>
      </c>
      <c r="T301" s="11">
        <v>4.2</v>
      </c>
      <c r="U301" s="11">
        <v>0.2</v>
      </c>
      <c r="V301" s="11">
        <v>0.1</v>
      </c>
      <c r="W301" s="11">
        <v>0.05</v>
      </c>
      <c r="X301" s="11">
        <v>3.8512499999999998</v>
      </c>
      <c r="Y301" s="38">
        <f t="shared" si="42"/>
        <v>4</v>
      </c>
      <c r="Z301" s="11">
        <v>0</v>
      </c>
      <c r="AA301" s="11">
        <v>0</v>
      </c>
      <c r="AB301" s="11">
        <f>SUM(N301:Q301)</f>
        <v>4.55</v>
      </c>
      <c r="AC301" s="11">
        <v>1.2978700000000001</v>
      </c>
      <c r="AD301" s="164">
        <v>203.3</v>
      </c>
      <c r="AE301" s="11">
        <v>0</v>
      </c>
      <c r="AF301" s="11">
        <v>1.28451</v>
      </c>
      <c r="AG301" s="38">
        <f t="shared" si="43"/>
        <v>1.3</v>
      </c>
      <c r="AH301" s="11">
        <v>60</v>
      </c>
      <c r="AI301" s="11">
        <v>0.37909999999999999</v>
      </c>
      <c r="AJ301" s="11">
        <v>0</v>
      </c>
      <c r="AK301" s="11">
        <v>0</v>
      </c>
      <c r="AL301" s="11">
        <v>5</v>
      </c>
      <c r="AM301" s="11">
        <v>3.159E-2</v>
      </c>
      <c r="AN301" s="72"/>
      <c r="AO301" s="72"/>
      <c r="AP301" s="72">
        <f>AE301*0.5</f>
        <v>0</v>
      </c>
      <c r="AQ301" s="25">
        <f>(AD300+AH300+AJ300+AL300+AP301)*I300</f>
        <v>855.72339999999997</v>
      </c>
      <c r="AR301" s="25"/>
      <c r="AS301" s="25"/>
      <c r="AT301" s="25"/>
      <c r="AU301" s="25">
        <f>SUM(N301:Q301)</f>
        <v>4.55</v>
      </c>
      <c r="AV301" s="41">
        <f>SUM(T301:W301)</f>
        <v>4.55</v>
      </c>
      <c r="AW301" s="41"/>
      <c r="AX301" s="41"/>
      <c r="AY301" s="41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</row>
    <row r="302" spans="1:88" s="22" customFormat="1">
      <c r="A302" s="1">
        <v>1999</v>
      </c>
      <c r="B302" s="34" t="s">
        <v>2615</v>
      </c>
      <c r="C302" s="34">
        <v>322</v>
      </c>
      <c r="D302" s="75">
        <v>4270</v>
      </c>
      <c r="E302" s="8">
        <v>101</v>
      </c>
      <c r="F302" s="34" t="s">
        <v>2642</v>
      </c>
      <c r="G302" s="58">
        <v>0</v>
      </c>
      <c r="H302" s="58">
        <v>15000</v>
      </c>
      <c r="I302" s="21">
        <v>15</v>
      </c>
      <c r="J302" s="8">
        <v>2</v>
      </c>
      <c r="K302" s="8" t="s">
        <v>237</v>
      </c>
      <c r="L302" s="18">
        <v>42131</v>
      </c>
      <c r="M302" s="37" t="s">
        <v>191</v>
      </c>
      <c r="N302" s="38">
        <v>6.05</v>
      </c>
      <c r="O302" s="38">
        <v>3.85</v>
      </c>
      <c r="P302" s="38">
        <v>3.2250000000000001</v>
      </c>
      <c r="Q302" s="38">
        <v>2.8</v>
      </c>
      <c r="R302" s="38">
        <v>3.49783</v>
      </c>
      <c r="S302" s="38">
        <f t="shared" si="41"/>
        <v>3.5</v>
      </c>
      <c r="T302" s="38">
        <v>13.75</v>
      </c>
      <c r="U302" s="38">
        <v>1.2749999999999999</v>
      </c>
      <c r="V302" s="38">
        <v>0.47499999999999998</v>
      </c>
      <c r="W302" s="38">
        <v>0.42499999999999999</v>
      </c>
      <c r="X302" s="38">
        <v>4.8523100000000001</v>
      </c>
      <c r="Y302" s="38">
        <f t="shared" si="42"/>
        <v>5</v>
      </c>
      <c r="Z302" s="38">
        <v>0</v>
      </c>
      <c r="AA302" s="38">
        <v>0</v>
      </c>
      <c r="AB302" s="38">
        <v>15.925000000000001</v>
      </c>
      <c r="AC302" s="38">
        <v>1.5370699999999999</v>
      </c>
      <c r="AD302" s="39">
        <v>638</v>
      </c>
      <c r="AE302" s="38">
        <v>63.55</v>
      </c>
      <c r="AF302" s="38">
        <v>1.2757619047619047</v>
      </c>
      <c r="AG302" s="38">
        <f t="shared" si="43"/>
        <v>1.3</v>
      </c>
      <c r="AH302" s="38">
        <v>125.37</v>
      </c>
      <c r="AI302" s="38">
        <v>0.23879999999999998</v>
      </c>
      <c r="AJ302" s="38">
        <v>2.98</v>
      </c>
      <c r="AK302" s="38">
        <v>5.6761904761904762E-3</v>
      </c>
      <c r="AL302" s="38">
        <v>1.63</v>
      </c>
      <c r="AM302" s="38">
        <f>AL302/(3.5*I302*1000)*100</f>
        <v>3.1047619047619044E-3</v>
      </c>
      <c r="AN302" s="72"/>
      <c r="AO302" s="41"/>
      <c r="AP302" s="41"/>
      <c r="AQ302" s="73"/>
      <c r="AR302" s="73"/>
      <c r="AS302" s="73"/>
      <c r="AT302" s="73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</row>
    <row r="303" spans="1:88" s="22" customFormat="1">
      <c r="A303" s="1">
        <v>1501</v>
      </c>
      <c r="B303" s="88" t="s">
        <v>2069</v>
      </c>
      <c r="C303" s="88">
        <v>413</v>
      </c>
      <c r="D303" s="69">
        <v>309</v>
      </c>
      <c r="E303" s="34">
        <v>101</v>
      </c>
      <c r="F303" s="34" t="s">
        <v>2072</v>
      </c>
      <c r="G303" s="58" t="s">
        <v>92</v>
      </c>
      <c r="H303" s="58" t="s">
        <v>2073</v>
      </c>
      <c r="I303" s="35">
        <v>11.6</v>
      </c>
      <c r="J303" s="34">
        <v>4</v>
      </c>
      <c r="K303" s="34" t="s">
        <v>237</v>
      </c>
      <c r="L303" s="10">
        <v>42265</v>
      </c>
      <c r="M303" s="37" t="s">
        <v>191</v>
      </c>
      <c r="N303" s="38">
        <v>6.9</v>
      </c>
      <c r="O303" s="38">
        <v>2.9750000000000001</v>
      </c>
      <c r="P303" s="38">
        <v>1.1000000000000001</v>
      </c>
      <c r="Q303" s="38">
        <v>0.6</v>
      </c>
      <c r="R303" s="38">
        <v>2.7884699999999998</v>
      </c>
      <c r="S303" s="38">
        <f t="shared" si="41"/>
        <v>3</v>
      </c>
      <c r="T303" s="38">
        <v>5</v>
      </c>
      <c r="U303" s="38">
        <v>3</v>
      </c>
      <c r="V303" s="38">
        <v>2.2000000000000002</v>
      </c>
      <c r="W303" s="38">
        <v>1.375</v>
      </c>
      <c r="X303" s="38">
        <v>10.778700000000001</v>
      </c>
      <c r="Y303" s="38">
        <f t="shared" si="42"/>
        <v>11</v>
      </c>
      <c r="Z303" s="38">
        <v>0</v>
      </c>
      <c r="AA303" s="38">
        <v>0</v>
      </c>
      <c r="AB303" s="196">
        <v>11.6</v>
      </c>
      <c r="AC303" s="38">
        <v>1.05352</v>
      </c>
      <c r="AD303" s="39">
        <v>499</v>
      </c>
      <c r="AE303" s="38">
        <v>34</v>
      </c>
      <c r="AF303" s="38">
        <f>(AD303+AE303*0.5)/(3.5*I303*1000)*100</f>
        <v>1.270935960591133</v>
      </c>
      <c r="AG303" s="38">
        <f t="shared" si="43"/>
        <v>1.3</v>
      </c>
      <c r="AH303" s="38">
        <v>1</v>
      </c>
      <c r="AI303" s="38">
        <f>AH303/(3.5*I303*1000)*100</f>
        <v>2.4630541871921183E-3</v>
      </c>
      <c r="AJ303" s="38">
        <v>0</v>
      </c>
      <c r="AK303" s="38">
        <f>AJ303/(3.5*I303*1000)*100</f>
        <v>0</v>
      </c>
      <c r="AL303" s="38">
        <v>6</v>
      </c>
      <c r="AM303" s="38">
        <f>AL303/(3.5*I303*1000)*100</f>
        <v>1.4778325123152709E-2</v>
      </c>
      <c r="AN303" s="25"/>
      <c r="AO303" s="25">
        <f>AE303*0.5</f>
        <v>17</v>
      </c>
      <c r="AP303" s="25">
        <f>(AD303+AH303+AJ303+AL303+AO303)*I303</f>
        <v>6066.8</v>
      </c>
      <c r="AQ303" s="25">
        <f>(AD303+AH303+AJ303+AL303)*I303</f>
        <v>5869.5999999999995</v>
      </c>
      <c r="AR303" s="25">
        <f>SUM(N303:Q303)</f>
        <v>11.574999999999999</v>
      </c>
      <c r="AS303" s="25">
        <f>SUM(T303:W303)</f>
        <v>11.574999999999999</v>
      </c>
      <c r="AU303" s="275">
        <v>11.6</v>
      </c>
      <c r="AV303" s="41">
        <f>SUM(N303:Q303)</f>
        <v>11.574999999999999</v>
      </c>
      <c r="AW303" s="41">
        <f>SUM(T303:W303)</f>
        <v>11.574999999999999</v>
      </c>
      <c r="AX303" s="41">
        <f>SUM(Z303:AB303)</f>
        <v>11.6</v>
      </c>
      <c r="AZ303" s="22">
        <f>I303/AV303</f>
        <v>1.002159827213823</v>
      </c>
      <c r="BA303" s="22">
        <f>I303/AW303</f>
        <v>1.002159827213823</v>
      </c>
      <c r="BB303" s="22">
        <f>I303/AX303</f>
        <v>1</v>
      </c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</row>
    <row r="304" spans="1:88" s="22" customFormat="1">
      <c r="A304" s="1">
        <v>869</v>
      </c>
      <c r="B304" s="34" t="s">
        <v>1259</v>
      </c>
      <c r="C304" s="34">
        <v>631</v>
      </c>
      <c r="D304" s="8">
        <v>226</v>
      </c>
      <c r="E304" s="8">
        <v>500</v>
      </c>
      <c r="F304" s="34" t="s">
        <v>1262</v>
      </c>
      <c r="G304" s="58">
        <v>313384</v>
      </c>
      <c r="H304" s="58">
        <v>334224</v>
      </c>
      <c r="I304" s="35">
        <v>20.84</v>
      </c>
      <c r="J304" s="9">
        <v>4</v>
      </c>
      <c r="K304" s="34" t="s">
        <v>237</v>
      </c>
      <c r="L304" s="10">
        <v>42140</v>
      </c>
      <c r="M304" s="37" t="s">
        <v>191</v>
      </c>
      <c r="N304" s="38">
        <v>14.875</v>
      </c>
      <c r="O304" s="38">
        <v>3.95</v>
      </c>
      <c r="P304" s="38">
        <v>1.25</v>
      </c>
      <c r="Q304" s="38">
        <v>0.625</v>
      </c>
      <c r="R304" s="38">
        <v>2.2672500000000002</v>
      </c>
      <c r="S304" s="38">
        <f t="shared" si="41"/>
        <v>2.5</v>
      </c>
      <c r="T304" s="38">
        <v>13.1</v>
      </c>
      <c r="U304" s="38">
        <v>5.0750000000000002</v>
      </c>
      <c r="V304" s="38">
        <v>1.55</v>
      </c>
      <c r="W304" s="38">
        <v>0.97499999999999998</v>
      </c>
      <c r="X304" s="38">
        <v>9.51999</v>
      </c>
      <c r="Y304" s="38">
        <f t="shared" si="42"/>
        <v>9.5</v>
      </c>
      <c r="Z304" s="38">
        <v>0</v>
      </c>
      <c r="AA304" s="38">
        <v>0</v>
      </c>
      <c r="AB304" s="38">
        <f>N304+O304+P304+Q304</f>
        <v>20.7</v>
      </c>
      <c r="AC304" s="38">
        <v>1.1829499999999999</v>
      </c>
      <c r="AD304" s="39">
        <v>911.77</v>
      </c>
      <c r="AE304" s="38">
        <v>20.079999999999998</v>
      </c>
      <c r="AF304" s="38">
        <v>1.26379</v>
      </c>
      <c r="AG304" s="38">
        <f t="shared" si="43"/>
        <v>1.3</v>
      </c>
      <c r="AH304" s="38">
        <v>0</v>
      </c>
      <c r="AI304" s="38">
        <v>0</v>
      </c>
      <c r="AJ304" s="38">
        <v>50.08</v>
      </c>
      <c r="AK304" s="38">
        <v>6.8658999999999998E-2</v>
      </c>
      <c r="AL304" s="38">
        <v>0</v>
      </c>
      <c r="AM304" s="38">
        <v>0</v>
      </c>
      <c r="AN304" s="25"/>
      <c r="AO304" s="25">
        <f>AE304*0.5</f>
        <v>10.039999999999999</v>
      </c>
      <c r="AP304" s="25">
        <f>(AD304+AH304+AJ304+AL304+AO304)*I304</f>
        <v>20254.187600000001</v>
      </c>
      <c r="AQ304" s="25"/>
      <c r="AR304" s="25"/>
      <c r="AS304" s="25">
        <f>SUM(N304:Q304)</f>
        <v>20.7</v>
      </c>
      <c r="AT304" s="25">
        <f>SUM(T304:W304)</f>
        <v>20.700000000000003</v>
      </c>
      <c r="AU304" s="25"/>
      <c r="AW304" s="41"/>
      <c r="AX304" s="41"/>
      <c r="AY304" s="41"/>
      <c r="AZ304" s="41"/>
    </row>
    <row r="305" spans="1:88" s="22" customFormat="1">
      <c r="A305" s="1">
        <v>1408</v>
      </c>
      <c r="B305" s="34" t="s">
        <v>1957</v>
      </c>
      <c r="C305" s="34">
        <v>447</v>
      </c>
      <c r="D305" s="75">
        <v>3012</v>
      </c>
      <c r="E305" s="69">
        <v>100</v>
      </c>
      <c r="F305" s="9" t="s">
        <v>1963</v>
      </c>
      <c r="G305" s="20">
        <v>34</v>
      </c>
      <c r="H305" s="20">
        <v>0</v>
      </c>
      <c r="I305" s="21">
        <v>3.4000000000000002E-2</v>
      </c>
      <c r="J305" s="8">
        <v>6</v>
      </c>
      <c r="K305" s="34" t="s">
        <v>12</v>
      </c>
      <c r="L305" s="10">
        <v>42216</v>
      </c>
      <c r="M305" s="37" t="s">
        <v>191</v>
      </c>
      <c r="N305" s="38">
        <v>0</v>
      </c>
      <c r="O305" s="38">
        <v>2.5000000000000001E-2</v>
      </c>
      <c r="P305" s="38">
        <v>0</v>
      </c>
      <c r="Q305" s="38">
        <v>2.5000000000000001E-2</v>
      </c>
      <c r="R305" s="38">
        <v>4.6550000000000002</v>
      </c>
      <c r="S305" s="38">
        <f t="shared" si="41"/>
        <v>4.5</v>
      </c>
      <c r="T305" s="38">
        <v>0.05</v>
      </c>
      <c r="U305" s="38">
        <v>0</v>
      </c>
      <c r="V305" s="38">
        <v>0</v>
      </c>
      <c r="W305" s="38">
        <v>0</v>
      </c>
      <c r="X305" s="38">
        <v>2.0190000000000001</v>
      </c>
      <c r="Y305" s="38">
        <f t="shared" si="42"/>
        <v>2</v>
      </c>
      <c r="Z305" s="38">
        <v>0</v>
      </c>
      <c r="AA305" s="38">
        <v>0</v>
      </c>
      <c r="AB305" s="38">
        <v>0.05</v>
      </c>
      <c r="AC305" s="38">
        <v>1.1895</v>
      </c>
      <c r="AD305" s="39">
        <v>0</v>
      </c>
      <c r="AE305" s="38">
        <v>3</v>
      </c>
      <c r="AF305" s="38">
        <v>1.2605042016806722</v>
      </c>
      <c r="AG305" s="38">
        <f t="shared" si="43"/>
        <v>1.3</v>
      </c>
      <c r="AH305" s="38">
        <v>0</v>
      </c>
      <c r="AI305" s="38">
        <f>AH305/(3.5*I305*1000)*100</f>
        <v>0</v>
      </c>
      <c r="AJ305" s="38">
        <v>7</v>
      </c>
      <c r="AK305" s="38">
        <f>AJ305/(3.5*I305*1000)*100</f>
        <v>5.8823529411764701</v>
      </c>
      <c r="AL305" s="38">
        <v>0</v>
      </c>
      <c r="AM305" s="38">
        <f>AL305/(3.5*I305*1000)*100</f>
        <v>0</v>
      </c>
      <c r="AN305" s="41"/>
    </row>
    <row r="306" spans="1:88" s="22" customFormat="1">
      <c r="A306" s="1">
        <v>2066</v>
      </c>
      <c r="B306" s="34" t="s">
        <v>2697</v>
      </c>
      <c r="C306" s="34">
        <v>328</v>
      </c>
      <c r="D306" s="75">
        <v>4338</v>
      </c>
      <c r="E306" s="8">
        <v>100</v>
      </c>
      <c r="F306" s="34" t="s">
        <v>2712</v>
      </c>
      <c r="G306" s="58">
        <v>0</v>
      </c>
      <c r="H306" s="58">
        <v>4030</v>
      </c>
      <c r="I306" s="21">
        <v>4.03</v>
      </c>
      <c r="J306" s="8">
        <v>2</v>
      </c>
      <c r="K306" s="8" t="s">
        <v>238</v>
      </c>
      <c r="L306" s="18">
        <v>42119</v>
      </c>
      <c r="M306" s="37" t="s">
        <v>191</v>
      </c>
      <c r="N306" s="38">
        <v>2.85</v>
      </c>
      <c r="O306" s="38">
        <v>0.77500000000000002</v>
      </c>
      <c r="P306" s="38">
        <v>0.35</v>
      </c>
      <c r="Q306" s="38">
        <v>0.05</v>
      </c>
      <c r="R306" s="38">
        <v>2.3158400000000001</v>
      </c>
      <c r="S306" s="38">
        <f t="shared" si="41"/>
        <v>2.5</v>
      </c>
      <c r="T306" s="38">
        <v>4.0250000000000004</v>
      </c>
      <c r="U306" s="38">
        <v>0</v>
      </c>
      <c r="V306" s="38">
        <v>0</v>
      </c>
      <c r="W306" s="38">
        <v>0</v>
      </c>
      <c r="X306" s="38">
        <v>2.8799000000000001</v>
      </c>
      <c r="Y306" s="38">
        <f t="shared" si="42"/>
        <v>3</v>
      </c>
      <c r="Z306" s="38">
        <v>0</v>
      </c>
      <c r="AA306" s="38">
        <v>0</v>
      </c>
      <c r="AB306" s="38">
        <v>4.0250000000000004</v>
      </c>
      <c r="AC306" s="38">
        <v>1.2495700000000001</v>
      </c>
      <c r="AD306" s="39">
        <v>129.34</v>
      </c>
      <c r="AE306" s="38">
        <v>95.7</v>
      </c>
      <c r="AF306" s="38">
        <v>1.256221198156682</v>
      </c>
      <c r="AG306" s="38">
        <f t="shared" si="43"/>
        <v>1.3</v>
      </c>
      <c r="AH306" s="38">
        <v>0</v>
      </c>
      <c r="AI306" s="38">
        <v>0</v>
      </c>
      <c r="AJ306" s="38">
        <v>9.5500000000000007</v>
      </c>
      <c r="AK306" s="38">
        <v>6.7706487061325774E-2</v>
      </c>
      <c r="AL306" s="38">
        <v>4</v>
      </c>
      <c r="AM306" s="38">
        <f>AL306/(3.5*I306*1000)*100</f>
        <v>2.8358738036157391E-2</v>
      </c>
      <c r="AN306" s="72"/>
      <c r="AO306" s="41"/>
      <c r="AP306" s="41"/>
      <c r="AQ306" s="73"/>
      <c r="AR306" s="73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</row>
    <row r="307" spans="1:88" s="22" customFormat="1">
      <c r="A307" s="1">
        <v>1895</v>
      </c>
      <c r="B307" s="34" t="s">
        <v>2528</v>
      </c>
      <c r="C307" s="34">
        <v>336</v>
      </c>
      <c r="D307" s="75">
        <v>375</v>
      </c>
      <c r="E307" s="8">
        <v>103</v>
      </c>
      <c r="F307" s="9" t="s">
        <v>2532</v>
      </c>
      <c r="G307" s="20" t="s">
        <v>2533</v>
      </c>
      <c r="H307" s="20" t="s">
        <v>2534</v>
      </c>
      <c r="I307" s="21">
        <v>9.8089999999999993</v>
      </c>
      <c r="J307" s="8">
        <v>2</v>
      </c>
      <c r="K307" s="8" t="s">
        <v>238</v>
      </c>
      <c r="L307" s="18">
        <v>42089</v>
      </c>
      <c r="M307" s="247" t="s">
        <v>191</v>
      </c>
      <c r="N307" s="26">
        <v>6.7</v>
      </c>
      <c r="O307" s="26">
        <v>1.85</v>
      </c>
      <c r="P307" s="26">
        <v>0.96</v>
      </c>
      <c r="Q307" s="26">
        <v>0.28999999999999998</v>
      </c>
      <c r="R307" s="26">
        <v>2.3433600000000001</v>
      </c>
      <c r="S307" s="38">
        <f t="shared" si="41"/>
        <v>2.5</v>
      </c>
      <c r="T307" s="26">
        <v>8.92</v>
      </c>
      <c r="U307" s="26">
        <v>0.67</v>
      </c>
      <c r="V307" s="26">
        <v>0.19</v>
      </c>
      <c r="W307" s="26">
        <v>0.03</v>
      </c>
      <c r="X307" s="26">
        <v>4.4227299999999996</v>
      </c>
      <c r="Y307" s="38">
        <f t="shared" si="42"/>
        <v>4.5</v>
      </c>
      <c r="Z307" s="11">
        <v>0</v>
      </c>
      <c r="AA307" s="11">
        <v>0</v>
      </c>
      <c r="AB307" s="11">
        <v>9.81</v>
      </c>
      <c r="AC307" s="11">
        <v>1.21838</v>
      </c>
      <c r="AD307" s="164">
        <v>376.3</v>
      </c>
      <c r="AE307" s="11">
        <v>109.45</v>
      </c>
      <c r="AF307" s="38">
        <f>(AD307+AE307*0.5)/(3.5*I307*1000)*100</f>
        <v>1.2554796615353248</v>
      </c>
      <c r="AG307" s="38">
        <f t="shared" si="43"/>
        <v>1.3</v>
      </c>
      <c r="AH307" s="38">
        <v>223.87</v>
      </c>
      <c r="AI307" s="38">
        <f>AH307/(3.5*I307*1000)*100</f>
        <v>0.65208336367475928</v>
      </c>
      <c r="AJ307" s="38">
        <v>5.09</v>
      </c>
      <c r="AK307" s="38">
        <f>AJ307/(3.5*I307*1000)*100</f>
        <v>1.482603439989514E-2</v>
      </c>
      <c r="AL307" s="38">
        <v>3.15</v>
      </c>
      <c r="AM307" s="38">
        <f>AL307/(3.5*I307*1000)*100</f>
        <v>9.1752472219390358E-3</v>
      </c>
      <c r="AN307" s="1"/>
      <c r="AO307" s="1"/>
      <c r="AQ307" s="41">
        <f>SUM(N307:Q307)</f>
        <v>9.8000000000000007</v>
      </c>
      <c r="AR307" s="41">
        <f>SUM(T307:W307)</f>
        <v>9.8099999999999987</v>
      </c>
      <c r="AS307" s="12">
        <f>SUM(Z307:AB307)</f>
        <v>9.81</v>
      </c>
      <c r="AT307" s="1"/>
      <c r="AU307" s="1">
        <f>I307/AQ307</f>
        <v>1.0009183673469386</v>
      </c>
      <c r="AV307" s="1">
        <f>I307/AR307</f>
        <v>0.99989806320081553</v>
      </c>
      <c r="AW307" s="1">
        <f>I307/AS307</f>
        <v>0.99989806320081542</v>
      </c>
    </row>
    <row r="308" spans="1:88" s="22" customFormat="1">
      <c r="A308" s="1">
        <v>1542</v>
      </c>
      <c r="B308" s="34" t="s">
        <v>2104</v>
      </c>
      <c r="C308" s="34">
        <v>414</v>
      </c>
      <c r="D308" s="69">
        <v>3428</v>
      </c>
      <c r="E308" s="34">
        <v>100</v>
      </c>
      <c r="F308" s="34" t="s">
        <v>2118</v>
      </c>
      <c r="G308" s="58">
        <v>0</v>
      </c>
      <c r="H308" s="58">
        <v>1827</v>
      </c>
      <c r="I308" s="35">
        <v>1.827</v>
      </c>
      <c r="J308" s="34">
        <v>2</v>
      </c>
      <c r="K308" s="34" t="s">
        <v>238</v>
      </c>
      <c r="L308" s="10">
        <v>42266</v>
      </c>
      <c r="M308" s="37" t="s">
        <v>191</v>
      </c>
      <c r="N308" s="38">
        <v>1.575</v>
      </c>
      <c r="O308" s="38">
        <v>0.17499999999999999</v>
      </c>
      <c r="P308" s="38">
        <v>0.05</v>
      </c>
      <c r="Q308" s="38">
        <v>0.05</v>
      </c>
      <c r="R308" s="38">
        <v>2.1798600000000001</v>
      </c>
      <c r="S308" s="38">
        <f t="shared" si="41"/>
        <v>2</v>
      </c>
      <c r="T308" s="38">
        <v>1.825</v>
      </c>
      <c r="U308" s="38">
        <v>2.5000000000000001E-2</v>
      </c>
      <c r="V308" s="38">
        <v>0</v>
      </c>
      <c r="W308" s="38">
        <v>0</v>
      </c>
      <c r="X308" s="38">
        <v>5.1674600000000002</v>
      </c>
      <c r="Y308" s="38">
        <f t="shared" si="42"/>
        <v>5</v>
      </c>
      <c r="Z308" s="38">
        <v>0</v>
      </c>
      <c r="AA308" s="38">
        <v>0</v>
      </c>
      <c r="AB308" s="38">
        <v>1.827</v>
      </c>
      <c r="AC308" s="38">
        <v>1.22397</v>
      </c>
      <c r="AD308" s="39">
        <v>67</v>
      </c>
      <c r="AE308" s="38">
        <v>25.23</v>
      </c>
      <c r="AF308" s="38">
        <f>(AD308+AE308*0.5)/(3.5*I308*1000)*100</f>
        <v>1.2450543435765109</v>
      </c>
      <c r="AG308" s="38">
        <f t="shared" si="43"/>
        <v>1.2</v>
      </c>
      <c r="AH308" s="38">
        <v>28</v>
      </c>
      <c r="AI308" s="38">
        <f>AH308/(3.5*I308*1000)*100</f>
        <v>0.4378762999452655</v>
      </c>
      <c r="AJ308" s="38">
        <v>100.55</v>
      </c>
      <c r="AK308" s="38">
        <f>AJ308/(3.5*I308*1000)*100</f>
        <v>1.5724450699820158</v>
      </c>
      <c r="AL308" s="38">
        <v>16</v>
      </c>
      <c r="AM308" s="38">
        <f>AL308/(3.5*I308*1000)*100</f>
        <v>0.25021502854015171</v>
      </c>
      <c r="AN308" s="25"/>
      <c r="AO308" s="25">
        <f>AE308*0.5</f>
        <v>12.615</v>
      </c>
      <c r="AP308" s="25">
        <f>(AD308+AH308+AJ308+AL308+AO308)*I308</f>
        <v>409.54945500000002</v>
      </c>
      <c r="AQ308" s="25"/>
      <c r="AR308" s="25">
        <f>SUM(N308:Q308)</f>
        <v>1.85</v>
      </c>
      <c r="AS308" s="25">
        <f>SUM(T308:W308)</f>
        <v>1.8499999999999999</v>
      </c>
      <c r="AT308" s="25"/>
      <c r="AV308" s="41"/>
      <c r="AW308" s="41"/>
      <c r="AX308" s="41"/>
      <c r="AY308" s="41"/>
    </row>
    <row r="309" spans="1:88" s="22" customFormat="1">
      <c r="A309" s="1">
        <v>1391</v>
      </c>
      <c r="B309" s="34" t="s">
        <v>1940</v>
      </c>
      <c r="C309" s="34">
        <v>446</v>
      </c>
      <c r="D309" s="75">
        <v>3184</v>
      </c>
      <c r="E309" s="69">
        <v>100</v>
      </c>
      <c r="F309" s="34" t="s">
        <v>1946</v>
      </c>
      <c r="G309" s="20">
        <v>11518</v>
      </c>
      <c r="H309" s="20">
        <v>0</v>
      </c>
      <c r="I309" s="21">
        <v>11.518000000000001</v>
      </c>
      <c r="J309" s="8">
        <v>2</v>
      </c>
      <c r="K309" s="34" t="s">
        <v>12</v>
      </c>
      <c r="L309" s="10">
        <v>42219</v>
      </c>
      <c r="M309" s="37" t="s">
        <v>191</v>
      </c>
      <c r="N309" s="38">
        <v>8.09</v>
      </c>
      <c r="O309" s="38">
        <v>2.06</v>
      </c>
      <c r="P309" s="38">
        <v>1</v>
      </c>
      <c r="Q309" s="38">
        <v>0.36</v>
      </c>
      <c r="R309" s="38">
        <v>2.36591</v>
      </c>
      <c r="S309" s="38">
        <f t="shared" si="41"/>
        <v>2.5</v>
      </c>
      <c r="T309" s="38">
        <v>10.64</v>
      </c>
      <c r="U309" s="38">
        <v>0.8</v>
      </c>
      <c r="V309" s="38">
        <v>0.08</v>
      </c>
      <c r="W309" s="38">
        <v>0</v>
      </c>
      <c r="X309" s="38">
        <v>4.2961099999999997</v>
      </c>
      <c r="Y309" s="38">
        <f t="shared" si="42"/>
        <v>4.5</v>
      </c>
      <c r="Z309" s="38">
        <v>0</v>
      </c>
      <c r="AA309" s="38">
        <v>0</v>
      </c>
      <c r="AB309" s="11">
        <v>11.52</v>
      </c>
      <c r="AC309" s="38">
        <v>1.1351899999999999</v>
      </c>
      <c r="AD309" s="39">
        <v>463.21</v>
      </c>
      <c r="AE309" s="38">
        <v>76.2</v>
      </c>
      <c r="AF309" s="38">
        <v>1.2435442661176295</v>
      </c>
      <c r="AG309" s="38">
        <f t="shared" si="43"/>
        <v>1.2</v>
      </c>
      <c r="AH309" s="38">
        <v>87.43</v>
      </c>
      <c r="AI309" s="38">
        <v>0.21687793019621462</v>
      </c>
      <c r="AJ309" s="38">
        <v>0</v>
      </c>
      <c r="AK309" s="38">
        <v>0</v>
      </c>
      <c r="AL309" s="38">
        <v>0</v>
      </c>
      <c r="AM309" s="38">
        <v>0</v>
      </c>
      <c r="AN309" s="12"/>
      <c r="AO309" s="1"/>
      <c r="AP309" s="12">
        <f>SUM(N309:Q309)</f>
        <v>11.51</v>
      </c>
      <c r="AQ309" s="12">
        <f>SUM(T309:W309)</f>
        <v>11.520000000000001</v>
      </c>
      <c r="AR309" s="12">
        <f>SUM(Z309:AB309)</f>
        <v>11.52</v>
      </c>
      <c r="AS309" s="1"/>
      <c r="AT309" s="1">
        <f>I309/AP309</f>
        <v>1.0006950477845353</v>
      </c>
      <c r="AU309" s="1">
        <f>I309/AQ309</f>
        <v>0.99982638888888886</v>
      </c>
      <c r="AV309" s="1">
        <f>I309/AR309</f>
        <v>0.99982638888888897</v>
      </c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</row>
    <row r="310" spans="1:88" s="61" customFormat="1">
      <c r="A310" s="1">
        <v>1141</v>
      </c>
      <c r="B310" s="74" t="s">
        <v>1577</v>
      </c>
      <c r="C310" s="34">
        <v>432</v>
      </c>
      <c r="D310" s="34">
        <v>3020</v>
      </c>
      <c r="E310" s="34">
        <v>100</v>
      </c>
      <c r="F310" s="34" t="s">
        <v>1591</v>
      </c>
      <c r="G310" s="34" t="s">
        <v>92</v>
      </c>
      <c r="H310" s="34" t="s">
        <v>1592</v>
      </c>
      <c r="I310" s="55">
        <v>9.6</v>
      </c>
      <c r="J310" s="5">
        <v>2</v>
      </c>
      <c r="K310" s="181" t="s">
        <v>238</v>
      </c>
      <c r="L310" s="10">
        <v>42282</v>
      </c>
      <c r="M310" s="37" t="s">
        <v>191</v>
      </c>
      <c r="N310" s="38">
        <v>4.0999999999999996</v>
      </c>
      <c r="O310" s="38">
        <v>2.1749999999999998</v>
      </c>
      <c r="P310" s="38">
        <v>1.35</v>
      </c>
      <c r="Q310" s="38">
        <v>1.45</v>
      </c>
      <c r="R310" s="38">
        <v>3.50488</v>
      </c>
      <c r="S310" s="38">
        <f t="shared" si="41"/>
        <v>3.5</v>
      </c>
      <c r="T310" s="38">
        <v>8.15</v>
      </c>
      <c r="U310" s="38">
        <v>0.625</v>
      </c>
      <c r="V310" s="38">
        <v>0.15</v>
      </c>
      <c r="W310" s="38">
        <v>0.15</v>
      </c>
      <c r="X310" s="38">
        <v>4.7065599999999996</v>
      </c>
      <c r="Y310" s="38">
        <f t="shared" si="42"/>
        <v>4.5</v>
      </c>
      <c r="Z310" s="38">
        <v>0</v>
      </c>
      <c r="AA310" s="38">
        <v>0</v>
      </c>
      <c r="AB310" s="38">
        <v>9.0749999999999993</v>
      </c>
      <c r="AC310" s="38">
        <v>1.44635</v>
      </c>
      <c r="AD310" s="39">
        <v>398.36</v>
      </c>
      <c r="AE310" s="38">
        <v>37.26</v>
      </c>
      <c r="AF310" s="38">
        <v>1.241042</v>
      </c>
      <c r="AG310" s="38">
        <f t="shared" si="43"/>
        <v>1.2</v>
      </c>
      <c r="AH310" s="38">
        <v>124.68</v>
      </c>
      <c r="AI310" s="38">
        <v>0.37107099999999998</v>
      </c>
      <c r="AJ310" s="38">
        <v>0</v>
      </c>
      <c r="AK310" s="38">
        <v>0</v>
      </c>
      <c r="AL310" s="38">
        <v>0</v>
      </c>
      <c r="AM310" s="38">
        <v>0</v>
      </c>
      <c r="AN310" s="114"/>
      <c r="AO310" s="73"/>
      <c r="AP310" s="22"/>
      <c r="AQ310" s="22"/>
      <c r="AR310" s="22"/>
      <c r="AS310" s="48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  <c r="CH310" s="22"/>
      <c r="CI310" s="22"/>
      <c r="CJ310" s="22"/>
    </row>
    <row r="311" spans="1:88" s="61" customFormat="1">
      <c r="A311" s="1">
        <v>278</v>
      </c>
      <c r="B311" s="34" t="s">
        <v>484</v>
      </c>
      <c r="C311" s="34">
        <v>641</v>
      </c>
      <c r="D311" s="34">
        <v>2291</v>
      </c>
      <c r="E311" s="34">
        <v>101</v>
      </c>
      <c r="F311" s="34" t="s">
        <v>502</v>
      </c>
      <c r="G311" s="57" t="s">
        <v>92</v>
      </c>
      <c r="H311" s="58" t="s">
        <v>503</v>
      </c>
      <c r="I311" s="35">
        <v>49.283000000000001</v>
      </c>
      <c r="J311" s="59">
        <v>2</v>
      </c>
      <c r="K311" s="34" t="s">
        <v>238</v>
      </c>
      <c r="L311" s="10">
        <v>42160</v>
      </c>
      <c r="M311" s="37" t="s">
        <v>191</v>
      </c>
      <c r="N311" s="38">
        <v>34.200000000000003</v>
      </c>
      <c r="O311" s="38">
        <v>9.75</v>
      </c>
      <c r="P311" s="38">
        <v>3.5</v>
      </c>
      <c r="Q311" s="38">
        <v>1.75</v>
      </c>
      <c r="R311" s="38">
        <v>2.7011400000000001</v>
      </c>
      <c r="S311" s="38">
        <f t="shared" si="41"/>
        <v>2.5</v>
      </c>
      <c r="T311" s="38">
        <v>44.225000000000001</v>
      </c>
      <c r="U311" s="38">
        <v>2.25</v>
      </c>
      <c r="V311" s="38">
        <v>1.575</v>
      </c>
      <c r="W311" s="38">
        <v>1.1499999999999999</v>
      </c>
      <c r="X311" s="38">
        <v>4.80959</v>
      </c>
      <c r="Y311" s="38">
        <f t="shared" si="42"/>
        <v>5</v>
      </c>
      <c r="Z311" s="38">
        <v>0</v>
      </c>
      <c r="AA311" s="38">
        <v>0</v>
      </c>
      <c r="AB311" s="38">
        <f>T311+U311+V311+W311</f>
        <v>49.2</v>
      </c>
      <c r="AC311" s="38">
        <v>1.14069</v>
      </c>
      <c r="AD311" s="39">
        <v>421</v>
      </c>
      <c r="AE311" s="38">
        <v>3439</v>
      </c>
      <c r="AF311" s="38">
        <f>(AD311+AE311*0.5)/(3.5*I311*1000)*100</f>
        <v>1.2409379067252979</v>
      </c>
      <c r="AG311" s="38">
        <f t="shared" si="43"/>
        <v>1.2</v>
      </c>
      <c r="AH311" s="38">
        <v>35</v>
      </c>
      <c r="AI311" s="38">
        <f>AH311/(3.5*I311*1000)*100</f>
        <v>2.0290972546314144E-2</v>
      </c>
      <c r="AJ311" s="38">
        <v>35.11</v>
      </c>
      <c r="AK311" s="38">
        <v>0</v>
      </c>
      <c r="AL311" s="38">
        <v>0</v>
      </c>
      <c r="AM311" s="38">
        <f>AL311/(3.5*I311*1000)*100</f>
        <v>0</v>
      </c>
      <c r="AN311" s="60"/>
      <c r="AO311" s="60">
        <f>AE311*0.5</f>
        <v>1719.5</v>
      </c>
      <c r="AP311" s="60">
        <f>(AD311+AH311+AJ311+AL311+AO311)*I311</f>
        <v>108945.49263000001</v>
      </c>
      <c r="AQ311" s="25">
        <f>SUM(N311:Q311)</f>
        <v>49.2</v>
      </c>
      <c r="AR311" s="25">
        <f>SUM(T311:W311)</f>
        <v>49.2</v>
      </c>
      <c r="AS311" s="34"/>
      <c r="AT311" s="40"/>
      <c r="AU311" s="41">
        <f>SUM(N311:Q311)</f>
        <v>49.2</v>
      </c>
      <c r="AV311" s="41">
        <f>SUM(T311:W311)</f>
        <v>49.2</v>
      </c>
      <c r="AW311" s="41">
        <f>SUM(Z311:AB311)</f>
        <v>49.2</v>
      </c>
      <c r="AY311" s="22">
        <f>I311/AU311</f>
        <v>1.0016869918699187</v>
      </c>
      <c r="AZ311" s="22">
        <f>I311/AV311</f>
        <v>1.0016869918699187</v>
      </c>
      <c r="BA311" s="22">
        <f>I311/AW311</f>
        <v>1.0016869918699187</v>
      </c>
    </row>
    <row r="312" spans="1:88" s="61" customFormat="1">
      <c r="A312" s="1">
        <v>1087</v>
      </c>
      <c r="B312" s="34" t="s">
        <v>1467</v>
      </c>
      <c r="C312" s="34">
        <v>619</v>
      </c>
      <c r="D312" s="8">
        <v>3486</v>
      </c>
      <c r="E312" s="34">
        <v>101</v>
      </c>
      <c r="F312" s="34" t="s">
        <v>1498</v>
      </c>
      <c r="G312" s="58" t="s">
        <v>1499</v>
      </c>
      <c r="H312" s="58" t="s">
        <v>1500</v>
      </c>
      <c r="I312" s="35">
        <v>8.7680000000000007</v>
      </c>
      <c r="J312" s="9">
        <v>2</v>
      </c>
      <c r="K312" s="34" t="s">
        <v>238</v>
      </c>
      <c r="L312" s="10">
        <v>42093</v>
      </c>
      <c r="M312" s="37" t="s">
        <v>191</v>
      </c>
      <c r="N312" s="38">
        <v>7.37</v>
      </c>
      <c r="O312" s="38">
        <v>0.98</v>
      </c>
      <c r="P312" s="38">
        <v>0.26</v>
      </c>
      <c r="Q312" s="38">
        <v>0.16</v>
      </c>
      <c r="R312" s="38">
        <v>2.35541</v>
      </c>
      <c r="S312" s="38">
        <f t="shared" si="41"/>
        <v>2.5</v>
      </c>
      <c r="T312" s="38">
        <v>8.77</v>
      </c>
      <c r="U312" s="38">
        <v>0</v>
      </c>
      <c r="V312" s="38">
        <v>0</v>
      </c>
      <c r="W312" s="38">
        <v>0</v>
      </c>
      <c r="X312" s="38">
        <v>4.1662299999999997</v>
      </c>
      <c r="Y312" s="38">
        <f t="shared" si="42"/>
        <v>4</v>
      </c>
      <c r="Z312" s="117">
        <v>0</v>
      </c>
      <c r="AA312" s="117">
        <v>0</v>
      </c>
      <c r="AB312" s="117">
        <v>8.77</v>
      </c>
      <c r="AC312" s="38">
        <v>1.1200399999999999</v>
      </c>
      <c r="AD312" s="39">
        <v>379.82</v>
      </c>
      <c r="AE312" s="38">
        <v>0</v>
      </c>
      <c r="AF312" s="11">
        <f>(AD312+AE312*0.5)/(3.5*I312*1000)*100</f>
        <v>1.2376824817518246</v>
      </c>
      <c r="AG312" s="38">
        <f t="shared" si="43"/>
        <v>1.2</v>
      </c>
      <c r="AH312" s="38">
        <v>17.670000000000002</v>
      </c>
      <c r="AI312" s="38">
        <f>AH312/(3.5*I312*1000)*100</f>
        <v>5.7579509906152238E-2</v>
      </c>
      <c r="AJ312" s="38">
        <v>0</v>
      </c>
      <c r="AK312" s="38">
        <f>AJ312/(3.5*I312*1000)*100</f>
        <v>0</v>
      </c>
      <c r="AL312" s="38">
        <v>0</v>
      </c>
      <c r="AM312" s="38">
        <f>AL312/(3.5*I312*1000)*100</f>
        <v>0</v>
      </c>
      <c r="AN312" s="25"/>
      <c r="AO312" s="25"/>
      <c r="AP312" s="12">
        <f>AE312*0.5</f>
        <v>0</v>
      </c>
      <c r="AQ312" s="12">
        <f>(AD312+AH312+AJ312+AL312+AP312)*I312</f>
        <v>3485.1923200000006</v>
      </c>
      <c r="AR312" s="25"/>
      <c r="AS312" s="49">
        <f>SUM(N312:Q312)</f>
        <v>8.77</v>
      </c>
      <c r="AT312" s="22">
        <f>SUM(T312:W312)</f>
        <v>8.77</v>
      </c>
      <c r="AU312" s="268">
        <v>8</v>
      </c>
      <c r="AV312" s="41">
        <f>SUM(N312:Q312)</f>
        <v>8.77</v>
      </c>
      <c r="AW312" s="41">
        <f>SUM(T312:W312)</f>
        <v>8.77</v>
      </c>
      <c r="AX312" s="41">
        <f>SUM(Z312:AB312)</f>
        <v>8.77</v>
      </c>
      <c r="AY312" s="22"/>
      <c r="AZ312" s="22">
        <f>I312/AV312</f>
        <v>0.99977194982896245</v>
      </c>
      <c r="BA312" s="22">
        <f>I312/AW312</f>
        <v>0.99977194982896245</v>
      </c>
      <c r="BB312" s="22">
        <f>I312/AX312</f>
        <v>0.99977194982896245</v>
      </c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  <c r="CH312" s="22"/>
      <c r="CI312" s="22"/>
      <c r="CJ312" s="22"/>
    </row>
    <row r="313" spans="1:88" s="61" customFormat="1">
      <c r="A313" s="1">
        <v>1388</v>
      </c>
      <c r="B313" s="34" t="s">
        <v>1940</v>
      </c>
      <c r="C313" s="34">
        <v>446</v>
      </c>
      <c r="D313" s="75">
        <v>3039</v>
      </c>
      <c r="E313" s="69">
        <v>100</v>
      </c>
      <c r="F313" s="34" t="s">
        <v>1942</v>
      </c>
      <c r="G313" s="20" t="s">
        <v>92</v>
      </c>
      <c r="H313" s="20" t="s">
        <v>1943</v>
      </c>
      <c r="I313" s="21">
        <v>2.8029999999999999</v>
      </c>
      <c r="J313" s="8">
        <v>2</v>
      </c>
      <c r="K313" s="34" t="s">
        <v>238</v>
      </c>
      <c r="L313" s="10">
        <v>42219</v>
      </c>
      <c r="M313" s="37" t="s">
        <v>191</v>
      </c>
      <c r="N313" s="38">
        <v>1.86</v>
      </c>
      <c r="O313" s="38">
        <v>0.52</v>
      </c>
      <c r="P313" s="38">
        <v>0.17</v>
      </c>
      <c r="Q313" s="38">
        <v>0.25</v>
      </c>
      <c r="R313" s="38">
        <v>2.5203500000000001</v>
      </c>
      <c r="S313" s="38">
        <f t="shared" si="41"/>
        <v>2.5</v>
      </c>
      <c r="T313" s="38">
        <v>2.8</v>
      </c>
      <c r="U313" s="38">
        <v>0</v>
      </c>
      <c r="V313" s="38">
        <v>0</v>
      </c>
      <c r="W313" s="38">
        <v>0</v>
      </c>
      <c r="X313" s="38">
        <v>1.6201300000000001</v>
      </c>
      <c r="Y313" s="38">
        <f t="shared" si="42"/>
        <v>1.5</v>
      </c>
      <c r="Z313" s="38">
        <v>0</v>
      </c>
      <c r="AA313" s="38">
        <v>0</v>
      </c>
      <c r="AB313" s="11">
        <v>2.8</v>
      </c>
      <c r="AC313" s="38">
        <v>1.30145</v>
      </c>
      <c r="AD313" s="39">
        <v>163.98</v>
      </c>
      <c r="AE313" s="38">
        <v>9.2449999999999992</v>
      </c>
      <c r="AF313" s="38">
        <v>1.2351831501831501</v>
      </c>
      <c r="AG313" s="38">
        <f t="shared" si="43"/>
        <v>1.2</v>
      </c>
      <c r="AH313" s="38">
        <v>321.64999999999998</v>
      </c>
      <c r="AI313" s="38">
        <v>3.2786300392436671</v>
      </c>
      <c r="AJ313" s="38">
        <v>0</v>
      </c>
      <c r="AK313" s="38">
        <v>0</v>
      </c>
      <c r="AL313" s="38">
        <v>0</v>
      </c>
      <c r="AM313" s="38">
        <v>0</v>
      </c>
      <c r="AN313" s="12"/>
      <c r="AO313" s="1"/>
      <c r="AP313" s="12">
        <f>SUM(N313:Q313)</f>
        <v>2.8</v>
      </c>
      <c r="AQ313" s="12">
        <f>SUM(T313:W313)</f>
        <v>2.8</v>
      </c>
      <c r="AR313" s="12">
        <f>SUM(Z313:AB313)</f>
        <v>2.8</v>
      </c>
      <c r="AS313" s="178"/>
      <c r="AT313" s="1">
        <f>I313/AP313</f>
        <v>1.0010714285714286</v>
      </c>
      <c r="AU313" s="1">
        <f>I313/AQ313</f>
        <v>1.0010714285714286</v>
      </c>
      <c r="AV313" s="1">
        <f>I313/AR313</f>
        <v>1.0010714285714286</v>
      </c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</row>
    <row r="314" spans="1:88" s="61" customFormat="1">
      <c r="A314" s="1">
        <v>1422</v>
      </c>
      <c r="B314" s="34" t="s">
        <v>1957</v>
      </c>
      <c r="C314" s="34">
        <v>447</v>
      </c>
      <c r="D314" s="75">
        <v>3319</v>
      </c>
      <c r="E314" s="69">
        <v>200</v>
      </c>
      <c r="F314" s="184" t="s">
        <v>1974</v>
      </c>
      <c r="G314" s="20">
        <v>24453</v>
      </c>
      <c r="H314" s="20">
        <v>14390</v>
      </c>
      <c r="I314" s="21">
        <v>10.063000000000001</v>
      </c>
      <c r="J314" s="8">
        <v>2</v>
      </c>
      <c r="K314" s="34" t="s">
        <v>1521</v>
      </c>
      <c r="L314" s="10">
        <v>42216</v>
      </c>
      <c r="M314" s="37" t="s">
        <v>191</v>
      </c>
      <c r="N314" s="38">
        <v>7.4</v>
      </c>
      <c r="O314" s="38">
        <v>1.85</v>
      </c>
      <c r="P314" s="38">
        <v>0.52500000000000002</v>
      </c>
      <c r="Q314" s="38">
        <v>0.25</v>
      </c>
      <c r="R314" s="38">
        <v>2.2844899999999999</v>
      </c>
      <c r="S314" s="38">
        <f t="shared" si="41"/>
        <v>2.5</v>
      </c>
      <c r="T314" s="38">
        <v>9.6999999999999993</v>
      </c>
      <c r="U314" s="38">
        <v>0.3</v>
      </c>
      <c r="V314" s="38">
        <v>0</v>
      </c>
      <c r="W314" s="38">
        <v>2.5000000000000001E-2</v>
      </c>
      <c r="X314" s="38">
        <v>3.4043399999999999</v>
      </c>
      <c r="Y314" s="38">
        <f t="shared" si="42"/>
        <v>3.5</v>
      </c>
      <c r="Z314" s="38">
        <v>0</v>
      </c>
      <c r="AA314" s="38">
        <v>0</v>
      </c>
      <c r="AB314" s="38">
        <v>10.025</v>
      </c>
      <c r="AC314" s="38">
        <v>1.31928</v>
      </c>
      <c r="AD314" s="39">
        <v>2</v>
      </c>
      <c r="AE314" s="38">
        <v>866</v>
      </c>
      <c r="AF314" s="38">
        <v>1.2350761630300535</v>
      </c>
      <c r="AG314" s="38">
        <f t="shared" si="43"/>
        <v>1.2</v>
      </c>
      <c r="AH314" s="38">
        <v>0</v>
      </c>
      <c r="AI314" s="38">
        <f>AH314/(3.5*I314*1000)*100</f>
        <v>0</v>
      </c>
      <c r="AJ314" s="38">
        <v>0</v>
      </c>
      <c r="AK314" s="38">
        <f>AJ314/(3.5*I314*1000)*100</f>
        <v>0</v>
      </c>
      <c r="AL314" s="38">
        <v>0</v>
      </c>
      <c r="AM314" s="38">
        <f>AL314/(3.5*I314*1000)*100</f>
        <v>0</v>
      </c>
      <c r="AN314" s="41"/>
      <c r="AO314" s="22"/>
      <c r="AP314" s="22"/>
      <c r="AQ314" s="22"/>
      <c r="AR314" s="22"/>
      <c r="AS314" s="48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  <c r="CI314" s="22"/>
      <c r="CJ314" s="22"/>
    </row>
    <row r="315" spans="1:88" s="61" customFormat="1">
      <c r="A315" s="1">
        <v>515</v>
      </c>
      <c r="B315" s="88" t="s">
        <v>871</v>
      </c>
      <c r="C315" s="88">
        <v>557</v>
      </c>
      <c r="D315" s="88">
        <v>1040</v>
      </c>
      <c r="E315" s="88">
        <v>100</v>
      </c>
      <c r="F315" s="88" t="s">
        <v>881</v>
      </c>
      <c r="G315" s="88" t="s">
        <v>92</v>
      </c>
      <c r="H315" s="88" t="s">
        <v>882</v>
      </c>
      <c r="I315" s="115">
        <v>2.0609999999999999</v>
      </c>
      <c r="J315" s="88" t="s">
        <v>238</v>
      </c>
      <c r="K315" s="88">
        <v>4</v>
      </c>
      <c r="L315" s="116">
        <v>42270</v>
      </c>
      <c r="M315" s="37" t="s">
        <v>191</v>
      </c>
      <c r="N315" s="38">
        <v>0.3</v>
      </c>
      <c r="O315" s="38">
        <v>0.47499999999999998</v>
      </c>
      <c r="P315" s="38">
        <v>0.6</v>
      </c>
      <c r="Q315" s="38">
        <v>0.68</v>
      </c>
      <c r="R315" s="38">
        <v>4.6234099999999998</v>
      </c>
      <c r="S315" s="38">
        <f t="shared" si="41"/>
        <v>4.5</v>
      </c>
      <c r="T315" s="38">
        <v>1.85</v>
      </c>
      <c r="U315" s="38">
        <v>0.17499999999999999</v>
      </c>
      <c r="V315" s="38">
        <v>2.5000000000000001E-2</v>
      </c>
      <c r="W315" s="38">
        <v>0</v>
      </c>
      <c r="X315" s="38">
        <v>5.50624</v>
      </c>
      <c r="Y315" s="38">
        <f t="shared" si="42"/>
        <v>5.5</v>
      </c>
      <c r="Z315" s="117">
        <v>0</v>
      </c>
      <c r="AA315" s="117">
        <v>0</v>
      </c>
      <c r="AB315" s="117">
        <v>2.0550000000000002</v>
      </c>
      <c r="AC315" s="117">
        <v>1.1268499999999999</v>
      </c>
      <c r="AD315" s="254">
        <v>85.2</v>
      </c>
      <c r="AE315" s="117">
        <v>7.68</v>
      </c>
      <c r="AF315" s="117">
        <v>1.2343519999999999</v>
      </c>
      <c r="AG315" s="38">
        <f t="shared" si="43"/>
        <v>1.2</v>
      </c>
      <c r="AH315" s="117">
        <v>125.94</v>
      </c>
      <c r="AI315" s="117">
        <v>1.7458929999999999</v>
      </c>
      <c r="AJ315" s="117">
        <v>0</v>
      </c>
      <c r="AK315" s="117">
        <v>0</v>
      </c>
      <c r="AL315" s="117">
        <v>0</v>
      </c>
      <c r="AM315" s="117">
        <v>0</v>
      </c>
      <c r="AN315" s="25"/>
      <c r="AO315" s="25"/>
      <c r="AP315" s="22"/>
      <c r="AQ315" s="22"/>
      <c r="AR315" s="1"/>
      <c r="AS315" s="178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</row>
    <row r="316" spans="1:88" s="61" customFormat="1">
      <c r="A316" s="1">
        <v>906</v>
      </c>
      <c r="B316" s="34" t="s">
        <v>1285</v>
      </c>
      <c r="C316" s="34">
        <v>634</v>
      </c>
      <c r="D316" s="162">
        <v>2454</v>
      </c>
      <c r="E316" s="34">
        <v>102</v>
      </c>
      <c r="F316" s="34" t="s">
        <v>1299</v>
      </c>
      <c r="G316" s="58">
        <v>3776</v>
      </c>
      <c r="H316" s="58">
        <v>4926</v>
      </c>
      <c r="I316" s="35">
        <v>1.1499999999999999</v>
      </c>
      <c r="J316" s="9">
        <v>2</v>
      </c>
      <c r="K316" s="34" t="s">
        <v>238</v>
      </c>
      <c r="L316" s="10">
        <v>42146</v>
      </c>
      <c r="M316" s="37" t="s">
        <v>191</v>
      </c>
      <c r="N316" s="38">
        <v>0.2</v>
      </c>
      <c r="O316" s="38">
        <v>0.5</v>
      </c>
      <c r="P316" s="38">
        <v>0.32500000000000001</v>
      </c>
      <c r="Q316" s="38">
        <v>7.4999999999999997E-2</v>
      </c>
      <c r="R316" s="38">
        <v>3.3327300000000002</v>
      </c>
      <c r="S316" s="38">
        <f t="shared" si="41"/>
        <v>3.5</v>
      </c>
      <c r="T316" s="38">
        <v>1.1000000000000001</v>
      </c>
      <c r="U316" s="38">
        <v>0</v>
      </c>
      <c r="V316" s="38">
        <v>0</v>
      </c>
      <c r="W316" s="38">
        <v>0</v>
      </c>
      <c r="X316" s="38">
        <v>2.6898200000000001</v>
      </c>
      <c r="Y316" s="38">
        <f t="shared" si="42"/>
        <v>2.5</v>
      </c>
      <c r="Z316" s="38">
        <v>0</v>
      </c>
      <c r="AA316" s="38">
        <v>0</v>
      </c>
      <c r="AB316" s="38">
        <f>N316+O316+P316+Q316</f>
        <v>1.0999999999999999</v>
      </c>
      <c r="AC316" s="38">
        <v>1.61002</v>
      </c>
      <c r="AD316" s="39">
        <v>42.11</v>
      </c>
      <c r="AE316" s="38">
        <v>15.14</v>
      </c>
      <c r="AF316" s="38">
        <v>1.2342900000000001</v>
      </c>
      <c r="AG316" s="38">
        <f t="shared" si="43"/>
        <v>1.2</v>
      </c>
      <c r="AH316" s="38">
        <v>0</v>
      </c>
      <c r="AI316" s="38">
        <v>0</v>
      </c>
      <c r="AJ316" s="38">
        <v>3.56</v>
      </c>
      <c r="AK316" s="38">
        <v>8.8446999999999998E-2</v>
      </c>
      <c r="AL316" s="38">
        <v>0</v>
      </c>
      <c r="AM316" s="38">
        <v>0</v>
      </c>
      <c r="AN316" s="25"/>
      <c r="AO316" s="25">
        <f>AE316*0.5</f>
        <v>7.57</v>
      </c>
      <c r="AP316" s="25">
        <f>(AD316+AH316+AJ316+AL316+AO316)*I316</f>
        <v>61.225999999999999</v>
      </c>
      <c r="AQ316" s="25">
        <f>SUM(N316:Q316)</f>
        <v>1.0999999999999999</v>
      </c>
      <c r="AR316" s="25">
        <f>SUM(T316:W316)</f>
        <v>1.1000000000000001</v>
      </c>
      <c r="AS316" s="48"/>
      <c r="AT316" s="41"/>
      <c r="AU316" s="41"/>
      <c r="AV316" s="41"/>
      <c r="AW316" s="41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</row>
    <row r="317" spans="1:88" s="61" customFormat="1">
      <c r="A317" s="1">
        <v>1171</v>
      </c>
      <c r="B317" s="34" t="s">
        <v>1639</v>
      </c>
      <c r="C317" s="34">
        <v>433</v>
      </c>
      <c r="D317" s="34">
        <v>309</v>
      </c>
      <c r="E317" s="34">
        <v>302</v>
      </c>
      <c r="F317" s="34" t="s">
        <v>1643</v>
      </c>
      <c r="G317" s="58" t="s">
        <v>1644</v>
      </c>
      <c r="H317" s="58" t="s">
        <v>1641</v>
      </c>
      <c r="I317" s="55">
        <v>3.6680000000000001</v>
      </c>
      <c r="J317" s="34">
        <v>4</v>
      </c>
      <c r="K317" s="34" t="s">
        <v>96</v>
      </c>
      <c r="L317" s="10">
        <v>42282</v>
      </c>
      <c r="M317" s="37" t="s">
        <v>191</v>
      </c>
      <c r="N317" s="38">
        <v>1.7749999999999999</v>
      </c>
      <c r="O317" s="38">
        <v>0.97499999999999998</v>
      </c>
      <c r="P317" s="38">
        <v>0.52500000000000002</v>
      </c>
      <c r="Q317" s="38">
        <v>0.45</v>
      </c>
      <c r="R317" s="38">
        <v>4.4086600000000002</v>
      </c>
      <c r="S317" s="38">
        <f t="shared" si="41"/>
        <v>4.5</v>
      </c>
      <c r="T317" s="38">
        <v>3.7250000000000001</v>
      </c>
      <c r="U317" s="38">
        <v>0</v>
      </c>
      <c r="V317" s="38">
        <v>0</v>
      </c>
      <c r="W317" s="38">
        <v>0</v>
      </c>
      <c r="X317" s="38">
        <v>2.7500499999999999</v>
      </c>
      <c r="Y317" s="38">
        <f t="shared" si="42"/>
        <v>3</v>
      </c>
      <c r="Z317" s="38">
        <v>0</v>
      </c>
      <c r="AA317" s="38">
        <v>0</v>
      </c>
      <c r="AB317" s="38">
        <v>3.6680000000000001</v>
      </c>
      <c r="AC317" s="38">
        <v>1.1887799999999999</v>
      </c>
      <c r="AD317" s="39">
        <v>156.69</v>
      </c>
      <c r="AE317" s="38">
        <v>2.2999999999999998</v>
      </c>
      <c r="AF317" s="38">
        <f>(AD317+AE317*0.5)/(3.5*I317*1000)*100</f>
        <v>1.2294749961053122</v>
      </c>
      <c r="AG317" s="38">
        <f t="shared" si="43"/>
        <v>1.2</v>
      </c>
      <c r="AH317" s="38">
        <v>146.9</v>
      </c>
      <c r="AI317" s="38">
        <f>AH317/(3.5*I317*1000)*100</f>
        <v>1.144259230409721</v>
      </c>
      <c r="AJ317" s="38">
        <v>120.2</v>
      </c>
      <c r="AK317" s="38">
        <f>AJ317/(3.5*I317*1000)*100</f>
        <v>0.93628291011060905</v>
      </c>
      <c r="AL317" s="38">
        <v>1.5</v>
      </c>
      <c r="AM317" s="38">
        <f>AJ317/(3.5*I317*1000)*100</f>
        <v>0.93628291011060905</v>
      </c>
      <c r="AN317" s="25"/>
      <c r="AO317" s="22"/>
      <c r="AP317" s="22"/>
      <c r="AQ317" s="22"/>
      <c r="AR317" s="22"/>
      <c r="AS317" s="48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</row>
    <row r="318" spans="1:88" s="61" customFormat="1">
      <c r="A318" s="1">
        <v>2125</v>
      </c>
      <c r="B318" s="34" t="s">
        <v>2754</v>
      </c>
      <c r="C318" s="34">
        <v>324</v>
      </c>
      <c r="D318" s="75">
        <v>4029</v>
      </c>
      <c r="E318" s="8">
        <v>100</v>
      </c>
      <c r="F318" s="9" t="s">
        <v>2767</v>
      </c>
      <c r="G318" s="20">
        <v>0</v>
      </c>
      <c r="H318" s="20">
        <v>2836</v>
      </c>
      <c r="I318" s="21">
        <v>2.8359999999999999</v>
      </c>
      <c r="J318" s="9">
        <v>4</v>
      </c>
      <c r="K318" s="34" t="s">
        <v>238</v>
      </c>
      <c r="L318" s="18">
        <v>42138</v>
      </c>
      <c r="M318" s="37" t="s">
        <v>191</v>
      </c>
      <c r="N318" s="38">
        <v>0.65</v>
      </c>
      <c r="O318" s="38">
        <v>1</v>
      </c>
      <c r="P318" s="38">
        <v>1</v>
      </c>
      <c r="Q318" s="38">
        <v>0.77500000000000002</v>
      </c>
      <c r="R318" s="38">
        <v>3.8807999999999998</v>
      </c>
      <c r="S318" s="38">
        <f t="shared" si="41"/>
        <v>4</v>
      </c>
      <c r="T318" s="38">
        <v>3.125</v>
      </c>
      <c r="U318" s="38">
        <v>0.22500000000000001</v>
      </c>
      <c r="V318" s="38">
        <v>7.4999999999999997E-2</v>
      </c>
      <c r="W318" s="38">
        <v>0</v>
      </c>
      <c r="X318" s="38">
        <v>5.4831700000000003</v>
      </c>
      <c r="Y318" s="38">
        <f t="shared" si="42"/>
        <v>5.5</v>
      </c>
      <c r="Z318" s="38">
        <v>0</v>
      </c>
      <c r="AA318" s="38">
        <v>0</v>
      </c>
      <c r="AB318" s="38">
        <v>3.4249999999999998</v>
      </c>
      <c r="AC318" s="38">
        <v>1.3382000000000001</v>
      </c>
      <c r="AD318" s="39">
        <v>44.25</v>
      </c>
      <c r="AE318" s="38">
        <v>153.22</v>
      </c>
      <c r="AF318" s="38">
        <v>1.2176103163409229</v>
      </c>
      <c r="AG318" s="38">
        <f t="shared" si="43"/>
        <v>1.2</v>
      </c>
      <c r="AH318" s="38">
        <v>185.19</v>
      </c>
      <c r="AI318" s="38">
        <v>1.8657062260729398</v>
      </c>
      <c r="AJ318" s="38">
        <v>0</v>
      </c>
      <c r="AK318" s="38">
        <v>0</v>
      </c>
      <c r="AL318" s="38">
        <v>5.48</v>
      </c>
      <c r="AM318" s="38">
        <v>5.5208543219826718E-2</v>
      </c>
      <c r="AN318" s="41"/>
      <c r="AO318" s="41"/>
      <c r="AP318" s="73"/>
      <c r="AQ318" s="73"/>
      <c r="AR318" s="73"/>
      <c r="AS318" s="178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</row>
    <row r="319" spans="1:88" s="61" customFormat="1">
      <c r="A319" s="1">
        <v>701</v>
      </c>
      <c r="B319" s="34" t="s">
        <v>1106</v>
      </c>
      <c r="C319" s="34">
        <v>626</v>
      </c>
      <c r="D319" s="34">
        <v>225</v>
      </c>
      <c r="E319" s="34">
        <v>401</v>
      </c>
      <c r="F319" s="34" t="s">
        <v>1110</v>
      </c>
      <c r="G319" s="58">
        <v>160582</v>
      </c>
      <c r="H319" s="58">
        <v>224582</v>
      </c>
      <c r="I319" s="35">
        <v>64</v>
      </c>
      <c r="J319" s="127">
        <v>4</v>
      </c>
      <c r="K319" s="34" t="s">
        <v>238</v>
      </c>
      <c r="L319" s="10">
        <v>42174</v>
      </c>
      <c r="M319" s="37" t="s">
        <v>191</v>
      </c>
      <c r="N319" s="38">
        <v>27.774999999999999</v>
      </c>
      <c r="O319" s="38">
        <v>19.45</v>
      </c>
      <c r="P319" s="38">
        <v>10.475</v>
      </c>
      <c r="Q319" s="38">
        <v>6.8</v>
      </c>
      <c r="R319" s="38">
        <v>2.9771000000000001</v>
      </c>
      <c r="S319" s="38">
        <f t="shared" si="41"/>
        <v>3</v>
      </c>
      <c r="T319" s="38">
        <v>56.55</v>
      </c>
      <c r="U319" s="38">
        <v>5.35</v>
      </c>
      <c r="V319" s="38">
        <v>1.7250000000000001</v>
      </c>
      <c r="W319" s="38">
        <v>0.875</v>
      </c>
      <c r="X319" s="38">
        <v>5.8155999999999999</v>
      </c>
      <c r="Y319" s="38">
        <f t="shared" si="42"/>
        <v>6</v>
      </c>
      <c r="Z319" s="38">
        <v>2.5000000000000001E-2</v>
      </c>
      <c r="AA319" s="38">
        <v>7.4999999999999997E-2</v>
      </c>
      <c r="AB319" s="38">
        <v>63.575000000000003</v>
      </c>
      <c r="AC319" s="38">
        <v>1.1629700000000001</v>
      </c>
      <c r="AD319" s="39">
        <v>2727.29</v>
      </c>
      <c r="AE319" s="38">
        <v>0</v>
      </c>
      <c r="AF319" s="38">
        <f>(AD319+AE319*0.5)/(3.5*I319*1000)*100</f>
        <v>1.2175401785714286</v>
      </c>
      <c r="AG319" s="38">
        <f t="shared" si="43"/>
        <v>1.2</v>
      </c>
      <c r="AH319" s="38">
        <v>0</v>
      </c>
      <c r="AI319" s="38">
        <f>AH319/(3.5*I319*1000)*100</f>
        <v>0</v>
      </c>
      <c r="AJ319" s="38">
        <v>66.069999999999993</v>
      </c>
      <c r="AK319" s="38">
        <f>AJ319/(3.5*I319*1000)*100</f>
        <v>2.9495535714285714E-2</v>
      </c>
      <c r="AL319" s="38">
        <v>0</v>
      </c>
      <c r="AM319" s="38">
        <f>AL319/(3.5*I319*1000)*100</f>
        <v>0</v>
      </c>
      <c r="AN319" s="25"/>
      <c r="AO319" s="25">
        <f>AE319*0.5</f>
        <v>0</v>
      </c>
      <c r="AP319" s="25">
        <f>(AD319+AH319+AJ319+AL319+AO319)*I319</f>
        <v>178775.04000000001</v>
      </c>
      <c r="AQ319" s="25">
        <f>SUM(N319:Q319)</f>
        <v>64.5</v>
      </c>
      <c r="AR319" s="25">
        <f>SUM(T319:W319)</f>
        <v>64.5</v>
      </c>
      <c r="AS319" s="51">
        <v>64</v>
      </c>
      <c r="AT319" s="41"/>
      <c r="AU319" s="41"/>
      <c r="AV319" s="41"/>
      <c r="AW319" s="41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  <c r="CI319" s="22"/>
      <c r="CJ319" s="22"/>
    </row>
    <row r="320" spans="1:88" s="61" customFormat="1">
      <c r="A320" s="1">
        <v>749</v>
      </c>
      <c r="B320" s="34" t="s">
        <v>1106</v>
      </c>
      <c r="C320" s="34">
        <v>626</v>
      </c>
      <c r="D320" s="34">
        <v>225</v>
      </c>
      <c r="E320" s="34">
        <v>401</v>
      </c>
      <c r="F320" s="34" t="s">
        <v>1110</v>
      </c>
      <c r="G320" s="58">
        <v>160582</v>
      </c>
      <c r="H320" s="58">
        <v>224582</v>
      </c>
      <c r="I320" s="35">
        <v>64</v>
      </c>
      <c r="J320" s="127">
        <v>4</v>
      </c>
      <c r="K320" s="34" t="s">
        <v>238</v>
      </c>
      <c r="L320" s="10">
        <v>42174</v>
      </c>
      <c r="M320" s="37" t="s">
        <v>191</v>
      </c>
      <c r="N320" s="38">
        <v>27.774999999999999</v>
      </c>
      <c r="O320" s="38">
        <v>19.45</v>
      </c>
      <c r="P320" s="38">
        <v>10.475</v>
      </c>
      <c r="Q320" s="38">
        <v>6.8</v>
      </c>
      <c r="R320" s="38">
        <v>2.9771000000000001</v>
      </c>
      <c r="S320" s="38">
        <f t="shared" si="41"/>
        <v>3</v>
      </c>
      <c r="T320" s="38">
        <v>56.55</v>
      </c>
      <c r="U320" s="38">
        <v>5.35</v>
      </c>
      <c r="V320" s="38">
        <v>1.7250000000000001</v>
      </c>
      <c r="W320" s="38">
        <v>0.875</v>
      </c>
      <c r="X320" s="38">
        <v>5.8155999999999999</v>
      </c>
      <c r="Y320" s="38">
        <f t="shared" si="42"/>
        <v>6</v>
      </c>
      <c r="Z320" s="38">
        <v>2.5000000000000001E-2</v>
      </c>
      <c r="AA320" s="38">
        <v>7.4999999999999997E-2</v>
      </c>
      <c r="AB320" s="38">
        <v>63.575000000000003</v>
      </c>
      <c r="AC320" s="38">
        <v>1.1629700000000001</v>
      </c>
      <c r="AD320" s="39">
        <v>2727.29</v>
      </c>
      <c r="AE320" s="38">
        <v>0</v>
      </c>
      <c r="AF320" s="38">
        <f>(AD320+AE320*0.5)/(3.5*I320*1000)*100</f>
        <v>1.2175401785714286</v>
      </c>
      <c r="AG320" s="38">
        <f t="shared" si="43"/>
        <v>1.2</v>
      </c>
      <c r="AH320" s="38">
        <v>0</v>
      </c>
      <c r="AI320" s="38">
        <f>AH320/(3.5*I320*1000)*100</f>
        <v>0</v>
      </c>
      <c r="AJ320" s="38">
        <v>66.069999999999993</v>
      </c>
      <c r="AK320" s="38">
        <f>AJ320/(3.5*I320*1000)*100</f>
        <v>2.9495535714285714E-2</v>
      </c>
      <c r="AL320" s="38">
        <v>0</v>
      </c>
      <c r="AM320" s="38">
        <f>AL320/(3.5*I320*1000)*100</f>
        <v>0</v>
      </c>
      <c r="AN320" s="25"/>
      <c r="AO320" s="25">
        <f>AE320*0.5</f>
        <v>0</v>
      </c>
      <c r="AP320" s="25">
        <f>(AD320+AH320+AJ320+AL320+AO320)*I320</f>
        <v>178775.04000000001</v>
      </c>
      <c r="AQ320" s="25">
        <f>SUM(N320:Q320)</f>
        <v>64.5</v>
      </c>
      <c r="AR320" s="25">
        <f>SUM(T320:W320)</f>
        <v>64.5</v>
      </c>
      <c r="AS320" s="51">
        <v>64</v>
      </c>
      <c r="AT320" s="41"/>
      <c r="AU320" s="41"/>
      <c r="AV320" s="41"/>
      <c r="AW320" s="41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</row>
    <row r="321" spans="1:88" s="61" customFormat="1">
      <c r="A321" s="1">
        <v>566</v>
      </c>
      <c r="B321" s="34" t="s">
        <v>948</v>
      </c>
      <c r="C321" s="34">
        <v>551</v>
      </c>
      <c r="D321" s="34">
        <v>2325</v>
      </c>
      <c r="E321" s="34">
        <v>100</v>
      </c>
      <c r="F321" s="9" t="s">
        <v>967</v>
      </c>
      <c r="G321" s="20">
        <v>0</v>
      </c>
      <c r="H321" s="118">
        <v>18044</v>
      </c>
      <c r="I321" s="35">
        <v>18.044</v>
      </c>
      <c r="J321" s="71">
        <v>2</v>
      </c>
      <c r="K321" s="34" t="s">
        <v>238</v>
      </c>
      <c r="L321" s="10">
        <v>42224</v>
      </c>
      <c r="M321" s="37" t="s">
        <v>191</v>
      </c>
      <c r="N321" s="38">
        <v>11.93</v>
      </c>
      <c r="O321" s="38">
        <v>3.51</v>
      </c>
      <c r="P321" s="38">
        <v>1.64</v>
      </c>
      <c r="Q321" s="38">
        <v>0.98</v>
      </c>
      <c r="R321" s="38">
        <v>2.4857</v>
      </c>
      <c r="S321" s="38">
        <f t="shared" si="41"/>
        <v>2.5</v>
      </c>
      <c r="T321" s="38">
        <v>17.489999999999998</v>
      </c>
      <c r="U321" s="38">
        <v>0.45</v>
      </c>
      <c r="V321" s="38">
        <v>0.12</v>
      </c>
      <c r="W321" s="38">
        <v>0</v>
      </c>
      <c r="X321" s="38">
        <v>4.0526099999999996</v>
      </c>
      <c r="Y321" s="38">
        <f t="shared" si="42"/>
        <v>4</v>
      </c>
      <c r="Z321" s="38">
        <v>0</v>
      </c>
      <c r="AA321" s="38">
        <v>0</v>
      </c>
      <c r="AB321" s="38">
        <f>T321+U321+V321+W321</f>
        <v>18.059999999999999</v>
      </c>
      <c r="AC321" s="38">
        <v>1.1763399999999999</v>
      </c>
      <c r="AD321" s="39">
        <v>766</v>
      </c>
      <c r="AE321" s="38">
        <v>0</v>
      </c>
      <c r="AF321" s="38">
        <f>(AD321+AE321*0.5)/(3.5*I321*1000)*100</f>
        <v>1.2129081293346424</v>
      </c>
      <c r="AG321" s="38">
        <f t="shared" si="43"/>
        <v>1.2</v>
      </c>
      <c r="AH321" s="38">
        <v>0</v>
      </c>
      <c r="AI321" s="38">
        <f>AH321/(3.5*I321*1000)*100</f>
        <v>0</v>
      </c>
      <c r="AJ321" s="38">
        <v>0</v>
      </c>
      <c r="AK321" s="38">
        <f>AJ321/(3.5*I321*1000)*100</f>
        <v>0</v>
      </c>
      <c r="AL321" s="38">
        <v>1</v>
      </c>
      <c r="AM321" s="38">
        <f>AL321/(3.5*I321*1000)*100</f>
        <v>1.5834309782436584E-3</v>
      </c>
      <c r="AN321" s="25"/>
      <c r="AO321" s="25">
        <f>AE321*0.5</f>
        <v>0</v>
      </c>
      <c r="AP321" s="25">
        <f>(AD321+AH321+AJ321+AL321+AO321)*I321</f>
        <v>13839.748</v>
      </c>
      <c r="AQ321" s="25">
        <f>SUM(N321:Q321)</f>
        <v>18.059999999999999</v>
      </c>
      <c r="AR321" s="25">
        <f>SUM(T321:W321)</f>
        <v>18.059999999999999</v>
      </c>
      <c r="AS321" s="51">
        <v>18.044</v>
      </c>
      <c r="AT321" s="41"/>
      <c r="AU321" s="41">
        <f>SUM(N321:Q321)</f>
        <v>18.059999999999999</v>
      </c>
      <c r="AV321" s="41">
        <f>SUM(T321:W321)</f>
        <v>18.059999999999999</v>
      </c>
      <c r="AW321" s="41">
        <f>SUM(Z321:AB321)</f>
        <v>18.059999999999999</v>
      </c>
      <c r="AX321" s="22"/>
      <c r="AY321" s="22">
        <f>I321/AU321</f>
        <v>0.99911406423034343</v>
      </c>
      <c r="AZ321" s="22">
        <f>I321/AV321</f>
        <v>0.99911406423034343</v>
      </c>
      <c r="BA321" s="22">
        <f>I321/AW321</f>
        <v>0.99911406423034343</v>
      </c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  <c r="CI321" s="22"/>
      <c r="CJ321" s="22"/>
    </row>
    <row r="322" spans="1:88" s="61" customFormat="1">
      <c r="A322" s="1">
        <v>1970</v>
      </c>
      <c r="B322" s="34" t="s">
        <v>2615</v>
      </c>
      <c r="C322" s="34">
        <v>322</v>
      </c>
      <c r="D322" s="75">
        <v>403</v>
      </c>
      <c r="E322" s="8">
        <v>301</v>
      </c>
      <c r="F322" s="34" t="s">
        <v>2616</v>
      </c>
      <c r="G322" s="58">
        <v>67076</v>
      </c>
      <c r="H322" s="58">
        <v>82997</v>
      </c>
      <c r="I322" s="21">
        <v>15.920999999999999</v>
      </c>
      <c r="J322" s="8">
        <v>4</v>
      </c>
      <c r="K322" s="8" t="s">
        <v>237</v>
      </c>
      <c r="L322" s="18">
        <v>42126</v>
      </c>
      <c r="M322" s="37" t="s">
        <v>191</v>
      </c>
      <c r="N322" s="38">
        <v>9.4250000000000007</v>
      </c>
      <c r="O322" s="38">
        <v>4.1749999999999998</v>
      </c>
      <c r="P322" s="38">
        <v>1.35</v>
      </c>
      <c r="Q322" s="38">
        <v>0.875</v>
      </c>
      <c r="R322" s="38">
        <v>2.5872999999999999</v>
      </c>
      <c r="S322" s="38">
        <f t="shared" si="41"/>
        <v>2.5</v>
      </c>
      <c r="T322" s="38">
        <v>9.2750000000000004</v>
      </c>
      <c r="U322" s="38">
        <v>4</v>
      </c>
      <c r="V322" s="38">
        <v>1.95</v>
      </c>
      <c r="W322" s="38">
        <v>0.6</v>
      </c>
      <c r="X322" s="38">
        <v>9.3113299999999999</v>
      </c>
      <c r="Y322" s="38">
        <f t="shared" si="42"/>
        <v>9.5</v>
      </c>
      <c r="Z322" s="38">
        <v>0</v>
      </c>
      <c r="AA322" s="38">
        <v>0</v>
      </c>
      <c r="AB322" s="38">
        <v>15.825000000000001</v>
      </c>
      <c r="AC322" s="38">
        <v>1.18588</v>
      </c>
      <c r="AD322" s="39">
        <v>673.97</v>
      </c>
      <c r="AE322" s="38">
        <v>0</v>
      </c>
      <c r="AF322" s="38">
        <v>1.2094897125988138</v>
      </c>
      <c r="AG322" s="38">
        <f t="shared" si="43"/>
        <v>1.2</v>
      </c>
      <c r="AH322" s="38">
        <v>466.02</v>
      </c>
      <c r="AI322" s="38">
        <v>0.83630784139546144</v>
      </c>
      <c r="AJ322" s="38">
        <v>980.47</v>
      </c>
      <c r="AK322" s="38">
        <v>1.7595269500300592</v>
      </c>
      <c r="AL322" s="38">
        <v>0</v>
      </c>
      <c r="AM322" s="38">
        <f>AL322/(3.5*I322*1000)*100</f>
        <v>0</v>
      </c>
      <c r="AN322" s="72"/>
      <c r="AO322" s="41"/>
      <c r="AP322" s="41"/>
      <c r="AQ322" s="73"/>
      <c r="AR322" s="73"/>
      <c r="AS322" s="48"/>
      <c r="AT322" s="73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</row>
    <row r="323" spans="1:88" s="61" customFormat="1">
      <c r="A323" s="1">
        <v>2053</v>
      </c>
      <c r="B323" s="34" t="s">
        <v>2697</v>
      </c>
      <c r="C323" s="34">
        <v>328</v>
      </c>
      <c r="D323" s="75">
        <v>4010</v>
      </c>
      <c r="E323" s="8">
        <v>100</v>
      </c>
      <c r="F323" s="34" t="s">
        <v>2701</v>
      </c>
      <c r="G323" s="58">
        <v>27767</v>
      </c>
      <c r="H323" s="58">
        <v>3691</v>
      </c>
      <c r="I323" s="21">
        <v>24.076000000000001</v>
      </c>
      <c r="J323" s="8">
        <v>2</v>
      </c>
      <c r="K323" s="8" t="s">
        <v>12</v>
      </c>
      <c r="L323" s="18">
        <v>42119</v>
      </c>
      <c r="M323" s="37" t="s">
        <v>191</v>
      </c>
      <c r="N323" s="38">
        <v>13.824999999999999</v>
      </c>
      <c r="O323" s="38">
        <v>6.5750000000000002</v>
      </c>
      <c r="P323" s="38">
        <v>2.7250000000000001</v>
      </c>
      <c r="Q323" s="38">
        <v>0.9</v>
      </c>
      <c r="R323" s="38">
        <v>2.5932400000000002</v>
      </c>
      <c r="S323" s="38">
        <f t="shared" ref="S323:S386" si="45">ROUND(R323/5,1)*5</f>
        <v>2.5</v>
      </c>
      <c r="T323" s="38">
        <v>21.475000000000001</v>
      </c>
      <c r="U323" s="38">
        <v>1.4750000000000001</v>
      </c>
      <c r="V323" s="38">
        <v>0.67500000000000004</v>
      </c>
      <c r="W323" s="38">
        <v>0.4</v>
      </c>
      <c r="X323" s="38">
        <v>4.5255299999999998</v>
      </c>
      <c r="Y323" s="38">
        <f t="shared" ref="Y323:Y386" si="46">ROUND(X323/5,1)*5</f>
        <v>4.5</v>
      </c>
      <c r="Z323" s="38">
        <v>0</v>
      </c>
      <c r="AA323" s="38">
        <v>0</v>
      </c>
      <c r="AB323" s="38">
        <v>24.024999999999999</v>
      </c>
      <c r="AC323" s="38">
        <v>1.28047</v>
      </c>
      <c r="AD323" s="39">
        <v>627.61</v>
      </c>
      <c r="AE323" s="38">
        <v>774.26</v>
      </c>
      <c r="AF323" s="38">
        <v>1.2042104763487054</v>
      </c>
      <c r="AG323" s="38">
        <f t="shared" ref="AG323:AG386" si="47">ROUND(AF323,1)</f>
        <v>1.2</v>
      </c>
      <c r="AH323" s="38">
        <v>326.87</v>
      </c>
      <c r="AI323" s="38">
        <v>0.38790259416609307</v>
      </c>
      <c r="AJ323" s="38">
        <v>166.02</v>
      </c>
      <c r="AK323" s="38">
        <v>0.19701896375762468</v>
      </c>
      <c r="AL323" s="38">
        <v>1</v>
      </c>
      <c r="AM323" s="38">
        <f>AL323/(3.5*I323*1000)*100</f>
        <v>1.1867182493532386E-3</v>
      </c>
      <c r="AN323" s="72"/>
      <c r="AO323" s="41"/>
      <c r="AP323" s="41"/>
      <c r="AQ323" s="73"/>
      <c r="AR323" s="73"/>
      <c r="AS323" s="178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</row>
    <row r="324" spans="1:88" s="61" customFormat="1">
      <c r="A324" s="1">
        <v>1546</v>
      </c>
      <c r="B324" s="88" t="s">
        <v>2121</v>
      </c>
      <c r="C324" s="88">
        <v>415</v>
      </c>
      <c r="D324" s="199">
        <v>3235</v>
      </c>
      <c r="E324" s="88">
        <v>100</v>
      </c>
      <c r="F324" s="88" t="s">
        <v>2125</v>
      </c>
      <c r="G324" s="200" t="s">
        <v>92</v>
      </c>
      <c r="H324" s="200" t="s">
        <v>2126</v>
      </c>
      <c r="I324" s="51">
        <v>6.2389999999999999</v>
      </c>
      <c r="J324" s="88">
        <v>2</v>
      </c>
      <c r="K324" s="88" t="s">
        <v>238</v>
      </c>
      <c r="L324" s="116">
        <v>42242</v>
      </c>
      <c r="M324" s="37" t="s">
        <v>191</v>
      </c>
      <c r="N324" s="117">
        <v>1.6</v>
      </c>
      <c r="O324" s="117">
        <v>2.2999999999999998</v>
      </c>
      <c r="P324" s="117">
        <v>1.6</v>
      </c>
      <c r="Q324" s="117">
        <v>0.75</v>
      </c>
      <c r="R324" s="117">
        <v>3.4127999999999998</v>
      </c>
      <c r="S324" s="38">
        <f t="shared" si="45"/>
        <v>3.5</v>
      </c>
      <c r="T324" s="117">
        <v>3.1749999999999998</v>
      </c>
      <c r="U324" s="117">
        <v>1.45</v>
      </c>
      <c r="V324" s="117">
        <v>1.125</v>
      </c>
      <c r="W324" s="117">
        <v>0.5</v>
      </c>
      <c r="X324" s="117">
        <v>10.9922</v>
      </c>
      <c r="Y324" s="38">
        <f t="shared" si="46"/>
        <v>11</v>
      </c>
      <c r="Z324" s="117">
        <v>0</v>
      </c>
      <c r="AA324" s="117">
        <v>0</v>
      </c>
      <c r="AB324" s="117">
        <f>SUM(N324:Q324)</f>
        <v>6.25</v>
      </c>
      <c r="AC324" s="117">
        <v>1.0427900000000001</v>
      </c>
      <c r="AD324" s="39">
        <v>258</v>
      </c>
      <c r="AE324" s="38">
        <v>6.99</v>
      </c>
      <c r="AF324" s="38">
        <v>1.1975100000000001</v>
      </c>
      <c r="AG324" s="38">
        <f t="shared" si="47"/>
        <v>1.2</v>
      </c>
      <c r="AH324" s="38">
        <v>0</v>
      </c>
      <c r="AI324" s="38">
        <v>0</v>
      </c>
      <c r="AJ324" s="38">
        <v>0</v>
      </c>
      <c r="AK324" s="38">
        <v>0</v>
      </c>
      <c r="AL324" s="38">
        <v>0</v>
      </c>
      <c r="AM324" s="38">
        <v>0</v>
      </c>
      <c r="AN324" s="12"/>
      <c r="AO324" s="12">
        <f>AE324*0.5</f>
        <v>3.4950000000000001</v>
      </c>
      <c r="AP324" s="12">
        <f>(AD324+AH324+AJ324+AL324+AO324)*I324</f>
        <v>1631.4673049999999</v>
      </c>
      <c r="AQ324" s="12">
        <f>SUM(N324:Q324)</f>
        <v>6.25</v>
      </c>
      <c r="AR324" s="12">
        <f>SUM(T324:W324)</f>
        <v>6.25</v>
      </c>
      <c r="AS324" s="270"/>
      <c r="AT324" s="1"/>
      <c r="AU324" s="41"/>
      <c r="AV324" s="41"/>
      <c r="AW324" s="41"/>
      <c r="AX324" s="4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</row>
    <row r="325" spans="1:88" s="61" customFormat="1">
      <c r="A325" s="1">
        <v>2005</v>
      </c>
      <c r="B325" s="34" t="s">
        <v>2646</v>
      </c>
      <c r="C325" s="34">
        <v>325</v>
      </c>
      <c r="D325" s="75">
        <v>420</v>
      </c>
      <c r="E325" s="8">
        <v>101</v>
      </c>
      <c r="F325" s="34" t="s">
        <v>2647</v>
      </c>
      <c r="G325" s="58" t="s">
        <v>2648</v>
      </c>
      <c r="H325" s="58" t="s">
        <v>2649</v>
      </c>
      <c r="I325" s="21">
        <v>2.4289999999999998</v>
      </c>
      <c r="J325" s="8">
        <v>4</v>
      </c>
      <c r="K325" s="8" t="s">
        <v>96</v>
      </c>
      <c r="L325" s="18">
        <v>42117</v>
      </c>
      <c r="M325" s="37" t="s">
        <v>191</v>
      </c>
      <c r="N325" s="38">
        <v>1.27</v>
      </c>
      <c r="O325" s="38">
        <v>0.56000000000000005</v>
      </c>
      <c r="P325" s="38">
        <v>0.3</v>
      </c>
      <c r="Q325" s="38">
        <v>0.3</v>
      </c>
      <c r="R325" s="38">
        <v>2.9780199999999999</v>
      </c>
      <c r="S325" s="38">
        <f t="shared" si="45"/>
        <v>3</v>
      </c>
      <c r="T325" s="38">
        <v>2.2000000000000002</v>
      </c>
      <c r="U325" s="38">
        <v>0.13</v>
      </c>
      <c r="V325" s="38">
        <v>0.08</v>
      </c>
      <c r="W325" s="38">
        <v>0.03</v>
      </c>
      <c r="X325" s="38">
        <v>5.6226599999999998</v>
      </c>
      <c r="Y325" s="38">
        <f t="shared" si="46"/>
        <v>5.5</v>
      </c>
      <c r="Z325" s="38">
        <v>0</v>
      </c>
      <c r="AA325" s="38">
        <v>0</v>
      </c>
      <c r="AB325" s="38">
        <v>2.4300000000000002</v>
      </c>
      <c r="AC325" s="38">
        <v>1.39618</v>
      </c>
      <c r="AD325" s="39">
        <v>89.26</v>
      </c>
      <c r="AE325" s="38">
        <v>24.84</v>
      </c>
      <c r="AF325" s="38">
        <f>(AD325+AE325*0.5)/(3.5*I325*1000)*100</f>
        <v>1.1960242310180558</v>
      </c>
      <c r="AG325" s="38">
        <f t="shared" si="47"/>
        <v>1.2</v>
      </c>
      <c r="AH325" s="38">
        <v>12.43</v>
      </c>
      <c r="AI325" s="38">
        <f>AH325/(3.5*I325*1000)*100</f>
        <v>0.14620949244251016</v>
      </c>
      <c r="AJ325" s="38">
        <v>0.73</v>
      </c>
      <c r="AK325" s="38">
        <f>AJ325/(3.5*I325*1000)*100</f>
        <v>8.5867199905898962E-3</v>
      </c>
      <c r="AL325" s="38">
        <v>0</v>
      </c>
      <c r="AM325" s="38">
        <f>AL325/(3.5*I325*1000)*100</f>
        <v>0</v>
      </c>
      <c r="AN325" s="12"/>
      <c r="AO325" s="12"/>
      <c r="AP325" s="1"/>
      <c r="AQ325" s="41">
        <f>SUM(N325:Q325)</f>
        <v>2.4299999999999997</v>
      </c>
      <c r="AR325" s="41">
        <f>SUM(T325:W325)</f>
        <v>2.44</v>
      </c>
      <c r="AS325" s="270">
        <f>SUM(Z325:AB325)</f>
        <v>2.4300000000000002</v>
      </c>
      <c r="AT325" s="1"/>
      <c r="AU325" s="1">
        <f>I325/AQ325</f>
        <v>0.99958847736625522</v>
      </c>
      <c r="AV325" s="1">
        <f>I325/AR325</f>
        <v>0.99549180327868847</v>
      </c>
      <c r="AW325" s="1">
        <f>I325/AS325</f>
        <v>0.999588477366255</v>
      </c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</row>
    <row r="326" spans="1:88" s="22" customFormat="1">
      <c r="A326" s="1">
        <v>1340</v>
      </c>
      <c r="B326" s="74" t="s">
        <v>1851</v>
      </c>
      <c r="C326" s="34">
        <v>444</v>
      </c>
      <c r="D326" s="75">
        <v>3500</v>
      </c>
      <c r="E326" s="69">
        <v>100</v>
      </c>
      <c r="F326" s="34" t="s">
        <v>1887</v>
      </c>
      <c r="G326" s="20">
        <v>0</v>
      </c>
      <c r="H326" s="20">
        <v>4196</v>
      </c>
      <c r="I326" s="21">
        <v>4.1959999999999997</v>
      </c>
      <c r="J326" s="8">
        <v>2</v>
      </c>
      <c r="K326" s="34" t="s">
        <v>238</v>
      </c>
      <c r="L326" s="10">
        <v>42212</v>
      </c>
      <c r="M326" s="37" t="s">
        <v>191</v>
      </c>
      <c r="N326" s="38">
        <v>2.5249999999999999</v>
      </c>
      <c r="O326" s="38">
        <v>1.05</v>
      </c>
      <c r="P326" s="38">
        <v>0.5</v>
      </c>
      <c r="Q326" s="38">
        <v>7.4999999999999997E-2</v>
      </c>
      <c r="R326" s="38">
        <v>2.41777</v>
      </c>
      <c r="S326" s="38">
        <f t="shared" si="45"/>
        <v>2.5</v>
      </c>
      <c r="T326" s="38">
        <v>3.9750000000000001</v>
      </c>
      <c r="U326" s="38">
        <v>0.15</v>
      </c>
      <c r="V326" s="38">
        <v>2.5000000000000001E-2</v>
      </c>
      <c r="W326" s="38">
        <v>0</v>
      </c>
      <c r="X326" s="38">
        <v>4.4976099999999999</v>
      </c>
      <c r="Y326" s="38">
        <f t="shared" si="46"/>
        <v>4.5</v>
      </c>
      <c r="Z326" s="38">
        <v>0</v>
      </c>
      <c r="AA326" s="38">
        <v>0</v>
      </c>
      <c r="AB326" s="38">
        <v>4.1500000000000004</v>
      </c>
      <c r="AC326" s="38">
        <v>1.1928399999999999</v>
      </c>
      <c r="AD326" s="39">
        <v>166</v>
      </c>
      <c r="AE326" s="38">
        <v>18</v>
      </c>
      <c r="AF326" s="38">
        <v>1.1916110581506196</v>
      </c>
      <c r="AG326" s="38">
        <f t="shared" si="47"/>
        <v>1.2</v>
      </c>
      <c r="AH326" s="38">
        <v>0</v>
      </c>
      <c r="AI326" s="38">
        <v>0</v>
      </c>
      <c r="AJ326" s="38">
        <v>0</v>
      </c>
      <c r="AK326" s="38">
        <v>0</v>
      </c>
      <c r="AL326" s="38">
        <v>0</v>
      </c>
      <c r="AM326" s="38">
        <v>0</v>
      </c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</row>
    <row r="327" spans="1:88" s="22" customFormat="1">
      <c r="A327" s="1">
        <v>1196</v>
      </c>
      <c r="B327" s="34" t="s">
        <v>1674</v>
      </c>
      <c r="C327" s="34">
        <v>435</v>
      </c>
      <c r="D327" s="34">
        <v>2089</v>
      </c>
      <c r="E327" s="34">
        <v>301</v>
      </c>
      <c r="F327" s="34" t="s">
        <v>1680</v>
      </c>
      <c r="G327" s="34" t="s">
        <v>1528</v>
      </c>
      <c r="H327" s="34" t="s">
        <v>1681</v>
      </c>
      <c r="I327" s="55">
        <v>4.915</v>
      </c>
      <c r="J327" s="34">
        <v>2</v>
      </c>
      <c r="K327" s="181" t="s">
        <v>238</v>
      </c>
      <c r="L327" s="10">
        <v>42282</v>
      </c>
      <c r="M327" s="37" t="s">
        <v>191</v>
      </c>
      <c r="N327" s="38">
        <v>2.9</v>
      </c>
      <c r="O327" s="38">
        <v>1.25</v>
      </c>
      <c r="P327" s="38">
        <v>0.625</v>
      </c>
      <c r="Q327" s="38">
        <v>0.2</v>
      </c>
      <c r="R327" s="38">
        <v>2.6776399999999998</v>
      </c>
      <c r="S327" s="38">
        <f t="shared" si="45"/>
        <v>2.5</v>
      </c>
      <c r="T327" s="38">
        <v>4.5750000000000002</v>
      </c>
      <c r="U327" s="38">
        <v>0.27500000000000002</v>
      </c>
      <c r="V327" s="38">
        <v>0.05</v>
      </c>
      <c r="W327" s="38">
        <v>7.4999999999999997E-2</v>
      </c>
      <c r="X327" s="38">
        <v>5.18811</v>
      </c>
      <c r="Y327" s="38">
        <f t="shared" si="46"/>
        <v>5</v>
      </c>
      <c r="Z327" s="38">
        <v>0</v>
      </c>
      <c r="AA327" s="38">
        <v>0</v>
      </c>
      <c r="AB327" s="55">
        <v>4.915</v>
      </c>
      <c r="AC327" s="38">
        <v>1.13079</v>
      </c>
      <c r="AD327" s="39">
        <v>203.55799999999999</v>
      </c>
      <c r="AE327" s="38">
        <v>2.35</v>
      </c>
      <c r="AF327" s="38">
        <f>(AD327+AE327*0.5)/(3.5*I327*1000)*100</f>
        <v>1.1901351547740155</v>
      </c>
      <c r="AG327" s="38">
        <f t="shared" si="47"/>
        <v>1.2</v>
      </c>
      <c r="AH327" s="38">
        <v>136.85</v>
      </c>
      <c r="AI327" s="38">
        <v>0.79552400000000001</v>
      </c>
      <c r="AJ327" s="38">
        <v>0</v>
      </c>
      <c r="AK327" s="38">
        <v>0</v>
      </c>
      <c r="AL327" s="38">
        <v>0</v>
      </c>
      <c r="AM327" s="38">
        <v>0</v>
      </c>
      <c r="AN327" s="12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</row>
    <row r="328" spans="1:88" s="22" customFormat="1">
      <c r="A328" s="1">
        <v>295</v>
      </c>
      <c r="B328" s="34" t="s">
        <v>509</v>
      </c>
      <c r="C328" s="34">
        <v>642</v>
      </c>
      <c r="D328" s="34">
        <v>2281</v>
      </c>
      <c r="E328" s="34">
        <v>100</v>
      </c>
      <c r="F328" s="34" t="s">
        <v>523</v>
      </c>
      <c r="G328" s="58">
        <v>0</v>
      </c>
      <c r="H328" s="58">
        <v>12200</v>
      </c>
      <c r="I328" s="35">
        <v>12.2</v>
      </c>
      <c r="J328" s="62">
        <v>2</v>
      </c>
      <c r="K328" s="34" t="s">
        <v>238</v>
      </c>
      <c r="L328" s="10">
        <v>42163</v>
      </c>
      <c r="M328" s="37" t="s">
        <v>191</v>
      </c>
      <c r="N328" s="38">
        <v>5.6</v>
      </c>
      <c r="O328" s="38">
        <v>3.7250000000000001</v>
      </c>
      <c r="P328" s="38">
        <v>1.925</v>
      </c>
      <c r="Q328" s="38">
        <v>0.97499999999999998</v>
      </c>
      <c r="R328" s="38">
        <v>2.9464199999999998</v>
      </c>
      <c r="S328" s="38">
        <f t="shared" si="45"/>
        <v>3</v>
      </c>
      <c r="T328" s="38">
        <v>12.05</v>
      </c>
      <c r="U328" s="38">
        <v>0.125</v>
      </c>
      <c r="V328" s="38">
        <v>0.05</v>
      </c>
      <c r="W328" s="38">
        <v>0</v>
      </c>
      <c r="X328" s="38">
        <v>3.4956900000000002</v>
      </c>
      <c r="Y328" s="38">
        <f t="shared" si="46"/>
        <v>3.5</v>
      </c>
      <c r="Z328" s="38">
        <v>0</v>
      </c>
      <c r="AA328" s="38">
        <v>0</v>
      </c>
      <c r="AB328" s="38">
        <f>T328+U328+V328+W328</f>
        <v>12.225000000000001</v>
      </c>
      <c r="AC328" s="38">
        <v>1.2599</v>
      </c>
      <c r="AD328" s="39">
        <v>422</v>
      </c>
      <c r="AE328" s="38">
        <v>170</v>
      </c>
      <c r="AF328" s="38">
        <v>1.187353629976581</v>
      </c>
      <c r="AG328" s="38">
        <f t="shared" si="47"/>
        <v>1.2</v>
      </c>
      <c r="AH328" s="38">
        <v>0</v>
      </c>
      <c r="AI328" s="38">
        <v>0</v>
      </c>
      <c r="AJ328" s="38">
        <v>0</v>
      </c>
      <c r="AK328" s="38">
        <v>0</v>
      </c>
      <c r="AL328" s="38">
        <v>0</v>
      </c>
      <c r="AM328" s="38">
        <v>0</v>
      </c>
      <c r="AN328" s="60"/>
      <c r="AO328" s="60"/>
      <c r="AP328" s="60">
        <f>AE328*0.5</f>
        <v>85</v>
      </c>
      <c r="AQ328" s="64">
        <f>(AD328+AH328+AJ328+AL328+AP328)*I328</f>
        <v>6185.4</v>
      </c>
      <c r="AR328" s="60"/>
      <c r="AS328" s="25">
        <f>SUM(N328:Q328)</f>
        <v>12.225</v>
      </c>
      <c r="AT328" s="25"/>
      <c r="AU328" s="41">
        <f>SUM(N328:Q328)</f>
        <v>12.225</v>
      </c>
      <c r="AV328" s="41">
        <f>SUM(T328:W328)</f>
        <v>12.225000000000001</v>
      </c>
      <c r="AW328" s="41">
        <f>SUM(Z328:AB328)</f>
        <v>12.225000000000001</v>
      </c>
      <c r="AY328" s="22">
        <f>I328/AU328</f>
        <v>0.99795501022494881</v>
      </c>
      <c r="AZ328" s="22">
        <f>I328/AV328</f>
        <v>0.9979550102249487</v>
      </c>
      <c r="BA328" s="22">
        <f>I328/AW328</f>
        <v>0.9979550102249487</v>
      </c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</row>
    <row r="329" spans="1:88" s="22" customFormat="1">
      <c r="A329" s="1">
        <v>1371</v>
      </c>
      <c r="B329" s="74" t="s">
        <v>1905</v>
      </c>
      <c r="C329" s="34">
        <v>445</v>
      </c>
      <c r="D329" s="75">
        <v>3363</v>
      </c>
      <c r="E329" s="69">
        <v>100</v>
      </c>
      <c r="F329" s="184" t="s">
        <v>1921</v>
      </c>
      <c r="G329" s="20" t="s">
        <v>92</v>
      </c>
      <c r="H329" s="20" t="s">
        <v>1922</v>
      </c>
      <c r="I329" s="21">
        <v>8.8729999999999993</v>
      </c>
      <c r="J329" s="8">
        <v>2</v>
      </c>
      <c r="K329" s="34" t="s">
        <v>238</v>
      </c>
      <c r="L329" s="10">
        <v>42208</v>
      </c>
      <c r="M329" s="37" t="s">
        <v>191</v>
      </c>
      <c r="N329" s="38">
        <v>7.35</v>
      </c>
      <c r="O329" s="38">
        <v>0.8</v>
      </c>
      <c r="P329" s="38">
        <v>0.32500000000000001</v>
      </c>
      <c r="Q329" s="38">
        <v>0.4</v>
      </c>
      <c r="R329" s="38">
        <v>2.03389</v>
      </c>
      <c r="S329" s="38">
        <f t="shared" si="45"/>
        <v>2</v>
      </c>
      <c r="T329" s="38">
        <v>8.4250000000000007</v>
      </c>
      <c r="U329" s="38">
        <v>0.35</v>
      </c>
      <c r="V329" s="38">
        <v>0.1</v>
      </c>
      <c r="W329" s="38">
        <v>0</v>
      </c>
      <c r="X329" s="38">
        <v>3.5710600000000001</v>
      </c>
      <c r="Y329" s="38">
        <f t="shared" si="46"/>
        <v>3.5</v>
      </c>
      <c r="Z329" s="38">
        <v>0</v>
      </c>
      <c r="AA329" s="38">
        <v>0</v>
      </c>
      <c r="AB329" s="38">
        <v>8.875</v>
      </c>
      <c r="AC329" s="38">
        <v>1.1543399999999999</v>
      </c>
      <c r="AD329" s="39">
        <v>362</v>
      </c>
      <c r="AE329" s="38">
        <v>13</v>
      </c>
      <c r="AF329" s="38">
        <v>1.1865853069504597</v>
      </c>
      <c r="AG329" s="38">
        <f t="shared" si="47"/>
        <v>1.2</v>
      </c>
      <c r="AH329" s="38">
        <v>0</v>
      </c>
      <c r="AI329" s="38">
        <v>0</v>
      </c>
      <c r="AJ329" s="38">
        <v>420</v>
      </c>
      <c r="AK329" s="38">
        <v>1.3524174461850558</v>
      </c>
      <c r="AL329" s="38">
        <v>4</v>
      </c>
      <c r="AM329" s="38">
        <v>1.2880166154143389E-2</v>
      </c>
      <c r="AN329" s="72"/>
      <c r="AO329" s="41"/>
      <c r="AP329" s="41"/>
      <c r="AQ329" s="41"/>
      <c r="AR329" s="41"/>
      <c r="AS329" s="73"/>
      <c r="AT329" s="73"/>
      <c r="AU329" s="73"/>
      <c r="AV329" s="73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</row>
    <row r="330" spans="1:88" s="22" customFormat="1">
      <c r="A330" s="1">
        <v>1036</v>
      </c>
      <c r="B330" s="9" t="s">
        <v>1394</v>
      </c>
      <c r="C330" s="9">
        <v>617</v>
      </c>
      <c r="D330" s="8">
        <v>2208</v>
      </c>
      <c r="E330" s="9">
        <v>103</v>
      </c>
      <c r="F330" s="9" t="s">
        <v>1436</v>
      </c>
      <c r="G330" s="20">
        <v>42016</v>
      </c>
      <c r="H330" s="20">
        <v>46496</v>
      </c>
      <c r="I330" s="35">
        <v>4.4800000000000004</v>
      </c>
      <c r="J330" s="9">
        <v>4</v>
      </c>
      <c r="K330" s="9" t="s">
        <v>237</v>
      </c>
      <c r="L330" s="18">
        <v>42132</v>
      </c>
      <c r="M330" s="37" t="s">
        <v>191</v>
      </c>
      <c r="N330" s="11">
        <v>1.75</v>
      </c>
      <c r="O330" s="11">
        <v>1.825</v>
      </c>
      <c r="P330" s="11">
        <v>0.52500000000000002</v>
      </c>
      <c r="Q330" s="11">
        <v>0.3</v>
      </c>
      <c r="R330" s="11">
        <v>2.6839200000000001</v>
      </c>
      <c r="S330" s="38">
        <f t="shared" si="45"/>
        <v>2.5</v>
      </c>
      <c r="T330" s="11">
        <v>2.65</v>
      </c>
      <c r="U330" s="11">
        <v>1.325</v>
      </c>
      <c r="V330" s="11">
        <v>0.375</v>
      </c>
      <c r="W330" s="11">
        <v>0.05</v>
      </c>
      <c r="X330" s="11">
        <v>8.6624599999999994</v>
      </c>
      <c r="Y330" s="38">
        <f t="shared" si="46"/>
        <v>8.5</v>
      </c>
      <c r="Z330" s="11">
        <v>0</v>
      </c>
      <c r="AA330" s="11">
        <v>0</v>
      </c>
      <c r="AB330" s="11">
        <f>SUM(N330:Q330)</f>
        <v>4.4000000000000004</v>
      </c>
      <c r="AC330" s="11">
        <v>1.4379599999999999</v>
      </c>
      <c r="AD330" s="164">
        <v>185.85</v>
      </c>
      <c r="AE330" s="11">
        <v>0</v>
      </c>
      <c r="AF330" s="11">
        <f>(AD330+AE330*0.5)/(3.5*I330*1000)*100</f>
        <v>1.185267857142857</v>
      </c>
      <c r="AG330" s="38">
        <f t="shared" si="47"/>
        <v>1.2</v>
      </c>
      <c r="AH330" s="11">
        <v>12.89</v>
      </c>
      <c r="AI330" s="38">
        <f>AH330/(3.5*I330*1000)*100</f>
        <v>8.2206632653061218E-2</v>
      </c>
      <c r="AJ330" s="11">
        <v>79.7</v>
      </c>
      <c r="AK330" s="38">
        <f>AJ330/(3.5*I330*1000)*100</f>
        <v>0.5082908163265305</v>
      </c>
      <c r="AL330" s="11">
        <v>0</v>
      </c>
      <c r="AM330" s="38">
        <f>AL330/(3.5*I330*1000)*100</f>
        <v>0</v>
      </c>
      <c r="AN330" s="25"/>
      <c r="AO330" s="25">
        <f>AE330*0.5</f>
        <v>0</v>
      </c>
      <c r="AP330" s="25">
        <f>(AD330+AH330+AJ330+AL330+AO330)*I330</f>
        <v>1247.4112</v>
      </c>
      <c r="AQ330" s="25"/>
      <c r="AR330" s="25"/>
      <c r="AS330" s="25">
        <f>SUM(N330:Q330)</f>
        <v>4.4000000000000004</v>
      </c>
      <c r="AT330" s="25">
        <f>SUM(T330:W330)</f>
        <v>4.3999999999999995</v>
      </c>
      <c r="AU330" s="41"/>
      <c r="AV330" s="41"/>
      <c r="AW330" s="41"/>
    </row>
    <row r="331" spans="1:88" s="22" customFormat="1">
      <c r="A331" s="1">
        <v>1374</v>
      </c>
      <c r="B331" s="74" t="s">
        <v>1905</v>
      </c>
      <c r="C331" s="34">
        <v>445</v>
      </c>
      <c r="D331" s="75">
        <v>3390</v>
      </c>
      <c r="E331" s="69">
        <v>100</v>
      </c>
      <c r="F331" s="184" t="s">
        <v>1926</v>
      </c>
      <c r="G331" s="20">
        <v>37173</v>
      </c>
      <c r="H331" s="20">
        <v>0</v>
      </c>
      <c r="I331" s="21">
        <v>37.173000000000002</v>
      </c>
      <c r="J331" s="8">
        <v>2</v>
      </c>
      <c r="K331" s="34" t="s">
        <v>12</v>
      </c>
      <c r="L331" s="10">
        <v>42208</v>
      </c>
      <c r="M331" s="37" t="s">
        <v>191</v>
      </c>
      <c r="N331" s="38">
        <v>24.95</v>
      </c>
      <c r="O331" s="38">
        <v>6.875</v>
      </c>
      <c r="P331" s="38">
        <v>3.7250000000000001</v>
      </c>
      <c r="Q331" s="38">
        <v>1.675</v>
      </c>
      <c r="R331" s="38">
        <v>2.3832599999999999</v>
      </c>
      <c r="S331" s="38">
        <f t="shared" si="45"/>
        <v>2.5</v>
      </c>
      <c r="T331" s="38">
        <v>34.700000000000003</v>
      </c>
      <c r="U331" s="38">
        <v>2.0499999999999998</v>
      </c>
      <c r="V331" s="38">
        <v>0.35</v>
      </c>
      <c r="W331" s="38">
        <v>0.125</v>
      </c>
      <c r="X331" s="38">
        <v>4.1823600000000001</v>
      </c>
      <c r="Y331" s="38">
        <f t="shared" si="46"/>
        <v>4</v>
      </c>
      <c r="Z331" s="38">
        <v>0</v>
      </c>
      <c r="AA331" s="38">
        <v>0</v>
      </c>
      <c r="AB331" s="38">
        <v>37.224999999999994</v>
      </c>
      <c r="AC331" s="38">
        <v>1.20923</v>
      </c>
      <c r="AD331" s="39">
        <v>1508</v>
      </c>
      <c r="AE331" s="38">
        <v>65</v>
      </c>
      <c r="AF331" s="38">
        <v>1.1840391067249272</v>
      </c>
      <c r="AG331" s="38">
        <f t="shared" si="47"/>
        <v>1.2</v>
      </c>
      <c r="AH331" s="38">
        <v>0</v>
      </c>
      <c r="AI331" s="38">
        <v>0</v>
      </c>
      <c r="AJ331" s="38">
        <v>1413</v>
      </c>
      <c r="AK331" s="38">
        <v>1.0860417123027082</v>
      </c>
      <c r="AL331" s="38">
        <v>0</v>
      </c>
      <c r="AM331" s="38">
        <v>0</v>
      </c>
      <c r="AN331" s="72"/>
      <c r="AO331" s="41"/>
      <c r="AP331" s="41"/>
      <c r="AQ331" s="41"/>
      <c r="AR331" s="41"/>
      <c r="AS331" s="73"/>
      <c r="AT331" s="73"/>
      <c r="AU331" s="73"/>
      <c r="AV331" s="73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</row>
    <row r="332" spans="1:88" s="22" customFormat="1">
      <c r="A332" s="1">
        <v>1002</v>
      </c>
      <c r="B332" s="170" t="s">
        <v>1394</v>
      </c>
      <c r="C332" s="170">
        <v>617</v>
      </c>
      <c r="D332" s="8">
        <v>219</v>
      </c>
      <c r="E332" s="170">
        <v>302</v>
      </c>
      <c r="F332" s="9" t="s">
        <v>1399</v>
      </c>
      <c r="G332" s="20">
        <v>128082</v>
      </c>
      <c r="H332" s="20">
        <v>137897</v>
      </c>
      <c r="I332" s="35">
        <v>9.8149999999999995</v>
      </c>
      <c r="J332" s="9">
        <v>4</v>
      </c>
      <c r="K332" s="9" t="s">
        <v>12</v>
      </c>
      <c r="L332" s="172">
        <v>42129</v>
      </c>
      <c r="M332" s="37" t="s">
        <v>191</v>
      </c>
      <c r="N332" s="173">
        <v>2.6</v>
      </c>
      <c r="O332" s="173">
        <v>3.2</v>
      </c>
      <c r="P332" s="173">
        <v>2.4500000000000002</v>
      </c>
      <c r="Q332" s="173">
        <v>1.0249999999999999</v>
      </c>
      <c r="R332" s="173">
        <v>3.7857400000000001</v>
      </c>
      <c r="S332" s="38">
        <f t="shared" si="45"/>
        <v>4</v>
      </c>
      <c r="T332" s="173">
        <v>4.125</v>
      </c>
      <c r="U332" s="173">
        <v>3</v>
      </c>
      <c r="V332" s="173">
        <v>1.35</v>
      </c>
      <c r="W332" s="173">
        <v>0.8</v>
      </c>
      <c r="X332" s="173">
        <v>9.3877199999999998</v>
      </c>
      <c r="Y332" s="38">
        <f t="shared" si="46"/>
        <v>9.5</v>
      </c>
      <c r="Z332" s="11">
        <v>0</v>
      </c>
      <c r="AA332" s="11">
        <v>0</v>
      </c>
      <c r="AB332" s="11">
        <f>SUM(N332:Q332)</f>
        <v>9.2750000000000004</v>
      </c>
      <c r="AC332" s="173">
        <v>1.23956</v>
      </c>
      <c r="AD332" s="164">
        <v>322.2</v>
      </c>
      <c r="AE332" s="11">
        <v>155.06</v>
      </c>
      <c r="AF332" s="169">
        <f>(AD332+AE332*0.5)/(3.5*I332*1000)*100</f>
        <v>1.1636125463940035</v>
      </c>
      <c r="AG332" s="38">
        <f t="shared" si="47"/>
        <v>1.2</v>
      </c>
      <c r="AH332" s="11">
        <v>262.05</v>
      </c>
      <c r="AI332" s="99">
        <f>AH332/(3.5*I332*1000)*100</f>
        <v>0.76282657739611381</v>
      </c>
      <c r="AJ332" s="11">
        <v>179.96</v>
      </c>
      <c r="AK332" s="99">
        <f>AJ332/(3.5*I332*1000)*100</f>
        <v>0.52386289207481262</v>
      </c>
      <c r="AL332" s="11">
        <v>0.18</v>
      </c>
      <c r="AM332" s="99">
        <f>AL332/(3.5*I332*1000)*100</f>
        <v>5.2397933192635179E-4</v>
      </c>
      <c r="AN332" s="12"/>
      <c r="AO332" s="25">
        <f>AE332*0.5</f>
        <v>77.53</v>
      </c>
      <c r="AP332" s="25">
        <f>(AD332+AH332+AJ332+AL332+AO332)*I332</f>
        <v>8263.4447999999993</v>
      </c>
      <c r="AQ332" s="12"/>
      <c r="AR332" s="12"/>
      <c r="AS332" s="25">
        <f>SUM(N332:Q332)</f>
        <v>9.2750000000000004</v>
      </c>
      <c r="AT332" s="25">
        <f>SUM(T332:W332)</f>
        <v>9.2750000000000004</v>
      </c>
      <c r="AU332" s="41"/>
      <c r="AV332" s="41"/>
      <c r="AW332" s="4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</row>
    <row r="333" spans="1:88" s="22" customFormat="1">
      <c r="A333" s="1">
        <v>332</v>
      </c>
      <c r="B333" s="34" t="s">
        <v>557</v>
      </c>
      <c r="C333" s="34">
        <v>646</v>
      </c>
      <c r="D333" s="34">
        <v>202</v>
      </c>
      <c r="E333" s="34">
        <v>100</v>
      </c>
      <c r="F333" s="34" t="s">
        <v>565</v>
      </c>
      <c r="G333" s="58">
        <v>0</v>
      </c>
      <c r="H333" s="58">
        <v>13175</v>
      </c>
      <c r="I333" s="35">
        <v>13.175000000000001</v>
      </c>
      <c r="J333" s="62">
        <v>2</v>
      </c>
      <c r="K333" s="34" t="s">
        <v>238</v>
      </c>
      <c r="L333" s="10">
        <v>42165</v>
      </c>
      <c r="M333" s="37" t="s">
        <v>191</v>
      </c>
      <c r="N333" s="38">
        <v>9.375</v>
      </c>
      <c r="O333" s="38">
        <v>2.375</v>
      </c>
      <c r="P333" s="38">
        <v>0.97499999999999998</v>
      </c>
      <c r="Q333" s="38">
        <v>0.375</v>
      </c>
      <c r="R333" s="38">
        <v>2.3650000000000002</v>
      </c>
      <c r="S333" s="38">
        <f t="shared" si="45"/>
        <v>2.5</v>
      </c>
      <c r="T333" s="38">
        <v>11.875</v>
      </c>
      <c r="U333" s="38">
        <v>1.125</v>
      </c>
      <c r="V333" s="38">
        <v>7.4999999999999997E-2</v>
      </c>
      <c r="W333" s="38">
        <v>2.5000000000000001E-2</v>
      </c>
      <c r="X333" s="38">
        <v>4.4989999999999997</v>
      </c>
      <c r="Y333" s="38">
        <f t="shared" si="46"/>
        <v>4.5</v>
      </c>
      <c r="Z333" s="38">
        <v>0</v>
      </c>
      <c r="AA333" s="38">
        <v>0</v>
      </c>
      <c r="AB333" s="38">
        <f>T333+U333+V333+W333</f>
        <v>13.1</v>
      </c>
      <c r="AC333" s="38">
        <v>1.079</v>
      </c>
      <c r="AD333" s="39">
        <v>0</v>
      </c>
      <c r="AE333" s="38">
        <v>0</v>
      </c>
      <c r="AF333" s="38">
        <f>(AD333+AE333*0.5)/(3.5*I333*1000)*100</f>
        <v>0</v>
      </c>
      <c r="AG333" s="38">
        <f t="shared" si="47"/>
        <v>0</v>
      </c>
      <c r="AH333" s="38">
        <v>0</v>
      </c>
      <c r="AI333" s="38">
        <v>0</v>
      </c>
      <c r="AJ333" s="38">
        <v>0</v>
      </c>
      <c r="AK333" s="38">
        <f>AJ333/(3.5*I333*1000)*100</f>
        <v>0</v>
      </c>
      <c r="AL333" s="38">
        <v>0</v>
      </c>
      <c r="AM333" s="38">
        <v>0</v>
      </c>
      <c r="AN333" s="25"/>
      <c r="AO333" s="25">
        <f>AE333*0.5</f>
        <v>0</v>
      </c>
      <c r="AP333" s="25">
        <f>(AD333+AH333+AJ333+AL333+AO333)*I333</f>
        <v>0</v>
      </c>
      <c r="AQ333" s="25">
        <f>SUM(N333:Q333)</f>
        <v>13.1</v>
      </c>
      <c r="AR333" s="25">
        <f>SUM(T333:W333)</f>
        <v>13.1</v>
      </c>
      <c r="AT333" s="41"/>
      <c r="AU333" s="41">
        <f>SUM(N333:Q333)</f>
        <v>13.1</v>
      </c>
      <c r="AV333" s="41">
        <f>SUM(T333:W333)</f>
        <v>13.1</v>
      </c>
      <c r="AW333" s="41">
        <f>SUM(Z333:AB333)</f>
        <v>13.1</v>
      </c>
      <c r="AY333" s="22">
        <f>I333/AU333</f>
        <v>1.0057251908396947</v>
      </c>
      <c r="AZ333" s="22">
        <f>I333/AV333</f>
        <v>1.0057251908396947</v>
      </c>
      <c r="BA333" s="22">
        <f>I333/AW333</f>
        <v>1.0057251908396947</v>
      </c>
    </row>
    <row r="334" spans="1:88" s="22" customFormat="1">
      <c r="A334" s="1">
        <v>1136</v>
      </c>
      <c r="B334" s="74" t="s">
        <v>1577</v>
      </c>
      <c r="C334" s="34">
        <v>432</v>
      </c>
      <c r="D334" s="34">
        <v>310</v>
      </c>
      <c r="E334" s="34">
        <v>100</v>
      </c>
      <c r="F334" s="34" t="s">
        <v>1581</v>
      </c>
      <c r="G334" s="34" t="s">
        <v>1582</v>
      </c>
      <c r="H334" s="34" t="s">
        <v>92</v>
      </c>
      <c r="I334" s="55">
        <v>1.9750000000000001</v>
      </c>
      <c r="J334" s="5">
        <v>4</v>
      </c>
      <c r="K334" s="34" t="s">
        <v>96</v>
      </c>
      <c r="L334" s="10">
        <v>42282</v>
      </c>
      <c r="M334" s="37" t="s">
        <v>191</v>
      </c>
      <c r="N334" s="38">
        <v>0.82499999999999996</v>
      </c>
      <c r="O334" s="38">
        <v>0.8</v>
      </c>
      <c r="P334" s="38">
        <v>0.27500000000000002</v>
      </c>
      <c r="Q334" s="38">
        <v>0.1</v>
      </c>
      <c r="R334" s="38">
        <v>2.8608699999999998</v>
      </c>
      <c r="S334" s="38">
        <f t="shared" si="45"/>
        <v>3</v>
      </c>
      <c r="T334" s="38">
        <v>1.55</v>
      </c>
      <c r="U334" s="38">
        <v>0.35</v>
      </c>
      <c r="V334" s="38">
        <v>7.4999999999999997E-2</v>
      </c>
      <c r="W334" s="38">
        <v>2.5000000000000001E-2</v>
      </c>
      <c r="X334" s="38">
        <v>7.5497899999999998</v>
      </c>
      <c r="Y334" s="38">
        <f t="shared" si="46"/>
        <v>7.5</v>
      </c>
      <c r="Z334" s="38">
        <v>0</v>
      </c>
      <c r="AA334" s="38">
        <v>0</v>
      </c>
      <c r="AB334" s="38">
        <v>2</v>
      </c>
      <c r="AC334" s="38">
        <v>1.4815799999999999</v>
      </c>
      <c r="AD334" s="39">
        <v>78.956000000000003</v>
      </c>
      <c r="AE334" s="38">
        <v>2.64</v>
      </c>
      <c r="AF334" s="38">
        <v>1.161316</v>
      </c>
      <c r="AG334" s="38">
        <f t="shared" si="47"/>
        <v>1.2</v>
      </c>
      <c r="AH334" s="38">
        <v>45.86</v>
      </c>
      <c r="AI334" s="38">
        <v>0.66343600000000003</v>
      </c>
      <c r="AJ334" s="38">
        <v>0</v>
      </c>
      <c r="AK334" s="38">
        <v>0</v>
      </c>
      <c r="AL334" s="38">
        <v>0</v>
      </c>
      <c r="AM334" s="38">
        <v>0</v>
      </c>
      <c r="AN334" s="114"/>
      <c r="AO334" s="73"/>
    </row>
    <row r="335" spans="1:88" s="22" customFormat="1">
      <c r="A335" s="1">
        <v>1714</v>
      </c>
      <c r="B335" s="34" t="s">
        <v>2308</v>
      </c>
      <c r="C335" s="34">
        <v>422</v>
      </c>
      <c r="D335" s="8">
        <v>361</v>
      </c>
      <c r="E335" s="34">
        <v>100</v>
      </c>
      <c r="F335" s="34" t="s">
        <v>2312</v>
      </c>
      <c r="G335" s="58">
        <v>9000</v>
      </c>
      <c r="H335" s="58">
        <v>0</v>
      </c>
      <c r="I335" s="35">
        <v>9</v>
      </c>
      <c r="J335" s="9">
        <v>10</v>
      </c>
      <c r="K335" s="34" t="s">
        <v>96</v>
      </c>
      <c r="L335" s="10">
        <v>42229</v>
      </c>
      <c r="M335" s="37" t="s">
        <v>191</v>
      </c>
      <c r="N335" s="38">
        <v>2.67</v>
      </c>
      <c r="O335" s="38">
        <v>3.87</v>
      </c>
      <c r="P335" s="38">
        <v>1.88</v>
      </c>
      <c r="Q335" s="38">
        <v>0.59</v>
      </c>
      <c r="R335" s="38">
        <v>3.7328399999999999</v>
      </c>
      <c r="S335" s="38">
        <f t="shared" si="45"/>
        <v>3.5</v>
      </c>
      <c r="T335" s="38">
        <v>7.05</v>
      </c>
      <c r="U335" s="38">
        <v>1.75</v>
      </c>
      <c r="V335" s="38">
        <v>0.2</v>
      </c>
      <c r="W335" s="38">
        <v>0</v>
      </c>
      <c r="X335" s="38">
        <v>8.1158699999999993</v>
      </c>
      <c r="Y335" s="38">
        <f t="shared" si="46"/>
        <v>8</v>
      </c>
      <c r="Z335" s="38">
        <v>0</v>
      </c>
      <c r="AA335" s="38">
        <v>0</v>
      </c>
      <c r="AB335" s="35">
        <v>9</v>
      </c>
      <c r="AC335" s="38">
        <v>1.2652699999999999</v>
      </c>
      <c r="AD335" s="39">
        <v>0</v>
      </c>
      <c r="AE335" s="38">
        <v>727.82</v>
      </c>
      <c r="AF335" s="38">
        <v>1.15527</v>
      </c>
      <c r="AG335" s="38">
        <f t="shared" si="47"/>
        <v>1.2</v>
      </c>
      <c r="AH335" s="38">
        <v>1.52</v>
      </c>
      <c r="AI335" s="38">
        <v>4.8300000000000001E-3</v>
      </c>
      <c r="AJ335" s="38">
        <v>14</v>
      </c>
      <c r="AK335" s="38">
        <v>4.4443999999999997E-2</v>
      </c>
      <c r="AL335" s="38">
        <v>1.06</v>
      </c>
      <c r="AM335" s="55">
        <v>3.3700000000000002E-3</v>
      </c>
      <c r="AO335" s="22">
        <f>AE335*0.5</f>
        <v>363.91</v>
      </c>
      <c r="AP335" s="41">
        <f>(AD335+AH335+AJ335+AL335+AO335)*I335</f>
        <v>3424.41</v>
      </c>
      <c r="AQ335" s="25">
        <f>SUM(N335:Q335)</f>
        <v>9.01</v>
      </c>
      <c r="AR335" s="25">
        <f>SUM(T335:W335)</f>
        <v>9</v>
      </c>
      <c r="AS335" s="268">
        <v>9</v>
      </c>
      <c r="AU335" s="25">
        <f>AS335-AQ335</f>
        <v>-9.9999999999997868E-3</v>
      </c>
      <c r="AV335" s="41">
        <f>SUM(N335:Q335)</f>
        <v>9.01</v>
      </c>
      <c r="AW335" s="41">
        <f>SUM(T335:W335)</f>
        <v>9</v>
      </c>
      <c r="AX335" s="41">
        <f>SUM(Z335:AB335)</f>
        <v>9</v>
      </c>
      <c r="AZ335" s="22">
        <f>I335/AV335</f>
        <v>0.99889012208657046</v>
      </c>
      <c r="BA335" s="22">
        <f>I335/AW335</f>
        <v>1</v>
      </c>
      <c r="BB335" s="22">
        <f>I335/AX335</f>
        <v>1</v>
      </c>
    </row>
    <row r="336" spans="1:88" s="22" customFormat="1">
      <c r="A336" s="1">
        <v>1363</v>
      </c>
      <c r="B336" s="74" t="s">
        <v>1905</v>
      </c>
      <c r="C336" s="34">
        <v>445</v>
      </c>
      <c r="D336" s="75">
        <v>3260</v>
      </c>
      <c r="E336" s="69">
        <v>102</v>
      </c>
      <c r="F336" s="184" t="s">
        <v>1914</v>
      </c>
      <c r="G336" s="20">
        <v>11017</v>
      </c>
      <c r="H336" s="20">
        <v>31856</v>
      </c>
      <c r="I336" s="21">
        <v>20.838999999999999</v>
      </c>
      <c r="J336" s="8">
        <v>2</v>
      </c>
      <c r="K336" s="34" t="s">
        <v>238</v>
      </c>
      <c r="L336" s="10">
        <v>42207</v>
      </c>
      <c r="M336" s="37" t="s">
        <v>191</v>
      </c>
      <c r="N336" s="38">
        <v>13.025</v>
      </c>
      <c r="O336" s="38">
        <v>4.45</v>
      </c>
      <c r="P336" s="38">
        <v>1.9</v>
      </c>
      <c r="Q336" s="38">
        <v>1.325</v>
      </c>
      <c r="R336" s="38">
        <v>2.5765699999999998</v>
      </c>
      <c r="S336" s="38">
        <f t="shared" si="45"/>
        <v>2.5</v>
      </c>
      <c r="T336" s="38">
        <v>19.475000000000001</v>
      </c>
      <c r="U336" s="38">
        <v>0.9</v>
      </c>
      <c r="V336" s="38">
        <v>0.3</v>
      </c>
      <c r="W336" s="38">
        <v>2.5000000000000001E-2</v>
      </c>
      <c r="X336" s="38">
        <v>4.2553999999999998</v>
      </c>
      <c r="Y336" s="38">
        <f t="shared" si="46"/>
        <v>4.5</v>
      </c>
      <c r="Z336" s="38">
        <v>0</v>
      </c>
      <c r="AA336" s="38">
        <v>0</v>
      </c>
      <c r="AB336" s="38">
        <v>20.7</v>
      </c>
      <c r="AC336" s="38">
        <v>1.18902</v>
      </c>
      <c r="AD336" s="39">
        <v>836</v>
      </c>
      <c r="AE336" s="38">
        <v>10</v>
      </c>
      <c r="AF336" s="38">
        <v>1.1530577968506852</v>
      </c>
      <c r="AG336" s="38">
        <f t="shared" si="47"/>
        <v>1.2</v>
      </c>
      <c r="AH336" s="38">
        <v>0</v>
      </c>
      <c r="AI336" s="38">
        <v>0</v>
      </c>
      <c r="AJ336" s="38">
        <v>887</v>
      </c>
      <c r="AK336" s="38">
        <v>1.2161263564881781</v>
      </c>
      <c r="AL336" s="38">
        <v>0</v>
      </c>
      <c r="AM336" s="38">
        <v>0</v>
      </c>
      <c r="AN336" s="72"/>
      <c r="AO336" s="41"/>
      <c r="AP336" s="41"/>
      <c r="AQ336" s="41"/>
      <c r="AR336" s="41"/>
      <c r="AS336" s="73"/>
      <c r="AT336" s="73"/>
      <c r="AU336" s="73"/>
      <c r="AV336" s="73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</row>
    <row r="337" spans="1:88" s="22" customFormat="1">
      <c r="A337" s="1">
        <v>162</v>
      </c>
      <c r="B337" s="34" t="s">
        <v>332</v>
      </c>
      <c r="C337" s="34">
        <v>533</v>
      </c>
      <c r="D337" s="34">
        <v>1</v>
      </c>
      <c r="E337" s="34">
        <v>1402</v>
      </c>
      <c r="F337" s="34" t="s">
        <v>336</v>
      </c>
      <c r="G337" s="50" t="s">
        <v>337</v>
      </c>
      <c r="H337" s="50" t="s">
        <v>335</v>
      </c>
      <c r="I337" s="35">
        <v>16.117000000000001</v>
      </c>
      <c r="J337" s="33">
        <v>4</v>
      </c>
      <c r="K337" s="34" t="s">
        <v>96</v>
      </c>
      <c r="L337" s="10">
        <v>42203</v>
      </c>
      <c r="M337" s="37" t="s">
        <v>191</v>
      </c>
      <c r="N337" s="38">
        <v>12.3</v>
      </c>
      <c r="O337" s="38">
        <v>2.29</v>
      </c>
      <c r="P337" s="38">
        <v>0.85</v>
      </c>
      <c r="Q337" s="38">
        <v>0.68</v>
      </c>
      <c r="R337" s="38">
        <v>2.2153499999999999</v>
      </c>
      <c r="S337" s="38">
        <f t="shared" si="45"/>
        <v>2</v>
      </c>
      <c r="T337" s="38">
        <v>6.26</v>
      </c>
      <c r="U337" s="38">
        <v>6.01</v>
      </c>
      <c r="V337" s="38">
        <v>3.15</v>
      </c>
      <c r="W337" s="38">
        <v>0.7</v>
      </c>
      <c r="X337" s="38">
        <v>11.9909</v>
      </c>
      <c r="Y337" s="38">
        <f t="shared" si="46"/>
        <v>12</v>
      </c>
      <c r="Z337" s="38">
        <v>0</v>
      </c>
      <c r="AA337" s="38">
        <v>0</v>
      </c>
      <c r="AB337" s="38">
        <v>16.12</v>
      </c>
      <c r="AC337" s="38">
        <v>1.1034200000000001</v>
      </c>
      <c r="AD337" s="39">
        <v>538</v>
      </c>
      <c r="AE337" s="38">
        <v>212</v>
      </c>
      <c r="AF337" s="38">
        <f>(AD337+AE337*0.5)/(3.5*I337*1000)*100</f>
        <v>1.1416516721474221</v>
      </c>
      <c r="AG337" s="38">
        <f t="shared" si="47"/>
        <v>1.1000000000000001</v>
      </c>
      <c r="AH337" s="38">
        <v>1</v>
      </c>
      <c r="AI337" s="38">
        <f>AH337/(3.5*I337*1000)*100</f>
        <v>1.7727510437071769E-3</v>
      </c>
      <c r="AJ337" s="38">
        <v>232</v>
      </c>
      <c r="AK337" s="38">
        <f>AJ337/(3.5*I337*1000)*100</f>
        <v>0.41127824214006503</v>
      </c>
      <c r="AL337" s="38">
        <v>0</v>
      </c>
      <c r="AM337" s="38">
        <f>AL337/(3.5*I337*1000)*100</f>
        <v>0</v>
      </c>
      <c r="AN337" s="25"/>
      <c r="AO337" s="25">
        <f>AE337*0.5</f>
        <v>106</v>
      </c>
      <c r="AP337" s="25">
        <f>(AD337+AH337+AJ337+AL337+AO337)*I337</f>
        <v>14134.609</v>
      </c>
      <c r="AQ337" s="25"/>
      <c r="AR337" s="25">
        <f>SUM(N337:Q337)</f>
        <v>16.12</v>
      </c>
      <c r="AS337" s="25">
        <f>SUM(T337:W337)</f>
        <v>16.12</v>
      </c>
      <c r="AU337" s="41">
        <f>SUM(N337:Q337)</f>
        <v>16.12</v>
      </c>
      <c r="AV337" s="41">
        <f>SUM(T337:W337)</f>
        <v>16.12</v>
      </c>
      <c r="AW337" s="41">
        <f>SUM(Z337:AB337)</f>
        <v>16.12</v>
      </c>
      <c r="AX337" s="41"/>
      <c r="AY337" s="22">
        <f>I337/AU337</f>
        <v>0.99981389578163771</v>
      </c>
      <c r="AZ337" s="22">
        <f>I337/AV337</f>
        <v>0.99981389578163771</v>
      </c>
      <c r="BA337" s="22">
        <f>I337/AW337</f>
        <v>0.99981389578163771</v>
      </c>
    </row>
    <row r="338" spans="1:88" s="22" customFormat="1">
      <c r="A338" s="1">
        <v>1689</v>
      </c>
      <c r="B338" s="34" t="s">
        <v>2279</v>
      </c>
      <c r="C338" s="34">
        <v>421</v>
      </c>
      <c r="D338" s="8">
        <v>3121</v>
      </c>
      <c r="E338" s="34">
        <v>100</v>
      </c>
      <c r="F338" s="34" t="s">
        <v>2290</v>
      </c>
      <c r="G338" s="58">
        <v>17813</v>
      </c>
      <c r="H338" s="58">
        <v>0</v>
      </c>
      <c r="I338" s="35">
        <v>17.812999999999999</v>
      </c>
      <c r="J338" s="9">
        <v>2</v>
      </c>
      <c r="K338" s="34" t="s">
        <v>12</v>
      </c>
      <c r="L338" s="10">
        <v>42226</v>
      </c>
      <c r="M338" s="37" t="s">
        <v>191</v>
      </c>
      <c r="N338" s="38">
        <v>10.130000000000001</v>
      </c>
      <c r="O338" s="38">
        <v>3.05</v>
      </c>
      <c r="P338" s="38">
        <v>2</v>
      </c>
      <c r="Q338" s="38">
        <v>2.75</v>
      </c>
      <c r="R338" s="38">
        <v>2.9608599999999998</v>
      </c>
      <c r="S338" s="38">
        <f t="shared" si="45"/>
        <v>3</v>
      </c>
      <c r="T338" s="38">
        <v>7.9749999999999996</v>
      </c>
      <c r="U338" s="38">
        <v>2.375</v>
      </c>
      <c r="V338" s="38">
        <v>1.65</v>
      </c>
      <c r="W338" s="38">
        <v>5.9249999999999998</v>
      </c>
      <c r="X338" s="38">
        <v>18.722100000000001</v>
      </c>
      <c r="Y338" s="38">
        <f t="shared" si="46"/>
        <v>18.5</v>
      </c>
      <c r="Z338" s="38">
        <v>0</v>
      </c>
      <c r="AA338" s="38">
        <v>0</v>
      </c>
      <c r="AB338" s="38">
        <v>17.812999999999999</v>
      </c>
      <c r="AC338" s="38">
        <v>1.13361</v>
      </c>
      <c r="AD338" s="39">
        <v>708.91</v>
      </c>
      <c r="AE338" s="38">
        <v>5.33</v>
      </c>
      <c r="AF338" s="38">
        <f>(AD338+AE338*0.5)/(3.5*I338*1000)*100</f>
        <v>1.1413413959307408</v>
      </c>
      <c r="AG338" s="38">
        <f t="shared" si="47"/>
        <v>1.1000000000000001</v>
      </c>
      <c r="AH338" s="38">
        <v>294.95999999999998</v>
      </c>
      <c r="AI338" s="38">
        <f>AH338/(3.5*I338*1000)*100</f>
        <v>0.47310551683762264</v>
      </c>
      <c r="AJ338" s="38">
        <v>786</v>
      </c>
      <c r="AK338" s="38">
        <f>AJ338/(3.5*I338*1000)*100</f>
        <v>1.2607164911661628</v>
      </c>
      <c r="AL338" s="38">
        <v>0</v>
      </c>
      <c r="AM338" s="38">
        <f>AL338/(3.5*I338*1000)*100</f>
        <v>0</v>
      </c>
      <c r="AN338" s="25"/>
      <c r="AO338" s="25">
        <f>AE338*0.5</f>
        <v>2.665</v>
      </c>
      <c r="AP338" s="25">
        <f>(AD338+AH338+AJ338+AL338+AO338)*I338</f>
        <v>31930.425954999995</v>
      </c>
      <c r="AQ338" s="25">
        <f>SUM(N338:Q338)</f>
        <v>17.93</v>
      </c>
      <c r="AR338" s="25">
        <f>SUM(T338:W338)</f>
        <v>17.925000000000001</v>
      </c>
      <c r="AT338" s="41"/>
      <c r="AU338" s="41"/>
      <c r="AV338" s="41"/>
      <c r="AW338" s="41"/>
    </row>
    <row r="339" spans="1:88" s="22" customFormat="1">
      <c r="A339" s="1">
        <v>2021</v>
      </c>
      <c r="B339" s="34" t="s">
        <v>2646</v>
      </c>
      <c r="C339" s="34">
        <v>325</v>
      </c>
      <c r="D339" s="75">
        <v>4259</v>
      </c>
      <c r="E339" s="8">
        <v>101</v>
      </c>
      <c r="F339" s="34" t="s">
        <v>2669</v>
      </c>
      <c r="G339" s="58">
        <v>0</v>
      </c>
      <c r="H339" s="58">
        <v>30000</v>
      </c>
      <c r="I339" s="21">
        <v>30</v>
      </c>
      <c r="J339" s="179">
        <v>2</v>
      </c>
      <c r="K339" s="8" t="s">
        <v>238</v>
      </c>
      <c r="L339" s="18">
        <v>42116</v>
      </c>
      <c r="M339" s="37" t="s">
        <v>191</v>
      </c>
      <c r="N339" s="38">
        <v>13.45</v>
      </c>
      <c r="O339" s="38">
        <v>9.3699999999999992</v>
      </c>
      <c r="P339" s="38">
        <v>4.93</v>
      </c>
      <c r="Q339" s="38">
        <v>2.25</v>
      </c>
      <c r="R339" s="38">
        <v>2.9922599999999999</v>
      </c>
      <c r="S339" s="38">
        <f t="shared" si="45"/>
        <v>3</v>
      </c>
      <c r="T339" s="38">
        <v>28.53</v>
      </c>
      <c r="U339" s="38">
        <v>1.06</v>
      </c>
      <c r="V339" s="38">
        <v>0.28000000000000003</v>
      </c>
      <c r="W339" s="38">
        <v>0.12</v>
      </c>
      <c r="X339" s="38">
        <v>3.9763099999999998</v>
      </c>
      <c r="Y339" s="38">
        <f t="shared" si="46"/>
        <v>4</v>
      </c>
      <c r="Z339" s="38">
        <v>0</v>
      </c>
      <c r="AA339" s="38">
        <v>0</v>
      </c>
      <c r="AB339" s="38">
        <v>30</v>
      </c>
      <c r="AC339" s="38">
        <v>1.3769</v>
      </c>
      <c r="AD339" s="39">
        <v>1091.7</v>
      </c>
      <c r="AE339" s="38">
        <v>202.58</v>
      </c>
      <c r="AF339" s="38">
        <f>(AD339+AE339*0.5)/(3.5*I339*1000)*100</f>
        <v>1.1361809523809523</v>
      </c>
      <c r="AG339" s="38">
        <f t="shared" si="47"/>
        <v>1.1000000000000001</v>
      </c>
      <c r="AH339" s="38">
        <v>523</v>
      </c>
      <c r="AI339" s="38">
        <f>AH339/(3.5*I339*1000)*100</f>
        <v>0.49809523809523809</v>
      </c>
      <c r="AJ339" s="38">
        <v>918.62</v>
      </c>
      <c r="AK339" s="38">
        <f>AJ339/(3.5*I339*1000)*100</f>
        <v>0.87487619047619047</v>
      </c>
      <c r="AL339" s="38">
        <v>4</v>
      </c>
      <c r="AM339" s="38">
        <f>AL339/(3.5*I339*1000)*100</f>
        <v>3.8095238095238091E-3</v>
      </c>
      <c r="AN339" s="12"/>
      <c r="AO339" s="12"/>
      <c r="AP339" s="1"/>
      <c r="AQ339" s="41">
        <f>SUM(N339:Q339)</f>
        <v>30</v>
      </c>
      <c r="AR339" s="41">
        <f>SUM(T339:W339)</f>
        <v>29.990000000000002</v>
      </c>
      <c r="AS339" s="12">
        <f>SUM(Z339:AB339)</f>
        <v>30</v>
      </c>
      <c r="AT339" s="1"/>
      <c r="AU339" s="1">
        <f>I339/AQ339</f>
        <v>1</v>
      </c>
      <c r="AV339" s="1">
        <f>I339/AR339</f>
        <v>1.0003334444814937</v>
      </c>
      <c r="AW339" s="1">
        <f>I339/AS339</f>
        <v>1</v>
      </c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</row>
    <row r="340" spans="1:88" s="22" customFormat="1">
      <c r="A340" s="1">
        <v>312</v>
      </c>
      <c r="B340" s="34" t="s">
        <v>542</v>
      </c>
      <c r="C340" s="34">
        <v>644</v>
      </c>
      <c r="D340" s="34">
        <v>2030</v>
      </c>
      <c r="E340" s="34">
        <v>100</v>
      </c>
      <c r="F340" s="34" t="s">
        <v>545</v>
      </c>
      <c r="G340" s="58">
        <v>2155</v>
      </c>
      <c r="H340" s="58">
        <v>0</v>
      </c>
      <c r="I340" s="35">
        <v>2.1549999999999998</v>
      </c>
      <c r="J340" s="66">
        <v>4</v>
      </c>
      <c r="K340" s="34" t="s">
        <v>96</v>
      </c>
      <c r="L340" s="10">
        <v>42158</v>
      </c>
      <c r="M340" s="37" t="s">
        <v>191</v>
      </c>
      <c r="N340" s="38">
        <v>1.75</v>
      </c>
      <c r="O340" s="38">
        <v>0.25</v>
      </c>
      <c r="P340" s="38">
        <v>0.03</v>
      </c>
      <c r="Q340" s="38">
        <v>0.13</v>
      </c>
      <c r="R340" s="38">
        <v>2.2547700000000002</v>
      </c>
      <c r="S340" s="38">
        <f t="shared" si="45"/>
        <v>2.5</v>
      </c>
      <c r="T340" s="38">
        <v>2.1</v>
      </c>
      <c r="U340" s="38">
        <v>0.03</v>
      </c>
      <c r="V340" s="38">
        <v>0.03</v>
      </c>
      <c r="W340" s="38">
        <v>0</v>
      </c>
      <c r="X340" s="38">
        <v>3.5086300000000001</v>
      </c>
      <c r="Y340" s="38">
        <f t="shared" si="46"/>
        <v>3.5</v>
      </c>
      <c r="Z340" s="38">
        <v>0</v>
      </c>
      <c r="AA340" s="38">
        <v>0</v>
      </c>
      <c r="AB340" s="38">
        <v>2.16</v>
      </c>
      <c r="AC340" s="38">
        <v>1.0871599999999999</v>
      </c>
      <c r="AD340" s="39">
        <v>82</v>
      </c>
      <c r="AE340" s="38">
        <v>5</v>
      </c>
      <c r="AF340" s="38">
        <v>1.12032</v>
      </c>
      <c r="AG340" s="38">
        <f t="shared" si="47"/>
        <v>1.1000000000000001</v>
      </c>
      <c r="AH340" s="38">
        <v>0</v>
      </c>
      <c r="AI340" s="38">
        <v>0</v>
      </c>
      <c r="AJ340" s="38">
        <v>0</v>
      </c>
      <c r="AK340" s="38">
        <v>0</v>
      </c>
      <c r="AL340" s="38">
        <v>0</v>
      </c>
      <c r="AM340" s="38">
        <v>0</v>
      </c>
      <c r="AN340" s="60"/>
      <c r="AO340" s="60">
        <f>AE340*0.5</f>
        <v>2.5</v>
      </c>
      <c r="AP340" s="60">
        <f>(AD340+AH340+AJ340+AL340+AO340)*I340</f>
        <v>182.0975</v>
      </c>
      <c r="AQ340" s="25">
        <f>SUM(N340:Q340)</f>
        <v>2.1599999999999997</v>
      </c>
      <c r="AR340" s="25">
        <f>SUM(T340:W340)</f>
        <v>2.1599999999999997</v>
      </c>
      <c r="AS340" s="268">
        <v>2.1549999999999998</v>
      </c>
      <c r="AT340" s="40"/>
      <c r="AU340" s="41">
        <f>SUM(N340:Q340)</f>
        <v>2.1599999999999997</v>
      </c>
      <c r="AV340" s="41">
        <f>SUM(T340:W340)</f>
        <v>2.1599999999999997</v>
      </c>
      <c r="AW340" s="41">
        <f>SUM(Z340:AB340)</f>
        <v>2.16</v>
      </c>
      <c r="AY340" s="22">
        <f>I340/AU340</f>
        <v>0.99768518518518523</v>
      </c>
      <c r="AZ340" s="22">
        <f>I340/AV340</f>
        <v>0.99768518518518523</v>
      </c>
      <c r="BA340" s="22">
        <f>I340/AW340</f>
        <v>0.99768518518518501</v>
      </c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</row>
    <row r="341" spans="1:88" s="22" customFormat="1">
      <c r="A341" s="1">
        <v>164</v>
      </c>
      <c r="B341" s="34" t="s">
        <v>332</v>
      </c>
      <c r="C341" s="34">
        <v>533</v>
      </c>
      <c r="D341" s="34">
        <v>1</v>
      </c>
      <c r="E341" s="34">
        <v>1403</v>
      </c>
      <c r="F341" s="34" t="s">
        <v>338</v>
      </c>
      <c r="G341" s="50" t="s">
        <v>340</v>
      </c>
      <c r="H341" s="50" t="s">
        <v>339</v>
      </c>
      <c r="I341" s="35">
        <v>14.052</v>
      </c>
      <c r="J341" s="241">
        <v>4</v>
      </c>
      <c r="K341" s="34" t="s">
        <v>96</v>
      </c>
      <c r="L341" s="10">
        <v>42203</v>
      </c>
      <c r="M341" s="37" t="s">
        <v>191</v>
      </c>
      <c r="N341" s="38">
        <v>8.26</v>
      </c>
      <c r="O341" s="38">
        <v>3.55</v>
      </c>
      <c r="P341" s="38">
        <v>1.8</v>
      </c>
      <c r="Q341" s="38">
        <v>0.44</v>
      </c>
      <c r="R341" s="38">
        <v>2.8759999999999999</v>
      </c>
      <c r="S341" s="38">
        <f t="shared" si="45"/>
        <v>3</v>
      </c>
      <c r="T341" s="38">
        <v>11.11</v>
      </c>
      <c r="U341" s="38">
        <v>2.12</v>
      </c>
      <c r="V341" s="38">
        <v>0.72</v>
      </c>
      <c r="W341" s="38">
        <v>0.1</v>
      </c>
      <c r="X341" s="38">
        <v>7.7430000000000003</v>
      </c>
      <c r="Y341" s="38">
        <f t="shared" si="46"/>
        <v>7.5</v>
      </c>
      <c r="Z341" s="38">
        <v>0</v>
      </c>
      <c r="AA341" s="38">
        <v>0</v>
      </c>
      <c r="AB341" s="38">
        <v>14.05</v>
      </c>
      <c r="AC341" s="38">
        <v>0.92400000000000004</v>
      </c>
      <c r="AD341" s="39">
        <v>498.96</v>
      </c>
      <c r="AE341" s="38">
        <v>101.91</v>
      </c>
      <c r="AF341" s="38">
        <f>(AD341+AE341*0.5)/(3.5*I341*1000)*100</f>
        <v>1.1181224838355495</v>
      </c>
      <c r="AG341" s="38">
        <f t="shared" si="47"/>
        <v>1.1000000000000001</v>
      </c>
      <c r="AH341" s="38">
        <v>0.49</v>
      </c>
      <c r="AI341" s="38">
        <f>AH341/(3.5*I341*1000)*100</f>
        <v>9.9629945915172225E-4</v>
      </c>
      <c r="AJ341" s="38">
        <v>19.95</v>
      </c>
      <c r="AK341" s="38">
        <f>AJ341/(3.5*I341*1000)*100</f>
        <v>4.0563620836891544E-2</v>
      </c>
      <c r="AL341" s="38">
        <v>0</v>
      </c>
      <c r="AM341" s="38">
        <f>AL341/(3.5*I341*1000)*100</f>
        <v>0</v>
      </c>
      <c r="AN341" s="25"/>
      <c r="AO341" s="25">
        <f>AE341*0.5</f>
        <v>50.954999999999998</v>
      </c>
      <c r="AP341" s="25">
        <f>(AD341+AH341+AJ341+AL341+AO341)*I341</f>
        <v>8014.6284599999999</v>
      </c>
      <c r="AQ341" s="25"/>
      <c r="AR341" s="25">
        <f>SUM(N341:Q341)</f>
        <v>14.049999999999999</v>
      </c>
      <c r="AS341" s="25">
        <f>SUM(T341:W341)</f>
        <v>14.05</v>
      </c>
      <c r="AU341" s="41">
        <f>SUM(N341:Q341)</f>
        <v>14.049999999999999</v>
      </c>
      <c r="AV341" s="41">
        <f>SUM(T341:W341)</f>
        <v>14.05</v>
      </c>
      <c r="AW341" s="41">
        <f>SUM(Z341:AB341)</f>
        <v>14.05</v>
      </c>
      <c r="AX341" s="41"/>
      <c r="AY341" s="22">
        <f>I341/AU341</f>
        <v>1.0001423487544485</v>
      </c>
      <c r="AZ341" s="22">
        <f>I341/AV341</f>
        <v>1.0001423487544483</v>
      </c>
      <c r="BA341" s="22">
        <f>I341/AW341</f>
        <v>1.0001423487544483</v>
      </c>
    </row>
    <row r="342" spans="1:88" s="22" customFormat="1">
      <c r="A342" s="1">
        <v>1162</v>
      </c>
      <c r="B342" s="74" t="s">
        <v>1577</v>
      </c>
      <c r="C342" s="34">
        <v>432</v>
      </c>
      <c r="D342" s="34">
        <v>3314</v>
      </c>
      <c r="E342" s="34">
        <v>101</v>
      </c>
      <c r="F342" s="34" t="s">
        <v>1626</v>
      </c>
      <c r="G342" s="34" t="s">
        <v>92</v>
      </c>
      <c r="H342" s="34" t="s">
        <v>1627</v>
      </c>
      <c r="I342" s="55">
        <v>4.1870000000000003</v>
      </c>
      <c r="J342" s="109">
        <v>2</v>
      </c>
      <c r="K342" s="181" t="s">
        <v>238</v>
      </c>
      <c r="L342" s="10">
        <v>42282</v>
      </c>
      <c r="M342" s="37" t="s">
        <v>191</v>
      </c>
      <c r="N342" s="38">
        <v>1.8</v>
      </c>
      <c r="O342" s="38">
        <v>0.875</v>
      </c>
      <c r="P342" s="38">
        <v>0.8</v>
      </c>
      <c r="Q342" s="38">
        <v>0.72499999999999998</v>
      </c>
      <c r="R342" s="38">
        <v>3.6369600000000002</v>
      </c>
      <c r="S342" s="38">
        <f t="shared" si="45"/>
        <v>3.5</v>
      </c>
      <c r="T342" s="38">
        <v>3.3250000000000002</v>
      </c>
      <c r="U342" s="38">
        <v>0.625</v>
      </c>
      <c r="V342" s="38">
        <v>0.15</v>
      </c>
      <c r="W342" s="38">
        <v>0.1</v>
      </c>
      <c r="X342" s="38">
        <v>6.4170999999999996</v>
      </c>
      <c r="Y342" s="38">
        <f t="shared" si="46"/>
        <v>6.5</v>
      </c>
      <c r="Z342" s="117">
        <v>0.125</v>
      </c>
      <c r="AA342" s="117">
        <v>2.5000000000000001E-2</v>
      </c>
      <c r="AB342" s="117">
        <v>4.0750000000000002</v>
      </c>
      <c r="AC342" s="38">
        <v>1.1819900000000001</v>
      </c>
      <c r="AD342" s="39">
        <v>156.74</v>
      </c>
      <c r="AE342" s="38">
        <v>10.36</v>
      </c>
      <c r="AF342" s="38">
        <v>1.1049169999999999</v>
      </c>
      <c r="AG342" s="38">
        <f t="shared" si="47"/>
        <v>1.1000000000000001</v>
      </c>
      <c r="AH342" s="38">
        <v>125.63</v>
      </c>
      <c r="AI342" s="38">
        <v>0.85727900000000001</v>
      </c>
      <c r="AJ342" s="38">
        <v>0</v>
      </c>
      <c r="AK342" s="38">
        <v>0</v>
      </c>
      <c r="AL342" s="38">
        <v>0</v>
      </c>
      <c r="AM342" s="38">
        <v>0</v>
      </c>
      <c r="AN342" s="114"/>
      <c r="AO342" s="73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</row>
    <row r="343" spans="1:88" s="22" customFormat="1">
      <c r="A343" s="1">
        <v>1010</v>
      </c>
      <c r="B343" s="9" t="s">
        <v>1394</v>
      </c>
      <c r="C343" s="9">
        <v>617</v>
      </c>
      <c r="D343" s="8">
        <v>226</v>
      </c>
      <c r="E343" s="9">
        <v>204</v>
      </c>
      <c r="F343" s="9" t="s">
        <v>1408</v>
      </c>
      <c r="G343" s="20" t="s">
        <v>1411</v>
      </c>
      <c r="H343" s="20" t="s">
        <v>1410</v>
      </c>
      <c r="I343" s="35">
        <v>10.079000000000001</v>
      </c>
      <c r="J343" s="107">
        <v>4</v>
      </c>
      <c r="K343" s="9" t="s">
        <v>237</v>
      </c>
      <c r="L343" s="18">
        <v>42129</v>
      </c>
      <c r="M343" s="37" t="s">
        <v>191</v>
      </c>
      <c r="N343" s="11">
        <v>4.0750000000000002</v>
      </c>
      <c r="O343" s="11">
        <v>2.7749999999999999</v>
      </c>
      <c r="P343" s="11">
        <v>1.85</v>
      </c>
      <c r="Q343" s="11">
        <v>1.3</v>
      </c>
      <c r="R343" s="11">
        <v>3.1602700000000001</v>
      </c>
      <c r="S343" s="38">
        <f t="shared" si="45"/>
        <v>3</v>
      </c>
      <c r="T343" s="11">
        <v>6.7519999999999998</v>
      </c>
      <c r="U343" s="11">
        <v>2.379</v>
      </c>
      <c r="V343" s="11">
        <v>0.92100000000000004</v>
      </c>
      <c r="W343" s="11">
        <v>2.7E-2</v>
      </c>
      <c r="X343" s="11">
        <v>8.8466400000000007</v>
      </c>
      <c r="Y343" s="38">
        <f t="shared" si="46"/>
        <v>9</v>
      </c>
      <c r="Z343" s="11">
        <v>0</v>
      </c>
      <c r="AA343" s="11">
        <v>0</v>
      </c>
      <c r="AB343" s="11">
        <f>SUM(N343:Q343)</f>
        <v>10</v>
      </c>
      <c r="AC343" s="11">
        <v>1.3535900000000001</v>
      </c>
      <c r="AD343" s="164">
        <v>386.99</v>
      </c>
      <c r="AE343" s="11">
        <v>0</v>
      </c>
      <c r="AF343" s="11">
        <f>(AD343+AE343*0.5)/(3.5*I343*1000)*100</f>
        <v>1.0970192621150057</v>
      </c>
      <c r="AG343" s="38">
        <f t="shared" si="47"/>
        <v>1.1000000000000001</v>
      </c>
      <c r="AH343" s="11">
        <v>133.76</v>
      </c>
      <c r="AI343" s="38">
        <f>AH343/(3.5*I343*1000)*100</f>
        <v>0.37917593865604576</v>
      </c>
      <c r="AJ343" s="11">
        <v>0</v>
      </c>
      <c r="AK343" s="38">
        <f>AJ343/(3.5*I343*1000)*100</f>
        <v>0</v>
      </c>
      <c r="AL343" s="11">
        <v>0</v>
      </c>
      <c r="AM343" s="38">
        <f>AL343/(3.5*I343*1000)*100</f>
        <v>0</v>
      </c>
      <c r="AN343" s="25"/>
      <c r="AO343" s="25">
        <f>AE343*0.5</f>
        <v>0</v>
      </c>
      <c r="AP343" s="25">
        <f>(AD343+AH343+AJ343+AL343+AO343)*I343</f>
        <v>5248.6392500000002</v>
      </c>
      <c r="AQ343" s="25"/>
      <c r="AR343" s="25"/>
      <c r="AS343" s="25"/>
      <c r="AT343" s="25"/>
      <c r="AU343" s="41"/>
      <c r="AV343" s="41"/>
      <c r="AW343" s="41"/>
    </row>
    <row r="344" spans="1:88" s="22" customFormat="1">
      <c r="A344" s="1">
        <v>527</v>
      </c>
      <c r="B344" s="88" t="s">
        <v>871</v>
      </c>
      <c r="C344" s="88">
        <v>557</v>
      </c>
      <c r="D344" s="88">
        <v>1254</v>
      </c>
      <c r="E344" s="88">
        <v>100</v>
      </c>
      <c r="F344" s="88" t="s">
        <v>906</v>
      </c>
      <c r="G344" s="88" t="s">
        <v>92</v>
      </c>
      <c r="H344" s="88" t="s">
        <v>907</v>
      </c>
      <c r="I344" s="115">
        <v>2.4009999999999998</v>
      </c>
      <c r="J344" s="223" t="s">
        <v>238</v>
      </c>
      <c r="K344" s="88">
        <v>2</v>
      </c>
      <c r="L344" s="116">
        <v>42270</v>
      </c>
      <c r="M344" s="37" t="s">
        <v>191</v>
      </c>
      <c r="N344" s="117">
        <v>0.5</v>
      </c>
      <c r="O344" s="117">
        <v>0.875</v>
      </c>
      <c r="P344" s="117">
        <v>0.35</v>
      </c>
      <c r="Q344" s="117">
        <v>0.63</v>
      </c>
      <c r="R344" s="117">
        <v>3.8838300000000001</v>
      </c>
      <c r="S344" s="38">
        <f t="shared" si="45"/>
        <v>4</v>
      </c>
      <c r="T344" s="117">
        <v>2.2749999999999999</v>
      </c>
      <c r="U344" s="117">
        <v>7.4999999999999997E-2</v>
      </c>
      <c r="V344" s="117">
        <v>0</v>
      </c>
      <c r="W344" s="117">
        <v>0</v>
      </c>
      <c r="X344" s="117">
        <v>2.36144</v>
      </c>
      <c r="Y344" s="38">
        <f t="shared" si="46"/>
        <v>2.5</v>
      </c>
      <c r="Z344" s="117">
        <v>0</v>
      </c>
      <c r="AA344" s="117">
        <v>0</v>
      </c>
      <c r="AB344" s="117">
        <v>2.355</v>
      </c>
      <c r="AC344" s="117">
        <v>1.2582899999999999</v>
      </c>
      <c r="AD344" s="254">
        <v>92.153999999999996</v>
      </c>
      <c r="AE344" s="117">
        <v>0</v>
      </c>
      <c r="AF344" s="117">
        <v>1.0966149999999999</v>
      </c>
      <c r="AG344" s="38">
        <f t="shared" si="47"/>
        <v>1.1000000000000001</v>
      </c>
      <c r="AH344" s="117">
        <v>67.48</v>
      </c>
      <c r="AI344" s="117">
        <v>0.80299900000000002</v>
      </c>
      <c r="AJ344" s="117">
        <v>0</v>
      </c>
      <c r="AK344" s="117">
        <v>0</v>
      </c>
      <c r="AL344" s="117">
        <v>1.27</v>
      </c>
      <c r="AM344" s="117">
        <v>1.5113E-2</v>
      </c>
      <c r="AN344" s="25"/>
      <c r="AO344" s="25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</row>
    <row r="345" spans="1:88" s="22" customFormat="1">
      <c r="A345" s="1">
        <v>220</v>
      </c>
      <c r="B345" s="34" t="s">
        <v>413</v>
      </c>
      <c r="C345" s="34">
        <v>536</v>
      </c>
      <c r="D345" s="34">
        <v>1169</v>
      </c>
      <c r="E345" s="34">
        <v>101</v>
      </c>
      <c r="F345" s="34" t="s">
        <v>426</v>
      </c>
      <c r="G345" s="20">
        <v>0</v>
      </c>
      <c r="H345" s="20">
        <v>15000</v>
      </c>
      <c r="I345" s="35">
        <v>15</v>
      </c>
      <c r="J345" s="237">
        <v>2</v>
      </c>
      <c r="K345" s="34" t="s">
        <v>238</v>
      </c>
      <c r="L345" s="10">
        <v>42214</v>
      </c>
      <c r="M345" s="37" t="s">
        <v>191</v>
      </c>
      <c r="N345" s="38">
        <v>8.59</v>
      </c>
      <c r="O345" s="38">
        <v>3.52</v>
      </c>
      <c r="P345" s="38">
        <v>1.84</v>
      </c>
      <c r="Q345" s="38">
        <v>1.06</v>
      </c>
      <c r="R345" s="38">
        <v>2.66439</v>
      </c>
      <c r="S345" s="38">
        <f t="shared" si="45"/>
        <v>2.5</v>
      </c>
      <c r="T345" s="38">
        <v>2.42</v>
      </c>
      <c r="U345" s="38">
        <v>2.06</v>
      </c>
      <c r="V345" s="38">
        <v>1.71</v>
      </c>
      <c r="W345" s="38">
        <v>8.81</v>
      </c>
      <c r="X345" s="38">
        <v>26.194500000000001</v>
      </c>
      <c r="Y345" s="38">
        <f t="shared" si="46"/>
        <v>26</v>
      </c>
      <c r="Z345" s="38">
        <v>0</v>
      </c>
      <c r="AA345" s="38">
        <v>0</v>
      </c>
      <c r="AB345" s="38">
        <v>15</v>
      </c>
      <c r="AC345" s="38">
        <v>1.1261300000000001</v>
      </c>
      <c r="AD345" s="39">
        <v>305</v>
      </c>
      <c r="AE345" s="38">
        <v>536.11</v>
      </c>
      <c r="AF345" s="38">
        <f>(AD345+AE345*0.5)/(3.5*I345*1000)*100</f>
        <v>1.0915333333333335</v>
      </c>
      <c r="AG345" s="38">
        <f t="shared" si="47"/>
        <v>1.1000000000000001</v>
      </c>
      <c r="AH345" s="38">
        <v>0</v>
      </c>
      <c r="AI345" s="38">
        <f>AH345/(3.5*I345*1000)*100</f>
        <v>0</v>
      </c>
      <c r="AJ345" s="38">
        <v>8</v>
      </c>
      <c r="AK345" s="38">
        <f>AJ345/(3.5*I345*1000)*100</f>
        <v>1.5238095238095236E-2</v>
      </c>
      <c r="AL345" s="38">
        <v>0</v>
      </c>
      <c r="AM345" s="38">
        <f>AL345/(3.5*I345*1000)*100</f>
        <v>0</v>
      </c>
      <c r="AN345" s="25"/>
      <c r="AO345" s="25">
        <f>AE345*0.5</f>
        <v>268.05500000000001</v>
      </c>
      <c r="AP345" s="25">
        <f>(AD345+AH345+AJ345+AL345+AO345)*I345</f>
        <v>8715.8250000000007</v>
      </c>
      <c r="AQ345" s="25">
        <f>SUM(N345:Q345)</f>
        <v>15.01</v>
      </c>
      <c r="AR345" s="25">
        <f>SUM(T345:W345)</f>
        <v>15</v>
      </c>
      <c r="AT345" s="41"/>
      <c r="AU345" s="41">
        <f>SUM(N345:Q345)</f>
        <v>15.01</v>
      </c>
      <c r="AV345" s="41">
        <f>SUM(T345:W345)</f>
        <v>15</v>
      </c>
      <c r="AW345" s="41">
        <f>SUM(Z345:AB345)</f>
        <v>15</v>
      </c>
      <c r="AY345" s="22">
        <f>I345/AU345</f>
        <v>0.99933377748167884</v>
      </c>
      <c r="AZ345" s="22">
        <f>I345/AV345</f>
        <v>1</v>
      </c>
      <c r="BA345" s="22">
        <f>I345/AW345</f>
        <v>1</v>
      </c>
    </row>
    <row r="346" spans="1:88" s="22" customFormat="1">
      <c r="A346" s="1">
        <v>1903</v>
      </c>
      <c r="B346" s="34" t="s">
        <v>2528</v>
      </c>
      <c r="C346" s="34">
        <v>336</v>
      </c>
      <c r="D346" s="75">
        <v>3404</v>
      </c>
      <c r="E346" s="8">
        <v>100</v>
      </c>
      <c r="F346" s="9" t="s">
        <v>2548</v>
      </c>
      <c r="G346" s="20" t="s">
        <v>2549</v>
      </c>
      <c r="H346" s="20" t="s">
        <v>92</v>
      </c>
      <c r="I346" s="21">
        <v>1.806</v>
      </c>
      <c r="J346" s="179">
        <v>2</v>
      </c>
      <c r="K346" s="8" t="s">
        <v>12</v>
      </c>
      <c r="L346" s="18">
        <v>42102</v>
      </c>
      <c r="M346" s="247" t="s">
        <v>191</v>
      </c>
      <c r="N346" s="11">
        <v>1.54</v>
      </c>
      <c r="O346" s="11">
        <v>0.15</v>
      </c>
      <c r="P346" s="11">
        <v>0.09</v>
      </c>
      <c r="Q346" s="11">
        <v>0.03</v>
      </c>
      <c r="R346" s="11">
        <v>2.05661</v>
      </c>
      <c r="S346" s="38">
        <f t="shared" si="45"/>
        <v>2</v>
      </c>
      <c r="T346" s="11">
        <v>1.78</v>
      </c>
      <c r="U346" s="11">
        <v>0.03</v>
      </c>
      <c r="V346" s="11">
        <v>0</v>
      </c>
      <c r="W346" s="11">
        <v>0</v>
      </c>
      <c r="X346" s="11">
        <v>5.6398400000000004</v>
      </c>
      <c r="Y346" s="38">
        <f t="shared" si="46"/>
        <v>5.5</v>
      </c>
      <c r="Z346" s="11">
        <v>0</v>
      </c>
      <c r="AA346" s="11">
        <v>0</v>
      </c>
      <c r="AB346" s="11">
        <v>1.81</v>
      </c>
      <c r="AC346" s="11">
        <v>1.1737899999999999</v>
      </c>
      <c r="AD346" s="164">
        <v>65.98</v>
      </c>
      <c r="AE346" s="11">
        <v>4.8</v>
      </c>
      <c r="AF346" s="38">
        <f>(AD346+AE346*0.5)/(3.5*I346*1000)*100</f>
        <v>1.0817908558772347</v>
      </c>
      <c r="AG346" s="38">
        <f t="shared" si="47"/>
        <v>1.1000000000000001</v>
      </c>
      <c r="AH346" s="38">
        <v>49.13</v>
      </c>
      <c r="AI346" s="38">
        <f>AH346/(3.5*I346*1000)*100</f>
        <v>0.77725043505774405</v>
      </c>
      <c r="AJ346" s="38">
        <v>0</v>
      </c>
      <c r="AK346" s="38">
        <f>AJ346/(3.5*I346*1000)*100</f>
        <v>0</v>
      </c>
      <c r="AL346" s="38">
        <v>2.5</v>
      </c>
      <c r="AM346" s="38">
        <f>AL346/(3.5*I346*1000)*100</f>
        <v>3.9550704002531245E-2</v>
      </c>
      <c r="AN346" s="1"/>
      <c r="AO346" s="1"/>
      <c r="AP346" s="1"/>
      <c r="AQ346" s="41">
        <f>SUM(N346:Q346)</f>
        <v>1.81</v>
      </c>
      <c r="AR346" s="41">
        <f>SUM(T346:W346)</f>
        <v>1.81</v>
      </c>
      <c r="AS346" s="12">
        <f>SUM(Z346:AB346)</f>
        <v>1.81</v>
      </c>
      <c r="AT346" s="1"/>
      <c r="AU346" s="1">
        <f>I346/AQ346</f>
        <v>0.99779005524861875</v>
      </c>
      <c r="AV346" s="1">
        <f>I346/AR346</f>
        <v>0.99779005524861875</v>
      </c>
      <c r="AW346" s="1">
        <f>I346/AS346</f>
        <v>0.99779005524861875</v>
      </c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</row>
    <row r="347" spans="1:88" s="22" customFormat="1">
      <c r="A347" s="1">
        <v>1238</v>
      </c>
      <c r="B347" s="34" t="s">
        <v>1725</v>
      </c>
      <c r="C347" s="88">
        <v>437</v>
      </c>
      <c r="D347" s="88">
        <v>3008</v>
      </c>
      <c r="E347" s="88">
        <v>100</v>
      </c>
      <c r="F347" s="88" t="s">
        <v>1746</v>
      </c>
      <c r="G347" s="88" t="s">
        <v>1748</v>
      </c>
      <c r="H347" s="88" t="s">
        <v>1747</v>
      </c>
      <c r="I347" s="115">
        <v>3.653</v>
      </c>
      <c r="J347" s="223">
        <v>2</v>
      </c>
      <c r="K347" s="88" t="s">
        <v>12</v>
      </c>
      <c r="L347" s="116">
        <v>42282</v>
      </c>
      <c r="M347" s="37" t="s">
        <v>191</v>
      </c>
      <c r="N347" s="38">
        <v>2.2250000000000001</v>
      </c>
      <c r="O347" s="38">
        <v>0.52500000000000002</v>
      </c>
      <c r="P347" s="38">
        <v>0.45</v>
      </c>
      <c r="Q347" s="38">
        <v>0.52500000000000002</v>
      </c>
      <c r="R347" s="38">
        <v>3.31765</v>
      </c>
      <c r="S347" s="38">
        <f t="shared" si="45"/>
        <v>3.5</v>
      </c>
      <c r="T347" s="38">
        <v>3.625</v>
      </c>
      <c r="U347" s="38">
        <v>0.1</v>
      </c>
      <c r="V347" s="38">
        <v>0</v>
      </c>
      <c r="W347" s="38">
        <v>0</v>
      </c>
      <c r="X347" s="38">
        <v>3.3420800000000002</v>
      </c>
      <c r="Y347" s="38">
        <f t="shared" si="46"/>
        <v>3.5</v>
      </c>
      <c r="Z347" s="38">
        <v>0</v>
      </c>
      <c r="AA347" s="117">
        <v>0</v>
      </c>
      <c r="AB347" s="117">
        <v>3.653</v>
      </c>
      <c r="AC347" s="117">
        <v>1.1205499999999999</v>
      </c>
      <c r="AD347" s="254">
        <v>119.63</v>
      </c>
      <c r="AE347" s="117">
        <v>34.86</v>
      </c>
      <c r="AF347" s="117">
        <f>(AD347+AE347*0.5)/(3.5*I347*1000)*100</f>
        <v>1.0719956200383247</v>
      </c>
      <c r="AG347" s="38">
        <f t="shared" si="47"/>
        <v>1.1000000000000001</v>
      </c>
      <c r="AH347" s="117">
        <v>163.25</v>
      </c>
      <c r="AI347" s="117">
        <f>AH347/(3.5*I347*1000)*100</f>
        <v>1.2768370419615971</v>
      </c>
      <c r="AJ347" s="117">
        <v>1.98</v>
      </c>
      <c r="AK347" s="117">
        <f>AJ347/(3.5*I347*1000)*100</f>
        <v>1.5486293066364242E-2</v>
      </c>
      <c r="AL347" s="117">
        <v>0</v>
      </c>
      <c r="AM347" s="117">
        <f>AJ347/(3.5*I347*1000)*100</f>
        <v>1.5486293066364242E-2</v>
      </c>
      <c r="AN347" s="12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</row>
    <row r="348" spans="1:88">
      <c r="A348" s="1">
        <v>202</v>
      </c>
      <c r="B348" s="34" t="s">
        <v>383</v>
      </c>
      <c r="C348" s="34">
        <v>535</v>
      </c>
      <c r="D348" s="34">
        <v>1120</v>
      </c>
      <c r="E348" s="34">
        <v>200</v>
      </c>
      <c r="F348" s="34" t="s">
        <v>396</v>
      </c>
      <c r="G348" s="20">
        <v>45393</v>
      </c>
      <c r="H348" s="20">
        <v>10000</v>
      </c>
      <c r="I348" s="35">
        <v>35.393000000000001</v>
      </c>
      <c r="J348" s="36">
        <v>2</v>
      </c>
      <c r="K348" s="34" t="s">
        <v>12</v>
      </c>
      <c r="L348" s="18">
        <v>42210</v>
      </c>
      <c r="M348" s="9" t="s">
        <v>191</v>
      </c>
      <c r="N348" s="38">
        <v>17.22</v>
      </c>
      <c r="O348" s="38">
        <v>10.27</v>
      </c>
      <c r="P348" s="38">
        <v>4.8099999999999996</v>
      </c>
      <c r="Q348" s="38">
        <v>3.1</v>
      </c>
      <c r="R348" s="38">
        <v>3.1293700000000002</v>
      </c>
      <c r="S348" s="38">
        <f t="shared" si="45"/>
        <v>3</v>
      </c>
      <c r="T348" s="38">
        <v>31.52</v>
      </c>
      <c r="U348" s="38">
        <v>2.87</v>
      </c>
      <c r="V348" s="38">
        <v>0.76</v>
      </c>
      <c r="W348" s="38">
        <v>0.25</v>
      </c>
      <c r="X348" s="38">
        <v>6.0522</v>
      </c>
      <c r="Y348" s="38">
        <f t="shared" si="46"/>
        <v>6</v>
      </c>
      <c r="Z348" s="38">
        <v>0</v>
      </c>
      <c r="AA348" s="38">
        <v>0</v>
      </c>
      <c r="AB348" s="38">
        <v>35.39</v>
      </c>
      <c r="AC348" s="38">
        <v>1.3259399999999999</v>
      </c>
      <c r="AD348" s="38">
        <v>1264</v>
      </c>
      <c r="AE348" s="38">
        <v>120.96</v>
      </c>
      <c r="AF348" s="38">
        <f>(AD348+AE348*0.5)/(3.5*I348*1000)*100</f>
        <v>1.0692025461047585</v>
      </c>
      <c r="AG348" s="38">
        <f t="shared" si="47"/>
        <v>1.1000000000000001</v>
      </c>
      <c r="AH348" s="38">
        <v>351</v>
      </c>
      <c r="AI348" s="38">
        <f>AH348/(3.5*I348*1000)*100</f>
        <v>0.28334900767302656</v>
      </c>
      <c r="AJ348" s="38">
        <v>1078</v>
      </c>
      <c r="AK348" s="38">
        <f>AJ348/(3.5*I348*1000)*100</f>
        <v>0.87022857627214423</v>
      </c>
      <c r="AL348" s="38">
        <v>0</v>
      </c>
      <c r="AM348" s="38">
        <f>AL348/(3.5*I348*1000)*100</f>
        <v>0</v>
      </c>
      <c r="AN348" s="25"/>
      <c r="AO348" s="25"/>
      <c r="AP348" s="25">
        <f>AE348*0.5</f>
        <v>60.48</v>
      </c>
      <c r="AQ348" s="25">
        <f>(AD348+AH348+AJ348+AL348+AP348)*I348</f>
        <v>97453.91764</v>
      </c>
      <c r="AR348" s="25"/>
      <c r="AS348" s="25"/>
      <c r="AT348" s="25"/>
      <c r="AU348" s="41">
        <f>SUM(N348:Q348)</f>
        <v>35.4</v>
      </c>
      <c r="AV348" s="41">
        <f>SUM(T348:W348)</f>
        <v>35.4</v>
      </c>
      <c r="AW348" s="41">
        <f>SUM(Z348:AB348)</f>
        <v>35.39</v>
      </c>
      <c r="AX348" s="41"/>
      <c r="AY348" s="22">
        <f>I348/AU348</f>
        <v>0.99980225988700566</v>
      </c>
      <c r="AZ348" s="22">
        <f>I348/AV348</f>
        <v>0.99980225988700566</v>
      </c>
      <c r="BA348" s="22">
        <f>I348/AW348</f>
        <v>1.0000847697089574</v>
      </c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  <c r="CH348" s="22"/>
      <c r="CI348" s="22"/>
      <c r="CJ348" s="22"/>
    </row>
    <row r="349" spans="1:88" s="22" customFormat="1">
      <c r="A349" s="1">
        <v>1690</v>
      </c>
      <c r="B349" s="34" t="s">
        <v>2279</v>
      </c>
      <c r="C349" s="34">
        <v>421</v>
      </c>
      <c r="D349" s="8">
        <v>3124</v>
      </c>
      <c r="E349" s="34">
        <v>100</v>
      </c>
      <c r="F349" s="34" t="s">
        <v>2291</v>
      </c>
      <c r="G349" s="58">
        <v>0</v>
      </c>
      <c r="H349" s="58">
        <v>9006</v>
      </c>
      <c r="I349" s="35">
        <v>9.0060000000000002</v>
      </c>
      <c r="J349" s="9">
        <v>2</v>
      </c>
      <c r="K349" s="34" t="s">
        <v>238</v>
      </c>
      <c r="L349" s="10">
        <v>42227</v>
      </c>
      <c r="M349" s="9" t="s">
        <v>191</v>
      </c>
      <c r="N349" s="38">
        <v>4.3499999999999996</v>
      </c>
      <c r="O349" s="38">
        <v>2.1749999999999998</v>
      </c>
      <c r="P349" s="38">
        <v>1.6</v>
      </c>
      <c r="Q349" s="38">
        <v>0.9</v>
      </c>
      <c r="R349" s="38">
        <v>2.9851299999999998</v>
      </c>
      <c r="S349" s="38">
        <f t="shared" si="45"/>
        <v>3</v>
      </c>
      <c r="T349" s="38">
        <v>7.6</v>
      </c>
      <c r="U349" s="38">
        <v>1.05</v>
      </c>
      <c r="V349" s="38">
        <v>0.25</v>
      </c>
      <c r="W349" s="38">
        <v>0.125</v>
      </c>
      <c r="X349" s="38">
        <v>7.4853199999999998</v>
      </c>
      <c r="Y349" s="38">
        <f t="shared" si="46"/>
        <v>7.5</v>
      </c>
      <c r="Z349" s="38">
        <v>0</v>
      </c>
      <c r="AA349" s="38">
        <v>0</v>
      </c>
      <c r="AB349" s="38">
        <v>9.0060000000000002</v>
      </c>
      <c r="AC349" s="38">
        <v>1.1804600000000001</v>
      </c>
      <c r="AD349" s="38">
        <v>321.94</v>
      </c>
      <c r="AE349" s="38">
        <v>28.8</v>
      </c>
      <c r="AF349" s="38">
        <f>(AD349+AE349*0.5)/(3.5*I349*1000)*100</f>
        <v>1.0670346752958344</v>
      </c>
      <c r="AG349" s="38">
        <f t="shared" si="47"/>
        <v>1.1000000000000001</v>
      </c>
      <c r="AH349" s="38">
        <v>5.83</v>
      </c>
      <c r="AI349" s="38">
        <f>AH349/(3.5*I349*1000)*100</f>
        <v>1.8495606103867263E-2</v>
      </c>
      <c r="AJ349" s="38">
        <v>129</v>
      </c>
      <c r="AK349" s="38">
        <f>AJ349/(3.5*I349*1000)*100</f>
        <v>0.40925097554011614</v>
      </c>
      <c r="AL349" s="38">
        <v>1.93</v>
      </c>
      <c r="AM349" s="38">
        <f>AL349/(3.5*I349*1000)*100</f>
        <v>6.1229021921893343E-3</v>
      </c>
      <c r="AN349" s="25"/>
      <c r="AO349" s="25">
        <f>AE349*0.5</f>
        <v>14.4</v>
      </c>
      <c r="AP349" s="25">
        <f>(AD349+AH349+AJ349+AL349+AO349)*I349</f>
        <v>4260.7385999999997</v>
      </c>
      <c r="AQ349" s="25">
        <f>SUM(N349:Q349)</f>
        <v>9.0250000000000004</v>
      </c>
      <c r="AR349" s="25">
        <f>SUM(T349:W349)</f>
        <v>9.0250000000000004</v>
      </c>
      <c r="AT349" s="41"/>
      <c r="AU349" s="41"/>
      <c r="AV349" s="41"/>
      <c r="AW349" s="41"/>
    </row>
    <row r="350" spans="1:88" s="22" customFormat="1">
      <c r="A350" s="1">
        <v>889</v>
      </c>
      <c r="B350" s="34" t="s">
        <v>1271</v>
      </c>
      <c r="C350" s="34">
        <v>632</v>
      </c>
      <c r="D350" s="162">
        <v>2368</v>
      </c>
      <c r="E350" s="34">
        <v>100</v>
      </c>
      <c r="F350" s="34" t="s">
        <v>1282</v>
      </c>
      <c r="G350" s="58">
        <v>0</v>
      </c>
      <c r="H350" s="58">
        <v>4621</v>
      </c>
      <c r="I350" s="35">
        <v>4.6210000000000004</v>
      </c>
      <c r="J350" s="9">
        <v>2</v>
      </c>
      <c r="K350" s="34" t="s">
        <v>238</v>
      </c>
      <c r="L350" s="10">
        <v>42143</v>
      </c>
      <c r="M350" s="9" t="s">
        <v>191</v>
      </c>
      <c r="N350" s="38">
        <v>0.67500000000000004</v>
      </c>
      <c r="O350" s="38">
        <v>1.675</v>
      </c>
      <c r="P350" s="38">
        <v>1.175</v>
      </c>
      <c r="Q350" s="38">
        <v>1.2</v>
      </c>
      <c r="R350" s="38">
        <v>4.7763200000000001</v>
      </c>
      <c r="S350" s="38">
        <f t="shared" si="45"/>
        <v>5</v>
      </c>
      <c r="T350" s="38">
        <v>4.4000000000000004</v>
      </c>
      <c r="U350" s="38">
        <v>0.3</v>
      </c>
      <c r="V350" s="38">
        <v>2.5000000000000001E-2</v>
      </c>
      <c r="W350" s="38">
        <v>0</v>
      </c>
      <c r="X350" s="38">
        <v>4.6958000000000002</v>
      </c>
      <c r="Y350" s="38">
        <f t="shared" si="46"/>
        <v>4.5</v>
      </c>
      <c r="Z350" s="38">
        <v>0</v>
      </c>
      <c r="AA350" s="38">
        <v>0</v>
      </c>
      <c r="AB350" s="38">
        <f>N350+O350+P350+Q350</f>
        <v>4.7250000000000005</v>
      </c>
      <c r="AC350" s="38">
        <v>1.7597799999999999</v>
      </c>
      <c r="AD350" s="38">
        <v>164.89</v>
      </c>
      <c r="AE350" s="38">
        <v>9.65</v>
      </c>
      <c r="AF350" s="38">
        <v>1.0493399999999999</v>
      </c>
      <c r="AG350" s="38">
        <f t="shared" si="47"/>
        <v>1</v>
      </c>
      <c r="AH350" s="38">
        <v>994.62</v>
      </c>
      <c r="AI350" s="38">
        <v>6.1496890000000004</v>
      </c>
      <c r="AJ350" s="38">
        <v>4</v>
      </c>
      <c r="AK350" s="38">
        <v>2.4732000000000001E-2</v>
      </c>
      <c r="AL350" s="38">
        <v>8.3699999999999992</v>
      </c>
      <c r="AM350" s="38">
        <v>5.1750999999999998E-2</v>
      </c>
      <c r="AN350" s="25"/>
      <c r="AO350" s="25">
        <f>AE350*0.5</f>
        <v>4.8250000000000002</v>
      </c>
      <c r="AP350" s="25">
        <f>(AD350+AH350+AJ350+AL350+AO350)*I350</f>
        <v>5437.5538050000005</v>
      </c>
      <c r="AQ350" s="25">
        <f>SUM(N350:Q350)</f>
        <v>4.7250000000000005</v>
      </c>
      <c r="AR350" s="25">
        <f>SUM(T350:W350)</f>
        <v>4.7250000000000005</v>
      </c>
      <c r="AT350" s="41"/>
      <c r="AU350" s="41"/>
      <c r="AV350" s="41"/>
      <c r="AW350" s="41"/>
    </row>
    <row r="351" spans="1:88" s="22" customFormat="1">
      <c r="A351" s="1">
        <v>137</v>
      </c>
      <c r="B351" s="4" t="s">
        <v>38</v>
      </c>
      <c r="C351" s="14">
        <v>528</v>
      </c>
      <c r="D351" s="19">
        <v>1361</v>
      </c>
      <c r="E351" s="16">
        <v>100</v>
      </c>
      <c r="F351" s="14" t="s">
        <v>43</v>
      </c>
      <c r="G351" s="20" t="s">
        <v>188</v>
      </c>
      <c r="H351" s="20" t="s">
        <v>189</v>
      </c>
      <c r="I351" s="21">
        <v>3.625</v>
      </c>
      <c r="J351" s="8">
        <v>2</v>
      </c>
      <c r="K351" s="33" t="s">
        <v>238</v>
      </c>
      <c r="L351" s="18">
        <v>42224</v>
      </c>
      <c r="M351" s="9" t="s">
        <v>191</v>
      </c>
      <c r="N351" s="11">
        <v>1.75</v>
      </c>
      <c r="O351" s="11">
        <v>1.3</v>
      </c>
      <c r="P351" s="11">
        <v>0.4</v>
      </c>
      <c r="Q351" s="11">
        <v>0.2</v>
      </c>
      <c r="R351" s="11">
        <v>2.8823300000000001</v>
      </c>
      <c r="S351" s="38">
        <f t="shared" si="45"/>
        <v>3</v>
      </c>
      <c r="T351" s="11">
        <v>3.65</v>
      </c>
      <c r="U351" s="11">
        <v>0</v>
      </c>
      <c r="V351" s="11">
        <v>0</v>
      </c>
      <c r="W351" s="11">
        <v>0</v>
      </c>
      <c r="X351" s="11">
        <v>1.4521200000000001</v>
      </c>
      <c r="Y351" s="38">
        <f t="shared" si="46"/>
        <v>1.5</v>
      </c>
      <c r="Z351" s="11">
        <v>0</v>
      </c>
      <c r="AA351" s="11">
        <v>0</v>
      </c>
      <c r="AB351" s="11">
        <v>3.65</v>
      </c>
      <c r="AC351" s="11">
        <v>0.94867100000000004</v>
      </c>
      <c r="AD351" s="11">
        <v>125.64</v>
      </c>
      <c r="AE351" s="11">
        <v>14.69</v>
      </c>
      <c r="AF351" s="11">
        <f>(AD351+AE351*0.5)/(3.5*I351*1000)*100</f>
        <v>1.0481576354679805</v>
      </c>
      <c r="AG351" s="38">
        <f t="shared" si="47"/>
        <v>1</v>
      </c>
      <c r="AH351" s="11">
        <v>0</v>
      </c>
      <c r="AI351" s="11">
        <f>AH351/(3.5*I351*1000)*100</f>
        <v>0</v>
      </c>
      <c r="AJ351" s="11">
        <v>0</v>
      </c>
      <c r="AK351" s="11">
        <f>AJ351/(3.5*I351*1000)*100</f>
        <v>0</v>
      </c>
      <c r="AL351" s="11">
        <v>0</v>
      </c>
      <c r="AM351" s="11">
        <f>AL351/(3.5*I351*1000)*100</f>
        <v>0</v>
      </c>
    </row>
    <row r="352" spans="1:88" s="22" customFormat="1">
      <c r="A352" s="1">
        <v>1763</v>
      </c>
      <c r="B352" s="34" t="s">
        <v>2348</v>
      </c>
      <c r="C352" s="34">
        <v>425</v>
      </c>
      <c r="D352" s="8">
        <v>3447</v>
      </c>
      <c r="E352" s="34">
        <v>102</v>
      </c>
      <c r="F352" s="34" t="s">
        <v>2364</v>
      </c>
      <c r="G352" s="58">
        <v>7569</v>
      </c>
      <c r="H352" s="58">
        <v>13538</v>
      </c>
      <c r="I352" s="35">
        <v>5.9690000000000003</v>
      </c>
      <c r="J352" s="9">
        <v>2</v>
      </c>
      <c r="K352" s="34" t="s">
        <v>238</v>
      </c>
      <c r="L352" s="10">
        <v>42235</v>
      </c>
      <c r="M352" s="9" t="s">
        <v>191</v>
      </c>
      <c r="N352" s="38">
        <v>2.4249999999999998</v>
      </c>
      <c r="O352" s="38">
        <v>1.825</v>
      </c>
      <c r="P352" s="38">
        <v>0.82499999999999996</v>
      </c>
      <c r="Q352" s="38">
        <v>0.9</v>
      </c>
      <c r="R352" s="38">
        <v>3.38381</v>
      </c>
      <c r="S352" s="38">
        <f t="shared" si="45"/>
        <v>3.5</v>
      </c>
      <c r="T352" s="38">
        <v>5.5750000000000002</v>
      </c>
      <c r="U352" s="38">
        <v>0.35</v>
      </c>
      <c r="V352" s="38">
        <v>2.5000000000000001E-2</v>
      </c>
      <c r="W352" s="38">
        <v>2.5000000000000001E-2</v>
      </c>
      <c r="X352" s="38">
        <v>4.8415499999999998</v>
      </c>
      <c r="Y352" s="38">
        <f t="shared" si="46"/>
        <v>5</v>
      </c>
      <c r="Z352" s="38">
        <v>0</v>
      </c>
      <c r="AA352" s="38">
        <v>0</v>
      </c>
      <c r="AB352" s="38">
        <f>SUM(T352:W352)</f>
        <v>5.9750000000000005</v>
      </c>
      <c r="AC352" s="38">
        <v>1.28487</v>
      </c>
      <c r="AD352" s="38">
        <v>218.79</v>
      </c>
      <c r="AE352" s="38">
        <v>0</v>
      </c>
      <c r="AF352" s="38">
        <f>(AD352+AE352*0.5)/(3.5*I352*1000)*100</f>
        <v>1.0472680276667545</v>
      </c>
      <c r="AG352" s="38">
        <f t="shared" si="47"/>
        <v>1</v>
      </c>
      <c r="AH352" s="38">
        <v>0</v>
      </c>
      <c r="AI352" s="38">
        <f>AH352/(3.5*I352*1000)*100</f>
        <v>0</v>
      </c>
      <c r="AJ352" s="38">
        <v>0</v>
      </c>
      <c r="AK352" s="38">
        <f>AJ352/(3.5*I352*1000)*100</f>
        <v>0</v>
      </c>
      <c r="AL352" s="38">
        <v>50.92</v>
      </c>
      <c r="AM352" s="55">
        <f>AL352/(3.5*I352*1000)*100</f>
        <v>0.24373549051049473</v>
      </c>
      <c r="AN352" s="25"/>
      <c r="AO352" s="25">
        <f>AE352*0.5</f>
        <v>0</v>
      </c>
      <c r="AP352" s="25">
        <f>(AD352+AH352+AJ352+AL352+AO352)*I352</f>
        <v>1609.8989899999999</v>
      </c>
      <c r="AQ352" s="25">
        <f>SUM(N352:Q352)</f>
        <v>5.9750000000000005</v>
      </c>
      <c r="AR352" s="25">
        <f>SUM(T352:W352)</f>
        <v>5.9750000000000005</v>
      </c>
      <c r="AT352" s="41"/>
      <c r="AU352" s="41"/>
      <c r="AV352" s="41"/>
      <c r="AW352" s="41"/>
    </row>
    <row r="353" spans="1:88" s="22" customFormat="1">
      <c r="A353" s="1">
        <v>279</v>
      </c>
      <c r="B353" s="34" t="s">
        <v>484</v>
      </c>
      <c r="C353" s="34">
        <v>641</v>
      </c>
      <c r="D353" s="34">
        <v>2330</v>
      </c>
      <c r="E353" s="34">
        <v>100</v>
      </c>
      <c r="F353" s="34" t="s">
        <v>504</v>
      </c>
      <c r="G353" s="58">
        <v>0</v>
      </c>
      <c r="H353" s="58">
        <v>33221</v>
      </c>
      <c r="I353" s="35">
        <v>33.220999999999997</v>
      </c>
      <c r="J353" s="59">
        <v>2</v>
      </c>
      <c r="K353" s="34" t="s">
        <v>238</v>
      </c>
      <c r="L353" s="10">
        <v>42160</v>
      </c>
      <c r="M353" s="9" t="s">
        <v>191</v>
      </c>
      <c r="N353" s="38">
        <v>20.75</v>
      </c>
      <c r="O353" s="38">
        <v>8.4</v>
      </c>
      <c r="P353" s="38">
        <v>3.0249999999999999</v>
      </c>
      <c r="Q353" s="38">
        <v>0.85</v>
      </c>
      <c r="R353" s="38">
        <v>2.4596200000000001</v>
      </c>
      <c r="S353" s="38">
        <f t="shared" si="45"/>
        <v>2.5</v>
      </c>
      <c r="T353" s="38">
        <v>32.85</v>
      </c>
      <c r="U353" s="38">
        <v>0.17499999999999999</v>
      </c>
      <c r="V353" s="38">
        <v>0</v>
      </c>
      <c r="W353" s="38">
        <v>0</v>
      </c>
      <c r="X353" s="38">
        <v>2.7362000000000002</v>
      </c>
      <c r="Y353" s="38">
        <f t="shared" si="46"/>
        <v>2.5</v>
      </c>
      <c r="Z353" s="38">
        <v>0</v>
      </c>
      <c r="AA353" s="38">
        <v>0</v>
      </c>
      <c r="AB353" s="38">
        <f>T353+U353+V353+W353</f>
        <v>33.024999999999999</v>
      </c>
      <c r="AC353" s="38">
        <v>1.2673399999999999</v>
      </c>
      <c r="AD353" s="38">
        <v>1077</v>
      </c>
      <c r="AE353" s="38">
        <v>276</v>
      </c>
      <c r="AF353" s="38">
        <f>(AD353+AE353*0.5)/(3.5*I353*1000)*100</f>
        <v>1.044950053107544</v>
      </c>
      <c r="AG353" s="38">
        <f t="shared" si="47"/>
        <v>1</v>
      </c>
      <c r="AH353" s="38">
        <v>35</v>
      </c>
      <c r="AI353" s="38">
        <f>AH353/(3.5*I353*1000)*100</f>
        <v>3.0101441859065055E-2</v>
      </c>
      <c r="AJ353" s="38">
        <v>35.61</v>
      </c>
      <c r="AK353" s="38">
        <v>0</v>
      </c>
      <c r="AL353" s="38">
        <v>0</v>
      </c>
      <c r="AM353" s="38">
        <f>AL353/(3.5*I353*1000)*100</f>
        <v>0</v>
      </c>
      <c r="AN353" s="60"/>
      <c r="AO353" s="60">
        <f>AE353*0.5</f>
        <v>138</v>
      </c>
      <c r="AP353" s="60">
        <f>(AD353+AH353+AJ353+AL353+AO353)*I353</f>
        <v>42709.249809999994</v>
      </c>
      <c r="AQ353" s="25">
        <f>SUM(N353:Q353)</f>
        <v>33.024999999999999</v>
      </c>
      <c r="AR353" s="25">
        <f>SUM(T353:W353)</f>
        <v>33.024999999999999</v>
      </c>
      <c r="AS353" s="61"/>
      <c r="AT353" s="40"/>
      <c r="AU353" s="41">
        <f>SUM(N353:Q353)</f>
        <v>33.024999999999999</v>
      </c>
      <c r="AV353" s="41">
        <f>SUM(T353:W353)</f>
        <v>33.024999999999999</v>
      </c>
      <c r="AW353" s="41">
        <f>SUM(Z353:AB353)</f>
        <v>33.024999999999999</v>
      </c>
      <c r="AX353" s="61"/>
      <c r="AY353" s="22">
        <f>I353/AU353</f>
        <v>1.0059348978046934</v>
      </c>
      <c r="AZ353" s="22">
        <f>I353/AV353</f>
        <v>1.0059348978046934</v>
      </c>
      <c r="BA353" s="22">
        <f>I353/AW353</f>
        <v>1.0059348978046934</v>
      </c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</row>
    <row r="354" spans="1:88" s="22" customFormat="1">
      <c r="A354" s="1">
        <v>1243</v>
      </c>
      <c r="B354" s="34" t="s">
        <v>1725</v>
      </c>
      <c r="C354" s="88">
        <v>437</v>
      </c>
      <c r="D354" s="88">
        <v>3438</v>
      </c>
      <c r="E354" s="88">
        <v>200</v>
      </c>
      <c r="F354" s="88" t="s">
        <v>1758</v>
      </c>
      <c r="G354" s="88" t="s">
        <v>1759</v>
      </c>
      <c r="H354" s="88" t="s">
        <v>1760</v>
      </c>
      <c r="I354" s="115">
        <v>1.998</v>
      </c>
      <c r="J354" s="88">
        <v>2</v>
      </c>
      <c r="K354" s="88" t="s">
        <v>12</v>
      </c>
      <c r="L354" s="116">
        <v>42282</v>
      </c>
      <c r="M354" s="9" t="s">
        <v>191</v>
      </c>
      <c r="N354" s="38">
        <v>1.675</v>
      </c>
      <c r="O354" s="38">
        <v>0.25</v>
      </c>
      <c r="P354" s="38">
        <v>7.4999999999999997E-2</v>
      </c>
      <c r="Q354" s="38">
        <v>0</v>
      </c>
      <c r="R354" s="38">
        <v>1.9416199999999999</v>
      </c>
      <c r="S354" s="38">
        <f t="shared" si="45"/>
        <v>2</v>
      </c>
      <c r="T354" s="38">
        <v>2</v>
      </c>
      <c r="U354" s="38">
        <v>0</v>
      </c>
      <c r="V354" s="38">
        <v>0</v>
      </c>
      <c r="W354" s="38">
        <v>0</v>
      </c>
      <c r="X354" s="38">
        <v>3.24594</v>
      </c>
      <c r="Y354" s="38">
        <f t="shared" si="46"/>
        <v>3</v>
      </c>
      <c r="Z354" s="38">
        <v>0</v>
      </c>
      <c r="AA354" s="117">
        <v>0</v>
      </c>
      <c r="AB354" s="117">
        <v>1.998</v>
      </c>
      <c r="AC354" s="117">
        <v>1.4691399999999999</v>
      </c>
      <c r="AD354" s="117">
        <v>69.209999999999994</v>
      </c>
      <c r="AE354" s="117">
        <v>7.2249999999999996</v>
      </c>
      <c r="AF354" s="117">
        <f>(AD354+AE354*0.5)/(3.5*I354*1000)*100</f>
        <v>1.0413627913627912</v>
      </c>
      <c r="AG354" s="38">
        <f t="shared" si="47"/>
        <v>1</v>
      </c>
      <c r="AH354" s="117">
        <v>96.5</v>
      </c>
      <c r="AI354" s="117">
        <f>AH354/(3.5*I354*1000)*100</f>
        <v>1.3799513799513801</v>
      </c>
      <c r="AJ354" s="117">
        <v>0</v>
      </c>
      <c r="AK354" s="117">
        <f>AJ354/(3.5*I354*1000)*100</f>
        <v>0</v>
      </c>
      <c r="AL354" s="117">
        <v>0</v>
      </c>
      <c r="AM354" s="117">
        <f>AJ354/(3.5*I354*1000)*100</f>
        <v>0</v>
      </c>
      <c r="AN354" s="12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</row>
    <row r="355" spans="1:88" s="22" customFormat="1">
      <c r="A355" s="1">
        <v>671</v>
      </c>
      <c r="B355" s="34" t="s">
        <v>1062</v>
      </c>
      <c r="C355" s="34">
        <v>623</v>
      </c>
      <c r="D355" s="34">
        <v>2348</v>
      </c>
      <c r="E355" s="34">
        <v>102</v>
      </c>
      <c r="F355" s="9" t="s">
        <v>1080</v>
      </c>
      <c r="G355" s="20">
        <v>28275</v>
      </c>
      <c r="H355" s="20">
        <v>86500</v>
      </c>
      <c r="I355" s="35">
        <v>58.225000000000001</v>
      </c>
      <c r="J355" s="34">
        <v>2</v>
      </c>
      <c r="K355" s="34" t="s">
        <v>238</v>
      </c>
      <c r="L355" s="10">
        <v>42136</v>
      </c>
      <c r="M355" s="9" t="s">
        <v>191</v>
      </c>
      <c r="N355" s="38">
        <v>30.1</v>
      </c>
      <c r="O355" s="38">
        <v>16.16</v>
      </c>
      <c r="P355" s="38">
        <v>6.65</v>
      </c>
      <c r="Q355" s="38">
        <v>5.33</v>
      </c>
      <c r="R355" s="38">
        <v>2.6676000000000002</v>
      </c>
      <c r="S355" s="38">
        <f t="shared" si="45"/>
        <v>2.5</v>
      </c>
      <c r="T355" s="38">
        <v>53.81</v>
      </c>
      <c r="U355" s="38">
        <v>3.46</v>
      </c>
      <c r="V355" s="38">
        <v>0.89</v>
      </c>
      <c r="W355" s="38">
        <v>0.08</v>
      </c>
      <c r="X355" s="38">
        <v>4.6490999999999998</v>
      </c>
      <c r="Y355" s="38">
        <f t="shared" si="46"/>
        <v>4.5</v>
      </c>
      <c r="Z355" s="38">
        <v>0</v>
      </c>
      <c r="AA355" s="38">
        <v>0.03</v>
      </c>
      <c r="AB355" s="38">
        <v>58.2</v>
      </c>
      <c r="AC355" s="38">
        <v>1.1656</v>
      </c>
      <c r="AD355" s="38">
        <v>2015.31</v>
      </c>
      <c r="AE355" s="38">
        <v>201.26</v>
      </c>
      <c r="AF355" s="38">
        <v>1.0383100000000001</v>
      </c>
      <c r="AG355" s="38">
        <f t="shared" si="47"/>
        <v>1</v>
      </c>
      <c r="AH355" s="38">
        <v>0</v>
      </c>
      <c r="AI355" s="38">
        <v>0</v>
      </c>
      <c r="AJ355" s="38">
        <v>258.36</v>
      </c>
      <c r="AK355" s="38">
        <v>0.12678</v>
      </c>
      <c r="AL355" s="38">
        <v>0</v>
      </c>
      <c r="AM355" s="38">
        <v>0</v>
      </c>
      <c r="AN355" s="25"/>
      <c r="AO355" s="1">
        <f>AE355*0.5</f>
        <v>100.63</v>
      </c>
      <c r="AP355" s="25">
        <f>(AD355+AH355+AJ355+AL355+AO355)*I355</f>
        <v>138243.61750000002</v>
      </c>
      <c r="AQ355" s="25">
        <f>SUM(N355:Q355)</f>
        <v>58.24</v>
      </c>
      <c r="AR355" s="25">
        <f>SUM(T355:W355)</f>
        <v>58.24</v>
      </c>
      <c r="AT355" s="41"/>
      <c r="AU355" s="41">
        <f>SUM(N355:Q355)</f>
        <v>58.24</v>
      </c>
      <c r="AV355" s="41">
        <f>SUM(T355:W355)</f>
        <v>58.24</v>
      </c>
      <c r="AW355" s="41">
        <f>SUM(Z355:AB355)</f>
        <v>58.230000000000004</v>
      </c>
      <c r="AY355" s="22">
        <f>I355/AU355</f>
        <v>0.99974244505494503</v>
      </c>
      <c r="AZ355" s="22">
        <f>I355/AV355</f>
        <v>0.99974244505494503</v>
      </c>
      <c r="BA355" s="22">
        <f>I355/AW355</f>
        <v>0.99991413360810577</v>
      </c>
    </row>
    <row r="356" spans="1:88" s="22" customFormat="1">
      <c r="A356" s="1">
        <v>441</v>
      </c>
      <c r="B356" s="74" t="s">
        <v>699</v>
      </c>
      <c r="C356" s="34">
        <v>513</v>
      </c>
      <c r="D356" s="75">
        <v>1255</v>
      </c>
      <c r="E356" s="69">
        <v>200</v>
      </c>
      <c r="F356" s="76" t="s">
        <v>748</v>
      </c>
      <c r="G356" s="58" t="s">
        <v>749</v>
      </c>
      <c r="H356" s="58" t="s">
        <v>750</v>
      </c>
      <c r="I356" s="55">
        <v>2.1110000000000002</v>
      </c>
      <c r="J356" s="5" t="s">
        <v>12</v>
      </c>
      <c r="K356" s="34">
        <v>2</v>
      </c>
      <c r="L356" s="18">
        <v>42264</v>
      </c>
      <c r="M356" s="9" t="s">
        <v>191</v>
      </c>
      <c r="N356" s="38">
        <v>1.66</v>
      </c>
      <c r="O356" s="38">
        <v>0.22</v>
      </c>
      <c r="P356" s="38">
        <v>0.1</v>
      </c>
      <c r="Q356" s="38">
        <v>0.13</v>
      </c>
      <c r="R356" s="38">
        <v>2.3580000000000001</v>
      </c>
      <c r="S356" s="38">
        <f t="shared" si="45"/>
        <v>2.5</v>
      </c>
      <c r="T356" s="38">
        <v>1.86</v>
      </c>
      <c r="U356" s="38">
        <v>0.26</v>
      </c>
      <c r="V356" s="38">
        <v>0</v>
      </c>
      <c r="W356" s="38">
        <v>0</v>
      </c>
      <c r="X356" s="38">
        <v>5.8579999999999997</v>
      </c>
      <c r="Y356" s="38">
        <f t="shared" si="46"/>
        <v>6</v>
      </c>
      <c r="Z356" s="38">
        <v>0</v>
      </c>
      <c r="AA356" s="38">
        <v>0</v>
      </c>
      <c r="AB356" s="38">
        <v>2.11</v>
      </c>
      <c r="AC356" s="38">
        <v>0.97099999999999997</v>
      </c>
      <c r="AD356" s="38">
        <v>69.62</v>
      </c>
      <c r="AE356" s="38">
        <v>13.65</v>
      </c>
      <c r="AF356" s="38">
        <f>(AD356+AE356*0.5)/(3.5*I356*1000)*100</f>
        <v>1.0346484401434661</v>
      </c>
      <c r="AG356" s="38">
        <f t="shared" si="47"/>
        <v>1</v>
      </c>
      <c r="AH356" s="38">
        <v>18.66</v>
      </c>
      <c r="AI356" s="38">
        <f>AH356/(3.5*I356*1000)*100</f>
        <v>0.25255464573323405</v>
      </c>
      <c r="AJ356" s="38">
        <v>0</v>
      </c>
      <c r="AK356" s="38">
        <f>AJ356/(3.5*I356*1000)*100</f>
        <v>0</v>
      </c>
      <c r="AL356" s="38">
        <v>0</v>
      </c>
      <c r="AM356" s="38">
        <f>AL356/(3.5*I356*1000)*100</f>
        <v>0</v>
      </c>
      <c r="AN356" s="41"/>
      <c r="AO356" s="41"/>
      <c r="AP356" s="73"/>
      <c r="AQ356" s="41">
        <f>SUM(N356:Q356)</f>
        <v>2.11</v>
      </c>
      <c r="AR356" s="41">
        <f>SUM(T356:W356)</f>
        <v>2.12</v>
      </c>
      <c r="AS356" s="41">
        <f>SUM(Z356:AB356)</f>
        <v>2.11</v>
      </c>
      <c r="AU356" s="22">
        <f>I356/AQ356</f>
        <v>1.0004739336492892</v>
      </c>
      <c r="AV356" s="22">
        <f>I356/AR356</f>
        <v>0.99575471698113216</v>
      </c>
      <c r="AW356" s="22">
        <f>I356/AS356</f>
        <v>1.0004739336492892</v>
      </c>
      <c r="AX356" s="73"/>
      <c r="AY356" s="73"/>
      <c r="AZ356" s="73"/>
      <c r="BA356" s="73"/>
      <c r="BB356" s="73"/>
      <c r="BC356" s="73"/>
      <c r="BD356" s="73"/>
      <c r="BE356" s="73"/>
      <c r="BF356" s="73"/>
      <c r="BG356" s="73"/>
      <c r="BH356" s="73"/>
      <c r="BI356" s="73"/>
      <c r="BJ356" s="73"/>
      <c r="BK356" s="73"/>
      <c r="BL356" s="73"/>
      <c r="BM356" s="73"/>
      <c r="BN356" s="73"/>
      <c r="BO356" s="73"/>
      <c r="BP356" s="73"/>
      <c r="BQ356" s="73"/>
      <c r="BR356" s="73"/>
      <c r="BS356" s="73"/>
      <c r="BT356" s="73"/>
      <c r="BU356" s="73"/>
      <c r="BV356" s="73"/>
      <c r="BW356" s="73"/>
      <c r="BX356" s="73"/>
      <c r="BY356" s="73"/>
      <c r="BZ356" s="73"/>
      <c r="CA356" s="73"/>
      <c r="CB356" s="73"/>
      <c r="CC356" s="73"/>
      <c r="CD356" s="73"/>
      <c r="CE356" s="73"/>
      <c r="CF356" s="73"/>
      <c r="CG356" s="73"/>
      <c r="CH356" s="73"/>
      <c r="CI356" s="73"/>
      <c r="CJ356" s="73"/>
    </row>
    <row r="357" spans="1:88" s="22" customFormat="1">
      <c r="A357" s="1">
        <v>1133</v>
      </c>
      <c r="B357" s="74" t="s">
        <v>1577</v>
      </c>
      <c r="C357" s="34">
        <v>432</v>
      </c>
      <c r="D357" s="34">
        <v>1</v>
      </c>
      <c r="E357" s="34">
        <v>403</v>
      </c>
      <c r="F357" s="34" t="s">
        <v>1578</v>
      </c>
      <c r="G357" s="34" t="s">
        <v>1579</v>
      </c>
      <c r="H357" s="34" t="s">
        <v>1580</v>
      </c>
      <c r="I357" s="55">
        <v>3.6150000000000002</v>
      </c>
      <c r="J357" s="5">
        <v>6</v>
      </c>
      <c r="K357" s="34" t="s">
        <v>1520</v>
      </c>
      <c r="L357" s="10">
        <v>42282</v>
      </c>
      <c r="M357" s="9" t="s">
        <v>191</v>
      </c>
      <c r="N357" s="38">
        <v>3.05</v>
      </c>
      <c r="O357" s="38">
        <v>0.375</v>
      </c>
      <c r="P357" s="38">
        <v>0.42499999999999999</v>
      </c>
      <c r="Q357" s="38">
        <v>0.15</v>
      </c>
      <c r="R357" s="38">
        <v>2.27413</v>
      </c>
      <c r="S357" s="38">
        <f t="shared" si="45"/>
        <v>2.5</v>
      </c>
      <c r="T357" s="38">
        <v>4</v>
      </c>
      <c r="U357" s="38">
        <v>0</v>
      </c>
      <c r="V357" s="38">
        <v>0</v>
      </c>
      <c r="W357" s="38">
        <v>0</v>
      </c>
      <c r="X357" s="38">
        <v>1.7560100000000001</v>
      </c>
      <c r="Y357" s="38">
        <f t="shared" si="46"/>
        <v>2</v>
      </c>
      <c r="Z357" s="38">
        <v>0</v>
      </c>
      <c r="AA357" s="38">
        <v>0</v>
      </c>
      <c r="AB357" s="38">
        <v>3.9999999999999996</v>
      </c>
      <c r="AC357" s="38">
        <v>1.5524</v>
      </c>
      <c r="AD357" s="38">
        <v>124.9</v>
      </c>
      <c r="AE357" s="38">
        <v>7.9</v>
      </c>
      <c r="AF357" s="38">
        <v>1.0183759999999999</v>
      </c>
      <c r="AG357" s="38">
        <f t="shared" si="47"/>
        <v>1</v>
      </c>
      <c r="AH357" s="38">
        <v>8.25</v>
      </c>
      <c r="AI357" s="38">
        <v>6.5204999999999999E-2</v>
      </c>
      <c r="AJ357" s="38">
        <v>0</v>
      </c>
      <c r="AK357" s="38">
        <v>0</v>
      </c>
      <c r="AL357" s="38">
        <v>1.4</v>
      </c>
      <c r="AM357" s="38">
        <v>1.1065E-2</v>
      </c>
      <c r="AN357" s="114"/>
      <c r="AO357" s="73"/>
    </row>
    <row r="358" spans="1:88" s="22" customFormat="1">
      <c r="A358" s="1">
        <v>670</v>
      </c>
      <c r="B358" s="34" t="s">
        <v>1062</v>
      </c>
      <c r="C358" s="34">
        <v>623</v>
      </c>
      <c r="D358" s="34">
        <v>2348</v>
      </c>
      <c r="E358" s="34">
        <v>101</v>
      </c>
      <c r="F358" s="9" t="s">
        <v>1079</v>
      </c>
      <c r="G358" s="20">
        <v>0</v>
      </c>
      <c r="H358" s="20">
        <v>28275</v>
      </c>
      <c r="I358" s="35">
        <v>28.274999999999999</v>
      </c>
      <c r="J358" s="34">
        <v>2</v>
      </c>
      <c r="K358" s="34" t="s">
        <v>238</v>
      </c>
      <c r="L358" s="10">
        <v>42136</v>
      </c>
      <c r="M358" s="9" t="s">
        <v>191</v>
      </c>
      <c r="N358" s="38">
        <v>21.46</v>
      </c>
      <c r="O358" s="38">
        <v>4.1900000000000004</v>
      </c>
      <c r="P358" s="38">
        <v>1.6</v>
      </c>
      <c r="Q358" s="38">
        <v>1.03</v>
      </c>
      <c r="R358" s="38">
        <v>3.6960899999999999</v>
      </c>
      <c r="S358" s="38">
        <f t="shared" si="45"/>
        <v>3.5</v>
      </c>
      <c r="T358" s="38">
        <v>27.9</v>
      </c>
      <c r="U358" s="38">
        <v>0.23</v>
      </c>
      <c r="V358" s="38">
        <v>0.13</v>
      </c>
      <c r="W358" s="38">
        <v>0.03</v>
      </c>
      <c r="X358" s="38">
        <v>4.9538099999999998</v>
      </c>
      <c r="Y358" s="38">
        <f t="shared" si="46"/>
        <v>5</v>
      </c>
      <c r="Z358" s="38">
        <v>0</v>
      </c>
      <c r="AA358" s="38">
        <v>0</v>
      </c>
      <c r="AB358" s="38">
        <v>28.28</v>
      </c>
      <c r="AC358" s="38">
        <v>1.1898899999999999</v>
      </c>
      <c r="AD358" s="38">
        <v>959.67</v>
      </c>
      <c r="AE358" s="38">
        <v>95.84</v>
      </c>
      <c r="AF358" s="38">
        <v>1.0181500000000001</v>
      </c>
      <c r="AG358" s="38">
        <f t="shared" si="47"/>
        <v>1</v>
      </c>
      <c r="AH358" s="38">
        <v>0</v>
      </c>
      <c r="AI358" s="38">
        <v>0</v>
      </c>
      <c r="AJ358" s="38">
        <v>123.03</v>
      </c>
      <c r="AK358" s="38">
        <v>0.12432</v>
      </c>
      <c r="AL358" s="38">
        <v>0</v>
      </c>
      <c r="AM358" s="38">
        <v>0</v>
      </c>
      <c r="AN358" s="25"/>
      <c r="AO358" s="1">
        <f>AE358*0.5</f>
        <v>47.92</v>
      </c>
      <c r="AP358" s="25">
        <f>(AD358+AH358+AJ358+AL358+AO358)*I358</f>
        <v>31968.280500000001</v>
      </c>
      <c r="AQ358" s="25">
        <f>SUM(N358:Q358)</f>
        <v>28.280000000000005</v>
      </c>
      <c r="AR358" s="25">
        <f>SUM(T358:W358)</f>
        <v>28.29</v>
      </c>
      <c r="AT358" s="41"/>
      <c r="AU358" s="41">
        <f>SUM(N358:Q358)</f>
        <v>28.280000000000005</v>
      </c>
      <c r="AV358" s="41">
        <f>SUM(T358:W358)</f>
        <v>28.29</v>
      </c>
      <c r="AW358" s="41">
        <f>SUM(Z358:AB358)</f>
        <v>28.28</v>
      </c>
      <c r="AY358" s="22">
        <f>I358/AU358</f>
        <v>0.99982319660537455</v>
      </c>
      <c r="AZ358" s="22">
        <f>I358/AV358</f>
        <v>0.99946977730646869</v>
      </c>
      <c r="BA358" s="22">
        <f>I358/AW358</f>
        <v>0.99982319660537478</v>
      </c>
    </row>
    <row r="359" spans="1:88">
      <c r="A359" s="1">
        <v>739</v>
      </c>
      <c r="B359" s="34" t="s">
        <v>1138</v>
      </c>
      <c r="C359" s="34">
        <v>628</v>
      </c>
      <c r="D359" s="34">
        <v>2246</v>
      </c>
      <c r="E359" s="34">
        <v>100</v>
      </c>
      <c r="F359" s="34" t="s">
        <v>1144</v>
      </c>
      <c r="G359" s="58">
        <v>0</v>
      </c>
      <c r="H359" s="58">
        <v>27175</v>
      </c>
      <c r="I359" s="51">
        <v>27.175000000000001</v>
      </c>
      <c r="J359" s="34">
        <v>2</v>
      </c>
      <c r="K359" s="34" t="s">
        <v>238</v>
      </c>
      <c r="L359" s="10">
        <v>42173</v>
      </c>
      <c r="M359" s="9" t="s">
        <v>191</v>
      </c>
      <c r="N359" s="38">
        <v>15.824999999999999</v>
      </c>
      <c r="O359" s="38">
        <v>7.75</v>
      </c>
      <c r="P359" s="38">
        <v>2.5249999999999999</v>
      </c>
      <c r="Q359" s="38">
        <v>1</v>
      </c>
      <c r="R359" s="38">
        <v>2.5907200000000001</v>
      </c>
      <c r="S359" s="38">
        <f t="shared" si="45"/>
        <v>2.5</v>
      </c>
      <c r="T359" s="38">
        <v>25.5</v>
      </c>
      <c r="U359" s="38">
        <v>1.2</v>
      </c>
      <c r="V359" s="38">
        <v>0.2</v>
      </c>
      <c r="W359" s="38">
        <v>0.2</v>
      </c>
      <c r="X359" s="38">
        <v>4.5640599999999996</v>
      </c>
      <c r="Y359" s="38">
        <f t="shared" si="46"/>
        <v>4.5</v>
      </c>
      <c r="Z359" s="38">
        <v>0</v>
      </c>
      <c r="AA359" s="38">
        <v>0</v>
      </c>
      <c r="AB359" s="38">
        <f>N359+O359+P359+Q359</f>
        <v>27.099999999999998</v>
      </c>
      <c r="AC359" s="38">
        <v>1.4421900000000001</v>
      </c>
      <c r="AD359" s="38">
        <v>959.3</v>
      </c>
      <c r="AE359" s="38">
        <v>7.04</v>
      </c>
      <c r="AF359" s="38">
        <v>1.0122959653042449</v>
      </c>
      <c r="AG359" s="38">
        <f t="shared" si="47"/>
        <v>1</v>
      </c>
      <c r="AH359" s="38">
        <v>0</v>
      </c>
      <c r="AI359" s="38">
        <v>0</v>
      </c>
      <c r="AJ359" s="38">
        <v>34.33</v>
      </c>
      <c r="AK359" s="38">
        <v>3.6094099093179129E-2</v>
      </c>
      <c r="AL359" s="38">
        <v>0</v>
      </c>
      <c r="AM359" s="38">
        <v>0</v>
      </c>
      <c r="AN359" s="25"/>
      <c r="AO359" s="25">
        <f>AE359*0.5</f>
        <v>3.52</v>
      </c>
      <c r="AP359" s="25">
        <f>(AD359+AH359+AJ359+AL359+AO359)*I359</f>
        <v>27097.55125</v>
      </c>
      <c r="AQ359" s="25">
        <f>SUM(N359:Q359)</f>
        <v>27.099999999999998</v>
      </c>
      <c r="AR359" s="25">
        <f>SUM(T359:W359)</f>
        <v>27.099999999999998</v>
      </c>
      <c r="AS359" s="22"/>
      <c r="AT359" s="41"/>
      <c r="AU359" s="41"/>
      <c r="AV359" s="41"/>
      <c r="AW359" s="41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  <c r="CH359" s="22"/>
      <c r="CI359" s="22"/>
      <c r="CJ359" s="22"/>
    </row>
    <row r="360" spans="1:88" s="22" customFormat="1">
      <c r="A360" s="1">
        <v>1085</v>
      </c>
      <c r="B360" s="34" t="s">
        <v>1467</v>
      </c>
      <c r="C360" s="34">
        <v>619</v>
      </c>
      <c r="D360" s="8">
        <v>3462</v>
      </c>
      <c r="E360" s="34">
        <v>100</v>
      </c>
      <c r="F360" s="34" t="s">
        <v>1496</v>
      </c>
      <c r="G360" s="58">
        <v>1277</v>
      </c>
      <c r="H360" s="58">
        <v>63031</v>
      </c>
      <c r="I360" s="35">
        <v>61.753999999999998</v>
      </c>
      <c r="J360" s="9">
        <v>2</v>
      </c>
      <c r="K360" s="34" t="s">
        <v>238</v>
      </c>
      <c r="L360" s="10">
        <v>42095</v>
      </c>
      <c r="M360" s="9" t="s">
        <v>191</v>
      </c>
      <c r="N360" s="38">
        <v>46.53</v>
      </c>
      <c r="O360" s="38">
        <v>10.29</v>
      </c>
      <c r="P360" s="38">
        <v>3.65</v>
      </c>
      <c r="Q360" s="38">
        <v>1.28</v>
      </c>
      <c r="R360" s="38">
        <v>2.1055299999999999</v>
      </c>
      <c r="S360" s="38">
        <f t="shared" si="45"/>
        <v>2</v>
      </c>
      <c r="T360" s="38">
        <v>60.53</v>
      </c>
      <c r="U360" s="38">
        <v>1.1499999999999999</v>
      </c>
      <c r="V360" s="38">
        <v>0.08</v>
      </c>
      <c r="W360" s="38">
        <v>0</v>
      </c>
      <c r="X360" s="38">
        <v>3.9012199999999999</v>
      </c>
      <c r="Y360" s="38">
        <f t="shared" si="46"/>
        <v>4</v>
      </c>
      <c r="Z360" s="117">
        <v>0</v>
      </c>
      <c r="AA360" s="117">
        <v>0</v>
      </c>
      <c r="AB360" s="117">
        <v>61.76</v>
      </c>
      <c r="AC360" s="38">
        <v>1.2235</v>
      </c>
      <c r="AD360" s="38">
        <v>2185.34</v>
      </c>
      <c r="AE360" s="38">
        <v>0</v>
      </c>
      <c r="AF360" s="11">
        <f>(AD360+AE360*0.5)/(3.5*I360*1000)*100</f>
        <v>1.0110808322422147</v>
      </c>
      <c r="AG360" s="38">
        <f t="shared" si="47"/>
        <v>1</v>
      </c>
      <c r="AH360" s="38">
        <v>52.15</v>
      </c>
      <c r="AI360" s="38">
        <f>AH360/(3.5*I360*1000)*100</f>
        <v>2.4127991709039093E-2</v>
      </c>
      <c r="AJ360" s="38">
        <v>0</v>
      </c>
      <c r="AK360" s="38">
        <f>AJ360/(3.5*I360*1000)*100</f>
        <v>0</v>
      </c>
      <c r="AL360" s="38">
        <v>12</v>
      </c>
      <c r="AM360" s="38">
        <f>AL360/(3.5*I360*1000)*100</f>
        <v>5.551982751840252E-3</v>
      </c>
      <c r="AN360" s="25"/>
      <c r="AO360" s="25"/>
      <c r="AP360" s="12">
        <f>AE360*0.5</f>
        <v>0</v>
      </c>
      <c r="AQ360" s="12">
        <f>(AD360+AH360+AJ360+AL360+AP360)*I360</f>
        <v>138915.00546000001</v>
      </c>
      <c r="AR360" s="25"/>
      <c r="AS360" s="25">
        <f>SUM(N360:Q360)</f>
        <v>61.75</v>
      </c>
      <c r="AT360" s="22">
        <f>SUM(T360:W360)</f>
        <v>61.76</v>
      </c>
      <c r="AU360" s="268">
        <v>61.753999999999998</v>
      </c>
      <c r="AV360" s="41">
        <f>SUM(N360:Q360)</f>
        <v>61.75</v>
      </c>
      <c r="AW360" s="41">
        <f>SUM(T360:W360)</f>
        <v>61.76</v>
      </c>
      <c r="AX360" s="41">
        <f>SUM(Z360:AB360)</f>
        <v>61.76</v>
      </c>
      <c r="AZ360" s="22">
        <f>I360/AV360</f>
        <v>1.0000647773279352</v>
      </c>
      <c r="BA360" s="22">
        <f>I360/AW360</f>
        <v>0.99990284974093269</v>
      </c>
      <c r="BB360" s="22">
        <f>I360/AX360</f>
        <v>0.99990284974093269</v>
      </c>
    </row>
    <row r="361" spans="1:88" s="22" customFormat="1">
      <c r="A361" s="1">
        <v>2022</v>
      </c>
      <c r="B361" s="34" t="s">
        <v>2646</v>
      </c>
      <c r="C361" s="34">
        <v>325</v>
      </c>
      <c r="D361" s="75">
        <v>4259</v>
      </c>
      <c r="E361" s="8">
        <v>102</v>
      </c>
      <c r="F361" s="34" t="s">
        <v>2670</v>
      </c>
      <c r="G361" s="58">
        <v>30000</v>
      </c>
      <c r="H361" s="58">
        <v>60970</v>
      </c>
      <c r="I361" s="21">
        <v>30.97</v>
      </c>
      <c r="J361" s="8">
        <v>2</v>
      </c>
      <c r="K361" s="8" t="s">
        <v>238</v>
      </c>
      <c r="L361" s="18">
        <v>42116</v>
      </c>
      <c r="M361" s="9" t="s">
        <v>191</v>
      </c>
      <c r="N361" s="38">
        <v>12.58</v>
      </c>
      <c r="O361" s="38">
        <v>12.18</v>
      </c>
      <c r="P361" s="38">
        <v>4.8499999999999996</v>
      </c>
      <c r="Q361" s="38">
        <v>1.36</v>
      </c>
      <c r="R361" s="38">
        <v>2.8521200000000002</v>
      </c>
      <c r="S361" s="38">
        <f t="shared" si="45"/>
        <v>3</v>
      </c>
      <c r="T361" s="38">
        <v>28.63</v>
      </c>
      <c r="U361" s="38">
        <v>1.98</v>
      </c>
      <c r="V361" s="38">
        <v>0.25</v>
      </c>
      <c r="W361" s="38">
        <v>0.1</v>
      </c>
      <c r="X361" s="38">
        <v>5.2257899999999999</v>
      </c>
      <c r="Y361" s="38">
        <f t="shared" si="46"/>
        <v>5</v>
      </c>
      <c r="Z361" s="38">
        <v>0</v>
      </c>
      <c r="AA361" s="38">
        <v>0</v>
      </c>
      <c r="AB361" s="38">
        <v>30.97</v>
      </c>
      <c r="AC361" s="38">
        <v>1.2817400000000001</v>
      </c>
      <c r="AD361" s="38">
        <v>1095.9000000000001</v>
      </c>
      <c r="AE361" s="38">
        <v>0</v>
      </c>
      <c r="AF361" s="38">
        <f>(AD361+AE361*0.5)/(3.5*I361*1000)*100</f>
        <v>1.0110244937497117</v>
      </c>
      <c r="AG361" s="38">
        <f t="shared" si="47"/>
        <v>1</v>
      </c>
      <c r="AH361" s="38">
        <v>0</v>
      </c>
      <c r="AI361" s="38">
        <f>AH361/(3.5*I361*1000)*100</f>
        <v>0</v>
      </c>
      <c r="AJ361" s="38">
        <v>420.44</v>
      </c>
      <c r="AK361" s="38">
        <f>AJ361/(3.5*I361*1000)*100</f>
        <v>0.38787766963420822</v>
      </c>
      <c r="AL361" s="38">
        <v>0</v>
      </c>
      <c r="AM361" s="38">
        <f>AL361/(3.5*I361*1000)*100</f>
        <v>0</v>
      </c>
      <c r="AN361" s="12"/>
      <c r="AO361" s="12"/>
      <c r="AP361" s="1"/>
      <c r="AQ361" s="41">
        <f>SUM(N361:Q361)</f>
        <v>30.97</v>
      </c>
      <c r="AR361" s="41">
        <f>SUM(T361:W361)</f>
        <v>30.96</v>
      </c>
      <c r="AS361" s="12">
        <f>SUM(Z361:AB361)</f>
        <v>30.97</v>
      </c>
      <c r="AT361" s="1"/>
      <c r="AU361" s="1">
        <f>I361/AQ361</f>
        <v>1</v>
      </c>
      <c r="AV361" s="1">
        <f>I361/AR361</f>
        <v>1.0003229974160206</v>
      </c>
      <c r="AW361" s="1">
        <f>I361/AS361</f>
        <v>1</v>
      </c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</row>
    <row r="362" spans="1:88" s="22" customFormat="1">
      <c r="A362" s="1">
        <v>2135</v>
      </c>
      <c r="B362" s="34" t="s">
        <v>2754</v>
      </c>
      <c r="C362" s="34">
        <v>324</v>
      </c>
      <c r="D362" s="75">
        <v>4277</v>
      </c>
      <c r="E362" s="8">
        <v>100</v>
      </c>
      <c r="F362" s="9" t="s">
        <v>2776</v>
      </c>
      <c r="G362" s="20">
        <v>0</v>
      </c>
      <c r="H362" s="20">
        <v>5650</v>
      </c>
      <c r="I362" s="21">
        <v>5.65</v>
      </c>
      <c r="J362" s="9">
        <v>2</v>
      </c>
      <c r="K362" s="34" t="s">
        <v>238</v>
      </c>
      <c r="L362" s="18">
        <v>42137</v>
      </c>
      <c r="M362" s="9" t="s">
        <v>191</v>
      </c>
      <c r="N362" s="38">
        <v>3.6</v>
      </c>
      <c r="O362" s="38">
        <v>0.65</v>
      </c>
      <c r="P362" s="38">
        <v>0.4</v>
      </c>
      <c r="Q362" s="38">
        <v>1</v>
      </c>
      <c r="R362" s="38">
        <v>3.1480100000000002</v>
      </c>
      <c r="S362" s="38">
        <f t="shared" si="45"/>
        <v>3</v>
      </c>
      <c r="T362" s="38">
        <v>5.2750000000000004</v>
      </c>
      <c r="U362" s="38">
        <v>0.27500000000000002</v>
      </c>
      <c r="V362" s="38">
        <v>0.05</v>
      </c>
      <c r="W362" s="38">
        <v>0.05</v>
      </c>
      <c r="X362" s="38">
        <v>3.63496</v>
      </c>
      <c r="Y362" s="38">
        <f t="shared" si="46"/>
        <v>3.5</v>
      </c>
      <c r="Z362" s="38">
        <v>0</v>
      </c>
      <c r="AA362" s="38">
        <v>0</v>
      </c>
      <c r="AB362" s="38">
        <v>5.65</v>
      </c>
      <c r="AC362" s="38">
        <v>1.34015</v>
      </c>
      <c r="AD362" s="38">
        <v>185.99</v>
      </c>
      <c r="AE362" s="38">
        <v>26.31</v>
      </c>
      <c r="AF362" s="38">
        <v>1.0070543615676359</v>
      </c>
      <c r="AG362" s="38">
        <f t="shared" si="47"/>
        <v>1</v>
      </c>
      <c r="AH362" s="38">
        <v>0</v>
      </c>
      <c r="AI362" s="38">
        <v>0</v>
      </c>
      <c r="AJ362" s="38">
        <v>0</v>
      </c>
      <c r="AK362" s="38">
        <v>0</v>
      </c>
      <c r="AL362" s="38">
        <v>2.9</v>
      </c>
      <c r="AM362" s="38">
        <v>1.466498103666245E-2</v>
      </c>
      <c r="AN362" s="41"/>
      <c r="AO362" s="41"/>
      <c r="AP362" s="73"/>
      <c r="AQ362" s="73"/>
      <c r="AR362" s="73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</row>
    <row r="363" spans="1:88" s="86" customFormat="1" ht="23.25" customHeight="1">
      <c r="A363" s="1">
        <v>221</v>
      </c>
      <c r="B363" s="34" t="s">
        <v>413</v>
      </c>
      <c r="C363" s="34">
        <v>536</v>
      </c>
      <c r="D363" s="34">
        <v>1169</v>
      </c>
      <c r="E363" s="34">
        <v>102</v>
      </c>
      <c r="F363" s="34" t="s">
        <v>427</v>
      </c>
      <c r="G363" s="20">
        <v>15000</v>
      </c>
      <c r="H363" s="20">
        <v>38183</v>
      </c>
      <c r="I363" s="35">
        <v>23.183</v>
      </c>
      <c r="J363" s="36">
        <v>2</v>
      </c>
      <c r="K363" s="34" t="s">
        <v>238</v>
      </c>
      <c r="L363" s="10">
        <v>42214</v>
      </c>
      <c r="M363" s="9" t="s">
        <v>191</v>
      </c>
      <c r="N363" s="38">
        <v>12.64</v>
      </c>
      <c r="O363" s="38">
        <v>7.34</v>
      </c>
      <c r="P363" s="38">
        <v>2.33</v>
      </c>
      <c r="Q363" s="38">
        <v>0.88</v>
      </c>
      <c r="R363" s="38">
        <v>2.601</v>
      </c>
      <c r="S363" s="38">
        <f t="shared" si="45"/>
        <v>2.5</v>
      </c>
      <c r="T363" s="38">
        <v>8.3000000000000007</v>
      </c>
      <c r="U363" s="38">
        <v>3</v>
      </c>
      <c r="V363" s="38">
        <v>2.31</v>
      </c>
      <c r="W363" s="38">
        <v>9.59</v>
      </c>
      <c r="X363" s="38">
        <v>22.047000000000001</v>
      </c>
      <c r="Y363" s="38">
        <f t="shared" si="46"/>
        <v>22</v>
      </c>
      <c r="Z363" s="38">
        <v>0</v>
      </c>
      <c r="AA363" s="38">
        <v>0</v>
      </c>
      <c r="AB363" s="38">
        <v>23.19</v>
      </c>
      <c r="AC363" s="38">
        <v>1.1120000000000001</v>
      </c>
      <c r="AD363" s="38">
        <v>420.3</v>
      </c>
      <c r="AE363" s="38">
        <v>788.08199999999999</v>
      </c>
      <c r="AF363" s="38">
        <f t="shared" ref="AF363:AF369" si="48">(AD363+AE363*0.5)/(3.5*I363*1000)*100</f>
        <v>1.0036184149715617</v>
      </c>
      <c r="AG363" s="38">
        <f t="shared" si="47"/>
        <v>1</v>
      </c>
      <c r="AH363" s="38">
        <v>0</v>
      </c>
      <c r="AI363" s="38">
        <f t="shared" ref="AI363:AI369" si="49">AH363/(3.5*I363*1000)*100</f>
        <v>0</v>
      </c>
      <c r="AJ363" s="38">
        <v>11.76</v>
      </c>
      <c r="AK363" s="38">
        <f>AJ363/(3.5*I363*1000)*100</f>
        <v>1.4493378768925504E-2</v>
      </c>
      <c r="AL363" s="38">
        <v>0</v>
      </c>
      <c r="AM363" s="38">
        <f t="shared" ref="AM363:AM369" si="50">AL363/(3.5*I363*1000)*100</f>
        <v>0</v>
      </c>
      <c r="AN363" s="25"/>
      <c r="AO363" s="25">
        <f>AE363*0.5</f>
        <v>394.041</v>
      </c>
      <c r="AP363" s="25">
        <f>(AD363+AH363+AJ363+AL363+AO363)*I363</f>
        <v>19151.499483</v>
      </c>
      <c r="AQ363" s="25">
        <f>SUM(N363:Q363)</f>
        <v>23.19</v>
      </c>
      <c r="AR363" s="25">
        <f>SUM(T363:W363)</f>
        <v>23.200000000000003</v>
      </c>
      <c r="AS363" s="22"/>
      <c r="AT363" s="41"/>
      <c r="AU363" s="41">
        <f>SUM(N363:Q363)</f>
        <v>23.19</v>
      </c>
      <c r="AV363" s="41">
        <f>SUM(T363:W363)</f>
        <v>23.200000000000003</v>
      </c>
      <c r="AW363" s="41">
        <f>SUM(Z363:AB363)</f>
        <v>23.19</v>
      </c>
      <c r="AX363" s="22"/>
      <c r="AY363" s="22">
        <f>I363/AU363</f>
        <v>0.99969814575247951</v>
      </c>
      <c r="AZ363" s="22">
        <f>I363/AV363</f>
        <v>0.99926724137931022</v>
      </c>
      <c r="BA363" s="22">
        <f>I363/AW363</f>
        <v>0.99969814575247951</v>
      </c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  <c r="CH363" s="22"/>
      <c r="CI363" s="22"/>
      <c r="CJ363" s="22"/>
    </row>
    <row r="364" spans="1:88" s="86" customFormat="1" ht="23.25" customHeight="1">
      <c r="A364" s="1">
        <v>2197</v>
      </c>
      <c r="B364" s="34" t="s">
        <v>2827</v>
      </c>
      <c r="C364" s="34">
        <v>314</v>
      </c>
      <c r="D364" s="75">
        <v>4122</v>
      </c>
      <c r="E364" s="8">
        <v>102</v>
      </c>
      <c r="F364" s="9" t="s">
        <v>2841</v>
      </c>
      <c r="G364" s="20">
        <v>32323</v>
      </c>
      <c r="H364" s="20">
        <v>64168</v>
      </c>
      <c r="I364" s="21">
        <v>31.844999999999999</v>
      </c>
      <c r="J364" s="8">
        <v>2</v>
      </c>
      <c r="K364" s="8" t="s">
        <v>12</v>
      </c>
      <c r="L364" s="18">
        <v>42145</v>
      </c>
      <c r="M364" s="9" t="s">
        <v>191</v>
      </c>
      <c r="N364" s="38">
        <v>13.225</v>
      </c>
      <c r="O364" s="38">
        <v>9.4250000000000007</v>
      </c>
      <c r="P364" s="38">
        <v>5.9249999999999998</v>
      </c>
      <c r="Q364" s="38">
        <v>3.375</v>
      </c>
      <c r="R364" s="38">
        <v>3.1738499999999998</v>
      </c>
      <c r="S364" s="38">
        <f t="shared" si="45"/>
        <v>3</v>
      </c>
      <c r="T364" s="38">
        <v>28.524999999999999</v>
      </c>
      <c r="U364" s="38">
        <v>2.2999999999999998</v>
      </c>
      <c r="V364" s="38">
        <v>0.7</v>
      </c>
      <c r="W364" s="38">
        <v>0.42499999999999999</v>
      </c>
      <c r="X364" s="38">
        <v>4.8143700000000003</v>
      </c>
      <c r="Y364" s="38">
        <f t="shared" si="46"/>
        <v>5</v>
      </c>
      <c r="Z364" s="38">
        <v>0</v>
      </c>
      <c r="AA364" s="38">
        <v>0</v>
      </c>
      <c r="AB364" s="38">
        <v>31.95</v>
      </c>
      <c r="AC364" s="38">
        <v>1.3947700000000001</v>
      </c>
      <c r="AD364" s="38">
        <v>1114.54</v>
      </c>
      <c r="AE364" s="38">
        <v>7.1</v>
      </c>
      <c r="AF364" s="38">
        <f t="shared" si="48"/>
        <v>1.0031536684386424</v>
      </c>
      <c r="AG364" s="38">
        <f t="shared" si="47"/>
        <v>1</v>
      </c>
      <c r="AH364" s="38">
        <v>337.15</v>
      </c>
      <c r="AI364" s="38">
        <f t="shared" si="49"/>
        <v>0.30249198124845794</v>
      </c>
      <c r="AJ364" s="38">
        <v>32.200000000000003</v>
      </c>
      <c r="AK364" s="38">
        <v>2.8889935625686924E-2</v>
      </c>
      <c r="AL364" s="38">
        <v>4</v>
      </c>
      <c r="AM364" s="38">
        <f t="shared" si="50"/>
        <v>3.5888118789673194E-3</v>
      </c>
      <c r="AN364" s="72"/>
      <c r="AO364" s="41"/>
      <c r="AP364" s="41"/>
      <c r="AQ364" s="73"/>
      <c r="AR364" s="73"/>
      <c r="AS364" s="73"/>
      <c r="AT364" s="73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</row>
    <row r="365" spans="1:88" s="86" customFormat="1">
      <c r="A365" s="1">
        <v>1615</v>
      </c>
      <c r="B365" s="9" t="s">
        <v>2182</v>
      </c>
      <c r="C365" s="9">
        <v>417</v>
      </c>
      <c r="D365" s="8">
        <v>3</v>
      </c>
      <c r="E365" s="9">
        <v>102</v>
      </c>
      <c r="F365" s="9" t="s">
        <v>2183</v>
      </c>
      <c r="G365" s="20">
        <v>26861</v>
      </c>
      <c r="H365" s="20">
        <v>40550</v>
      </c>
      <c r="I365" s="35">
        <v>13.689</v>
      </c>
      <c r="J365" s="9">
        <v>6</v>
      </c>
      <c r="K365" s="9" t="s">
        <v>96</v>
      </c>
      <c r="L365" s="18">
        <v>42238</v>
      </c>
      <c r="M365" s="9" t="s">
        <v>191</v>
      </c>
      <c r="N365" s="11">
        <v>6.35</v>
      </c>
      <c r="O365" s="11">
        <v>3.5</v>
      </c>
      <c r="P365" s="11">
        <v>1.925</v>
      </c>
      <c r="Q365" s="11">
        <v>1.825</v>
      </c>
      <c r="R365" s="11">
        <v>3.25814</v>
      </c>
      <c r="S365" s="38">
        <f t="shared" si="45"/>
        <v>3.5</v>
      </c>
      <c r="T365" s="11">
        <v>12.125</v>
      </c>
      <c r="U365" s="11">
        <v>1.125</v>
      </c>
      <c r="V365" s="11">
        <v>0.22500000000000001</v>
      </c>
      <c r="W365" s="11">
        <v>0.125</v>
      </c>
      <c r="X365" s="11">
        <v>5.9730600000000003</v>
      </c>
      <c r="Y365" s="38">
        <f t="shared" si="46"/>
        <v>6</v>
      </c>
      <c r="Z365" s="11">
        <v>0</v>
      </c>
      <c r="AA365" s="11">
        <v>0</v>
      </c>
      <c r="AB365" s="11">
        <f>SUM(N365:Q365)</f>
        <v>13.6</v>
      </c>
      <c r="AC365" s="11">
        <v>1.11181</v>
      </c>
      <c r="AD365" s="11">
        <v>462.33</v>
      </c>
      <c r="AE365" s="11">
        <v>34.96</v>
      </c>
      <c r="AF365" s="11">
        <f t="shared" si="48"/>
        <v>1.0014505911941809</v>
      </c>
      <c r="AG365" s="38">
        <f t="shared" si="47"/>
        <v>1</v>
      </c>
      <c r="AH365" s="11">
        <v>29.61</v>
      </c>
      <c r="AI365" s="11">
        <f t="shared" si="49"/>
        <v>6.1801446416831017E-2</v>
      </c>
      <c r="AJ365" s="11">
        <v>1765.3</v>
      </c>
      <c r="AK365" s="38">
        <f>AJ365/(3.5*I365*1000)*100</f>
        <v>3.6845016332195812</v>
      </c>
      <c r="AL365" s="11">
        <v>0</v>
      </c>
      <c r="AM365" s="38">
        <f t="shared" si="50"/>
        <v>0</v>
      </c>
      <c r="AN365" s="25">
        <f>IF(G365=G366,1,0)</f>
        <v>0</v>
      </c>
      <c r="AO365" s="25">
        <f>AE365*0.5</f>
        <v>17.48</v>
      </c>
      <c r="AP365" s="25">
        <f>(AD365+AH365+AJ365+AL365+AO365)*I365</f>
        <v>31138.642079999998</v>
      </c>
      <c r="AQ365" s="25">
        <f>(AD365+AH365+AJ365+AL365)*I365</f>
        <v>30899.358359999998</v>
      </c>
      <c r="AR365" s="25">
        <f>SUM(N365:Q365)</f>
        <v>13.6</v>
      </c>
      <c r="AS365" s="25">
        <f>SUM(T365:W365)</f>
        <v>13.6</v>
      </c>
      <c r="AT365" s="22"/>
      <c r="AU365" s="41"/>
      <c r="AV365" s="275">
        <v>13.689</v>
      </c>
      <c r="AW365" s="41"/>
      <c r="AX365" s="41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  <c r="CH365" s="22"/>
      <c r="CI365" s="22"/>
      <c r="CJ365" s="22"/>
    </row>
    <row r="366" spans="1:88" s="86" customFormat="1">
      <c r="A366" s="1">
        <v>1486</v>
      </c>
      <c r="B366" s="34" t="s">
        <v>2016</v>
      </c>
      <c r="C366" s="34">
        <v>411</v>
      </c>
      <c r="D366" s="69">
        <v>3701</v>
      </c>
      <c r="E366" s="34">
        <v>100</v>
      </c>
      <c r="F366" s="34" t="s">
        <v>2039</v>
      </c>
      <c r="G366" s="20" t="s">
        <v>2046</v>
      </c>
      <c r="H366" s="20">
        <v>22375</v>
      </c>
      <c r="I366" s="188">
        <v>1.375</v>
      </c>
      <c r="J366" s="34">
        <v>2</v>
      </c>
      <c r="K366" s="34" t="s">
        <v>238</v>
      </c>
      <c r="L366" s="10">
        <v>42248</v>
      </c>
      <c r="M366" s="9" t="s">
        <v>191</v>
      </c>
      <c r="N366" s="38">
        <v>1.153</v>
      </c>
      <c r="O366" s="38">
        <v>0.18099999999999999</v>
      </c>
      <c r="P366" s="38">
        <v>4.2000000000000003E-2</v>
      </c>
      <c r="Q366" s="38">
        <v>0</v>
      </c>
      <c r="R366" s="38">
        <v>2.008</v>
      </c>
      <c r="S366" s="38">
        <f t="shared" si="45"/>
        <v>2</v>
      </c>
      <c r="T366" s="38">
        <v>0.97499999999999998</v>
      </c>
      <c r="U366" s="38">
        <v>0</v>
      </c>
      <c r="V366" s="38">
        <v>0</v>
      </c>
      <c r="W366" s="38">
        <v>0</v>
      </c>
      <c r="X366" s="38">
        <v>3.6880000000000002</v>
      </c>
      <c r="Y366" s="38">
        <f t="shared" si="46"/>
        <v>3.5</v>
      </c>
      <c r="Z366" s="38">
        <v>0</v>
      </c>
      <c r="AA366" s="38">
        <v>0</v>
      </c>
      <c r="AB366" s="38">
        <f>SUM(T366:W366)</f>
        <v>0.97499999999999998</v>
      </c>
      <c r="AC366" s="38">
        <v>1.171</v>
      </c>
      <c r="AD366" s="38">
        <v>47</v>
      </c>
      <c r="AE366" s="38">
        <v>2.15</v>
      </c>
      <c r="AF366" s="38">
        <f t="shared" si="48"/>
        <v>0.99896103896103905</v>
      </c>
      <c r="AG366" s="38">
        <f t="shared" si="47"/>
        <v>1</v>
      </c>
      <c r="AH366" s="38">
        <v>242</v>
      </c>
      <c r="AI366" s="38">
        <f t="shared" si="49"/>
        <v>5.0285714285714285</v>
      </c>
      <c r="AJ366" s="38">
        <v>5.58</v>
      </c>
      <c r="AK366" s="38">
        <f>AJ366/(3.5*I366*1000)*100</f>
        <v>0.11594805194805194</v>
      </c>
      <c r="AL366" s="38">
        <v>1</v>
      </c>
      <c r="AM366" s="38">
        <f t="shared" si="50"/>
        <v>2.0779220779220779E-2</v>
      </c>
      <c r="AN366" s="60"/>
      <c r="AO366" s="60">
        <f>AE366*0.5</f>
        <v>1.075</v>
      </c>
      <c r="AP366" s="60">
        <f>(AD366+AH366+AJ366+AL366+AO366)*I366</f>
        <v>407.90062499999999</v>
      </c>
      <c r="AQ366" s="60"/>
      <c r="AR366" s="60"/>
      <c r="AS366" s="60"/>
      <c r="AT366" s="60"/>
      <c r="AU366" s="61"/>
      <c r="AV366" s="40"/>
      <c r="AW366" s="40"/>
      <c r="AX366" s="40"/>
      <c r="AY366" s="40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</row>
    <row r="367" spans="1:88" s="86" customFormat="1">
      <c r="A367" s="1">
        <v>783</v>
      </c>
      <c r="B367" s="34" t="s">
        <v>1171</v>
      </c>
      <c r="C367" s="34">
        <v>633</v>
      </c>
      <c r="D367" s="8">
        <v>202</v>
      </c>
      <c r="E367" s="34">
        <v>603</v>
      </c>
      <c r="F367" s="34" t="s">
        <v>1174</v>
      </c>
      <c r="G367" s="58">
        <v>298560</v>
      </c>
      <c r="H367" s="58">
        <v>266412</v>
      </c>
      <c r="I367" s="35">
        <v>32.148000000000003</v>
      </c>
      <c r="J367" s="9">
        <v>2</v>
      </c>
      <c r="K367" s="34" t="s">
        <v>12</v>
      </c>
      <c r="L367" s="10">
        <v>42146</v>
      </c>
      <c r="M367" s="9" t="s">
        <v>191</v>
      </c>
      <c r="N367" s="38">
        <v>21.325000000000003</v>
      </c>
      <c r="O367" s="38">
        <v>6.65</v>
      </c>
      <c r="P367" s="38">
        <v>3.375</v>
      </c>
      <c r="Q367" s="38">
        <v>0.72499999999999998</v>
      </c>
      <c r="R367" s="38">
        <v>2.404325</v>
      </c>
      <c r="S367" s="38">
        <f t="shared" si="45"/>
        <v>2.5</v>
      </c>
      <c r="T367" s="38">
        <v>31.024999999999999</v>
      </c>
      <c r="U367" s="38">
        <v>1.0249999999999999</v>
      </c>
      <c r="V367" s="38">
        <v>2.5000000000000001E-2</v>
      </c>
      <c r="W367" s="38">
        <v>0</v>
      </c>
      <c r="X367" s="38">
        <v>4.3219650000000005</v>
      </c>
      <c r="Y367" s="38">
        <f t="shared" si="46"/>
        <v>4.5</v>
      </c>
      <c r="Z367" s="38">
        <v>0</v>
      </c>
      <c r="AA367" s="38">
        <v>0</v>
      </c>
      <c r="AB367" s="38">
        <f>N367+O367+P367+Q367</f>
        <v>32.075000000000003</v>
      </c>
      <c r="AC367" s="38">
        <v>1.1896900000000001</v>
      </c>
      <c r="AD367" s="38">
        <v>1050</v>
      </c>
      <c r="AE367" s="38">
        <v>141</v>
      </c>
      <c r="AF367" s="38">
        <f t="shared" si="48"/>
        <v>0.99584066549352102</v>
      </c>
      <c r="AG367" s="38">
        <f t="shared" si="47"/>
        <v>1</v>
      </c>
      <c r="AH367" s="38">
        <v>36</v>
      </c>
      <c r="AI367" s="38">
        <f t="shared" si="49"/>
        <v>3.1994880819068948E-2</v>
      </c>
      <c r="AJ367" s="38">
        <v>127</v>
      </c>
      <c r="AK367" s="38">
        <f>AJ367/(3.5*I367*1000)*100</f>
        <v>0.11287082955615989</v>
      </c>
      <c r="AL367" s="38">
        <v>0</v>
      </c>
      <c r="AM367" s="38">
        <f t="shared" si="50"/>
        <v>0</v>
      </c>
      <c r="AN367" s="25" t="s">
        <v>1175</v>
      </c>
      <c r="AO367" s="25">
        <f>AE367*0.5</f>
        <v>70.5</v>
      </c>
      <c r="AP367" s="25">
        <f>(AD367+AH367+AJ367+AL367+AO367)*I367</f>
        <v>41261.958000000006</v>
      </c>
      <c r="AQ367" s="25">
        <f>SUM(N367:Q367)</f>
        <v>32.075000000000003</v>
      </c>
      <c r="AR367" s="25">
        <f>SUM(T367:W367)</f>
        <v>32.074999999999996</v>
      </c>
      <c r="AS367" s="22"/>
      <c r="AT367" s="41"/>
      <c r="AU367" s="41"/>
      <c r="AV367" s="41"/>
      <c r="AW367" s="41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  <c r="CH367" s="22"/>
      <c r="CI367" s="22"/>
      <c r="CJ367" s="22"/>
    </row>
    <row r="368" spans="1:88" s="86" customFormat="1">
      <c r="A368" s="1">
        <v>280</v>
      </c>
      <c r="B368" s="34" t="s">
        <v>484</v>
      </c>
      <c r="C368" s="34">
        <v>641</v>
      </c>
      <c r="D368" s="34">
        <v>2339</v>
      </c>
      <c r="E368" s="34">
        <v>100</v>
      </c>
      <c r="F368" s="34" t="s">
        <v>505</v>
      </c>
      <c r="G368" s="58">
        <v>36975</v>
      </c>
      <c r="H368" s="58">
        <v>0</v>
      </c>
      <c r="I368" s="35">
        <v>36.975000000000001</v>
      </c>
      <c r="J368" s="59">
        <v>2</v>
      </c>
      <c r="K368" s="34" t="s">
        <v>12</v>
      </c>
      <c r="L368" s="10">
        <v>42159</v>
      </c>
      <c r="M368" s="9" t="s">
        <v>191</v>
      </c>
      <c r="N368" s="38">
        <v>26.7</v>
      </c>
      <c r="O368" s="38">
        <v>7.35</v>
      </c>
      <c r="P368" s="38">
        <v>2.4</v>
      </c>
      <c r="Q368" s="38">
        <v>0.57499999999999996</v>
      </c>
      <c r="R368" s="38">
        <v>2.6032199999999999</v>
      </c>
      <c r="S368" s="38">
        <f t="shared" si="45"/>
        <v>2.5</v>
      </c>
      <c r="T368" s="38">
        <v>36.375</v>
      </c>
      <c r="U368" s="38">
        <v>0.47499999999999998</v>
      </c>
      <c r="V368" s="38">
        <v>0.125</v>
      </c>
      <c r="W368" s="38">
        <v>0.05</v>
      </c>
      <c r="X368" s="38">
        <v>3.8266</v>
      </c>
      <c r="Y368" s="38">
        <f t="shared" si="46"/>
        <v>4</v>
      </c>
      <c r="Z368" s="38">
        <v>0.05</v>
      </c>
      <c r="AA368" s="38">
        <v>0.05</v>
      </c>
      <c r="AB368" s="38">
        <v>36.924999999999997</v>
      </c>
      <c r="AC368" s="38">
        <v>1.13341</v>
      </c>
      <c r="AD368" s="38">
        <v>1131</v>
      </c>
      <c r="AE368" s="38">
        <v>273</v>
      </c>
      <c r="AF368" s="38">
        <f t="shared" si="48"/>
        <v>0.97942625325992472</v>
      </c>
      <c r="AG368" s="38">
        <f t="shared" si="47"/>
        <v>1</v>
      </c>
      <c r="AH368" s="38">
        <v>0</v>
      </c>
      <c r="AI368" s="38">
        <f t="shared" si="49"/>
        <v>0</v>
      </c>
      <c r="AJ368" s="38">
        <v>495.6</v>
      </c>
      <c r="AK368" s="38">
        <v>0</v>
      </c>
      <c r="AL368" s="38">
        <v>0</v>
      </c>
      <c r="AM368" s="38">
        <f t="shared" si="50"/>
        <v>0</v>
      </c>
      <c r="AN368" s="60"/>
      <c r="AO368" s="60">
        <f>AE368*0.5</f>
        <v>136.5</v>
      </c>
      <c r="AP368" s="60">
        <f>(AD368+AH368+AJ368+AL368+AO368)*I368</f>
        <v>65190.622499999998</v>
      </c>
      <c r="AQ368" s="25">
        <f>SUM(N368:Q368)</f>
        <v>37.024999999999999</v>
      </c>
      <c r="AR368" s="25">
        <f>SUM(T368:W368)</f>
        <v>37.024999999999999</v>
      </c>
      <c r="AS368" s="61"/>
      <c r="AT368" s="40"/>
      <c r="AU368" s="41">
        <f>SUM(N368:Q368)</f>
        <v>37.024999999999999</v>
      </c>
      <c r="AV368" s="41">
        <f>SUM(T368:W368)</f>
        <v>37.024999999999999</v>
      </c>
      <c r="AW368" s="41">
        <f>SUM(Z368:AB368)</f>
        <v>37.024999999999999</v>
      </c>
      <c r="AX368" s="61"/>
      <c r="AY368" s="22">
        <f>I368/AU368</f>
        <v>0.99864956110735992</v>
      </c>
      <c r="AZ368" s="22">
        <f>I368/AV368</f>
        <v>0.99864956110735992</v>
      </c>
      <c r="BA368" s="22">
        <f>I368/AW368</f>
        <v>0.99864956110735992</v>
      </c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</row>
    <row r="369" spans="1:88" s="86" customFormat="1">
      <c r="A369" s="1">
        <v>193</v>
      </c>
      <c r="B369" s="34" t="s">
        <v>383</v>
      </c>
      <c r="C369" s="34">
        <v>535</v>
      </c>
      <c r="D369" s="34">
        <v>1021</v>
      </c>
      <c r="E369" s="34">
        <v>101</v>
      </c>
      <c r="F369" s="34" t="s">
        <v>385</v>
      </c>
      <c r="G369" s="20">
        <v>0</v>
      </c>
      <c r="H369" s="20">
        <v>12000</v>
      </c>
      <c r="I369" s="35">
        <v>12</v>
      </c>
      <c r="J369" s="36">
        <v>4</v>
      </c>
      <c r="K369" s="34" t="s">
        <v>237</v>
      </c>
      <c r="L369" s="18">
        <v>42209</v>
      </c>
      <c r="M369" s="9" t="s">
        <v>191</v>
      </c>
      <c r="N369" s="38">
        <v>3.95</v>
      </c>
      <c r="O369" s="38">
        <v>4.63</v>
      </c>
      <c r="P369" s="38">
        <v>2.0099999999999998</v>
      </c>
      <c r="Q369" s="38">
        <v>1.42</v>
      </c>
      <c r="R369" s="38">
        <v>2.56576</v>
      </c>
      <c r="S369" s="38">
        <f t="shared" si="45"/>
        <v>2.5</v>
      </c>
      <c r="T369" s="38">
        <v>9.7799999999999994</v>
      </c>
      <c r="U369" s="38">
        <v>1.82</v>
      </c>
      <c r="V369" s="38">
        <v>0.4</v>
      </c>
      <c r="W369" s="38">
        <v>0</v>
      </c>
      <c r="X369" s="38">
        <v>7.01769</v>
      </c>
      <c r="Y369" s="38">
        <f t="shared" si="46"/>
        <v>7</v>
      </c>
      <c r="Z369" s="38">
        <v>0</v>
      </c>
      <c r="AA369" s="38">
        <v>0</v>
      </c>
      <c r="AB369" s="38">
        <v>12</v>
      </c>
      <c r="AC369" s="38">
        <v>1.3774299999999999</v>
      </c>
      <c r="AD369" s="38">
        <v>377</v>
      </c>
      <c r="AE369" s="38">
        <v>67.75</v>
      </c>
      <c r="AF369" s="38">
        <f t="shared" si="48"/>
        <v>0.9782738095238096</v>
      </c>
      <c r="AG369" s="38">
        <f t="shared" si="47"/>
        <v>1</v>
      </c>
      <c r="AH369" s="38">
        <v>1315</v>
      </c>
      <c r="AI369" s="38">
        <f t="shared" si="49"/>
        <v>3.1309523809523809</v>
      </c>
      <c r="AJ369" s="38">
        <v>0</v>
      </c>
      <c r="AK369" s="38">
        <f>AJ369/(3.5*I369*1000)*100</f>
        <v>0</v>
      </c>
      <c r="AL369" s="38">
        <v>126</v>
      </c>
      <c r="AM369" s="38">
        <f t="shared" si="50"/>
        <v>0.3</v>
      </c>
      <c r="AN369" s="25"/>
      <c r="AO369" s="25"/>
      <c r="AP369" s="25">
        <f>AE369*0.5</f>
        <v>33.875</v>
      </c>
      <c r="AQ369" s="25">
        <f>(AD369+AH369+AJ369+AL369+AP369)*I369</f>
        <v>22222.5</v>
      </c>
      <c r="AR369" s="25"/>
      <c r="AS369" s="25"/>
      <c r="AT369" s="25"/>
      <c r="AU369" s="41">
        <f>SUM(N369:Q369)</f>
        <v>12.01</v>
      </c>
      <c r="AV369" s="41">
        <f>SUM(T369:W369)</f>
        <v>12</v>
      </c>
      <c r="AW369" s="41">
        <f>SUM(Z369:AB369)</f>
        <v>12</v>
      </c>
      <c r="AX369" s="41"/>
      <c r="AY369" s="22">
        <f>I369/AU369</f>
        <v>0.99916736053288924</v>
      </c>
      <c r="AZ369" s="22">
        <f>I369/AV369</f>
        <v>1</v>
      </c>
      <c r="BA369" s="22">
        <f>I369/AW369</f>
        <v>1</v>
      </c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  <c r="CH369" s="22"/>
      <c r="CI369" s="22"/>
      <c r="CJ369" s="22"/>
    </row>
    <row r="370" spans="1:88" s="86" customFormat="1">
      <c r="A370" s="1">
        <v>664</v>
      </c>
      <c r="B370" s="34" t="s">
        <v>1062</v>
      </c>
      <c r="C370" s="34">
        <v>623</v>
      </c>
      <c r="D370" s="34">
        <v>2263</v>
      </c>
      <c r="E370" s="34">
        <v>100</v>
      </c>
      <c r="F370" s="9" t="s">
        <v>1073</v>
      </c>
      <c r="G370" s="20">
        <v>0</v>
      </c>
      <c r="H370" s="20">
        <v>21412</v>
      </c>
      <c r="I370" s="35">
        <v>21.411999999999999</v>
      </c>
      <c r="J370" s="34">
        <v>2</v>
      </c>
      <c r="K370" s="34" t="s">
        <v>238</v>
      </c>
      <c r="L370" s="10">
        <v>42135</v>
      </c>
      <c r="M370" s="9" t="s">
        <v>191</v>
      </c>
      <c r="N370" s="38">
        <v>9.2799999999999994</v>
      </c>
      <c r="O370" s="38">
        <v>7.82</v>
      </c>
      <c r="P370" s="38">
        <v>3.51</v>
      </c>
      <c r="Q370" s="38">
        <v>0.8</v>
      </c>
      <c r="R370" s="38">
        <v>2.8407499999999999</v>
      </c>
      <c r="S370" s="38">
        <f t="shared" si="45"/>
        <v>3</v>
      </c>
      <c r="T370" s="38">
        <v>20.69</v>
      </c>
      <c r="U370" s="38">
        <v>0.65</v>
      </c>
      <c r="V370" s="38">
        <v>0</v>
      </c>
      <c r="W370" s="38">
        <v>0.08</v>
      </c>
      <c r="X370" s="38">
        <v>3.6991299999999998</v>
      </c>
      <c r="Y370" s="38">
        <f t="shared" si="46"/>
        <v>3.5</v>
      </c>
      <c r="Z370" s="38">
        <v>0</v>
      </c>
      <c r="AA370" s="38">
        <v>0</v>
      </c>
      <c r="AB370" s="38">
        <v>21.41</v>
      </c>
      <c r="AC370" s="38">
        <v>1.10792</v>
      </c>
      <c r="AD370" s="38">
        <v>729.89</v>
      </c>
      <c r="AE370" s="38">
        <v>5.3</v>
      </c>
      <c r="AF370" s="38">
        <v>0.97748000000000002</v>
      </c>
      <c r="AG370" s="38">
        <f t="shared" si="47"/>
        <v>1</v>
      </c>
      <c r="AH370" s="38">
        <v>0</v>
      </c>
      <c r="AI370" s="38">
        <v>0</v>
      </c>
      <c r="AJ370" s="38">
        <v>64.28</v>
      </c>
      <c r="AK370" s="38">
        <v>8.5773000000000002E-2</v>
      </c>
      <c r="AL370" s="38">
        <v>0</v>
      </c>
      <c r="AM370" s="38">
        <v>0</v>
      </c>
      <c r="AN370" s="25"/>
      <c r="AO370" s="1">
        <f>AE370*0.5</f>
        <v>2.65</v>
      </c>
      <c r="AP370" s="25">
        <f>(AD370+AH370+AJ370+AL370+AO370)*I370</f>
        <v>17061.509839999999</v>
      </c>
      <c r="AQ370" s="25">
        <f>SUM(N370:Q370)</f>
        <v>21.41</v>
      </c>
      <c r="AR370" s="25">
        <f>SUM(T370:W370)</f>
        <v>21.419999999999998</v>
      </c>
      <c r="AS370" s="22"/>
      <c r="AT370" s="41"/>
      <c r="AU370" s="41">
        <f>SUM(N370:Q370)</f>
        <v>21.41</v>
      </c>
      <c r="AV370" s="41">
        <f>SUM(T370:W370)</f>
        <v>21.419999999999998</v>
      </c>
      <c r="AW370" s="41">
        <f>SUM(Z370:AB370)</f>
        <v>21.41</v>
      </c>
      <c r="AX370" s="22"/>
      <c r="AY370" s="22">
        <f>I370/AU370</f>
        <v>1.0000934142923867</v>
      </c>
      <c r="AZ370" s="22">
        <f>I370/AV370</f>
        <v>0.9996265172735761</v>
      </c>
      <c r="BA370" s="22">
        <f>I370/AW370</f>
        <v>1.0000934142923867</v>
      </c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</row>
    <row r="371" spans="1:88" s="86" customFormat="1">
      <c r="A371" s="1">
        <v>1741</v>
      </c>
      <c r="B371" s="34" t="s">
        <v>2324</v>
      </c>
      <c r="C371" s="34">
        <v>423</v>
      </c>
      <c r="D371" s="8">
        <v>3274</v>
      </c>
      <c r="E371" s="34">
        <v>100</v>
      </c>
      <c r="F371" s="34" t="s">
        <v>2336</v>
      </c>
      <c r="G371" s="58" t="s">
        <v>92</v>
      </c>
      <c r="H371" s="58" t="s">
        <v>2337</v>
      </c>
      <c r="I371" s="35">
        <v>15.792</v>
      </c>
      <c r="J371" s="9">
        <v>2</v>
      </c>
      <c r="K371" s="34" t="s">
        <v>12</v>
      </c>
      <c r="L371" s="10">
        <v>42234</v>
      </c>
      <c r="M371" s="9" t="s">
        <v>191</v>
      </c>
      <c r="N371" s="38">
        <v>6.6749999999999998</v>
      </c>
      <c r="O371" s="38">
        <v>4.2</v>
      </c>
      <c r="P371" s="38">
        <v>2.7250000000000001</v>
      </c>
      <c r="Q371" s="38">
        <v>2.1749999999999998</v>
      </c>
      <c r="R371" s="38">
        <v>3.839</v>
      </c>
      <c r="S371" s="38">
        <f t="shared" si="45"/>
        <v>4</v>
      </c>
      <c r="T371" s="38">
        <v>14.05</v>
      </c>
      <c r="U371" s="38">
        <v>1.425</v>
      </c>
      <c r="V371" s="38">
        <v>0.22500000000000001</v>
      </c>
      <c r="W371" s="38">
        <v>7.4999999999999997E-2</v>
      </c>
      <c r="X371" s="38">
        <v>5.9649999999999999</v>
      </c>
      <c r="Y371" s="38">
        <f t="shared" si="46"/>
        <v>6</v>
      </c>
      <c r="Z371" s="38">
        <v>0</v>
      </c>
      <c r="AA371" s="117">
        <v>0</v>
      </c>
      <c r="AB371" s="35">
        <v>15.792</v>
      </c>
      <c r="AC371" s="38">
        <v>1.5129999999999999</v>
      </c>
      <c r="AD371" s="38">
        <v>482.46</v>
      </c>
      <c r="AE371" s="38">
        <v>111.73</v>
      </c>
      <c r="AF371" s="38">
        <f>(AD371+AE371*0.5)/(3.5*I371*1000)*100</f>
        <v>0.97395607179041821</v>
      </c>
      <c r="AG371" s="38">
        <f t="shared" si="47"/>
        <v>1</v>
      </c>
      <c r="AH371" s="38">
        <v>218.94</v>
      </c>
      <c r="AI371" s="38">
        <f>AH371/(3.5*I371*1000)*100</f>
        <v>0.39611376465479808</v>
      </c>
      <c r="AJ371" s="38">
        <v>4918.53</v>
      </c>
      <c r="AK371" s="38">
        <f>AJ371/(3.5*I371*1000)*100</f>
        <v>8.8987733391228829</v>
      </c>
      <c r="AL371" s="38">
        <v>191.86</v>
      </c>
      <c r="AM371" s="38">
        <f>AL371/(3.5*I371*1000)*100</f>
        <v>0.34711969894340716</v>
      </c>
      <c r="AN371" s="25"/>
      <c r="AO371" s="12">
        <f>AE371*0.5</f>
        <v>55.865000000000002</v>
      </c>
      <c r="AP371" s="12">
        <f>(AD371+AH371+AJ371+AL371+AO371)*I371</f>
        <v>92662.007759999979</v>
      </c>
      <c r="AQ371" s="25">
        <f>SUM(N371:Q371)</f>
        <v>15.774999999999999</v>
      </c>
      <c r="AR371" s="25">
        <f>SUM(T371:W371)</f>
        <v>15.775</v>
      </c>
      <c r="AS371" s="22"/>
      <c r="AT371" s="41"/>
      <c r="AU371" s="41"/>
      <c r="AV371" s="41"/>
      <c r="AW371" s="41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</row>
    <row r="372" spans="1:88" s="86" customFormat="1">
      <c r="A372" s="1">
        <v>16</v>
      </c>
      <c r="B372" s="4" t="s">
        <v>8</v>
      </c>
      <c r="C372" s="14">
        <v>521</v>
      </c>
      <c r="D372" s="19">
        <v>1088</v>
      </c>
      <c r="E372" s="16">
        <v>100</v>
      </c>
      <c r="F372" s="14" t="s">
        <v>226</v>
      </c>
      <c r="G372" s="20">
        <v>7400</v>
      </c>
      <c r="H372" s="20">
        <v>45000</v>
      </c>
      <c r="I372" s="21">
        <v>37.6</v>
      </c>
      <c r="J372" s="8">
        <v>2</v>
      </c>
      <c r="K372" s="9" t="s">
        <v>238</v>
      </c>
      <c r="L372" s="18">
        <v>42231</v>
      </c>
      <c r="M372" s="9" t="s">
        <v>191</v>
      </c>
      <c r="N372" s="11">
        <v>2.4500000000000002</v>
      </c>
      <c r="O372" s="11">
        <v>10.15</v>
      </c>
      <c r="P372" s="11">
        <v>13.725</v>
      </c>
      <c r="Q372" s="11">
        <v>11.3</v>
      </c>
      <c r="R372" s="11">
        <v>4.6120000000000001</v>
      </c>
      <c r="S372" s="38">
        <f t="shared" si="45"/>
        <v>4.5</v>
      </c>
      <c r="T372" s="11">
        <v>12.2</v>
      </c>
      <c r="U372" s="11">
        <v>9.125</v>
      </c>
      <c r="V372" s="11">
        <v>7.25</v>
      </c>
      <c r="W372" s="11">
        <v>9.0500000000000007</v>
      </c>
      <c r="X372" s="11">
        <v>14.461</v>
      </c>
      <c r="Y372" s="38">
        <f t="shared" si="46"/>
        <v>14.5</v>
      </c>
      <c r="Z372" s="11">
        <v>0</v>
      </c>
      <c r="AA372" s="11">
        <v>0</v>
      </c>
      <c r="AB372" s="11">
        <v>37.625</v>
      </c>
      <c r="AC372" s="11">
        <v>1.2629999999999999</v>
      </c>
      <c r="AD372" s="11">
        <v>1253.32</v>
      </c>
      <c r="AE372" s="11">
        <v>56.36</v>
      </c>
      <c r="AF372" s="11">
        <f>(AD372+AE372*0.5)/(3.5*I372*1000)*100</f>
        <v>0.97378419452887544</v>
      </c>
      <c r="AG372" s="38">
        <f t="shared" si="47"/>
        <v>1</v>
      </c>
      <c r="AH372" s="11">
        <v>198.32</v>
      </c>
      <c r="AI372" s="11">
        <f>AH372/(3.5*I372*1000)*100</f>
        <v>0.15069908814589666</v>
      </c>
      <c r="AJ372" s="11">
        <v>129.30000000000001</v>
      </c>
      <c r="AK372" s="11">
        <f>AJ372/(3.5*I372*1000)*100</f>
        <v>9.8252279635258372E-2</v>
      </c>
      <c r="AL372" s="11">
        <v>26.31</v>
      </c>
      <c r="AM372" s="11">
        <f>AL372/(3.5*I372*1000)*100</f>
        <v>1.9992401215805471E-2</v>
      </c>
      <c r="AN372" s="22"/>
      <c r="AO372" s="22"/>
      <c r="AP372" s="22"/>
      <c r="AQ372" s="12">
        <f>N372+O372+P372+Q372</f>
        <v>37.625</v>
      </c>
      <c r="AR372" s="12">
        <f>T372+U372+V372+W372</f>
        <v>37.625</v>
      </c>
      <c r="AS372" s="12">
        <f>Z372+AA372+AB372</f>
        <v>37.625</v>
      </c>
      <c r="AT372" s="22"/>
      <c r="AU372" s="22">
        <v>1.0006648936170213</v>
      </c>
      <c r="AV372" s="22">
        <v>1.0006648936170213</v>
      </c>
      <c r="AW372" s="22">
        <v>1.0006648936170213</v>
      </c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  <c r="CH372" s="22"/>
      <c r="CI372" s="22"/>
      <c r="CJ372" s="22"/>
    </row>
    <row r="373" spans="1:88" s="86" customFormat="1">
      <c r="A373" s="1">
        <v>1798</v>
      </c>
      <c r="B373" s="34" t="s">
        <v>2382</v>
      </c>
      <c r="C373" s="34">
        <v>428</v>
      </c>
      <c r="D373" s="69">
        <v>3245</v>
      </c>
      <c r="E373" s="34">
        <v>200</v>
      </c>
      <c r="F373" s="34" t="s">
        <v>2400</v>
      </c>
      <c r="G373" s="81" t="s">
        <v>2401</v>
      </c>
      <c r="H373" s="81" t="s">
        <v>733</v>
      </c>
      <c r="I373" s="35">
        <v>17.2</v>
      </c>
      <c r="J373" s="9">
        <v>4</v>
      </c>
      <c r="K373" s="34" t="s">
        <v>237</v>
      </c>
      <c r="L373" s="10">
        <v>42230</v>
      </c>
      <c r="M373" s="9" t="s">
        <v>191</v>
      </c>
      <c r="N373" s="38">
        <v>7.95</v>
      </c>
      <c r="O373" s="38">
        <v>3.0249999999999999</v>
      </c>
      <c r="P373" s="38">
        <v>2.8</v>
      </c>
      <c r="Q373" s="38">
        <v>3.35</v>
      </c>
      <c r="R373" s="38">
        <v>3.476</v>
      </c>
      <c r="S373" s="38">
        <f t="shared" si="45"/>
        <v>3.5</v>
      </c>
      <c r="T373" s="38">
        <v>14.675000000000001</v>
      </c>
      <c r="U373" s="38">
        <v>2.125</v>
      </c>
      <c r="V373" s="38">
        <v>0.32500000000000001</v>
      </c>
      <c r="W373" s="38">
        <v>0</v>
      </c>
      <c r="X373" s="38">
        <v>6.8570000000000002</v>
      </c>
      <c r="Y373" s="38">
        <f t="shared" si="46"/>
        <v>7</v>
      </c>
      <c r="Z373" s="38">
        <v>0</v>
      </c>
      <c r="AA373" s="38">
        <v>0</v>
      </c>
      <c r="AB373" s="38">
        <f>SUM(N373:Q373)</f>
        <v>17.125</v>
      </c>
      <c r="AC373" s="38">
        <v>1.6160000000000001</v>
      </c>
      <c r="AD373" s="38">
        <v>583.75</v>
      </c>
      <c r="AE373" s="38">
        <v>0</v>
      </c>
      <c r="AF373" s="38">
        <f>(AD373+AE373*0.5)/(3.5*I373*1000)*100</f>
        <v>0.96968438538205992</v>
      </c>
      <c r="AG373" s="38">
        <f t="shared" si="47"/>
        <v>1</v>
      </c>
      <c r="AH373" s="38">
        <v>2.94</v>
      </c>
      <c r="AI373" s="38">
        <f>AH373/(3.5*I373*1000)*100</f>
        <v>4.8837209302325588E-3</v>
      </c>
      <c r="AJ373" s="38">
        <v>51.85</v>
      </c>
      <c r="AK373" s="38">
        <f>AJ373/(3.5*I373*1000)*100</f>
        <v>8.612956810631231E-2</v>
      </c>
      <c r="AL373" s="38">
        <v>0.52</v>
      </c>
      <c r="AM373" s="38">
        <f>AL373/(3.5*I373*1000)*100</f>
        <v>8.6378737541528249E-4</v>
      </c>
      <c r="AN373" s="25"/>
      <c r="AO373" s="25">
        <f>AE373*0.5</f>
        <v>0</v>
      </c>
      <c r="AP373" s="25">
        <f>(AD373+AH373+AJ373+AL373+AO373)*I373</f>
        <v>10991.832</v>
      </c>
      <c r="AQ373" s="136"/>
      <c r="AR373" s="12"/>
      <c r="AS373" s="22"/>
      <c r="AT373" s="41"/>
      <c r="AU373" s="41"/>
      <c r="AV373" s="41"/>
      <c r="AW373" s="41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  <c r="CI373" s="22"/>
      <c r="CJ373" s="22"/>
    </row>
    <row r="374" spans="1:88" s="86" customFormat="1">
      <c r="A374" s="1">
        <v>1933</v>
      </c>
      <c r="B374" s="34" t="s">
        <v>2559</v>
      </c>
      <c r="C374" s="34">
        <v>338</v>
      </c>
      <c r="D374" s="75">
        <v>3432</v>
      </c>
      <c r="E374" s="8">
        <v>100</v>
      </c>
      <c r="F374" s="9" t="s">
        <v>2579</v>
      </c>
      <c r="G374" s="20">
        <v>31750</v>
      </c>
      <c r="H374" s="20">
        <v>0</v>
      </c>
      <c r="I374" s="21">
        <v>31.75</v>
      </c>
      <c r="J374" s="8">
        <v>2</v>
      </c>
      <c r="K374" s="8" t="s">
        <v>12</v>
      </c>
      <c r="L374" s="18">
        <v>42096</v>
      </c>
      <c r="M374" s="207" t="s">
        <v>191</v>
      </c>
      <c r="N374" s="38">
        <v>13.21</v>
      </c>
      <c r="O374" s="38">
        <v>7.02</v>
      </c>
      <c r="P374" s="38">
        <v>6.48</v>
      </c>
      <c r="Q374" s="38">
        <v>5.04</v>
      </c>
      <c r="R374" s="38">
        <v>3.3533400000000002</v>
      </c>
      <c r="S374" s="38">
        <f t="shared" si="45"/>
        <v>3.5</v>
      </c>
      <c r="T374" s="38">
        <v>29.16</v>
      </c>
      <c r="U374" s="38">
        <v>1.74</v>
      </c>
      <c r="V374" s="38">
        <v>0.74</v>
      </c>
      <c r="W374" s="38">
        <v>0.1</v>
      </c>
      <c r="X374" s="38">
        <v>4.0517599999999998</v>
      </c>
      <c r="Y374" s="38">
        <f t="shared" si="46"/>
        <v>4</v>
      </c>
      <c r="Z374" s="38">
        <v>0</v>
      </c>
      <c r="AA374" s="38">
        <v>0</v>
      </c>
      <c r="AB374" s="38">
        <v>31.75</v>
      </c>
      <c r="AC374" s="38">
        <v>1.27085</v>
      </c>
      <c r="AD374" s="38">
        <v>536</v>
      </c>
      <c r="AE374" s="38">
        <v>1066.6600000000001</v>
      </c>
      <c r="AF374" s="38">
        <v>0.96227671541057358</v>
      </c>
      <c r="AG374" s="38">
        <f t="shared" si="47"/>
        <v>1</v>
      </c>
      <c r="AH374" s="38">
        <v>456.18</v>
      </c>
      <c r="AI374" s="38">
        <v>0.41051068616422948</v>
      </c>
      <c r="AJ374" s="38">
        <v>149</v>
      </c>
      <c r="AK374" s="38">
        <v>0.13408323959505061</v>
      </c>
      <c r="AL374" s="38">
        <v>18</v>
      </c>
      <c r="AM374" s="38">
        <f>AL374/(3.5*I374*1000)*100</f>
        <v>1.6197975253093362E-2</v>
      </c>
      <c r="AN374" s="41"/>
      <c r="AO374" s="73"/>
      <c r="AP374" s="41"/>
      <c r="AQ374" s="41">
        <f>SUM(N374:Q374)</f>
        <v>31.75</v>
      </c>
      <c r="AR374" s="41">
        <f>SUM(T374:W374)</f>
        <v>31.74</v>
      </c>
      <c r="AS374" s="12">
        <f>SUM(Z374:AB374)</f>
        <v>31.75</v>
      </c>
      <c r="AT374" s="1"/>
      <c r="AU374" s="1">
        <f>I374/AQ374</f>
        <v>1</v>
      </c>
      <c r="AV374" s="1">
        <f>I374/AR374</f>
        <v>1.0003150598613737</v>
      </c>
      <c r="AW374" s="1">
        <f>I374/AS374</f>
        <v>1</v>
      </c>
      <c r="AX374" s="1">
        <f>AT374/I399</f>
        <v>0</v>
      </c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</row>
    <row r="375" spans="1:88" s="86" customFormat="1">
      <c r="A375" s="1">
        <v>1114</v>
      </c>
      <c r="B375" s="9" t="s">
        <v>1513</v>
      </c>
      <c r="C375" s="34">
        <v>431</v>
      </c>
      <c r="D375" s="75">
        <v>3019</v>
      </c>
      <c r="E375" s="69">
        <v>100</v>
      </c>
      <c r="F375" s="34" t="s">
        <v>1545</v>
      </c>
      <c r="G375" s="20" t="s">
        <v>92</v>
      </c>
      <c r="H375" s="20" t="s">
        <v>1546</v>
      </c>
      <c r="I375" s="21">
        <v>2.0499999999999998</v>
      </c>
      <c r="J375" s="8">
        <v>4</v>
      </c>
      <c r="K375" s="5" t="s">
        <v>237</v>
      </c>
      <c r="L375" s="18">
        <v>42282</v>
      </c>
      <c r="M375" s="9" t="s">
        <v>191</v>
      </c>
      <c r="N375" s="38">
        <v>1.4750000000000001</v>
      </c>
      <c r="O375" s="38">
        <v>0.25</v>
      </c>
      <c r="P375" s="38">
        <v>0.17499999999999999</v>
      </c>
      <c r="Q375" s="38">
        <v>0.27500000000000002</v>
      </c>
      <c r="R375" s="38">
        <v>3.7178200000000001</v>
      </c>
      <c r="S375" s="38">
        <f t="shared" si="45"/>
        <v>3.5</v>
      </c>
      <c r="T375" s="38">
        <v>2.15</v>
      </c>
      <c r="U375" s="38">
        <v>2.5000000000000001E-2</v>
      </c>
      <c r="V375" s="38">
        <v>0</v>
      </c>
      <c r="W375" s="38">
        <v>0</v>
      </c>
      <c r="X375" s="38">
        <v>3.3997700000000002</v>
      </c>
      <c r="Y375" s="38">
        <f t="shared" si="46"/>
        <v>3.5</v>
      </c>
      <c r="Z375" s="38">
        <v>0</v>
      </c>
      <c r="AA375" s="38">
        <v>0</v>
      </c>
      <c r="AB375" s="38">
        <v>2.1750000000000003</v>
      </c>
      <c r="AC375" s="38">
        <v>1.14778</v>
      </c>
      <c r="AD375" s="38">
        <v>66.869</v>
      </c>
      <c r="AE375" s="38">
        <v>4.32</v>
      </c>
      <c r="AF375" s="38">
        <f>(AD375+AE375*0.5)/(3.5*I375*1000)*100</f>
        <v>0.96207665505226492</v>
      </c>
      <c r="AG375" s="38">
        <f t="shared" si="47"/>
        <v>1</v>
      </c>
      <c r="AH375" s="38">
        <v>48.96</v>
      </c>
      <c r="AI375" s="38">
        <f>AH375/(3.5*I375*1000)*100</f>
        <v>0.68236933797909416</v>
      </c>
      <c r="AJ375" s="38">
        <v>0</v>
      </c>
      <c r="AK375" s="38">
        <f>AJ375/(3.5*I375*1000)*100</f>
        <v>0</v>
      </c>
      <c r="AL375" s="38">
        <v>2.2200000000000002</v>
      </c>
      <c r="AM375" s="38">
        <f>AL375/(3.5*I375*1000)*100</f>
        <v>3.0940766550522653E-2</v>
      </c>
      <c r="AN375" s="41"/>
      <c r="AO375" s="72"/>
      <c r="AP375" s="73"/>
      <c r="AQ375" s="73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</row>
    <row r="376" spans="1:88" s="86" customFormat="1">
      <c r="A376" s="1">
        <v>253</v>
      </c>
      <c r="B376" s="34" t="s">
        <v>436</v>
      </c>
      <c r="C376" s="34">
        <v>537</v>
      </c>
      <c r="D376" s="34">
        <v>1410</v>
      </c>
      <c r="E376" s="34">
        <v>100</v>
      </c>
      <c r="F376" s="34" t="s">
        <v>469</v>
      </c>
      <c r="G376" s="20">
        <v>0</v>
      </c>
      <c r="H376" s="20">
        <v>2617</v>
      </c>
      <c r="I376" s="35">
        <v>2.617</v>
      </c>
      <c r="J376" s="33">
        <v>2</v>
      </c>
      <c r="K376" s="34" t="s">
        <v>238</v>
      </c>
      <c r="L376" s="10">
        <v>42200</v>
      </c>
      <c r="M376" s="9" t="s">
        <v>191</v>
      </c>
      <c r="N376" s="38">
        <v>1.89</v>
      </c>
      <c r="O376" s="38">
        <v>0.4</v>
      </c>
      <c r="P376" s="38">
        <v>0.18</v>
      </c>
      <c r="Q376" s="38">
        <v>0.15</v>
      </c>
      <c r="R376" s="38">
        <v>2.33962</v>
      </c>
      <c r="S376" s="38">
        <f t="shared" si="45"/>
        <v>2.5</v>
      </c>
      <c r="T376" s="38">
        <v>2.4900000000000002</v>
      </c>
      <c r="U376" s="38">
        <v>0.13</v>
      </c>
      <c r="V376" s="38">
        <v>0</v>
      </c>
      <c r="W376" s="38">
        <v>0</v>
      </c>
      <c r="X376" s="38">
        <v>5.7468700000000004</v>
      </c>
      <c r="Y376" s="38">
        <f t="shared" si="46"/>
        <v>5.5</v>
      </c>
      <c r="Z376" s="38">
        <v>0</v>
      </c>
      <c r="AA376" s="38">
        <v>0</v>
      </c>
      <c r="AB376" s="38">
        <v>2.62</v>
      </c>
      <c r="AC376" s="38">
        <v>1.26122</v>
      </c>
      <c r="AD376" s="38">
        <v>88</v>
      </c>
      <c r="AE376" s="38">
        <v>0</v>
      </c>
      <c r="AF376" s="38">
        <v>0.96075113270375023</v>
      </c>
      <c r="AG376" s="38">
        <f t="shared" si="47"/>
        <v>1</v>
      </c>
      <c r="AH376" s="38">
        <v>0</v>
      </c>
      <c r="AI376" s="38">
        <v>0</v>
      </c>
      <c r="AJ376" s="38">
        <v>0</v>
      </c>
      <c r="AK376" s="55">
        <v>0</v>
      </c>
      <c r="AL376" s="55">
        <v>0</v>
      </c>
      <c r="AM376" s="55">
        <v>0</v>
      </c>
      <c r="AN376" s="40"/>
      <c r="AO376" s="25">
        <f>SUM(N376:Q376)</f>
        <v>2.62</v>
      </c>
      <c r="AP376" s="25">
        <f>SUM(T376:W376)</f>
        <v>2.62</v>
      </c>
      <c r="AQ376" s="268">
        <v>2.617</v>
      </c>
      <c r="AR376" s="41"/>
      <c r="AS376" s="41"/>
      <c r="AT376" s="41"/>
      <c r="AU376" s="41">
        <f>SUM(N376:Q376)</f>
        <v>2.62</v>
      </c>
      <c r="AV376" s="41">
        <f>SUM(T376:W376)</f>
        <v>2.62</v>
      </c>
      <c r="AW376" s="41">
        <f>SUM(Z376:AB376)</f>
        <v>2.62</v>
      </c>
      <c r="AX376" s="22"/>
      <c r="AY376" s="22">
        <f>I376/AU376</f>
        <v>0.99885496183206102</v>
      </c>
      <c r="AZ376" s="22">
        <f>I376/AV376</f>
        <v>0.99885496183206102</v>
      </c>
      <c r="BA376" s="22">
        <f>I376/AW376</f>
        <v>0.99885496183206102</v>
      </c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  <c r="CH376" s="22"/>
      <c r="CI376" s="22"/>
      <c r="CJ376" s="22"/>
    </row>
    <row r="377" spans="1:88" s="86" customFormat="1">
      <c r="A377" s="1">
        <v>1131</v>
      </c>
      <c r="B377" s="9" t="s">
        <v>1513</v>
      </c>
      <c r="C377" s="34">
        <v>431</v>
      </c>
      <c r="D377" s="75">
        <v>3564</v>
      </c>
      <c r="E377" s="69">
        <v>100</v>
      </c>
      <c r="F377" s="34" t="s">
        <v>1573</v>
      </c>
      <c r="G377" s="58" t="s">
        <v>92</v>
      </c>
      <c r="H377" s="58" t="s">
        <v>1574</v>
      </c>
      <c r="I377" s="34">
        <v>3.9849999999999999</v>
      </c>
      <c r="J377" s="5">
        <v>2</v>
      </c>
      <c r="K377" s="5" t="s">
        <v>238</v>
      </c>
      <c r="L377" s="18">
        <v>42282</v>
      </c>
      <c r="M377" s="9" t="s">
        <v>191</v>
      </c>
      <c r="N377" s="38">
        <v>0.9</v>
      </c>
      <c r="O377" s="38">
        <v>1.2749999999999999</v>
      </c>
      <c r="P377" s="38">
        <v>0.875</v>
      </c>
      <c r="Q377" s="38">
        <v>0.92500000000000004</v>
      </c>
      <c r="R377" s="38">
        <v>4.0196899999999998</v>
      </c>
      <c r="S377" s="38">
        <f t="shared" si="45"/>
        <v>4</v>
      </c>
      <c r="T377" s="38">
        <v>3.3250000000000002</v>
      </c>
      <c r="U377" s="38">
        <v>0.5</v>
      </c>
      <c r="V377" s="38">
        <v>0.125</v>
      </c>
      <c r="W377" s="38">
        <v>2.5000000000000001E-2</v>
      </c>
      <c r="X377" s="38">
        <v>6.1620100000000004</v>
      </c>
      <c r="Y377" s="38">
        <f t="shared" si="46"/>
        <v>6</v>
      </c>
      <c r="Z377" s="38">
        <v>0</v>
      </c>
      <c r="AA377" s="38">
        <v>0</v>
      </c>
      <c r="AB377" s="38">
        <v>3.9749999999999996</v>
      </c>
      <c r="AC377" s="38">
        <v>1.31477</v>
      </c>
      <c r="AD377" s="38">
        <v>69.33</v>
      </c>
      <c r="AE377" s="38">
        <v>128.69800000000001</v>
      </c>
      <c r="AF377" s="38">
        <f>(AD377+AE377*0.5)/(3.5*I377*1000)*100</f>
        <v>0.95844416562107915</v>
      </c>
      <c r="AG377" s="38">
        <f t="shared" si="47"/>
        <v>1</v>
      </c>
      <c r="AH377" s="38">
        <v>48.956000000000003</v>
      </c>
      <c r="AI377" s="38">
        <f>AH377/(3.5*I377*1000)*100</f>
        <v>0.35100197167951247</v>
      </c>
      <c r="AJ377" s="38">
        <v>100.31</v>
      </c>
      <c r="AK377" s="38">
        <f>AJ377/(3.5*I377*1000)*100</f>
        <v>0.71919698870765381</v>
      </c>
      <c r="AL377" s="38">
        <v>0</v>
      </c>
      <c r="AM377" s="38">
        <f t="shared" ref="AM377:AM383" si="51">AL377/(3.5*I377*1000)*100</f>
        <v>0</v>
      </c>
      <c r="AN377" s="41"/>
      <c r="AO377" s="114"/>
      <c r="AP377" s="73"/>
      <c r="AQ377" s="73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</row>
    <row r="378" spans="1:88" s="86" customFormat="1">
      <c r="A378" s="1">
        <v>73</v>
      </c>
      <c r="B378" s="4" t="s">
        <v>44</v>
      </c>
      <c r="C378" s="14">
        <v>524</v>
      </c>
      <c r="D378" s="19">
        <v>1030</v>
      </c>
      <c r="E378" s="16">
        <v>100</v>
      </c>
      <c r="F378" s="14" t="s">
        <v>51</v>
      </c>
      <c r="G378" s="20" t="s">
        <v>136</v>
      </c>
      <c r="H378" s="20" t="s">
        <v>92</v>
      </c>
      <c r="I378" s="21">
        <v>12.516</v>
      </c>
      <c r="J378" s="8">
        <v>2</v>
      </c>
      <c r="K378" s="9" t="s">
        <v>12</v>
      </c>
      <c r="L378" s="18">
        <v>42226</v>
      </c>
      <c r="M378" s="9" t="s">
        <v>191</v>
      </c>
      <c r="N378" s="11">
        <v>4.7</v>
      </c>
      <c r="O378" s="11">
        <v>4.9000000000000004</v>
      </c>
      <c r="P378" s="11">
        <v>2.65</v>
      </c>
      <c r="Q378" s="11">
        <v>0.25</v>
      </c>
      <c r="R378" s="11">
        <v>2.8860999999999999</v>
      </c>
      <c r="S378" s="38">
        <f t="shared" si="45"/>
        <v>3</v>
      </c>
      <c r="T378" s="11">
        <v>12.375</v>
      </c>
      <c r="U378" s="11">
        <v>0.1</v>
      </c>
      <c r="V378" s="11">
        <v>2.5000000000000001E-2</v>
      </c>
      <c r="W378" s="11">
        <v>0</v>
      </c>
      <c r="X378" s="11">
        <v>1.97417</v>
      </c>
      <c r="Y378" s="38">
        <f t="shared" si="46"/>
        <v>2</v>
      </c>
      <c r="Z378" s="11">
        <v>0</v>
      </c>
      <c r="AA378" s="11">
        <v>0</v>
      </c>
      <c r="AB378" s="11">
        <v>12.500000000000002</v>
      </c>
      <c r="AC378" s="11">
        <v>1.0190399999999999</v>
      </c>
      <c r="AD378" s="11">
        <v>418.83</v>
      </c>
      <c r="AE378" s="11">
        <v>0</v>
      </c>
      <c r="AF378" s="11">
        <f>(AD378+AE378*0.5)/(3.5*I378*1000)*100</f>
        <v>0.95610190384878779</v>
      </c>
      <c r="AG378" s="38">
        <f t="shared" si="47"/>
        <v>1</v>
      </c>
      <c r="AH378" s="11">
        <v>0</v>
      </c>
      <c r="AI378" s="11">
        <f>AH378/(3.5*I378*1000)*100</f>
        <v>0</v>
      </c>
      <c r="AJ378" s="11">
        <v>0</v>
      </c>
      <c r="AK378" s="11">
        <f>AJ378/(3.5*I378*1000)*100</f>
        <v>0</v>
      </c>
      <c r="AL378" s="11">
        <v>0</v>
      </c>
      <c r="AM378" s="11">
        <f t="shared" si="51"/>
        <v>0</v>
      </c>
      <c r="AN378" s="25"/>
      <c r="AO378" s="25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</row>
    <row r="379" spans="1:88">
      <c r="A379" s="1">
        <v>2011</v>
      </c>
      <c r="B379" s="34" t="s">
        <v>2646</v>
      </c>
      <c r="C379" s="34">
        <v>325</v>
      </c>
      <c r="D379" s="75">
        <v>4114</v>
      </c>
      <c r="E379" s="8">
        <v>100</v>
      </c>
      <c r="F379" s="34" t="s">
        <v>2659</v>
      </c>
      <c r="G379" s="58">
        <v>10503</v>
      </c>
      <c r="H379" s="58">
        <v>0</v>
      </c>
      <c r="I379" s="21">
        <v>10.503</v>
      </c>
      <c r="J379" s="8">
        <v>2</v>
      </c>
      <c r="K379" s="8" t="s">
        <v>12</v>
      </c>
      <c r="L379" s="18">
        <v>42116</v>
      </c>
      <c r="M379" s="9" t="s">
        <v>191</v>
      </c>
      <c r="N379" s="38">
        <v>5.23</v>
      </c>
      <c r="O379" s="38">
        <v>3.43</v>
      </c>
      <c r="P379" s="38">
        <v>1.1499999999999999</v>
      </c>
      <c r="Q379" s="38">
        <v>0.69</v>
      </c>
      <c r="R379" s="38">
        <v>2.9110200000000002</v>
      </c>
      <c r="S379" s="38">
        <f t="shared" si="45"/>
        <v>3</v>
      </c>
      <c r="T379" s="38">
        <v>9.91</v>
      </c>
      <c r="U379" s="38">
        <v>0.49</v>
      </c>
      <c r="V379" s="38">
        <v>0.1</v>
      </c>
      <c r="W379" s="38">
        <v>0</v>
      </c>
      <c r="X379" s="38">
        <v>3.8813300000000002</v>
      </c>
      <c r="Y379" s="38">
        <f t="shared" si="46"/>
        <v>4</v>
      </c>
      <c r="Z379" s="38">
        <v>0</v>
      </c>
      <c r="AA379" s="38">
        <v>0</v>
      </c>
      <c r="AB379" s="38">
        <v>10.5</v>
      </c>
      <c r="AC379" s="38">
        <v>1.0276000000000001</v>
      </c>
      <c r="AD379" s="38">
        <v>344.89</v>
      </c>
      <c r="AE379" s="38">
        <v>12.58</v>
      </c>
      <c r="AF379" s="38">
        <f>(AD379+AE379*0.5)/(3.5*I379*1000)*100</f>
        <v>0.95531888848084212</v>
      </c>
      <c r="AG379" s="38">
        <f t="shared" si="47"/>
        <v>1</v>
      </c>
      <c r="AH379" s="38">
        <v>0</v>
      </c>
      <c r="AI379" s="38">
        <f>AH379/(3.5*I379*1000)*100</f>
        <v>0</v>
      </c>
      <c r="AJ379" s="38">
        <v>135.72999999999999</v>
      </c>
      <c r="AK379" s="38">
        <f>AJ379/(3.5*I379*1000)*100</f>
        <v>0.36922783966485762</v>
      </c>
      <c r="AL379" s="38">
        <v>0</v>
      </c>
      <c r="AM379" s="38">
        <f t="shared" si="51"/>
        <v>0</v>
      </c>
      <c r="AN379" s="12"/>
      <c r="AO379" s="12"/>
      <c r="AQ379" s="41">
        <f>SUM(N379:Q379)</f>
        <v>10.5</v>
      </c>
      <c r="AR379" s="41">
        <f>SUM(T379:W379)</f>
        <v>10.5</v>
      </c>
      <c r="AS379" s="12">
        <f>SUM(Z379:AB379)</f>
        <v>10.5</v>
      </c>
      <c r="AU379" s="1">
        <f>I379/AQ379</f>
        <v>1.0002857142857142</v>
      </c>
      <c r="AV379" s="1">
        <f>I379/AR379</f>
        <v>1.0002857142857142</v>
      </c>
      <c r="AW379" s="1">
        <f>I379/AS379</f>
        <v>1.0002857142857142</v>
      </c>
    </row>
    <row r="380" spans="1:88">
      <c r="A380" s="1">
        <v>2074</v>
      </c>
      <c r="B380" s="34" t="s">
        <v>2715</v>
      </c>
      <c r="C380" s="34">
        <v>329</v>
      </c>
      <c r="D380" s="75">
        <v>4037</v>
      </c>
      <c r="E380" s="8">
        <v>200</v>
      </c>
      <c r="F380" s="34" t="s">
        <v>2720</v>
      </c>
      <c r="G380" s="58">
        <v>58735</v>
      </c>
      <c r="H380" s="58">
        <v>33450</v>
      </c>
      <c r="I380" s="21">
        <v>25.285</v>
      </c>
      <c r="J380" s="8">
        <v>2</v>
      </c>
      <c r="K380" s="8" t="s">
        <v>96</v>
      </c>
      <c r="L380" s="18">
        <v>42121</v>
      </c>
      <c r="M380" s="9" t="s">
        <v>191</v>
      </c>
      <c r="N380" s="38">
        <v>16.824999999999999</v>
      </c>
      <c r="O380" s="38">
        <v>4.6500000000000004</v>
      </c>
      <c r="P380" s="38">
        <v>2.4249999999999998</v>
      </c>
      <c r="Q380" s="38">
        <v>1.3</v>
      </c>
      <c r="R380" s="38">
        <v>2.40313</v>
      </c>
      <c r="S380" s="38">
        <f t="shared" si="45"/>
        <v>2.5</v>
      </c>
      <c r="T380" s="38">
        <v>19.600000000000001</v>
      </c>
      <c r="U380" s="38">
        <v>4.4249999999999998</v>
      </c>
      <c r="V380" s="38">
        <v>1.05</v>
      </c>
      <c r="W380" s="38">
        <v>0.125</v>
      </c>
      <c r="X380" s="38">
        <v>7.2369899999999996</v>
      </c>
      <c r="Y380" s="38">
        <f t="shared" si="46"/>
        <v>7</v>
      </c>
      <c r="Z380" s="38">
        <v>0</v>
      </c>
      <c r="AA380" s="38">
        <v>0</v>
      </c>
      <c r="AB380" s="38">
        <v>25.200000000000003</v>
      </c>
      <c r="AC380" s="38">
        <v>1.35561</v>
      </c>
      <c r="AD380" s="38">
        <v>842.4</v>
      </c>
      <c r="AE380" s="38">
        <v>4.6900000000000004</v>
      </c>
      <c r="AF380" s="38">
        <v>0.95454108873132015</v>
      </c>
      <c r="AG380" s="38">
        <f t="shared" si="47"/>
        <v>1</v>
      </c>
      <c r="AH380" s="38">
        <v>0</v>
      </c>
      <c r="AI380" s="38">
        <v>0</v>
      </c>
      <c r="AJ380" s="38">
        <v>0</v>
      </c>
      <c r="AK380" s="38">
        <v>0</v>
      </c>
      <c r="AL380" s="38">
        <v>0</v>
      </c>
      <c r="AM380" s="38">
        <f t="shared" si="51"/>
        <v>0</v>
      </c>
      <c r="AN380" s="12"/>
      <c r="AO380" s="12"/>
    </row>
    <row r="381" spans="1:88">
      <c r="A381" s="1">
        <v>1988</v>
      </c>
      <c r="B381" s="34" t="s">
        <v>2615</v>
      </c>
      <c r="C381" s="34">
        <v>322</v>
      </c>
      <c r="D381" s="75">
        <v>4159</v>
      </c>
      <c r="E381" s="8">
        <v>100</v>
      </c>
      <c r="F381" s="34" t="s">
        <v>2629</v>
      </c>
      <c r="G381" s="58">
        <v>22386</v>
      </c>
      <c r="H381" s="58">
        <v>0</v>
      </c>
      <c r="I381" s="21">
        <v>22.385999999999999</v>
      </c>
      <c r="J381" s="8">
        <v>2</v>
      </c>
      <c r="K381" s="8" t="s">
        <v>96</v>
      </c>
      <c r="L381" s="18">
        <v>42130</v>
      </c>
      <c r="M381" s="9" t="s">
        <v>191</v>
      </c>
      <c r="N381" s="38">
        <v>12.55</v>
      </c>
      <c r="O381" s="38">
        <v>6.7249999999999996</v>
      </c>
      <c r="P381" s="38">
        <v>2.375</v>
      </c>
      <c r="Q381" s="38">
        <v>0.625</v>
      </c>
      <c r="R381" s="38">
        <v>2.5385300000000002</v>
      </c>
      <c r="S381" s="38">
        <f t="shared" si="45"/>
        <v>2.5</v>
      </c>
      <c r="T381" s="38">
        <v>20.9</v>
      </c>
      <c r="U381" s="38">
        <v>1.25</v>
      </c>
      <c r="V381" s="38">
        <v>0.1</v>
      </c>
      <c r="W381" s="38">
        <v>2.5000000000000001E-2</v>
      </c>
      <c r="X381" s="38">
        <v>5.1005900000000004</v>
      </c>
      <c r="Y381" s="38">
        <f t="shared" si="46"/>
        <v>5</v>
      </c>
      <c r="Z381" s="38">
        <v>0</v>
      </c>
      <c r="AA381" s="38">
        <v>0</v>
      </c>
      <c r="AB381" s="38">
        <v>22.274999999999999</v>
      </c>
      <c r="AC381" s="38">
        <v>1.33952</v>
      </c>
      <c r="AD381" s="38">
        <v>731.56</v>
      </c>
      <c r="AE381" s="38">
        <v>29</v>
      </c>
      <c r="AF381" s="38">
        <v>0.95220226927543983</v>
      </c>
      <c r="AG381" s="38">
        <f t="shared" si="47"/>
        <v>1</v>
      </c>
      <c r="AH381" s="38">
        <v>149.69999999999999</v>
      </c>
      <c r="AI381" s="38">
        <v>0.19106329210858827</v>
      </c>
      <c r="AJ381" s="38">
        <v>0</v>
      </c>
      <c r="AK381" s="38">
        <v>0</v>
      </c>
      <c r="AL381" s="38">
        <v>0</v>
      </c>
      <c r="AM381" s="38">
        <f t="shared" si="51"/>
        <v>0</v>
      </c>
      <c r="AN381" s="72"/>
      <c r="AO381" s="41"/>
      <c r="AP381" s="41"/>
      <c r="AQ381" s="73"/>
      <c r="AR381" s="73"/>
      <c r="AS381" s="73"/>
      <c r="AT381" s="73"/>
    </row>
    <row r="382" spans="1:88">
      <c r="A382" s="1">
        <v>2102</v>
      </c>
      <c r="B382" s="34" t="s">
        <v>2732</v>
      </c>
      <c r="C382" s="34">
        <v>323</v>
      </c>
      <c r="D382" s="75">
        <v>4252</v>
      </c>
      <c r="E382" s="8">
        <v>100</v>
      </c>
      <c r="F382" s="9" t="s">
        <v>2751</v>
      </c>
      <c r="G382" s="20">
        <v>0</v>
      </c>
      <c r="H382" s="20">
        <v>8500</v>
      </c>
      <c r="I382" s="21">
        <v>8.5</v>
      </c>
      <c r="J382" s="9">
        <v>2</v>
      </c>
      <c r="K382" s="34" t="s">
        <v>238</v>
      </c>
      <c r="L382" s="18">
        <v>42102</v>
      </c>
      <c r="M382" s="9" t="s">
        <v>191</v>
      </c>
      <c r="N382" s="38">
        <v>6.61</v>
      </c>
      <c r="O382" s="38">
        <v>1.41</v>
      </c>
      <c r="P382" s="38">
        <v>0.4</v>
      </c>
      <c r="Q382" s="38">
        <v>0.08</v>
      </c>
      <c r="R382" s="38">
        <v>2.0996700000000001</v>
      </c>
      <c r="S382" s="38">
        <f t="shared" si="45"/>
        <v>2</v>
      </c>
      <c r="T382" s="38">
        <v>8.5</v>
      </c>
      <c r="U382" s="38">
        <v>0</v>
      </c>
      <c r="V382" s="38">
        <v>0</v>
      </c>
      <c r="W382" s="38">
        <v>0</v>
      </c>
      <c r="X382" s="38">
        <v>1.9810399999999999</v>
      </c>
      <c r="Y382" s="38">
        <f t="shared" si="46"/>
        <v>2</v>
      </c>
      <c r="Z382" s="38">
        <v>0</v>
      </c>
      <c r="AA382" s="38">
        <v>0</v>
      </c>
      <c r="AB382" s="38">
        <v>8.5</v>
      </c>
      <c r="AC382" s="38">
        <v>1.39517</v>
      </c>
      <c r="AD382" s="38">
        <v>185.14</v>
      </c>
      <c r="AE382" s="38">
        <v>195.36</v>
      </c>
      <c r="AF382" s="38">
        <f>(AD382+AE382*0.5)/(3.5*I382*1000)*100</f>
        <v>0.95065546218487396</v>
      </c>
      <c r="AG382" s="38">
        <f t="shared" si="47"/>
        <v>1</v>
      </c>
      <c r="AH382" s="38">
        <v>36.270000000000003</v>
      </c>
      <c r="AI382" s="38">
        <f>AH382/(3.5*I382*1000)*100</f>
        <v>0.12191596638655464</v>
      </c>
      <c r="AJ382" s="38">
        <v>0</v>
      </c>
      <c r="AK382" s="38">
        <v>0</v>
      </c>
      <c r="AL382" s="38">
        <v>0</v>
      </c>
      <c r="AM382" s="38">
        <f t="shared" si="51"/>
        <v>0</v>
      </c>
      <c r="AN382" s="25"/>
      <c r="AO382" s="25"/>
      <c r="AP382" s="22"/>
      <c r="AQ382" s="41">
        <f>SUM(N382:Q382)</f>
        <v>8.5</v>
      </c>
      <c r="AR382" s="41">
        <f>SUM(T382:W382)</f>
        <v>8.5</v>
      </c>
      <c r="AS382" s="12">
        <f>SUM(Z382:AB382)</f>
        <v>8.5</v>
      </c>
      <c r="AU382" s="1">
        <f>I382/AQ382</f>
        <v>1</v>
      </c>
      <c r="AV382" s="1">
        <f>I382/AR382</f>
        <v>1</v>
      </c>
      <c r="AW382" s="1">
        <f>I382/AS382</f>
        <v>1</v>
      </c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</row>
    <row r="383" spans="1:88">
      <c r="A383" s="1">
        <v>597</v>
      </c>
      <c r="B383" s="34" t="s">
        <v>994</v>
      </c>
      <c r="C383" s="34">
        <v>554</v>
      </c>
      <c r="D383" s="34">
        <v>201</v>
      </c>
      <c r="E383" s="34">
        <v>404</v>
      </c>
      <c r="F383" s="9" t="s">
        <v>1000</v>
      </c>
      <c r="G383" s="118">
        <v>322036</v>
      </c>
      <c r="H383" s="118">
        <v>341241</v>
      </c>
      <c r="I383" s="35">
        <v>19.204999999999998</v>
      </c>
      <c r="J383" s="71">
        <v>4</v>
      </c>
      <c r="K383" s="34" t="s">
        <v>237</v>
      </c>
      <c r="L383" s="10">
        <v>42182</v>
      </c>
      <c r="M383" s="9" t="s">
        <v>191</v>
      </c>
      <c r="N383" s="38">
        <v>12.4</v>
      </c>
      <c r="O383" s="38">
        <v>4.1399999999999997</v>
      </c>
      <c r="P383" s="38">
        <v>1.78</v>
      </c>
      <c r="Q383" s="38">
        <v>0.9</v>
      </c>
      <c r="R383" s="38">
        <v>2.7126000000000001</v>
      </c>
      <c r="S383" s="38">
        <f t="shared" si="45"/>
        <v>2.5</v>
      </c>
      <c r="T383" s="38">
        <v>15.65</v>
      </c>
      <c r="U383" s="38">
        <v>2.73</v>
      </c>
      <c r="V383" s="38">
        <v>0.6</v>
      </c>
      <c r="W383" s="38">
        <v>0.23</v>
      </c>
      <c r="X383" s="38">
        <v>6.9739300000000002</v>
      </c>
      <c r="Y383" s="38">
        <f t="shared" si="46"/>
        <v>7</v>
      </c>
      <c r="Z383" s="38">
        <v>0</v>
      </c>
      <c r="AA383" s="38">
        <v>0</v>
      </c>
      <c r="AB383" s="38">
        <v>19.21</v>
      </c>
      <c r="AC383" s="38">
        <v>1.0438499999999999</v>
      </c>
      <c r="AD383" s="38">
        <v>639</v>
      </c>
      <c r="AE383" s="38">
        <v>0</v>
      </c>
      <c r="AF383" s="38">
        <v>0.95064529326440284</v>
      </c>
      <c r="AG383" s="38">
        <f t="shared" si="47"/>
        <v>1</v>
      </c>
      <c r="AH383" s="38">
        <v>0</v>
      </c>
      <c r="AI383" s="38">
        <v>0</v>
      </c>
      <c r="AJ383" s="38">
        <v>738</v>
      </c>
      <c r="AK383" s="38">
        <v>1.097928366868747</v>
      </c>
      <c r="AL383" s="38">
        <v>0</v>
      </c>
      <c r="AM383" s="38">
        <f t="shared" si="51"/>
        <v>0</v>
      </c>
      <c r="AN383" s="60"/>
      <c r="AO383" s="60">
        <f>AE383*0.5</f>
        <v>0</v>
      </c>
      <c r="AP383" s="60">
        <f>(AD383+AH383+AJ383+AL383+AO383)*I383</f>
        <v>26445.284999999996</v>
      </c>
      <c r="AQ383" s="25">
        <f>SUM(N383:Q383)</f>
        <v>19.22</v>
      </c>
      <c r="AR383" s="25">
        <f>SUM(T383:W383)</f>
        <v>19.21</v>
      </c>
      <c r="AS383" s="268">
        <v>19.204999999999998</v>
      </c>
      <c r="AT383" s="40"/>
      <c r="AU383" s="41">
        <f>SUM(N383:Q383)</f>
        <v>19.22</v>
      </c>
      <c r="AV383" s="41">
        <f>SUM(T383:W383)</f>
        <v>19.21</v>
      </c>
      <c r="AW383" s="41">
        <f>SUM(Z383:AB383)</f>
        <v>19.21</v>
      </c>
      <c r="AX383" s="22"/>
      <c r="AY383" s="22">
        <f>I383/AU383</f>
        <v>0.99921956295525494</v>
      </c>
      <c r="AZ383" s="22">
        <f>I383/AV383</f>
        <v>0.999739718896408</v>
      </c>
      <c r="BA383" s="22">
        <f>I383/AW383</f>
        <v>0.999739718896408</v>
      </c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</row>
    <row r="384" spans="1:88">
      <c r="A384" s="1">
        <v>1277</v>
      </c>
      <c r="B384" s="74" t="s">
        <v>1820</v>
      </c>
      <c r="C384" s="34">
        <v>441</v>
      </c>
      <c r="D384" s="75">
        <v>333</v>
      </c>
      <c r="E384" s="69">
        <v>200</v>
      </c>
      <c r="F384" s="34" t="s">
        <v>1821</v>
      </c>
      <c r="G384" s="58">
        <v>83075</v>
      </c>
      <c r="H384" s="58">
        <v>33800</v>
      </c>
      <c r="I384" s="55">
        <v>49.274999999999999</v>
      </c>
      <c r="J384" s="34">
        <v>2</v>
      </c>
      <c r="K384" s="34" t="s">
        <v>12</v>
      </c>
      <c r="L384" s="10">
        <v>42185</v>
      </c>
      <c r="M384" s="9" t="s">
        <v>191</v>
      </c>
      <c r="N384" s="38">
        <v>40.6</v>
      </c>
      <c r="O384" s="38">
        <v>6.1</v>
      </c>
      <c r="P384" s="38">
        <v>1.8</v>
      </c>
      <c r="Q384" s="38">
        <v>0.6</v>
      </c>
      <c r="R384" s="38">
        <v>2.0171800000000002</v>
      </c>
      <c r="S384" s="38">
        <f t="shared" si="45"/>
        <v>2</v>
      </c>
      <c r="T384" s="38">
        <v>44.174999999999997</v>
      </c>
      <c r="U384" s="38">
        <v>3.4750000000000001</v>
      </c>
      <c r="V384" s="38">
        <v>1.2</v>
      </c>
      <c r="W384" s="38">
        <v>0.25</v>
      </c>
      <c r="X384" s="38">
        <v>4.9706099999999998</v>
      </c>
      <c r="Y384" s="38">
        <f t="shared" si="46"/>
        <v>5</v>
      </c>
      <c r="Z384" s="38">
        <v>0</v>
      </c>
      <c r="AA384" s="38">
        <v>0</v>
      </c>
      <c r="AB384" s="38">
        <v>49.1</v>
      </c>
      <c r="AC384" s="38">
        <v>1.07267</v>
      </c>
      <c r="AD384" s="38">
        <v>1624</v>
      </c>
      <c r="AE384" s="38">
        <v>28</v>
      </c>
      <c r="AF384" s="38">
        <v>0.94977168949771684</v>
      </c>
      <c r="AG384" s="38">
        <f t="shared" si="47"/>
        <v>0.9</v>
      </c>
      <c r="AH384" s="38">
        <v>34</v>
      </c>
      <c r="AI384" s="38">
        <v>0</v>
      </c>
      <c r="AJ384" s="38">
        <v>159</v>
      </c>
      <c r="AK384" s="38">
        <v>0</v>
      </c>
      <c r="AL384" s="38">
        <v>0</v>
      </c>
      <c r="AM384" s="38">
        <v>1</v>
      </c>
      <c r="AN384" s="40"/>
      <c r="AO384" s="25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  <c r="CI384" s="22"/>
      <c r="CJ384" s="22"/>
    </row>
    <row r="385" spans="1:88">
      <c r="A385" s="1">
        <v>1786</v>
      </c>
      <c r="B385" s="34" t="s">
        <v>2382</v>
      </c>
      <c r="C385" s="34">
        <v>428</v>
      </c>
      <c r="D385" s="8">
        <v>331</v>
      </c>
      <c r="E385" s="34">
        <v>103</v>
      </c>
      <c r="F385" s="34" t="s">
        <v>2386</v>
      </c>
      <c r="G385" s="58" t="s">
        <v>2387</v>
      </c>
      <c r="H385" s="58" t="s">
        <v>2385</v>
      </c>
      <c r="I385" s="35">
        <v>21.3</v>
      </c>
      <c r="J385" s="9">
        <v>4</v>
      </c>
      <c r="K385" s="34" t="s">
        <v>96</v>
      </c>
      <c r="L385" s="10">
        <v>42230</v>
      </c>
      <c r="M385" s="9" t="s">
        <v>191</v>
      </c>
      <c r="N385" s="38">
        <v>8.8000000000000007</v>
      </c>
      <c r="O385" s="38">
        <v>4.4749999999999996</v>
      </c>
      <c r="P385" s="38">
        <v>3.25</v>
      </c>
      <c r="Q385" s="38">
        <v>4.875</v>
      </c>
      <c r="R385" s="38">
        <v>3.6321400000000001</v>
      </c>
      <c r="S385" s="38">
        <f t="shared" si="45"/>
        <v>3.5</v>
      </c>
      <c r="T385" s="38">
        <v>15.2</v>
      </c>
      <c r="U385" s="38">
        <v>4.7750000000000004</v>
      </c>
      <c r="V385" s="38">
        <v>1.0249999999999999</v>
      </c>
      <c r="W385" s="38">
        <v>0.4</v>
      </c>
      <c r="X385" s="38">
        <v>8.7235999999999994</v>
      </c>
      <c r="Y385" s="38">
        <f t="shared" si="46"/>
        <v>8.5</v>
      </c>
      <c r="Z385" s="38">
        <v>0</v>
      </c>
      <c r="AA385" s="38">
        <v>0</v>
      </c>
      <c r="AB385" s="38">
        <f>SUM(N385:Q385)</f>
        <v>21.4</v>
      </c>
      <c r="AC385" s="38">
        <v>1.5423199999999999</v>
      </c>
      <c r="AD385" s="38">
        <v>705.08</v>
      </c>
      <c r="AE385" s="38">
        <v>0</v>
      </c>
      <c r="AF385" s="38">
        <f>(AD385+AE385*0.5)/(3.5*I385*1000)*100</f>
        <v>0.94578135479543946</v>
      </c>
      <c r="AG385" s="38">
        <f t="shared" si="47"/>
        <v>0.9</v>
      </c>
      <c r="AH385" s="38">
        <v>16.34</v>
      </c>
      <c r="AI385" s="38">
        <f>AH385/(3.5*I385*1000)*100</f>
        <v>2.1918175720992625E-2</v>
      </c>
      <c r="AJ385" s="38">
        <v>0</v>
      </c>
      <c r="AK385" s="38">
        <f>AJ385/(3.5*I385*1000)*100</f>
        <v>0</v>
      </c>
      <c r="AL385" s="38">
        <v>0.55000000000000004</v>
      </c>
      <c r="AM385" s="38">
        <f t="shared" ref="AM385:AM397" si="52">AL385/(3.5*I385*1000)*100</f>
        <v>7.3775989268947025E-4</v>
      </c>
      <c r="AN385" s="25"/>
      <c r="AO385" s="25">
        <f>AE385*0.5</f>
        <v>0</v>
      </c>
      <c r="AP385" s="25">
        <f>(AD385+AH385+AJ385+AL385+AO385)*I385</f>
        <v>15377.961000000001</v>
      </c>
      <c r="AQ385" s="136">
        <f>SUM(N385:Q385)</f>
        <v>21.4</v>
      </c>
      <c r="AR385" s="12">
        <f>SUM(T385:W385)</f>
        <v>21.4</v>
      </c>
      <c r="AS385" s="22"/>
      <c r="AT385" s="41"/>
      <c r="AU385" s="41"/>
      <c r="AV385" s="41"/>
      <c r="AW385" s="41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</row>
    <row r="386" spans="1:88">
      <c r="A386" s="1">
        <v>1616</v>
      </c>
      <c r="B386" s="9" t="s">
        <v>2182</v>
      </c>
      <c r="C386" s="9">
        <v>417</v>
      </c>
      <c r="D386" s="8">
        <v>3</v>
      </c>
      <c r="E386" s="9">
        <v>102</v>
      </c>
      <c r="F386" s="9" t="s">
        <v>2183</v>
      </c>
      <c r="G386" s="20">
        <v>26861</v>
      </c>
      <c r="H386" s="20">
        <v>40550</v>
      </c>
      <c r="I386" s="35">
        <v>13.689</v>
      </c>
      <c r="J386" s="9">
        <v>6</v>
      </c>
      <c r="K386" s="9" t="s">
        <v>237</v>
      </c>
      <c r="L386" s="18">
        <v>42238</v>
      </c>
      <c r="M386" s="9" t="s">
        <v>191</v>
      </c>
      <c r="N386" s="198">
        <v>6.3915551470588232</v>
      </c>
      <c r="O386" s="198">
        <v>3.5229044117647059</v>
      </c>
      <c r="P386" s="198">
        <v>1.9375974264705884</v>
      </c>
      <c r="Q386" s="198">
        <v>1.8369430147058823</v>
      </c>
      <c r="R386" s="11">
        <v>3.29</v>
      </c>
      <c r="S386" s="38">
        <f t="shared" si="45"/>
        <v>3.5</v>
      </c>
      <c r="T386" s="198">
        <v>12.204347426470589</v>
      </c>
      <c r="U386" s="198">
        <v>1.1323621323529411</v>
      </c>
      <c r="V386" s="198">
        <v>0.22647242647058824</v>
      </c>
      <c r="W386" s="198">
        <v>0.12581801470588236</v>
      </c>
      <c r="X386" s="11">
        <v>5.9729999999999999</v>
      </c>
      <c r="Y386" s="38">
        <f t="shared" si="46"/>
        <v>6</v>
      </c>
      <c r="Z386" s="11">
        <v>0</v>
      </c>
      <c r="AA386" s="11">
        <v>0</v>
      </c>
      <c r="AB386" s="11">
        <f>SUM(N386:Q386)</f>
        <v>13.689</v>
      </c>
      <c r="AC386" s="11">
        <v>1.1120000000000001</v>
      </c>
      <c r="AD386" s="11">
        <v>411.07</v>
      </c>
      <c r="AE386" s="11">
        <v>81.25</v>
      </c>
      <c r="AF386" s="11">
        <f>(AD386+AE386*0.5)/(3.5*I386*1000)*100</f>
        <v>0.94276948123101956</v>
      </c>
      <c r="AG386" s="38">
        <f t="shared" si="47"/>
        <v>0.9</v>
      </c>
      <c r="AH386" s="11">
        <v>2.29</v>
      </c>
      <c r="AI386" s="11">
        <f>AH386/(3.5*I386*1000)*100</f>
        <v>4.7796458052868302E-3</v>
      </c>
      <c r="AJ386" s="11">
        <v>494.36</v>
      </c>
      <c r="AK386" s="38">
        <f>AJ386/(3.5*I386*1000)*100</f>
        <v>1.0318190831011342</v>
      </c>
      <c r="AL386" s="11">
        <v>0</v>
      </c>
      <c r="AM386" s="38">
        <f t="shared" si="52"/>
        <v>0</v>
      </c>
      <c r="AN386" s="25">
        <f>IF(G386=G387,1,0)</f>
        <v>0</v>
      </c>
      <c r="AO386" s="25">
        <f>AE386*0.5</f>
        <v>40.625</v>
      </c>
      <c r="AP386" s="25">
        <f>(AD386+AH386+AJ386+AL386+AO386)*I386</f>
        <v>12981.894705000001</v>
      </c>
      <c r="AQ386" s="25">
        <f>(AD386+AH386+AJ386+AL386)*I386</f>
        <v>12425.77908</v>
      </c>
      <c r="AR386" s="25">
        <f>SUM(N386:Q386)</f>
        <v>13.689</v>
      </c>
      <c r="AS386" s="25">
        <f>SUM(T386:W386)</f>
        <v>13.689</v>
      </c>
      <c r="AT386" s="22"/>
      <c r="AU386" s="41"/>
      <c r="AV386" s="275">
        <v>13.689</v>
      </c>
      <c r="AW386" s="41"/>
      <c r="AX386" s="41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</row>
    <row r="387" spans="1:88">
      <c r="A387" s="1">
        <v>1935</v>
      </c>
      <c r="B387" s="34" t="s">
        <v>2559</v>
      </c>
      <c r="C387" s="34">
        <v>338</v>
      </c>
      <c r="D387" s="75">
        <v>3527</v>
      </c>
      <c r="E387" s="8">
        <v>100</v>
      </c>
      <c r="F387" s="9" t="s">
        <v>2581</v>
      </c>
      <c r="G387" s="20">
        <v>0</v>
      </c>
      <c r="H387" s="20">
        <v>11250</v>
      </c>
      <c r="I387" s="21">
        <v>11.25</v>
      </c>
      <c r="J387" s="8">
        <v>2</v>
      </c>
      <c r="K387" s="8" t="s">
        <v>238</v>
      </c>
      <c r="L387" s="18">
        <v>42096</v>
      </c>
      <c r="M387" s="207" t="s">
        <v>191</v>
      </c>
      <c r="N387" s="38">
        <v>6.49</v>
      </c>
      <c r="O387" s="38">
        <v>3.15</v>
      </c>
      <c r="P387" s="38">
        <v>0.98</v>
      </c>
      <c r="Q387" s="38">
        <v>0.63</v>
      </c>
      <c r="R387" s="38">
        <v>2.6609400000000001</v>
      </c>
      <c r="S387" s="38">
        <f t="shared" ref="S387:S450" si="53">ROUND(R387/5,1)*5</f>
        <v>2.5</v>
      </c>
      <c r="T387" s="38">
        <v>10.65</v>
      </c>
      <c r="U387" s="38">
        <v>0.55000000000000004</v>
      </c>
      <c r="V387" s="38">
        <v>0.05</v>
      </c>
      <c r="W387" s="38">
        <v>0</v>
      </c>
      <c r="X387" s="38">
        <v>4.2858200000000002</v>
      </c>
      <c r="Y387" s="38">
        <f t="shared" ref="Y387:Y450" si="54">ROUND(X387/5,1)*5</f>
        <v>4.5</v>
      </c>
      <c r="Z387" s="38">
        <v>0</v>
      </c>
      <c r="AA387" s="38">
        <v>0</v>
      </c>
      <c r="AB387" s="38">
        <v>11.25</v>
      </c>
      <c r="AC387" s="38">
        <v>1.26868</v>
      </c>
      <c r="AD387" s="38">
        <v>262</v>
      </c>
      <c r="AE387" s="38">
        <v>217.81</v>
      </c>
      <c r="AF387" s="38">
        <v>0.94198095238095203</v>
      </c>
      <c r="AG387" s="38">
        <f t="shared" ref="AG387:AG450" si="55">ROUND(AF387,1)</f>
        <v>0.9</v>
      </c>
      <c r="AH387" s="38">
        <v>567.67999999999995</v>
      </c>
      <c r="AI387" s="38">
        <v>1.441726984126984</v>
      </c>
      <c r="AJ387" s="38">
        <v>4</v>
      </c>
      <c r="AK387" s="38">
        <v>1.0158730158730159E-2</v>
      </c>
      <c r="AL387" s="38">
        <v>0</v>
      </c>
      <c r="AM387" s="38">
        <f t="shared" si="52"/>
        <v>0</v>
      </c>
      <c r="AN387" s="41"/>
      <c r="AO387" s="73"/>
      <c r="AP387" s="41"/>
      <c r="AQ387" s="41">
        <f>SUM(N387:Q387)</f>
        <v>11.250000000000002</v>
      </c>
      <c r="AR387" s="41">
        <f>SUM(T387:W387)</f>
        <v>11.250000000000002</v>
      </c>
      <c r="AS387" s="12">
        <f>SUM(Z387:AB387)</f>
        <v>11.25</v>
      </c>
      <c r="AU387" s="1">
        <f>I387/AQ387</f>
        <v>0.99999999999999989</v>
      </c>
      <c r="AV387" s="1">
        <f>I387/AR387</f>
        <v>0.99999999999999989</v>
      </c>
      <c r="AW387" s="1">
        <f>I387/AS387</f>
        <v>1</v>
      </c>
      <c r="AX387" s="1">
        <f>AT387/I412</f>
        <v>0</v>
      </c>
    </row>
    <row r="388" spans="1:88">
      <c r="A388" s="1">
        <v>551</v>
      </c>
      <c r="B388" s="34" t="s">
        <v>948</v>
      </c>
      <c r="C388" s="34">
        <v>551</v>
      </c>
      <c r="D388" s="34">
        <v>2007</v>
      </c>
      <c r="E388" s="34">
        <v>100</v>
      </c>
      <c r="F388" s="9" t="s">
        <v>951</v>
      </c>
      <c r="G388" s="20">
        <v>0</v>
      </c>
      <c r="H388" s="20">
        <v>4392</v>
      </c>
      <c r="I388" s="35">
        <v>4.3920000000000003</v>
      </c>
      <c r="J388" s="71">
        <v>2</v>
      </c>
      <c r="K388" s="34" t="s">
        <v>238</v>
      </c>
      <c r="L388" s="10">
        <v>42192</v>
      </c>
      <c r="M388" s="9" t="s">
        <v>191</v>
      </c>
      <c r="N388" s="38">
        <v>3.34</v>
      </c>
      <c r="O388" s="38">
        <v>0.7</v>
      </c>
      <c r="P388" s="38">
        <v>0.23</v>
      </c>
      <c r="Q388" s="38">
        <v>0.13</v>
      </c>
      <c r="R388" s="38">
        <v>2.1870500000000002</v>
      </c>
      <c r="S388" s="38">
        <f t="shared" si="53"/>
        <v>2</v>
      </c>
      <c r="T388" s="38">
        <v>4.34</v>
      </c>
      <c r="U388" s="38">
        <v>0.05</v>
      </c>
      <c r="V388" s="38">
        <v>0</v>
      </c>
      <c r="W388" s="38">
        <v>0</v>
      </c>
      <c r="X388" s="38">
        <v>4.0083299999999999</v>
      </c>
      <c r="Y388" s="38">
        <f t="shared" si="54"/>
        <v>4</v>
      </c>
      <c r="Z388" s="38">
        <v>0</v>
      </c>
      <c r="AA388" s="38">
        <v>0</v>
      </c>
      <c r="AB388" s="38">
        <f>T388+U388+V388+W388</f>
        <v>4.3899999999999997</v>
      </c>
      <c r="AC388" s="38">
        <v>1.18773</v>
      </c>
      <c r="AD388" s="38">
        <v>0</v>
      </c>
      <c r="AE388" s="38">
        <v>288.08999999999997</v>
      </c>
      <c r="AF388" s="38">
        <f t="shared" ref="AF388:AF394" si="56">(AD388+AE388*0.5)/(3.5*I388*1000)*100</f>
        <v>0.93706088992974224</v>
      </c>
      <c r="AG388" s="38">
        <f t="shared" si="55"/>
        <v>0.9</v>
      </c>
      <c r="AH388" s="38">
        <v>523</v>
      </c>
      <c r="AI388" s="38">
        <f t="shared" ref="AI388:AI394" si="57">AH388/(3.5*I388*1000)*100</f>
        <v>3.4022898776997135</v>
      </c>
      <c r="AJ388" s="38">
        <v>0</v>
      </c>
      <c r="AK388" s="38">
        <f t="shared" ref="AK388:AK394" si="58">AJ388/(3.5*I388*1000)*100</f>
        <v>0</v>
      </c>
      <c r="AL388" s="38">
        <v>0</v>
      </c>
      <c r="AM388" s="38">
        <f t="shared" si="52"/>
        <v>0</v>
      </c>
      <c r="AN388" s="25"/>
      <c r="AO388" s="25">
        <f t="shared" ref="AO388:AO393" si="59">AE388*0.5</f>
        <v>144.04499999999999</v>
      </c>
      <c r="AP388" s="25">
        <f t="shared" ref="AP388:AP393" si="60">(AD388+AH388+AJ388+AL388+AO388)*I388</f>
        <v>2929.6616400000003</v>
      </c>
      <c r="AQ388" s="25">
        <f>SUM(N388:Q388)</f>
        <v>4.4000000000000004</v>
      </c>
      <c r="AR388" s="25">
        <f>SUM(T388:W388)</f>
        <v>4.3899999999999997</v>
      </c>
      <c r="AS388" s="268">
        <v>4.3920000000000003</v>
      </c>
      <c r="AT388" s="41"/>
      <c r="AU388" s="41">
        <f>SUM(N388:Q388)</f>
        <v>4.4000000000000004</v>
      </c>
      <c r="AV388" s="41">
        <f>SUM(T388:W388)</f>
        <v>4.3899999999999997</v>
      </c>
      <c r="AW388" s="41">
        <f>SUM(Z388:AB388)</f>
        <v>4.3899999999999997</v>
      </c>
      <c r="AX388" s="22"/>
      <c r="AY388" s="22">
        <f>I388/AU388</f>
        <v>0.99818181818181817</v>
      </c>
      <c r="AZ388" s="22">
        <f>I388/AV388</f>
        <v>1.0004555808656037</v>
      </c>
      <c r="BA388" s="22">
        <f>I388/AW388</f>
        <v>1.0004555808656037</v>
      </c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</row>
    <row r="389" spans="1:88">
      <c r="A389" s="1">
        <v>702</v>
      </c>
      <c r="B389" s="34" t="s">
        <v>1106</v>
      </c>
      <c r="C389" s="34">
        <v>626</v>
      </c>
      <c r="D389" s="34">
        <v>225</v>
      </c>
      <c r="E389" s="34">
        <v>402</v>
      </c>
      <c r="F389" s="34" t="s">
        <v>1111</v>
      </c>
      <c r="G389" s="58">
        <v>253290</v>
      </c>
      <c r="H389" s="58">
        <v>224582</v>
      </c>
      <c r="I389" s="35">
        <v>28.707999999999998</v>
      </c>
      <c r="J389" s="127">
        <v>2</v>
      </c>
      <c r="K389" s="34" t="s">
        <v>12</v>
      </c>
      <c r="L389" s="10">
        <v>42174</v>
      </c>
      <c r="M389" s="9" t="s">
        <v>191</v>
      </c>
      <c r="N389" s="38">
        <v>11.525</v>
      </c>
      <c r="O389" s="38">
        <v>9.625</v>
      </c>
      <c r="P389" s="38">
        <v>5.625</v>
      </c>
      <c r="Q389" s="38">
        <v>1.675</v>
      </c>
      <c r="R389" s="38">
        <v>2.7196799999999999</v>
      </c>
      <c r="S389" s="38">
        <f t="shared" si="53"/>
        <v>2.5</v>
      </c>
      <c r="T389" s="38">
        <v>25.8</v>
      </c>
      <c r="U389" s="38">
        <v>2.2999999999999998</v>
      </c>
      <c r="V389" s="38">
        <v>0.32500000000000001</v>
      </c>
      <c r="W389" s="38">
        <v>2.5000000000000001E-2</v>
      </c>
      <c r="X389" s="38">
        <v>6.0094799999999999</v>
      </c>
      <c r="Y389" s="38">
        <f t="shared" si="54"/>
        <v>6</v>
      </c>
      <c r="Z389" s="38">
        <v>0</v>
      </c>
      <c r="AA389" s="38">
        <v>0</v>
      </c>
      <c r="AB389" s="38">
        <f>N389+O389+P389+Q389</f>
        <v>28.45</v>
      </c>
      <c r="AC389" s="38">
        <v>1.0802099999999999</v>
      </c>
      <c r="AD389" s="38">
        <v>941.37</v>
      </c>
      <c r="AE389" s="38">
        <v>0</v>
      </c>
      <c r="AF389" s="38">
        <f t="shared" si="56"/>
        <v>0.93689165787535589</v>
      </c>
      <c r="AG389" s="38">
        <f t="shared" si="55"/>
        <v>0.9</v>
      </c>
      <c r="AH389" s="38">
        <v>0</v>
      </c>
      <c r="AI389" s="38">
        <f t="shared" si="57"/>
        <v>0</v>
      </c>
      <c r="AJ389" s="38">
        <v>1091.8699999999999</v>
      </c>
      <c r="AK389" s="38">
        <f t="shared" si="58"/>
        <v>1.0866756902008399</v>
      </c>
      <c r="AL389" s="38">
        <v>0</v>
      </c>
      <c r="AM389" s="38">
        <f t="shared" si="52"/>
        <v>0</v>
      </c>
      <c r="AN389" s="25"/>
      <c r="AO389" s="25">
        <f t="shared" si="59"/>
        <v>0</v>
      </c>
      <c r="AP389" s="25">
        <f t="shared" si="60"/>
        <v>58370.253919999988</v>
      </c>
      <c r="AQ389" s="25">
        <f>SUM(N389:Q389)</f>
        <v>28.45</v>
      </c>
      <c r="AR389" s="25">
        <f>SUM(T389:W389)</f>
        <v>28.45</v>
      </c>
      <c r="AS389" s="268">
        <v>28.707999999999998</v>
      </c>
      <c r="AT389" s="41"/>
      <c r="AU389" s="41"/>
      <c r="AV389" s="41"/>
      <c r="AW389" s="41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</row>
    <row r="390" spans="1:88">
      <c r="A390" s="1">
        <v>750</v>
      </c>
      <c r="B390" s="34" t="s">
        <v>1106</v>
      </c>
      <c r="C390" s="34">
        <v>626</v>
      </c>
      <c r="D390" s="34">
        <v>225</v>
      </c>
      <c r="E390" s="34">
        <v>402</v>
      </c>
      <c r="F390" s="34" t="s">
        <v>1111</v>
      </c>
      <c r="G390" s="58">
        <v>253290</v>
      </c>
      <c r="H390" s="58">
        <v>224582</v>
      </c>
      <c r="I390" s="35">
        <v>28.707999999999998</v>
      </c>
      <c r="J390" s="127">
        <v>2</v>
      </c>
      <c r="K390" s="34" t="s">
        <v>12</v>
      </c>
      <c r="L390" s="10">
        <v>42174</v>
      </c>
      <c r="M390" s="9" t="s">
        <v>191</v>
      </c>
      <c r="N390" s="38">
        <v>11.525</v>
      </c>
      <c r="O390" s="38">
        <v>9.625</v>
      </c>
      <c r="P390" s="38">
        <v>5.625</v>
      </c>
      <c r="Q390" s="38">
        <v>1.675</v>
      </c>
      <c r="R390" s="38">
        <v>2.7196799999999999</v>
      </c>
      <c r="S390" s="38">
        <f t="shared" si="53"/>
        <v>2.5</v>
      </c>
      <c r="T390" s="38">
        <v>25.8</v>
      </c>
      <c r="U390" s="38">
        <v>2.2999999999999998</v>
      </c>
      <c r="V390" s="38">
        <v>0.32500000000000001</v>
      </c>
      <c r="W390" s="38">
        <v>2.5000000000000001E-2</v>
      </c>
      <c r="X390" s="38">
        <v>6.0094799999999999</v>
      </c>
      <c r="Y390" s="38">
        <f t="shared" si="54"/>
        <v>6</v>
      </c>
      <c r="Z390" s="38">
        <v>0</v>
      </c>
      <c r="AA390" s="38">
        <v>0</v>
      </c>
      <c r="AB390" s="38">
        <f>N390+O390+P390+Q390</f>
        <v>28.45</v>
      </c>
      <c r="AC390" s="38">
        <v>1.0802099999999999</v>
      </c>
      <c r="AD390" s="38">
        <v>941.37</v>
      </c>
      <c r="AE390" s="38">
        <v>0</v>
      </c>
      <c r="AF390" s="38">
        <f t="shared" si="56"/>
        <v>0.93689165787535589</v>
      </c>
      <c r="AG390" s="38">
        <f t="shared" si="55"/>
        <v>0.9</v>
      </c>
      <c r="AH390" s="38">
        <v>0</v>
      </c>
      <c r="AI390" s="38">
        <f t="shared" si="57"/>
        <v>0</v>
      </c>
      <c r="AJ390" s="38">
        <v>1091.8699999999999</v>
      </c>
      <c r="AK390" s="38">
        <f t="shared" si="58"/>
        <v>1.0866756902008399</v>
      </c>
      <c r="AL390" s="38">
        <v>0</v>
      </c>
      <c r="AM390" s="38">
        <f t="shared" si="52"/>
        <v>0</v>
      </c>
      <c r="AN390" s="25"/>
      <c r="AO390" s="25">
        <f t="shared" si="59"/>
        <v>0</v>
      </c>
      <c r="AP390" s="25">
        <f t="shared" si="60"/>
        <v>58370.253919999988</v>
      </c>
      <c r="AQ390" s="25">
        <f>SUM(N390:Q390)</f>
        <v>28.45</v>
      </c>
      <c r="AR390" s="25">
        <f>SUM(T390:W390)</f>
        <v>28.45</v>
      </c>
      <c r="AS390" s="268">
        <v>28.707999999999998</v>
      </c>
      <c r="AT390" s="41"/>
      <c r="AU390" s="41"/>
      <c r="AV390" s="41"/>
      <c r="AW390" s="41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</row>
    <row r="391" spans="1:88" s="22" customFormat="1">
      <c r="A391" s="1">
        <v>1473</v>
      </c>
      <c r="B391" s="34" t="s">
        <v>2016</v>
      </c>
      <c r="C391" s="34">
        <v>411</v>
      </c>
      <c r="D391" s="69">
        <v>304</v>
      </c>
      <c r="E391" s="34">
        <v>203</v>
      </c>
      <c r="F391" s="34" t="s">
        <v>2024</v>
      </c>
      <c r="G391" s="20" t="s">
        <v>2025</v>
      </c>
      <c r="H391" s="20" t="s">
        <v>2026</v>
      </c>
      <c r="I391" s="188">
        <v>1.9910000000000001</v>
      </c>
      <c r="J391" s="34">
        <v>5</v>
      </c>
      <c r="K391" s="34" t="s">
        <v>96</v>
      </c>
      <c r="L391" s="10">
        <v>42246</v>
      </c>
      <c r="M391" s="9" t="s">
        <v>191</v>
      </c>
      <c r="N391" s="38">
        <v>1.075</v>
      </c>
      <c r="O391" s="38">
        <v>0.5</v>
      </c>
      <c r="P391" s="38">
        <v>0.22500000000000001</v>
      </c>
      <c r="Q391" s="38">
        <v>0.22500000000000001</v>
      </c>
      <c r="R391" s="38">
        <v>2.9689999999999999</v>
      </c>
      <c r="S391" s="38">
        <f t="shared" si="53"/>
        <v>3</v>
      </c>
      <c r="T391" s="38">
        <v>1.85</v>
      </c>
      <c r="U391" s="38">
        <v>0.17499999999999999</v>
      </c>
      <c r="V391" s="38">
        <v>0</v>
      </c>
      <c r="W391" s="38">
        <v>0</v>
      </c>
      <c r="X391" s="38">
        <v>5.1070000000000002</v>
      </c>
      <c r="Y391" s="38">
        <f t="shared" si="54"/>
        <v>5</v>
      </c>
      <c r="Z391" s="38">
        <v>0</v>
      </c>
      <c r="AA391" s="38">
        <v>0</v>
      </c>
      <c r="AB391" s="38">
        <f>SUM(T391:W391)</f>
        <v>2.0249999999999999</v>
      </c>
      <c r="AC391" s="38">
        <v>1.5649999999999999</v>
      </c>
      <c r="AD391" s="38">
        <v>41.18</v>
      </c>
      <c r="AE391" s="38">
        <v>48.17</v>
      </c>
      <c r="AF391" s="38">
        <f t="shared" si="56"/>
        <v>0.93657171557724028</v>
      </c>
      <c r="AG391" s="38">
        <f t="shared" si="55"/>
        <v>0.9</v>
      </c>
      <c r="AH391" s="38">
        <v>0.4</v>
      </c>
      <c r="AI391" s="38">
        <f t="shared" si="57"/>
        <v>5.7401162373538058E-3</v>
      </c>
      <c r="AJ391" s="38">
        <v>31.01</v>
      </c>
      <c r="AK391" s="38">
        <f t="shared" si="58"/>
        <v>0.44500251130085383</v>
      </c>
      <c r="AL391" s="38">
        <v>0</v>
      </c>
      <c r="AM391" s="38">
        <f t="shared" si="52"/>
        <v>0</v>
      </c>
      <c r="AN391" s="60"/>
      <c r="AO391" s="60">
        <f t="shared" si="59"/>
        <v>24.085000000000001</v>
      </c>
      <c r="AP391" s="60">
        <f t="shared" si="60"/>
        <v>192.47992500000004</v>
      </c>
      <c r="AQ391" s="60"/>
      <c r="AR391" s="60">
        <f>SUM(N391:Q391)</f>
        <v>2.0249999999999999</v>
      </c>
      <c r="AS391" s="60">
        <f>SUM(T391:W391)</f>
        <v>2.0249999999999999</v>
      </c>
      <c r="AT391" s="60"/>
      <c r="AU391" s="61"/>
      <c r="AV391" s="40"/>
      <c r="AW391" s="40"/>
      <c r="AX391" s="40"/>
      <c r="AY391" s="40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</row>
    <row r="392" spans="1:88">
      <c r="A392" s="1">
        <v>1520</v>
      </c>
      <c r="B392" s="34" t="s">
        <v>2069</v>
      </c>
      <c r="C392" s="34">
        <v>413</v>
      </c>
      <c r="D392" s="69">
        <v>3454</v>
      </c>
      <c r="E392" s="34">
        <v>400</v>
      </c>
      <c r="F392" s="34" t="s">
        <v>2092</v>
      </c>
      <c r="G392" s="58">
        <v>86609</v>
      </c>
      <c r="H392" s="58">
        <v>111609</v>
      </c>
      <c r="I392" s="35">
        <v>25</v>
      </c>
      <c r="J392" s="34">
        <v>2</v>
      </c>
      <c r="K392" s="34" t="s">
        <v>12</v>
      </c>
      <c r="L392" s="10">
        <v>42264</v>
      </c>
      <c r="M392" s="9" t="s">
        <v>191</v>
      </c>
      <c r="N392" s="38">
        <v>12.2</v>
      </c>
      <c r="O392" s="38">
        <v>6.2249999999999996</v>
      </c>
      <c r="P392" s="38">
        <v>4.45</v>
      </c>
      <c r="Q392" s="38">
        <v>2.2000000000000002</v>
      </c>
      <c r="R392" s="38">
        <v>3.04311</v>
      </c>
      <c r="S392" s="38">
        <f t="shared" si="53"/>
        <v>3</v>
      </c>
      <c r="T392" s="38">
        <v>24.574999999999999</v>
      </c>
      <c r="U392" s="38">
        <v>0.32500000000000001</v>
      </c>
      <c r="V392" s="38">
        <v>0.1</v>
      </c>
      <c r="W392" s="38">
        <v>7.4999999999999997E-2</v>
      </c>
      <c r="X392" s="38">
        <v>4.5056200000000004</v>
      </c>
      <c r="Y392" s="38">
        <f t="shared" si="54"/>
        <v>4.5</v>
      </c>
      <c r="Z392" s="38">
        <v>0</v>
      </c>
      <c r="AA392" s="38">
        <v>0</v>
      </c>
      <c r="AB392" s="196">
        <v>25</v>
      </c>
      <c r="AC392" s="38">
        <v>1.2276100000000001</v>
      </c>
      <c r="AD392" s="38">
        <v>485</v>
      </c>
      <c r="AE392" s="38">
        <v>666.89</v>
      </c>
      <c r="AF392" s="38">
        <f t="shared" si="56"/>
        <v>0.93536571428571424</v>
      </c>
      <c r="AG392" s="38">
        <f t="shared" si="55"/>
        <v>0.9</v>
      </c>
      <c r="AH392" s="38">
        <v>1</v>
      </c>
      <c r="AI392" s="38">
        <f t="shared" si="57"/>
        <v>1.1428571428571429E-3</v>
      </c>
      <c r="AJ392" s="38">
        <v>77.150000000000006</v>
      </c>
      <c r="AK392" s="38">
        <f t="shared" si="58"/>
        <v>8.8171428571428581E-2</v>
      </c>
      <c r="AL392" s="38">
        <v>2</v>
      </c>
      <c r="AM392" s="38">
        <f t="shared" si="52"/>
        <v>2.2857142857142859E-3</v>
      </c>
      <c r="AN392" s="25"/>
      <c r="AO392" s="25">
        <f t="shared" si="59"/>
        <v>333.44499999999999</v>
      </c>
      <c r="AP392" s="25">
        <f t="shared" si="60"/>
        <v>22464.875</v>
      </c>
      <c r="AQ392" s="25">
        <f>(AD392+AH392+AJ392+AL392)*I392</f>
        <v>14128.75</v>
      </c>
      <c r="AR392" s="25">
        <f>SUM(N392:Q392)</f>
        <v>25.074999999999996</v>
      </c>
      <c r="AS392" s="25">
        <f>SUM(T392:W392)</f>
        <v>25.074999999999999</v>
      </c>
      <c r="AT392" s="22"/>
      <c r="AU392" s="275">
        <v>25</v>
      </c>
      <c r="AV392" s="41">
        <f>SUM(N392:Q392)</f>
        <v>25.074999999999996</v>
      </c>
      <c r="AW392" s="41">
        <f>SUM(T392:W392)</f>
        <v>25.074999999999999</v>
      </c>
      <c r="AX392" s="41">
        <f>SUM(Z392:AB392)</f>
        <v>25</v>
      </c>
      <c r="AY392" s="22"/>
      <c r="AZ392" s="22">
        <f>I392/AV392</f>
        <v>0.99700897308075787</v>
      </c>
      <c r="BA392" s="22">
        <f>I392/AW392</f>
        <v>0.99700897308075775</v>
      </c>
      <c r="BB392" s="22">
        <f>I392/AX392</f>
        <v>1</v>
      </c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</row>
    <row r="393" spans="1:88">
      <c r="A393" s="1">
        <v>1474</v>
      </c>
      <c r="B393" s="34" t="s">
        <v>2016</v>
      </c>
      <c r="C393" s="34">
        <v>411</v>
      </c>
      <c r="D393" s="69">
        <v>304</v>
      </c>
      <c r="E393" s="34">
        <v>203</v>
      </c>
      <c r="F393" s="34" t="s">
        <v>2024</v>
      </c>
      <c r="G393" s="20" t="s">
        <v>2026</v>
      </c>
      <c r="H393" s="20" t="s">
        <v>2025</v>
      </c>
      <c r="I393" s="188">
        <v>1.9910000000000001</v>
      </c>
      <c r="J393" s="34">
        <v>5</v>
      </c>
      <c r="K393" s="34" t="s">
        <v>237</v>
      </c>
      <c r="L393" s="10">
        <v>42246</v>
      </c>
      <c r="M393" s="9" t="s">
        <v>191</v>
      </c>
      <c r="N393" s="38">
        <v>1.1499999999999999</v>
      </c>
      <c r="O393" s="38">
        <v>0.15</v>
      </c>
      <c r="P393" s="38">
        <v>0.2</v>
      </c>
      <c r="Q393" s="38">
        <v>0.45</v>
      </c>
      <c r="R393" s="38">
        <v>3.577</v>
      </c>
      <c r="S393" s="38">
        <f t="shared" si="53"/>
        <v>3.5</v>
      </c>
      <c r="T393" s="38">
        <v>1.75</v>
      </c>
      <c r="U393" s="38">
        <v>0.05</v>
      </c>
      <c r="V393" s="38">
        <v>0.05</v>
      </c>
      <c r="W393" s="38">
        <v>0.1</v>
      </c>
      <c r="X393" s="38">
        <v>6.5229999999999997</v>
      </c>
      <c r="Y393" s="38">
        <f t="shared" si="54"/>
        <v>6.5</v>
      </c>
      <c r="Z393" s="38">
        <v>0</v>
      </c>
      <c r="AA393" s="38">
        <v>0</v>
      </c>
      <c r="AB393" s="38">
        <f>SUM(T393:W393)</f>
        <v>1.9500000000000002</v>
      </c>
      <c r="AC393" s="38">
        <v>1.2130000000000001</v>
      </c>
      <c r="AD393" s="38">
        <v>41</v>
      </c>
      <c r="AE393" s="38">
        <v>48.17</v>
      </c>
      <c r="AF393" s="38">
        <f t="shared" si="56"/>
        <v>0.93398866327043129</v>
      </c>
      <c r="AG393" s="38">
        <f t="shared" si="55"/>
        <v>0.9</v>
      </c>
      <c r="AH393" s="38">
        <v>0</v>
      </c>
      <c r="AI393" s="38">
        <f t="shared" si="57"/>
        <v>0</v>
      </c>
      <c r="AJ393" s="38">
        <v>31.01</v>
      </c>
      <c r="AK393" s="38">
        <f t="shared" si="58"/>
        <v>0.44500251130085383</v>
      </c>
      <c r="AL393" s="38">
        <v>0</v>
      </c>
      <c r="AM393" s="38">
        <f t="shared" si="52"/>
        <v>0</v>
      </c>
      <c r="AN393" s="60"/>
      <c r="AO393" s="60">
        <f t="shared" si="59"/>
        <v>24.085000000000001</v>
      </c>
      <c r="AP393" s="60">
        <f t="shared" si="60"/>
        <v>191.32514500000002</v>
      </c>
      <c r="AQ393" s="60"/>
      <c r="AR393" s="60"/>
      <c r="AS393" s="60"/>
      <c r="AT393" s="60"/>
      <c r="AU393" s="61"/>
      <c r="AV393" s="40"/>
      <c r="AW393" s="40"/>
      <c r="AX393" s="40"/>
      <c r="AY393" s="40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</row>
    <row r="394" spans="1:88">
      <c r="A394" s="1">
        <v>2156</v>
      </c>
      <c r="B394" s="34" t="s">
        <v>2790</v>
      </c>
      <c r="C394" s="34">
        <v>331</v>
      </c>
      <c r="D394" s="209">
        <v>4139</v>
      </c>
      <c r="E394" s="211">
        <v>100</v>
      </c>
      <c r="F394" s="9" t="s">
        <v>2796</v>
      </c>
      <c r="G394" s="20">
        <v>0</v>
      </c>
      <c r="H394" s="210">
        <v>7629</v>
      </c>
      <c r="I394" s="9">
        <v>7.6289999999999996</v>
      </c>
      <c r="J394" s="9">
        <v>2</v>
      </c>
      <c r="K394" s="9" t="s">
        <v>238</v>
      </c>
      <c r="L394" s="18">
        <v>42303</v>
      </c>
      <c r="M394" s="9" t="s">
        <v>191</v>
      </c>
      <c r="N394" s="38">
        <v>2.2250000000000001</v>
      </c>
      <c r="O394" s="38">
        <v>2.9</v>
      </c>
      <c r="P394" s="38">
        <v>1.75</v>
      </c>
      <c r="Q394" s="38">
        <v>0.82499999999999996</v>
      </c>
      <c r="R394" s="38">
        <v>3.5112700000000001</v>
      </c>
      <c r="S394" s="38">
        <f t="shared" si="53"/>
        <v>3.5</v>
      </c>
      <c r="T394" s="38">
        <v>7.375</v>
      </c>
      <c r="U394" s="38">
        <v>0.32500000000000001</v>
      </c>
      <c r="V394" s="38">
        <v>0</v>
      </c>
      <c r="W394" s="38">
        <v>0</v>
      </c>
      <c r="X394" s="38">
        <v>1.5131399999999999</v>
      </c>
      <c r="Y394" s="38">
        <f t="shared" si="54"/>
        <v>1.5</v>
      </c>
      <c r="Z394" s="38">
        <v>0</v>
      </c>
      <c r="AA394" s="38">
        <v>0</v>
      </c>
      <c r="AB394" s="38">
        <v>7.7</v>
      </c>
      <c r="AC394" s="38">
        <v>1.2148600000000001</v>
      </c>
      <c r="AD394" s="38">
        <v>156.358</v>
      </c>
      <c r="AE394" s="38">
        <v>184.124</v>
      </c>
      <c r="AF394" s="38">
        <f t="shared" si="56"/>
        <v>0.93035971761886038</v>
      </c>
      <c r="AG394" s="38">
        <f t="shared" si="55"/>
        <v>0.9</v>
      </c>
      <c r="AH394" s="38">
        <v>217.35</v>
      </c>
      <c r="AI394" s="38">
        <f t="shared" si="57"/>
        <v>0.81399921352732985</v>
      </c>
      <c r="AJ394" s="38">
        <v>0.57999999999999996</v>
      </c>
      <c r="AK394" s="38">
        <f t="shared" si="58"/>
        <v>2.1721626125873078E-3</v>
      </c>
      <c r="AL394" s="38">
        <v>2</v>
      </c>
      <c r="AM394" s="38">
        <f t="shared" si="52"/>
        <v>7.4902159054734754E-3</v>
      </c>
      <c r="AN394" s="25"/>
      <c r="AO394" s="25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</row>
    <row r="395" spans="1:88" s="22" customFormat="1">
      <c r="A395" s="1">
        <v>1842</v>
      </c>
      <c r="B395" s="34" t="s">
        <v>2461</v>
      </c>
      <c r="C395" s="34">
        <v>332</v>
      </c>
      <c r="D395" s="75">
        <v>3181</v>
      </c>
      <c r="E395" s="8">
        <v>100</v>
      </c>
      <c r="F395" s="9" t="s">
        <v>2465</v>
      </c>
      <c r="G395" s="20">
        <v>2852</v>
      </c>
      <c r="H395" s="20">
        <v>0</v>
      </c>
      <c r="I395" s="21">
        <v>2.8519999999999999</v>
      </c>
      <c r="J395" s="8">
        <v>4</v>
      </c>
      <c r="K395" s="8" t="s">
        <v>96</v>
      </c>
      <c r="L395" s="18">
        <v>42101</v>
      </c>
      <c r="M395" s="207" t="s">
        <v>191</v>
      </c>
      <c r="N395" s="38">
        <v>2.4500000000000002</v>
      </c>
      <c r="O395" s="38">
        <v>0.2</v>
      </c>
      <c r="P395" s="38">
        <v>0.15</v>
      </c>
      <c r="Q395" s="38">
        <v>7.4999999999999997E-2</v>
      </c>
      <c r="R395" s="38">
        <v>1.9968699999999999</v>
      </c>
      <c r="S395" s="38">
        <f t="shared" si="53"/>
        <v>2</v>
      </c>
      <c r="T395" s="38">
        <v>2.875</v>
      </c>
      <c r="U395" s="38">
        <v>0</v>
      </c>
      <c r="V395" s="38">
        <v>0</v>
      </c>
      <c r="W395" s="38">
        <v>0</v>
      </c>
      <c r="X395" s="38">
        <v>2.78484</v>
      </c>
      <c r="Y395" s="38">
        <f t="shared" si="54"/>
        <v>3</v>
      </c>
      <c r="Z395" s="38">
        <v>0</v>
      </c>
      <c r="AA395" s="11">
        <v>0</v>
      </c>
      <c r="AB395" s="38">
        <v>2.8750000000000004</v>
      </c>
      <c r="AC395" s="38">
        <v>1.0450299999999999</v>
      </c>
      <c r="AD395" s="38">
        <v>87.54</v>
      </c>
      <c r="AE395" s="38">
        <v>10.225</v>
      </c>
      <c r="AF395" s="38">
        <v>0.92819575235423768</v>
      </c>
      <c r="AG395" s="38">
        <f t="shared" si="55"/>
        <v>0.9</v>
      </c>
      <c r="AH395" s="38">
        <v>26.21</v>
      </c>
      <c r="AI395" s="38">
        <v>0.26257263073532361</v>
      </c>
      <c r="AJ395" s="38">
        <v>0</v>
      </c>
      <c r="AK395" s="38">
        <v>0</v>
      </c>
      <c r="AL395" s="38">
        <v>0</v>
      </c>
      <c r="AM395" s="38">
        <f t="shared" si="52"/>
        <v>0</v>
      </c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</row>
    <row r="396" spans="1:88" s="22" customFormat="1">
      <c r="A396" s="1">
        <v>1082</v>
      </c>
      <c r="B396" s="34" t="s">
        <v>1467</v>
      </c>
      <c r="C396" s="34">
        <v>619</v>
      </c>
      <c r="D396" s="8">
        <v>3395</v>
      </c>
      <c r="E396" s="34">
        <v>202</v>
      </c>
      <c r="F396" s="34" t="s">
        <v>1492</v>
      </c>
      <c r="G396" s="58" t="s">
        <v>1493</v>
      </c>
      <c r="H396" s="58" t="s">
        <v>1489</v>
      </c>
      <c r="I396" s="35">
        <v>54.268999999999998</v>
      </c>
      <c r="J396" s="9">
        <v>2</v>
      </c>
      <c r="K396" s="34" t="s">
        <v>238</v>
      </c>
      <c r="L396" s="10">
        <v>42094</v>
      </c>
      <c r="M396" s="9" t="s">
        <v>191</v>
      </c>
      <c r="N396" s="38">
        <v>37.97</v>
      </c>
      <c r="O396" s="38">
        <v>10.91</v>
      </c>
      <c r="P396" s="38">
        <v>4.26</v>
      </c>
      <c r="Q396" s="38">
        <v>1.1299999999999999</v>
      </c>
      <c r="R396" s="38">
        <v>2.2998699999999999</v>
      </c>
      <c r="S396" s="38">
        <f t="shared" si="53"/>
        <v>2.5</v>
      </c>
      <c r="T396" s="38">
        <v>48.19</v>
      </c>
      <c r="U396" s="38">
        <v>5.05</v>
      </c>
      <c r="V396" s="38">
        <v>0.94</v>
      </c>
      <c r="W396" s="38">
        <v>0.1</v>
      </c>
      <c r="X396" s="38">
        <v>7.3041900000000002</v>
      </c>
      <c r="Y396" s="38">
        <f t="shared" si="54"/>
        <v>7.5</v>
      </c>
      <c r="Z396" s="117">
        <v>0</v>
      </c>
      <c r="AA396" s="117">
        <v>0</v>
      </c>
      <c r="AB396" s="117">
        <v>54.27</v>
      </c>
      <c r="AC396" s="38">
        <v>1.2937099999999999</v>
      </c>
      <c r="AD396" s="38">
        <v>1761.13</v>
      </c>
      <c r="AE396" s="38">
        <v>0</v>
      </c>
      <c r="AF396" s="11">
        <f>(AD396+AE396*0.5)/(3.5*I396*1000)*100</f>
        <v>0.92719600508577649</v>
      </c>
      <c r="AG396" s="38">
        <f t="shared" si="55"/>
        <v>0.9</v>
      </c>
      <c r="AH396" s="38">
        <v>277.52999999999997</v>
      </c>
      <c r="AI396" s="38">
        <f>AH396/(3.5*I396*1000)*100</f>
        <v>0.14611340860212221</v>
      </c>
      <c r="AJ396" s="38">
        <v>0</v>
      </c>
      <c r="AK396" s="38">
        <f>AJ396/(3.5*I396*1000)*100</f>
        <v>0</v>
      </c>
      <c r="AL396" s="38">
        <v>0</v>
      </c>
      <c r="AM396" s="38">
        <f t="shared" si="52"/>
        <v>0</v>
      </c>
      <c r="AN396" s="25"/>
      <c r="AO396" s="25"/>
      <c r="AP396" s="12">
        <f>AE396*0.5</f>
        <v>0</v>
      </c>
      <c r="AQ396" s="12">
        <f>(AD396+AH396+AJ396+AL396+AP396)*I396</f>
        <v>110636.03954</v>
      </c>
      <c r="AR396" s="25"/>
      <c r="AS396" s="25">
        <f>SUM(N396:Q396)</f>
        <v>54.269999999999996</v>
      </c>
      <c r="AT396" s="22">
        <f>SUM(T396:W396)</f>
        <v>54.279999999999994</v>
      </c>
      <c r="AU396" s="268">
        <v>52.168999999999997</v>
      </c>
      <c r="AV396" s="41">
        <f>SUM(N396:Q396)</f>
        <v>54.269999999999996</v>
      </c>
      <c r="AW396" s="41">
        <f>SUM(T396:W396)</f>
        <v>54.279999999999994</v>
      </c>
      <c r="AX396" s="41">
        <f>SUM(Z396:AB396)</f>
        <v>54.27</v>
      </c>
      <c r="AZ396" s="22">
        <f>I396/AV396</f>
        <v>0.99998157361341444</v>
      </c>
      <c r="BA396" s="22">
        <f>I396/AW396</f>
        <v>0.99979734708916734</v>
      </c>
      <c r="BB396" s="22">
        <f>I396/AX396</f>
        <v>0.99998157361341433</v>
      </c>
    </row>
    <row r="397" spans="1:88" s="22" customFormat="1">
      <c r="A397" s="1">
        <v>2200</v>
      </c>
      <c r="B397" s="34" t="s">
        <v>2827</v>
      </c>
      <c r="C397" s="34">
        <v>314</v>
      </c>
      <c r="D397" s="75">
        <v>4163</v>
      </c>
      <c r="E397" s="8">
        <v>102</v>
      </c>
      <c r="F397" s="9" t="s">
        <v>2845</v>
      </c>
      <c r="G397" s="20">
        <v>26767</v>
      </c>
      <c r="H397" s="20">
        <v>51605</v>
      </c>
      <c r="I397" s="21">
        <v>24.838000000000001</v>
      </c>
      <c r="J397" s="8">
        <v>2</v>
      </c>
      <c r="K397" s="8" t="s">
        <v>238</v>
      </c>
      <c r="L397" s="18">
        <v>42144</v>
      </c>
      <c r="M397" s="9" t="s">
        <v>191</v>
      </c>
      <c r="N397" s="38">
        <v>11.525</v>
      </c>
      <c r="O397" s="38">
        <v>8.15</v>
      </c>
      <c r="P397" s="38">
        <v>3.15</v>
      </c>
      <c r="Q397" s="38">
        <v>2.25</v>
      </c>
      <c r="R397" s="38">
        <v>2.9741499999999998</v>
      </c>
      <c r="S397" s="38">
        <f t="shared" si="53"/>
        <v>3</v>
      </c>
      <c r="T397" s="38">
        <v>21.175000000000001</v>
      </c>
      <c r="U397" s="38">
        <v>2.8250000000000002</v>
      </c>
      <c r="V397" s="38">
        <v>0.8</v>
      </c>
      <c r="W397" s="38">
        <v>0.27500000000000002</v>
      </c>
      <c r="X397" s="38">
        <v>5.5181899999999997</v>
      </c>
      <c r="Y397" s="38">
        <f t="shared" si="54"/>
        <v>5.5</v>
      </c>
      <c r="Z397" s="38">
        <v>0</v>
      </c>
      <c r="AA397" s="38">
        <v>0</v>
      </c>
      <c r="AB397" s="38">
        <v>25.074999999999999</v>
      </c>
      <c r="AC397" s="38">
        <v>1.2116800000000001</v>
      </c>
      <c r="AD397" s="38">
        <v>779.26</v>
      </c>
      <c r="AE397" s="38">
        <v>45.73</v>
      </c>
      <c r="AF397" s="38">
        <f>(AD397+AE397*0.5)/(3.5*I397*1000)*100</f>
        <v>0.92269333854807722</v>
      </c>
      <c r="AG397" s="38">
        <f t="shared" si="55"/>
        <v>0.9</v>
      </c>
      <c r="AH397" s="38">
        <v>2896.32</v>
      </c>
      <c r="AI397" s="38">
        <f>AH397/(3.5*I397*1000)*100</f>
        <v>3.3316692165230699</v>
      </c>
      <c r="AJ397" s="38">
        <v>212.26</v>
      </c>
      <c r="AK397" s="38">
        <v>0.24416504664511751</v>
      </c>
      <c r="AL397" s="38">
        <v>3</v>
      </c>
      <c r="AM397" s="38">
        <f t="shared" si="52"/>
        <v>3.4509334775056654E-3</v>
      </c>
      <c r="AN397" s="72"/>
      <c r="AO397" s="41"/>
      <c r="AP397" s="41"/>
      <c r="AQ397" s="73"/>
      <c r="AR397" s="73"/>
      <c r="AS397" s="73"/>
      <c r="AT397" s="73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</row>
    <row r="398" spans="1:88" s="22" customFormat="1">
      <c r="A398" s="1">
        <v>1154</v>
      </c>
      <c r="B398" s="74" t="s">
        <v>1577</v>
      </c>
      <c r="C398" s="34">
        <v>432</v>
      </c>
      <c r="D398" s="34">
        <v>3188</v>
      </c>
      <c r="E398" s="34">
        <v>101</v>
      </c>
      <c r="F398" s="34" t="s">
        <v>1611</v>
      </c>
      <c r="G398" s="34" t="s">
        <v>1612</v>
      </c>
      <c r="H398" s="34" t="s">
        <v>92</v>
      </c>
      <c r="I398" s="55">
        <v>5.3380000000000001</v>
      </c>
      <c r="J398" s="5">
        <v>6</v>
      </c>
      <c r="K398" s="34" t="s">
        <v>12</v>
      </c>
      <c r="L398" s="10">
        <v>42282</v>
      </c>
      <c r="M398" s="9" t="s">
        <v>191</v>
      </c>
      <c r="N398" s="38">
        <v>1.3</v>
      </c>
      <c r="O398" s="38">
        <v>2.25</v>
      </c>
      <c r="P398" s="38">
        <v>1.1499999999999999</v>
      </c>
      <c r="Q398" s="38">
        <v>0.65</v>
      </c>
      <c r="R398" s="38">
        <v>3.7494399999999999</v>
      </c>
      <c r="S398" s="38">
        <f t="shared" si="53"/>
        <v>3.5</v>
      </c>
      <c r="T398" s="38">
        <v>5.25</v>
      </c>
      <c r="U398" s="38">
        <v>0.1</v>
      </c>
      <c r="V398" s="38">
        <v>0</v>
      </c>
      <c r="W398" s="38">
        <v>0</v>
      </c>
      <c r="X398" s="38">
        <v>4.3071999999999999</v>
      </c>
      <c r="Y398" s="38">
        <f t="shared" si="54"/>
        <v>4.5</v>
      </c>
      <c r="Z398" s="38">
        <v>0</v>
      </c>
      <c r="AA398" s="38">
        <v>0</v>
      </c>
      <c r="AB398" s="38">
        <v>5.35</v>
      </c>
      <c r="AC398" s="38">
        <v>1.2783500000000001</v>
      </c>
      <c r="AD398" s="38">
        <v>169.66</v>
      </c>
      <c r="AE398" s="38">
        <v>4.75</v>
      </c>
      <c r="AF398" s="38">
        <v>0.92081000000000002</v>
      </c>
      <c r="AG398" s="38">
        <f t="shared" si="55"/>
        <v>0.9</v>
      </c>
      <c r="AH398" s="38">
        <v>87.65</v>
      </c>
      <c r="AI398" s="38">
        <v>0.46914299999999998</v>
      </c>
      <c r="AJ398" s="38">
        <v>42.311999999999998</v>
      </c>
      <c r="AK398" s="38">
        <v>0.22647300000000001</v>
      </c>
      <c r="AL398" s="38">
        <v>3</v>
      </c>
      <c r="AM398" s="38">
        <v>1.6056999999999998E-2</v>
      </c>
      <c r="AN398" s="114"/>
      <c r="AO398" s="73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</row>
    <row r="399" spans="1:88" s="22" customFormat="1">
      <c r="A399" s="1">
        <v>1134</v>
      </c>
      <c r="B399" s="74" t="s">
        <v>1577</v>
      </c>
      <c r="C399" s="34">
        <v>432</v>
      </c>
      <c r="D399" s="34">
        <v>1</v>
      </c>
      <c r="E399" s="34">
        <v>403</v>
      </c>
      <c r="F399" s="34" t="s">
        <v>1578</v>
      </c>
      <c r="G399" s="34" t="s">
        <v>1580</v>
      </c>
      <c r="H399" s="34" t="s">
        <v>1579</v>
      </c>
      <c r="I399" s="55">
        <v>3.6150000000000002</v>
      </c>
      <c r="J399" s="5">
        <v>6</v>
      </c>
      <c r="K399" s="34" t="s">
        <v>1521</v>
      </c>
      <c r="L399" s="18">
        <v>42282</v>
      </c>
      <c r="M399" s="9" t="s">
        <v>191</v>
      </c>
      <c r="N399" s="38">
        <v>2.5499999999999998</v>
      </c>
      <c r="O399" s="38">
        <v>0.75</v>
      </c>
      <c r="P399" s="38">
        <v>0.92500000000000004</v>
      </c>
      <c r="Q399" s="38">
        <v>0.05</v>
      </c>
      <c r="R399" s="38">
        <v>2.5488300000000002</v>
      </c>
      <c r="S399" s="38">
        <f t="shared" si="53"/>
        <v>2.5</v>
      </c>
      <c r="T399" s="38">
        <v>4.2750000000000004</v>
      </c>
      <c r="U399" s="38">
        <v>0</v>
      </c>
      <c r="V399" s="38">
        <v>0</v>
      </c>
      <c r="W399" s="38">
        <v>0</v>
      </c>
      <c r="X399" s="38">
        <v>2.5486800000000001</v>
      </c>
      <c r="Y399" s="38">
        <f t="shared" si="54"/>
        <v>2.5</v>
      </c>
      <c r="Z399" s="38">
        <v>0</v>
      </c>
      <c r="AA399" s="38">
        <v>0</v>
      </c>
      <c r="AB399" s="38">
        <v>4.2749999999999995</v>
      </c>
      <c r="AC399" s="38">
        <v>1.46519</v>
      </c>
      <c r="AD399" s="38">
        <v>114.2</v>
      </c>
      <c r="AE399" s="38">
        <v>4.21</v>
      </c>
      <c r="AF399" s="38">
        <v>0.91922499999999996</v>
      </c>
      <c r="AG399" s="38">
        <f t="shared" si="55"/>
        <v>0.9</v>
      </c>
      <c r="AH399" s="38">
        <v>14.62</v>
      </c>
      <c r="AI399" s="38">
        <v>0.11555</v>
      </c>
      <c r="AJ399" s="38">
        <v>0</v>
      </c>
      <c r="AK399" s="38">
        <v>0</v>
      </c>
      <c r="AL399" s="38">
        <v>2.87</v>
      </c>
      <c r="AM399" s="38">
        <v>2.2682999999999998E-2</v>
      </c>
      <c r="AN399" s="114"/>
      <c r="AO399" s="73"/>
    </row>
    <row r="400" spans="1:88" s="22" customFormat="1">
      <c r="A400" s="1">
        <v>698</v>
      </c>
      <c r="B400" s="34" t="s">
        <v>1106</v>
      </c>
      <c r="C400" s="34">
        <v>626</v>
      </c>
      <c r="D400" s="34">
        <v>205</v>
      </c>
      <c r="E400" s="34">
        <v>302</v>
      </c>
      <c r="F400" s="34" t="s">
        <v>1109</v>
      </c>
      <c r="G400" s="58">
        <v>169172</v>
      </c>
      <c r="H400" s="58">
        <v>151084</v>
      </c>
      <c r="I400" s="35">
        <v>18.088000000000001</v>
      </c>
      <c r="J400" s="127">
        <v>4</v>
      </c>
      <c r="K400" s="34" t="s">
        <v>12</v>
      </c>
      <c r="L400" s="10">
        <v>42175</v>
      </c>
      <c r="M400" s="9" t="s">
        <v>191</v>
      </c>
      <c r="N400" s="38">
        <v>5.875</v>
      </c>
      <c r="O400" s="38">
        <v>4.625</v>
      </c>
      <c r="P400" s="38">
        <v>4.4000000000000004</v>
      </c>
      <c r="Q400" s="38">
        <v>3.125</v>
      </c>
      <c r="R400" s="38">
        <v>3.5222199999999999</v>
      </c>
      <c r="S400" s="38">
        <f t="shared" si="53"/>
        <v>3.5</v>
      </c>
      <c r="T400" s="38">
        <v>17.149999999999999</v>
      </c>
      <c r="U400" s="38">
        <v>0.77500000000000002</v>
      </c>
      <c r="V400" s="38">
        <v>7.4999999999999997E-2</v>
      </c>
      <c r="W400" s="38">
        <v>2.5000000000000001E-2</v>
      </c>
      <c r="X400" s="38">
        <v>4.6661299999999999</v>
      </c>
      <c r="Y400" s="38">
        <f t="shared" si="54"/>
        <v>4.5</v>
      </c>
      <c r="Z400" s="38">
        <v>0</v>
      </c>
      <c r="AA400" s="38">
        <v>0</v>
      </c>
      <c r="AB400" s="38">
        <f>N400+O400+P400+Q400</f>
        <v>18.024999999999999</v>
      </c>
      <c r="AC400" s="38">
        <v>1.44442</v>
      </c>
      <c r="AD400" s="38">
        <v>525.12</v>
      </c>
      <c r="AE400" s="38">
        <v>109.5</v>
      </c>
      <c r="AF400" s="38">
        <f>(AD400+AE400*0.5)/(3.5*I400*1000)*100</f>
        <v>0.91595059076262064</v>
      </c>
      <c r="AG400" s="38">
        <f t="shared" si="55"/>
        <v>0.9</v>
      </c>
      <c r="AH400" s="38">
        <v>15.16</v>
      </c>
      <c r="AI400" s="38">
        <f>AH400/(3.5*I400*1000)*100</f>
        <v>2.394642067353257E-2</v>
      </c>
      <c r="AJ400" s="38">
        <v>0</v>
      </c>
      <c r="AK400" s="38">
        <f>AJ400/(3.5*I400*1000)*100</f>
        <v>0</v>
      </c>
      <c r="AL400" s="38">
        <v>0</v>
      </c>
      <c r="AM400" s="38">
        <f>AL400/(3.5*I400*1000)*100</f>
        <v>0</v>
      </c>
      <c r="AN400" s="25"/>
      <c r="AO400" s="25">
        <f>AE400*0.5</f>
        <v>54.75</v>
      </c>
      <c r="AP400" s="25">
        <f>(AD400+AH400+AJ400+AL400+AO400)*I400</f>
        <v>10762.90264</v>
      </c>
      <c r="AQ400" s="25">
        <f>SUM(N400:Q400)</f>
        <v>18.024999999999999</v>
      </c>
      <c r="AR400" s="25">
        <f>SUM(T400:W400)</f>
        <v>18.024999999999995</v>
      </c>
      <c r="AS400" s="268">
        <v>18.088000000000001</v>
      </c>
      <c r="AT400" s="41"/>
      <c r="AU400" s="41"/>
      <c r="AV400" s="41"/>
      <c r="AW400" s="41"/>
    </row>
    <row r="401" spans="1:88" s="22" customFormat="1">
      <c r="A401" s="1">
        <v>746</v>
      </c>
      <c r="B401" s="34" t="s">
        <v>1106</v>
      </c>
      <c r="C401" s="34">
        <v>626</v>
      </c>
      <c r="D401" s="34">
        <v>205</v>
      </c>
      <c r="E401" s="34">
        <v>302</v>
      </c>
      <c r="F401" s="34" t="s">
        <v>1109</v>
      </c>
      <c r="G401" s="58">
        <v>169172</v>
      </c>
      <c r="H401" s="58">
        <v>151084</v>
      </c>
      <c r="I401" s="35">
        <v>18.088000000000001</v>
      </c>
      <c r="J401" s="127">
        <v>4</v>
      </c>
      <c r="K401" s="34" t="s">
        <v>12</v>
      </c>
      <c r="L401" s="10">
        <v>42175</v>
      </c>
      <c r="M401" s="9" t="s">
        <v>191</v>
      </c>
      <c r="N401" s="38">
        <v>5.875</v>
      </c>
      <c r="O401" s="38">
        <v>4.625</v>
      </c>
      <c r="P401" s="38">
        <v>4.4000000000000004</v>
      </c>
      <c r="Q401" s="38">
        <v>3.125</v>
      </c>
      <c r="R401" s="38">
        <v>3.5222199999999999</v>
      </c>
      <c r="S401" s="38">
        <f t="shared" si="53"/>
        <v>3.5</v>
      </c>
      <c r="T401" s="38">
        <v>17.149999999999999</v>
      </c>
      <c r="U401" s="38">
        <v>0.77500000000000002</v>
      </c>
      <c r="V401" s="38">
        <v>7.4999999999999997E-2</v>
      </c>
      <c r="W401" s="38">
        <v>2.5000000000000001E-2</v>
      </c>
      <c r="X401" s="38">
        <v>4.6661299999999999</v>
      </c>
      <c r="Y401" s="38">
        <f t="shared" si="54"/>
        <v>4.5</v>
      </c>
      <c r="Z401" s="38">
        <v>0</v>
      </c>
      <c r="AA401" s="38">
        <v>0</v>
      </c>
      <c r="AB401" s="38">
        <f>N401+O401+P401+Q401</f>
        <v>18.024999999999999</v>
      </c>
      <c r="AC401" s="38">
        <v>1.44442</v>
      </c>
      <c r="AD401" s="38">
        <v>525.12</v>
      </c>
      <c r="AE401" s="38">
        <v>109.5</v>
      </c>
      <c r="AF401" s="38">
        <f>(AD401+AE401*0.5)/(3.5*I401*1000)*100</f>
        <v>0.91595059076262064</v>
      </c>
      <c r="AG401" s="38">
        <f t="shared" si="55"/>
        <v>0.9</v>
      </c>
      <c r="AH401" s="38">
        <v>15.16</v>
      </c>
      <c r="AI401" s="38">
        <f>AH401/(3.5*I401*1000)*100</f>
        <v>2.394642067353257E-2</v>
      </c>
      <c r="AJ401" s="38">
        <v>0</v>
      </c>
      <c r="AK401" s="38">
        <f>AJ401/(3.5*I401*1000)*100</f>
        <v>0</v>
      </c>
      <c r="AL401" s="38">
        <v>0</v>
      </c>
      <c r="AM401" s="38">
        <f>AL401/(3.5*I401*1000)*100</f>
        <v>0</v>
      </c>
      <c r="AN401" s="25"/>
      <c r="AO401" s="25">
        <f>AE401*0.5</f>
        <v>54.75</v>
      </c>
      <c r="AP401" s="25">
        <f>(AD401+AH401+AJ401+AL401+AO401)*I401</f>
        <v>10762.90264</v>
      </c>
      <c r="AQ401" s="25">
        <f>SUM(N401:Q401)</f>
        <v>18.024999999999999</v>
      </c>
      <c r="AR401" s="25">
        <f>SUM(T401:W401)</f>
        <v>18.024999999999995</v>
      </c>
      <c r="AS401" s="268">
        <v>18.088000000000001</v>
      </c>
      <c r="AT401" s="41"/>
      <c r="AU401" s="41"/>
      <c r="AV401" s="41"/>
      <c r="AW401" s="41"/>
    </row>
    <row r="402" spans="1:88" s="22" customFormat="1">
      <c r="A402" s="1">
        <v>1278</v>
      </c>
      <c r="B402" s="74" t="s">
        <v>1820</v>
      </c>
      <c r="C402" s="34">
        <v>441</v>
      </c>
      <c r="D402" s="75">
        <v>3032</v>
      </c>
      <c r="E402" s="69">
        <v>200</v>
      </c>
      <c r="F402" s="34" t="s">
        <v>1822</v>
      </c>
      <c r="G402" s="58">
        <v>42977</v>
      </c>
      <c r="H402" s="58">
        <v>32362</v>
      </c>
      <c r="I402" s="55">
        <v>10.615</v>
      </c>
      <c r="J402" s="34">
        <v>2</v>
      </c>
      <c r="K402" s="34" t="s">
        <v>12</v>
      </c>
      <c r="L402" s="10">
        <v>42185</v>
      </c>
      <c r="M402" s="9" t="s">
        <v>191</v>
      </c>
      <c r="N402" s="38">
        <v>6.7750000000000004</v>
      </c>
      <c r="O402" s="38">
        <v>2.5</v>
      </c>
      <c r="P402" s="38">
        <v>1.125</v>
      </c>
      <c r="Q402" s="38">
        <v>0.15</v>
      </c>
      <c r="R402" s="38">
        <v>2.4208799999999999</v>
      </c>
      <c r="S402" s="38">
        <f t="shared" si="53"/>
        <v>2.5</v>
      </c>
      <c r="T402" s="38">
        <v>9.625</v>
      </c>
      <c r="U402" s="38">
        <v>0.82499999999999996</v>
      </c>
      <c r="V402" s="38">
        <v>0.1</v>
      </c>
      <c r="W402" s="38">
        <v>0</v>
      </c>
      <c r="X402" s="38">
        <v>5.89032</v>
      </c>
      <c r="Y402" s="38">
        <f t="shared" si="54"/>
        <v>6</v>
      </c>
      <c r="Z402" s="38">
        <v>0</v>
      </c>
      <c r="AA402" s="38">
        <v>0</v>
      </c>
      <c r="AB402" s="38">
        <v>10.55</v>
      </c>
      <c r="AC402" s="38">
        <v>1.0291600000000001</v>
      </c>
      <c r="AD402" s="38">
        <v>321.7</v>
      </c>
      <c r="AE402" s="38">
        <v>31.3</v>
      </c>
      <c r="AF402" s="38">
        <v>0.90801426552721887</v>
      </c>
      <c r="AG402" s="38">
        <f t="shared" si="55"/>
        <v>0.9</v>
      </c>
      <c r="AH402" s="38">
        <v>428.3</v>
      </c>
      <c r="AI402" s="38">
        <v>1.9714430673334782E-2</v>
      </c>
      <c r="AJ402" s="38">
        <v>0</v>
      </c>
      <c r="AK402" s="38">
        <v>9.2193955207653833E-2</v>
      </c>
      <c r="AL402" s="38">
        <v>0</v>
      </c>
      <c r="AM402" s="38">
        <v>0</v>
      </c>
      <c r="AN402" s="40"/>
      <c r="AO402" s="25"/>
    </row>
    <row r="403" spans="1:88" s="22" customFormat="1">
      <c r="A403" s="1">
        <v>1279</v>
      </c>
      <c r="B403" s="74" t="s">
        <v>1820</v>
      </c>
      <c r="C403" s="34">
        <v>441</v>
      </c>
      <c r="D403" s="75">
        <v>3038</v>
      </c>
      <c r="E403" s="69">
        <v>100</v>
      </c>
      <c r="F403" s="34" t="s">
        <v>1823</v>
      </c>
      <c r="G403" s="58">
        <v>15945</v>
      </c>
      <c r="H403" s="58">
        <v>0</v>
      </c>
      <c r="I403" s="55">
        <v>15.945</v>
      </c>
      <c r="J403" s="34">
        <v>2</v>
      </c>
      <c r="K403" s="34" t="s">
        <v>12</v>
      </c>
      <c r="L403" s="10">
        <v>42186</v>
      </c>
      <c r="M403" s="9" t="s">
        <v>191</v>
      </c>
      <c r="N403" s="38">
        <v>12.525</v>
      </c>
      <c r="O403" s="38">
        <v>1.7</v>
      </c>
      <c r="P403" s="38">
        <v>0.92500000000000004</v>
      </c>
      <c r="Q403" s="38">
        <v>0.47499999999999998</v>
      </c>
      <c r="R403" s="38">
        <v>2.02861</v>
      </c>
      <c r="S403" s="38">
        <f t="shared" si="53"/>
        <v>2</v>
      </c>
      <c r="T403" s="38">
        <v>15.425000000000001</v>
      </c>
      <c r="U403" s="38">
        <v>0.17499999999999999</v>
      </c>
      <c r="V403" s="38">
        <v>2.5000000000000001E-2</v>
      </c>
      <c r="W403" s="38">
        <v>0</v>
      </c>
      <c r="X403" s="38">
        <v>4.1635799999999996</v>
      </c>
      <c r="Y403" s="38">
        <f t="shared" si="54"/>
        <v>4</v>
      </c>
      <c r="Z403" s="38">
        <v>0</v>
      </c>
      <c r="AA403" s="38">
        <v>0</v>
      </c>
      <c r="AB403" s="38">
        <v>15.625</v>
      </c>
      <c r="AC403" s="38">
        <v>1.3001</v>
      </c>
      <c r="AD403" s="38">
        <v>394.2</v>
      </c>
      <c r="AE403" s="38">
        <v>224.6</v>
      </c>
      <c r="AF403" s="38">
        <v>0.90758410607893192</v>
      </c>
      <c r="AG403" s="38">
        <f t="shared" si="55"/>
        <v>0.9</v>
      </c>
      <c r="AH403" s="38">
        <v>129.5</v>
      </c>
      <c r="AI403" s="38">
        <v>1.1528160958212772</v>
      </c>
      <c r="AJ403" s="38">
        <v>3</v>
      </c>
      <c r="AK403" s="38">
        <v>0</v>
      </c>
      <c r="AL403" s="38">
        <v>0</v>
      </c>
      <c r="AM403" s="38">
        <v>0</v>
      </c>
      <c r="AN403" s="40"/>
      <c r="AO403" s="25"/>
    </row>
    <row r="404" spans="1:88" s="22" customFormat="1">
      <c r="A404" s="1">
        <v>933</v>
      </c>
      <c r="B404" s="34" t="s">
        <v>1309</v>
      </c>
      <c r="C404" s="34">
        <v>638</v>
      </c>
      <c r="D404" s="8">
        <v>2382</v>
      </c>
      <c r="E404" s="34">
        <v>200</v>
      </c>
      <c r="F404" s="34" t="s">
        <v>1327</v>
      </c>
      <c r="G404" s="58">
        <v>21130</v>
      </c>
      <c r="H404" s="58">
        <v>23650</v>
      </c>
      <c r="I404" s="35">
        <v>2.52</v>
      </c>
      <c r="J404" s="9">
        <v>2</v>
      </c>
      <c r="K404" s="34" t="s">
        <v>238</v>
      </c>
      <c r="L404" s="10">
        <v>42136</v>
      </c>
      <c r="M404" s="9" t="s">
        <v>191</v>
      </c>
      <c r="N404" s="38">
        <v>0.1</v>
      </c>
      <c r="O404" s="38">
        <v>0.4</v>
      </c>
      <c r="P404" s="38">
        <v>0.97499999999999998</v>
      </c>
      <c r="Q404" s="38">
        <v>1.05</v>
      </c>
      <c r="R404" s="38">
        <v>5.09842</v>
      </c>
      <c r="S404" s="38">
        <f t="shared" si="53"/>
        <v>5</v>
      </c>
      <c r="T404" s="38">
        <v>2.4500000000000002</v>
      </c>
      <c r="U404" s="38">
        <v>0.05</v>
      </c>
      <c r="V404" s="38">
        <v>2.5000000000000001E-2</v>
      </c>
      <c r="W404" s="38">
        <v>0</v>
      </c>
      <c r="X404" s="38">
        <v>5.0179600000000004</v>
      </c>
      <c r="Y404" s="38">
        <f t="shared" si="54"/>
        <v>5</v>
      </c>
      <c r="Z404" s="38">
        <v>0</v>
      </c>
      <c r="AA404" s="38">
        <v>0</v>
      </c>
      <c r="AB404" s="38">
        <f>N404+O404+P404+Q404</f>
        <v>2.5250000000000004</v>
      </c>
      <c r="AC404" s="38">
        <v>1.4511799999999999</v>
      </c>
      <c r="AD404" s="38">
        <v>79.680000000000007</v>
      </c>
      <c r="AE404" s="38">
        <v>0</v>
      </c>
      <c r="AF404" s="38">
        <v>0.90339999999999998</v>
      </c>
      <c r="AG404" s="38">
        <f t="shared" si="55"/>
        <v>0.9</v>
      </c>
      <c r="AH404" s="38">
        <v>0</v>
      </c>
      <c r="AI404" s="38">
        <v>0</v>
      </c>
      <c r="AJ404" s="38">
        <v>0.34</v>
      </c>
      <c r="AK404" s="38">
        <v>3.8549999999999999E-3</v>
      </c>
      <c r="AL404" s="38">
        <v>0</v>
      </c>
      <c r="AM404" s="38">
        <v>0</v>
      </c>
      <c r="AN404" s="40"/>
      <c r="AO404" s="40"/>
      <c r="AP404" s="40">
        <f>AE404*0.5</f>
        <v>0</v>
      </c>
      <c r="AQ404" s="25">
        <f>(AD404+AH404+AJ404+AL404+AP404)*I404</f>
        <v>201.65040000000002</v>
      </c>
      <c r="AR404" s="25"/>
      <c r="AS404" s="25"/>
      <c r="AT404" s="25">
        <f>SUM(N404:Q404)</f>
        <v>2.5250000000000004</v>
      </c>
      <c r="AU404" s="25">
        <f>SUM(T404:W404)</f>
        <v>2.5249999999999999</v>
      </c>
      <c r="AW404" s="41"/>
      <c r="AX404" s="41"/>
      <c r="AY404" s="41"/>
      <c r="AZ404" s="41"/>
    </row>
    <row r="405" spans="1:88" s="22" customFormat="1">
      <c r="A405" s="1">
        <v>2188</v>
      </c>
      <c r="B405" s="34" t="s">
        <v>2827</v>
      </c>
      <c r="C405" s="34">
        <v>314</v>
      </c>
      <c r="D405" s="75">
        <v>4018</v>
      </c>
      <c r="E405" s="8">
        <v>200</v>
      </c>
      <c r="F405" s="9" t="s">
        <v>2828</v>
      </c>
      <c r="G405" s="20" t="s">
        <v>2831</v>
      </c>
      <c r="H405" s="20" t="s">
        <v>2832</v>
      </c>
      <c r="I405" s="21">
        <v>1.06</v>
      </c>
      <c r="J405" s="8">
        <v>2</v>
      </c>
      <c r="K405" s="8" t="s">
        <v>238</v>
      </c>
      <c r="L405" s="18">
        <v>42144</v>
      </c>
      <c r="M405" s="9" t="s">
        <v>191</v>
      </c>
      <c r="N405" s="38">
        <v>0.375</v>
      </c>
      <c r="O405" s="38">
        <v>0.25</v>
      </c>
      <c r="P405" s="38">
        <v>0.1</v>
      </c>
      <c r="Q405" s="38">
        <v>0.27500000000000002</v>
      </c>
      <c r="R405" s="38">
        <v>4.1377499999999996</v>
      </c>
      <c r="S405" s="38">
        <f t="shared" si="53"/>
        <v>4</v>
      </c>
      <c r="T405" s="38">
        <v>1</v>
      </c>
      <c r="U405" s="38">
        <v>0</v>
      </c>
      <c r="V405" s="38">
        <v>0</v>
      </c>
      <c r="W405" s="38">
        <v>0</v>
      </c>
      <c r="X405" s="38">
        <v>1.57847</v>
      </c>
      <c r="Y405" s="38">
        <f t="shared" si="54"/>
        <v>1.5</v>
      </c>
      <c r="Z405" s="38">
        <v>0</v>
      </c>
      <c r="AA405" s="38">
        <v>0</v>
      </c>
      <c r="AB405" s="38">
        <v>1</v>
      </c>
      <c r="AC405" s="38">
        <v>1.3521700000000001</v>
      </c>
      <c r="AD405" s="38">
        <v>0</v>
      </c>
      <c r="AE405" s="38">
        <v>66.849999999999994</v>
      </c>
      <c r="AF405" s="38">
        <f>(AD405+AE405*0.5)/(3.5*I405*1000)*100</f>
        <v>0.90094339622641506</v>
      </c>
      <c r="AG405" s="38">
        <f t="shared" si="55"/>
        <v>0.9</v>
      </c>
      <c r="AH405" s="38">
        <v>62.46</v>
      </c>
      <c r="AI405" s="38">
        <f>AH405/(3.5*I405*1000)*100</f>
        <v>1.6835579514824797</v>
      </c>
      <c r="AJ405" s="38">
        <v>0</v>
      </c>
      <c r="AK405" s="38">
        <f>AJ405/(3.5*L405*1000)*100</f>
        <v>0</v>
      </c>
      <c r="AL405" s="38">
        <v>0</v>
      </c>
      <c r="AM405" s="38">
        <f>AL405/(3.5*I405*1000)*100</f>
        <v>0</v>
      </c>
      <c r="AN405" s="72"/>
      <c r="AO405" s="41"/>
      <c r="AP405" s="41"/>
      <c r="AQ405" s="73"/>
      <c r="AR405" s="73"/>
      <c r="AS405" s="73"/>
      <c r="AT405" s="73"/>
    </row>
    <row r="406" spans="1:88" s="22" customFormat="1">
      <c r="A406" s="1">
        <v>1909</v>
      </c>
      <c r="B406" s="34" t="s">
        <v>2550</v>
      </c>
      <c r="C406" s="34">
        <v>337</v>
      </c>
      <c r="D406" s="75">
        <v>3336</v>
      </c>
      <c r="E406" s="8">
        <v>100</v>
      </c>
      <c r="F406" s="9" t="s">
        <v>2555</v>
      </c>
      <c r="G406" s="20">
        <v>0</v>
      </c>
      <c r="H406" s="20">
        <v>6611</v>
      </c>
      <c r="I406" s="21">
        <v>6.6109999999999998</v>
      </c>
      <c r="J406" s="8">
        <v>2</v>
      </c>
      <c r="K406" s="8" t="s">
        <v>238</v>
      </c>
      <c r="L406" s="18">
        <v>42091</v>
      </c>
      <c r="M406" s="207" t="s">
        <v>191</v>
      </c>
      <c r="N406" s="38">
        <v>3.63</v>
      </c>
      <c r="O406" s="38">
        <v>2.1</v>
      </c>
      <c r="P406" s="38">
        <v>0.62</v>
      </c>
      <c r="Q406" s="38">
        <v>0.27</v>
      </c>
      <c r="R406" s="38">
        <v>2.6362999999999999</v>
      </c>
      <c r="S406" s="38">
        <f t="shared" si="53"/>
        <v>2.5</v>
      </c>
      <c r="T406" s="38">
        <v>6.58</v>
      </c>
      <c r="U406" s="38">
        <v>0.03</v>
      </c>
      <c r="V406" s="38">
        <v>0</v>
      </c>
      <c r="W406" s="38">
        <v>0</v>
      </c>
      <c r="X406" s="38">
        <v>2.2315700000000001</v>
      </c>
      <c r="Y406" s="38">
        <f t="shared" si="54"/>
        <v>2</v>
      </c>
      <c r="Z406" s="38">
        <v>0</v>
      </c>
      <c r="AA406" s="38">
        <v>0</v>
      </c>
      <c r="AB406" s="38">
        <v>6.61</v>
      </c>
      <c r="AC406" s="38">
        <v>1.3343100000000001</v>
      </c>
      <c r="AD406" s="38">
        <v>0</v>
      </c>
      <c r="AE406" s="38">
        <v>415.59</v>
      </c>
      <c r="AF406" s="38">
        <v>0.89804870670095283</v>
      </c>
      <c r="AG406" s="38">
        <f t="shared" si="55"/>
        <v>0.9</v>
      </c>
      <c r="AH406" s="38">
        <v>0</v>
      </c>
      <c r="AI406" s="38">
        <v>0</v>
      </c>
      <c r="AJ406" s="38">
        <v>0</v>
      </c>
      <c r="AK406" s="38">
        <v>0</v>
      </c>
      <c r="AL406" s="38">
        <v>0</v>
      </c>
      <c r="AM406" s="38">
        <f>AL406/(3.5*I406*1000)*100</f>
        <v>0</v>
      </c>
      <c r="AN406" s="1"/>
      <c r="AO406" s="1"/>
      <c r="AP406" s="1"/>
      <c r="AQ406" s="41">
        <f>SUM(N406:Q406)</f>
        <v>6.620000000000001</v>
      </c>
      <c r="AR406" s="41">
        <f>SUM(T406:W406)</f>
        <v>6.61</v>
      </c>
      <c r="AS406" s="12">
        <f>SUM(Z406:AB406)</f>
        <v>6.61</v>
      </c>
      <c r="AT406" s="1"/>
      <c r="AU406" s="1">
        <f>I406/AQ406</f>
        <v>0.99864048338368561</v>
      </c>
      <c r="AV406" s="1">
        <f>I406/AR406</f>
        <v>1.0001512859304085</v>
      </c>
      <c r="AW406" s="1">
        <f>I406/AS406</f>
        <v>1.0001512859304085</v>
      </c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</row>
    <row r="407" spans="1:88" s="100" customFormat="1">
      <c r="A407" s="1">
        <v>1898</v>
      </c>
      <c r="B407" s="34" t="s">
        <v>2528</v>
      </c>
      <c r="C407" s="34">
        <v>336</v>
      </c>
      <c r="D407" s="75">
        <v>3296</v>
      </c>
      <c r="E407" s="8">
        <v>100</v>
      </c>
      <c r="F407" s="9" t="s">
        <v>2539</v>
      </c>
      <c r="G407" s="20" t="s">
        <v>2540</v>
      </c>
      <c r="H407" s="20" t="s">
        <v>92</v>
      </c>
      <c r="I407" s="21">
        <v>12.773999999999999</v>
      </c>
      <c r="J407" s="8">
        <v>2</v>
      </c>
      <c r="K407" s="8" t="s">
        <v>12</v>
      </c>
      <c r="L407" s="18">
        <v>42089</v>
      </c>
      <c r="M407" s="207" t="s">
        <v>191</v>
      </c>
      <c r="N407" s="26">
        <v>5.43</v>
      </c>
      <c r="O407" s="26">
        <v>2.33</v>
      </c>
      <c r="P407" s="26">
        <v>2.2000000000000002</v>
      </c>
      <c r="Q407" s="26">
        <v>2.81</v>
      </c>
      <c r="R407" s="26">
        <v>3.4664700000000002</v>
      </c>
      <c r="S407" s="38">
        <f t="shared" si="53"/>
        <v>3.5</v>
      </c>
      <c r="T407" s="26">
        <v>9.83</v>
      </c>
      <c r="U407" s="26">
        <v>1.7</v>
      </c>
      <c r="V407" s="26">
        <v>0.57999999999999996</v>
      </c>
      <c r="W407" s="26">
        <v>0.66</v>
      </c>
      <c r="X407" s="26">
        <v>6.7251700000000003</v>
      </c>
      <c r="Y407" s="38">
        <f t="shared" si="54"/>
        <v>6.5</v>
      </c>
      <c r="Z407" s="11">
        <v>0</v>
      </c>
      <c r="AA407" s="11">
        <v>0</v>
      </c>
      <c r="AB407" s="11">
        <v>12.77</v>
      </c>
      <c r="AC407" s="11">
        <v>1.31782</v>
      </c>
      <c r="AD407" s="11">
        <v>376.887</v>
      </c>
      <c r="AE407" s="11">
        <v>46.26</v>
      </c>
      <c r="AF407" s="38">
        <f>(AD407+AE407*0.5)/(3.5*I407*1000)*100</f>
        <v>0.89471247399852383</v>
      </c>
      <c r="AG407" s="38">
        <f t="shared" si="55"/>
        <v>0.9</v>
      </c>
      <c r="AH407" s="38">
        <v>255.17</v>
      </c>
      <c r="AI407" s="38">
        <f>AH407/(3.5*I407*1000)*100</f>
        <v>0.57073519872956235</v>
      </c>
      <c r="AJ407" s="38">
        <v>3.3</v>
      </c>
      <c r="AK407" s="38">
        <f>AJ407/(3.5*I407*1000)*100</f>
        <v>7.3810642152586734E-3</v>
      </c>
      <c r="AL407" s="38">
        <v>5.98</v>
      </c>
      <c r="AM407" s="38">
        <f>AL407/(3.5*I407*1000)*100</f>
        <v>1.3375383032499053E-2</v>
      </c>
      <c r="AN407" s="1"/>
      <c r="AO407" s="1"/>
      <c r="AP407" s="22"/>
      <c r="AQ407" s="41">
        <f>SUM(N407:Q407)</f>
        <v>12.770000000000001</v>
      </c>
      <c r="AR407" s="41">
        <f>SUM(T407:W407)</f>
        <v>12.77</v>
      </c>
      <c r="AS407" s="12">
        <f>SUM(Z407:AB407)</f>
        <v>12.77</v>
      </c>
      <c r="AT407" s="1"/>
      <c r="AU407" s="1">
        <f>I407/AQ407</f>
        <v>1.0003132341425214</v>
      </c>
      <c r="AV407" s="1">
        <f>I407/AR407</f>
        <v>1.0003132341425216</v>
      </c>
      <c r="AW407" s="1">
        <f>I407/AS407</f>
        <v>1.0003132341425216</v>
      </c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  <c r="CI407" s="22"/>
      <c r="CJ407" s="22"/>
    </row>
    <row r="408" spans="1:88" s="22" customFormat="1">
      <c r="A408" s="1">
        <v>1360</v>
      </c>
      <c r="B408" s="74" t="s">
        <v>1905</v>
      </c>
      <c r="C408" s="34">
        <v>445</v>
      </c>
      <c r="D408" s="185">
        <v>3040</v>
      </c>
      <c r="E408" s="69">
        <v>200</v>
      </c>
      <c r="F408" s="184" t="s">
        <v>1911</v>
      </c>
      <c r="G408" s="20">
        <v>23500</v>
      </c>
      <c r="H408" s="20">
        <v>18644</v>
      </c>
      <c r="I408" s="21">
        <v>4.8559999999999999</v>
      </c>
      <c r="J408" s="8">
        <v>2</v>
      </c>
      <c r="K408" s="34" t="s">
        <v>12</v>
      </c>
      <c r="L408" s="10">
        <v>42188</v>
      </c>
      <c r="M408" s="9" t="s">
        <v>191</v>
      </c>
      <c r="N408" s="38">
        <v>4.25</v>
      </c>
      <c r="O408" s="38">
        <v>0.45</v>
      </c>
      <c r="P408" s="38">
        <v>0.15</v>
      </c>
      <c r="Q408" s="38">
        <v>7.4999999999999997E-2</v>
      </c>
      <c r="R408" s="38">
        <v>1.8369500000000001</v>
      </c>
      <c r="S408" s="38">
        <f t="shared" si="53"/>
        <v>2</v>
      </c>
      <c r="T408" s="38">
        <v>4.5999999999999996</v>
      </c>
      <c r="U408" s="38">
        <v>0.27500000000000002</v>
      </c>
      <c r="V408" s="38">
        <v>0</v>
      </c>
      <c r="W408" s="38">
        <v>0.05</v>
      </c>
      <c r="X408" s="38">
        <v>4.1825400000000004</v>
      </c>
      <c r="Y408" s="38">
        <f t="shared" si="54"/>
        <v>4</v>
      </c>
      <c r="Z408" s="38">
        <v>0</v>
      </c>
      <c r="AA408" s="38">
        <v>0</v>
      </c>
      <c r="AB408" s="38">
        <v>4.9250000000000007</v>
      </c>
      <c r="AC408" s="38">
        <v>1.0864</v>
      </c>
      <c r="AD408" s="38">
        <v>152</v>
      </c>
      <c r="AE408" s="38">
        <v>0</v>
      </c>
      <c r="AF408" s="38">
        <v>0.89432807719463403</v>
      </c>
      <c r="AG408" s="38">
        <f t="shared" si="55"/>
        <v>0.9</v>
      </c>
      <c r="AH408" s="38">
        <v>0</v>
      </c>
      <c r="AI408" s="38">
        <v>0</v>
      </c>
      <c r="AJ408" s="38">
        <v>0</v>
      </c>
      <c r="AK408" s="38">
        <v>0</v>
      </c>
      <c r="AL408" s="38">
        <v>0</v>
      </c>
      <c r="AM408" s="38">
        <v>0</v>
      </c>
      <c r="AN408" s="72"/>
      <c r="AO408" s="41"/>
      <c r="AP408" s="41"/>
      <c r="AQ408" s="41"/>
      <c r="AR408" s="41"/>
      <c r="AS408" s="73"/>
      <c r="AT408" s="73"/>
      <c r="AU408" s="73"/>
      <c r="AV408" s="73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</row>
    <row r="409" spans="1:88" s="22" customFormat="1">
      <c r="A409" s="1">
        <v>1300</v>
      </c>
      <c r="B409" s="74" t="s">
        <v>1820</v>
      </c>
      <c r="C409" s="34">
        <v>441</v>
      </c>
      <c r="D409" s="75">
        <v>3558</v>
      </c>
      <c r="E409" s="69">
        <v>100</v>
      </c>
      <c r="F409" s="34" t="s">
        <v>1845</v>
      </c>
      <c r="G409" s="58">
        <v>0</v>
      </c>
      <c r="H409" s="58">
        <v>8843</v>
      </c>
      <c r="I409" s="55">
        <v>8.843</v>
      </c>
      <c r="J409" s="34">
        <v>2</v>
      </c>
      <c r="K409" s="34" t="s">
        <v>238</v>
      </c>
      <c r="L409" s="10">
        <v>42186</v>
      </c>
      <c r="M409" s="9" t="s">
        <v>191</v>
      </c>
      <c r="N409" s="38">
        <v>6.6749999999999998</v>
      </c>
      <c r="O409" s="38">
        <v>1.0249999999999999</v>
      </c>
      <c r="P409" s="38">
        <v>0.25</v>
      </c>
      <c r="Q409" s="38">
        <v>0.22500000000000001</v>
      </c>
      <c r="R409" s="38">
        <v>2.34979</v>
      </c>
      <c r="S409" s="38">
        <f t="shared" si="53"/>
        <v>2.5</v>
      </c>
      <c r="T409" s="38">
        <v>8.1750000000000007</v>
      </c>
      <c r="U409" s="38">
        <v>0</v>
      </c>
      <c r="V409" s="38">
        <v>0</v>
      </c>
      <c r="W409" s="38">
        <v>0</v>
      </c>
      <c r="X409" s="38">
        <v>3.2683</v>
      </c>
      <c r="Y409" s="38">
        <f t="shared" si="54"/>
        <v>3.5</v>
      </c>
      <c r="Z409" s="38">
        <v>0</v>
      </c>
      <c r="AA409" s="38">
        <v>0</v>
      </c>
      <c r="AB409" s="38">
        <v>8.1749999999999989</v>
      </c>
      <c r="AC409" s="38">
        <v>1.43964</v>
      </c>
      <c r="AD409" s="38">
        <v>253.4</v>
      </c>
      <c r="AE409" s="38">
        <v>37.299999999999997</v>
      </c>
      <c r="AF409" s="38">
        <v>0.87898418442351522</v>
      </c>
      <c r="AG409" s="38">
        <f t="shared" si="55"/>
        <v>0.9</v>
      </c>
      <c r="AH409" s="38">
        <v>98.3</v>
      </c>
      <c r="AI409" s="38">
        <v>0.31760391593027582</v>
      </c>
      <c r="AJ409" s="38">
        <v>0</v>
      </c>
      <c r="AK409" s="38">
        <v>0</v>
      </c>
      <c r="AL409" s="38">
        <v>0</v>
      </c>
      <c r="AM409" s="38">
        <v>0</v>
      </c>
      <c r="AN409" s="40"/>
      <c r="AO409" s="12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</row>
    <row r="410" spans="1:88" s="22" customFormat="1">
      <c r="A410" s="1">
        <v>1539</v>
      </c>
      <c r="B410" s="34" t="s">
        <v>2104</v>
      </c>
      <c r="C410" s="34">
        <v>414</v>
      </c>
      <c r="D410" s="69">
        <v>3312</v>
      </c>
      <c r="E410" s="34">
        <v>200</v>
      </c>
      <c r="F410" s="34" t="s">
        <v>2116</v>
      </c>
      <c r="G410" s="58">
        <v>16551</v>
      </c>
      <c r="H410" s="58">
        <v>39206</v>
      </c>
      <c r="I410" s="35">
        <v>22.655000000000001</v>
      </c>
      <c r="J410" s="34">
        <v>6</v>
      </c>
      <c r="K410" s="34" t="s">
        <v>237</v>
      </c>
      <c r="L410" s="10">
        <v>42266</v>
      </c>
      <c r="M410" s="9" t="s">
        <v>191</v>
      </c>
      <c r="N410" s="38">
        <v>14.8</v>
      </c>
      <c r="O410" s="38">
        <v>3.95</v>
      </c>
      <c r="P410" s="38">
        <v>1.95</v>
      </c>
      <c r="Q410" s="38">
        <v>1.925</v>
      </c>
      <c r="R410" s="38">
        <v>2.5904500000000001</v>
      </c>
      <c r="S410" s="38">
        <f t="shared" si="53"/>
        <v>2.5</v>
      </c>
      <c r="T410" s="38">
        <v>19.55</v>
      </c>
      <c r="U410" s="38">
        <v>2.85</v>
      </c>
      <c r="V410" s="38">
        <v>0.22500000000000001</v>
      </c>
      <c r="W410" s="38">
        <v>0</v>
      </c>
      <c r="X410" s="38">
        <v>6.1129899999999999</v>
      </c>
      <c r="Y410" s="38">
        <f t="shared" si="54"/>
        <v>6</v>
      </c>
      <c r="Z410" s="38">
        <v>0</v>
      </c>
      <c r="AA410" s="38">
        <v>0</v>
      </c>
      <c r="AB410" s="38">
        <v>22.655000000000001</v>
      </c>
      <c r="AC410" s="38">
        <v>1.12601</v>
      </c>
      <c r="AD410" s="38">
        <v>524</v>
      </c>
      <c r="AE410" s="38">
        <v>345.42</v>
      </c>
      <c r="AF410" s="38">
        <f>(AD410+AE410*0.5)/(3.5*I410*1000)*100</f>
        <v>0.87865813286250283</v>
      </c>
      <c r="AG410" s="38">
        <f t="shared" si="55"/>
        <v>0.9</v>
      </c>
      <c r="AH410" s="38">
        <v>2018</v>
      </c>
      <c r="AI410" s="38">
        <f>AH410/(3.5*I410*1000)*100</f>
        <v>2.5450074092757826</v>
      </c>
      <c r="AJ410" s="38">
        <v>1008.7</v>
      </c>
      <c r="AK410" s="38">
        <f>AJ410/(3.5*I410*1000)*100</f>
        <v>1.2721253586404768</v>
      </c>
      <c r="AL410" s="38">
        <v>445</v>
      </c>
      <c r="AM410" s="38">
        <f t="shared" ref="AM410:AM418" si="61">AL410/(3.5*I410*1000)*100</f>
        <v>0.56121322949837626</v>
      </c>
      <c r="AN410" s="25"/>
      <c r="AO410" s="25">
        <f>AE410*0.5</f>
        <v>172.71</v>
      </c>
      <c r="AP410" s="25">
        <f>(AD410+AH410+AJ410+AL410+AO410)*I410</f>
        <v>94435.328550000006</v>
      </c>
      <c r="AQ410" s="25"/>
      <c r="AR410" s="25">
        <f>SUM(N410:Q410)</f>
        <v>22.625</v>
      </c>
      <c r="AS410" s="25">
        <f>SUM(T410:W410)</f>
        <v>22.625000000000004</v>
      </c>
      <c r="AT410" s="25"/>
      <c r="AV410" s="41"/>
      <c r="AW410" s="41"/>
      <c r="AX410" s="41"/>
      <c r="AY410" s="41"/>
    </row>
    <row r="411" spans="1:88" s="22" customFormat="1">
      <c r="A411" s="1">
        <v>276</v>
      </c>
      <c r="B411" s="34" t="s">
        <v>484</v>
      </c>
      <c r="C411" s="34">
        <v>641</v>
      </c>
      <c r="D411" s="34">
        <v>2132</v>
      </c>
      <c r="E411" s="34">
        <v>100</v>
      </c>
      <c r="F411" s="34" t="s">
        <v>500</v>
      </c>
      <c r="G411" s="58">
        <v>20212</v>
      </c>
      <c r="H411" s="58">
        <v>0</v>
      </c>
      <c r="I411" s="35">
        <v>20.212</v>
      </c>
      <c r="J411" s="59">
        <v>2</v>
      </c>
      <c r="K411" s="34" t="s">
        <v>12</v>
      </c>
      <c r="L411" s="10">
        <v>42159</v>
      </c>
      <c r="M411" s="9" t="s">
        <v>191</v>
      </c>
      <c r="N411" s="38">
        <v>16.524999999999999</v>
      </c>
      <c r="O411" s="38">
        <v>3</v>
      </c>
      <c r="P411" s="38">
        <v>0.47499999999999998</v>
      </c>
      <c r="Q411" s="38">
        <v>0.17499999999999999</v>
      </c>
      <c r="R411" s="38">
        <v>2.1611799999999999</v>
      </c>
      <c r="S411" s="38">
        <f t="shared" si="53"/>
        <v>2</v>
      </c>
      <c r="T411" s="38">
        <v>20.125</v>
      </c>
      <c r="U411" s="38">
        <v>0.05</v>
      </c>
      <c r="V411" s="38">
        <v>0</v>
      </c>
      <c r="W411" s="38">
        <v>0</v>
      </c>
      <c r="X411" s="38">
        <v>2.5480100000000001</v>
      </c>
      <c r="Y411" s="38">
        <f t="shared" si="54"/>
        <v>2.5</v>
      </c>
      <c r="Z411" s="38">
        <v>0</v>
      </c>
      <c r="AA411" s="38">
        <v>0</v>
      </c>
      <c r="AB411" s="38">
        <f>T411+U411+V411+W411</f>
        <v>20.175000000000001</v>
      </c>
      <c r="AC411" s="38">
        <v>1.15839</v>
      </c>
      <c r="AD411" s="38">
        <v>0</v>
      </c>
      <c r="AE411" s="38">
        <v>1240</v>
      </c>
      <c r="AF411" s="38">
        <f>(AD411+AE411*0.5)/(3.5*I411*1000)*100</f>
        <v>0.87642418930762489</v>
      </c>
      <c r="AG411" s="38">
        <f t="shared" si="55"/>
        <v>0.9</v>
      </c>
      <c r="AH411" s="38">
        <v>0</v>
      </c>
      <c r="AI411" s="38">
        <f>AH411/(3.5*I411*1000)*100</f>
        <v>0</v>
      </c>
      <c r="AJ411" s="38">
        <v>0</v>
      </c>
      <c r="AK411" s="38">
        <v>0</v>
      </c>
      <c r="AL411" s="38">
        <v>0</v>
      </c>
      <c r="AM411" s="38">
        <f t="shared" si="61"/>
        <v>0</v>
      </c>
      <c r="AN411" s="60"/>
      <c r="AO411" s="60">
        <f>AE411*0.5</f>
        <v>620</v>
      </c>
      <c r="AP411" s="60">
        <f>(AD411+AH411+AJ411+AL411+AO411)*I411</f>
        <v>12531.44</v>
      </c>
      <c r="AQ411" s="25">
        <f>SUM(N411:Q411)</f>
        <v>20.175000000000001</v>
      </c>
      <c r="AR411" s="25">
        <f>SUM(T411:W411)</f>
        <v>20.175000000000001</v>
      </c>
      <c r="AS411" s="61"/>
      <c r="AT411" s="40"/>
      <c r="AU411" s="41">
        <f>SUM(N411:Q411)</f>
        <v>20.175000000000001</v>
      </c>
      <c r="AV411" s="41">
        <f>SUM(T411:W411)</f>
        <v>20.175000000000001</v>
      </c>
      <c r="AW411" s="41">
        <f>SUM(Z411:AB411)</f>
        <v>20.175000000000001</v>
      </c>
      <c r="AX411" s="61"/>
      <c r="AY411" s="22">
        <f>I411/AU411</f>
        <v>1.0018339529120197</v>
      </c>
      <c r="AZ411" s="22">
        <f>I411/AV411</f>
        <v>1.0018339529120197</v>
      </c>
      <c r="BA411" s="22">
        <f>I411/AW411</f>
        <v>1.0018339529120197</v>
      </c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</row>
    <row r="412" spans="1:88" s="22" customFormat="1">
      <c r="A412" s="1">
        <v>214</v>
      </c>
      <c r="B412" s="34" t="s">
        <v>413</v>
      </c>
      <c r="C412" s="34">
        <v>536</v>
      </c>
      <c r="D412" s="34">
        <v>101</v>
      </c>
      <c r="E412" s="34">
        <v>500</v>
      </c>
      <c r="F412" s="34" t="s">
        <v>414</v>
      </c>
      <c r="G412" s="20" t="s">
        <v>415</v>
      </c>
      <c r="H412" s="20" t="s">
        <v>300</v>
      </c>
      <c r="I412" s="35">
        <v>65.081000000000003</v>
      </c>
      <c r="J412" s="36">
        <v>2</v>
      </c>
      <c r="K412" s="34" t="s">
        <v>12</v>
      </c>
      <c r="L412" s="10">
        <v>42221</v>
      </c>
      <c r="M412" s="9" t="s">
        <v>191</v>
      </c>
      <c r="N412" s="38">
        <v>50.37</v>
      </c>
      <c r="O412" s="38">
        <v>10.119999999999999</v>
      </c>
      <c r="P412" s="38">
        <v>3.79</v>
      </c>
      <c r="Q412" s="38">
        <v>0.8</v>
      </c>
      <c r="R412" s="38">
        <v>2.0333800000000002</v>
      </c>
      <c r="S412" s="38">
        <f t="shared" si="53"/>
        <v>2</v>
      </c>
      <c r="T412" s="38">
        <v>33.729999999999997</v>
      </c>
      <c r="U412" s="38">
        <v>11.98</v>
      </c>
      <c r="V412" s="38">
        <v>6.5</v>
      </c>
      <c r="W412" s="38">
        <v>12.88</v>
      </c>
      <c r="X412" s="38">
        <v>12.3688</v>
      </c>
      <c r="Y412" s="38">
        <f t="shared" si="54"/>
        <v>12.5</v>
      </c>
      <c r="Z412" s="38">
        <v>0</v>
      </c>
      <c r="AA412" s="38">
        <v>0</v>
      </c>
      <c r="AB412" s="38">
        <v>65.09</v>
      </c>
      <c r="AC412" s="38">
        <v>1.1740699999999999</v>
      </c>
      <c r="AD412" s="38">
        <v>1913</v>
      </c>
      <c r="AE412" s="38">
        <v>152.96</v>
      </c>
      <c r="AF412" s="38">
        <f>(AD412+AE412*0.5)/(3.5*I412*1000)*100</f>
        <v>0.87340830218167687</v>
      </c>
      <c r="AG412" s="38">
        <f t="shared" si="55"/>
        <v>0.9</v>
      </c>
      <c r="AH412" s="38">
        <v>1228</v>
      </c>
      <c r="AI412" s="38">
        <f>AH412/(3.5*I412*1000)*100</f>
        <v>0.5391084077643904</v>
      </c>
      <c r="AJ412" s="38">
        <v>4468</v>
      </c>
      <c r="AK412" s="38">
        <f>AJ412/(3.5*I412*1000)*100</f>
        <v>1.9615116986085472</v>
      </c>
      <c r="AL412" s="38">
        <v>392</v>
      </c>
      <c r="AM412" s="38">
        <f t="shared" si="61"/>
        <v>0.17209323765768811</v>
      </c>
      <c r="AN412" s="25"/>
      <c r="AO412" s="25">
        <f>AE412*0.5</f>
        <v>76.48</v>
      </c>
      <c r="AP412" s="25">
        <f>(AD412+AH412+AJ412+AL412+AO412)*I412</f>
        <v>525690.47588000004</v>
      </c>
      <c r="AQ412" s="25">
        <f>SUM(N412:Q412)</f>
        <v>65.08</v>
      </c>
      <c r="AR412" s="25">
        <f>SUM(T412:W412)</f>
        <v>65.089999999999989</v>
      </c>
      <c r="AT412" s="41"/>
      <c r="AU412" s="41">
        <f>SUM(N412:Q412)</f>
        <v>65.08</v>
      </c>
      <c r="AV412" s="41">
        <f>SUM(T412:W412)</f>
        <v>65.089999999999989</v>
      </c>
      <c r="AW412" s="41">
        <f>SUM(Z412:AB412)</f>
        <v>65.09</v>
      </c>
      <c r="AY412" s="22">
        <f>I412/AU412</f>
        <v>1.0000153657037494</v>
      </c>
      <c r="AZ412" s="22">
        <f>I412/AV412</f>
        <v>0.99986172991242916</v>
      </c>
      <c r="BA412" s="22">
        <f>I412/AW412</f>
        <v>0.99986172991242894</v>
      </c>
    </row>
    <row r="413" spans="1:88" s="22" customFormat="1">
      <c r="A413" s="1">
        <v>428</v>
      </c>
      <c r="B413" s="74" t="s">
        <v>699</v>
      </c>
      <c r="C413" s="34">
        <v>513</v>
      </c>
      <c r="D413" s="75">
        <v>1053</v>
      </c>
      <c r="E413" s="69">
        <v>100</v>
      </c>
      <c r="F413" s="76" t="s">
        <v>721</v>
      </c>
      <c r="G413" s="20" t="s">
        <v>92</v>
      </c>
      <c r="H413" s="20" t="s">
        <v>722</v>
      </c>
      <c r="I413" s="21">
        <v>4</v>
      </c>
      <c r="J413" s="5" t="s">
        <v>238</v>
      </c>
      <c r="K413" s="34">
        <v>2</v>
      </c>
      <c r="L413" s="18">
        <v>42265</v>
      </c>
      <c r="M413" s="9" t="s">
        <v>191</v>
      </c>
      <c r="N413" s="38">
        <v>1.8</v>
      </c>
      <c r="O413" s="38">
        <v>1.03</v>
      </c>
      <c r="P413" s="38">
        <v>0.63</v>
      </c>
      <c r="Q413" s="38">
        <v>0.55000000000000004</v>
      </c>
      <c r="R413" s="38">
        <v>3.1742499999999998</v>
      </c>
      <c r="S413" s="38">
        <f t="shared" si="53"/>
        <v>3</v>
      </c>
      <c r="T413" s="38">
        <v>3.95</v>
      </c>
      <c r="U413" s="38">
        <v>0.05</v>
      </c>
      <c r="V413" s="38">
        <v>0</v>
      </c>
      <c r="W413" s="38">
        <v>0</v>
      </c>
      <c r="X413" s="38">
        <v>2.3376600000000001</v>
      </c>
      <c r="Y413" s="38">
        <f t="shared" si="54"/>
        <v>2.5</v>
      </c>
      <c r="Z413" s="38">
        <v>0</v>
      </c>
      <c r="AA413" s="38">
        <v>0</v>
      </c>
      <c r="AB413" s="38">
        <v>4</v>
      </c>
      <c r="AC413" s="38">
        <v>0.96429399999999998</v>
      </c>
      <c r="AD413" s="38">
        <v>120.32</v>
      </c>
      <c r="AE413" s="38">
        <v>3.54</v>
      </c>
      <c r="AF413" s="38">
        <f>(AD413+AE413*0.5)/(3.5*I413*1000)*100</f>
        <v>0.8720714285714285</v>
      </c>
      <c r="AG413" s="38">
        <f t="shared" si="55"/>
        <v>0.9</v>
      </c>
      <c r="AH413" s="38">
        <v>75.95</v>
      </c>
      <c r="AI413" s="38">
        <f>AH413/(3.5*I413*1000)*100</f>
        <v>0.54249999999999998</v>
      </c>
      <c r="AJ413" s="38">
        <v>0</v>
      </c>
      <c r="AK413" s="38">
        <f>AJ413/(3.5*I413*1000)*100</f>
        <v>0</v>
      </c>
      <c r="AL413" s="38">
        <v>0</v>
      </c>
      <c r="AM413" s="38">
        <f t="shared" si="61"/>
        <v>0</v>
      </c>
      <c r="AN413" s="41"/>
      <c r="AO413" s="41"/>
      <c r="AP413" s="73"/>
      <c r="AQ413" s="41">
        <f>SUM(N413:Q413)</f>
        <v>4.01</v>
      </c>
      <c r="AR413" s="41">
        <f>SUM(T413:W413)</f>
        <v>4</v>
      </c>
      <c r="AS413" s="41">
        <f>SUM(Z413:AB413)</f>
        <v>4</v>
      </c>
      <c r="AU413" s="22">
        <f>I413/AQ413</f>
        <v>0.99750623441396513</v>
      </c>
      <c r="AV413" s="22">
        <f>I413/AR413</f>
        <v>1</v>
      </c>
      <c r="AW413" s="22">
        <f>I413/AS413</f>
        <v>1</v>
      </c>
      <c r="AX413" s="73"/>
      <c r="AY413" s="73"/>
      <c r="AZ413" s="73"/>
      <c r="BA413" s="73"/>
      <c r="BB413" s="73"/>
      <c r="BC413" s="73"/>
      <c r="BD413" s="73"/>
      <c r="BE413" s="73"/>
      <c r="BF413" s="73"/>
      <c r="BG413" s="73"/>
      <c r="BH413" s="73"/>
      <c r="BI413" s="73"/>
      <c r="BJ413" s="73"/>
      <c r="BK413" s="73"/>
      <c r="BL413" s="73"/>
      <c r="BM413" s="73"/>
      <c r="BN413" s="73"/>
      <c r="BO413" s="73"/>
      <c r="BP413" s="73"/>
      <c r="BQ413" s="73"/>
      <c r="BR413" s="73"/>
      <c r="BS413" s="73"/>
      <c r="BT413" s="73"/>
      <c r="BU413" s="73"/>
      <c r="BV413" s="73"/>
      <c r="BW413" s="73"/>
      <c r="BX413" s="73"/>
      <c r="BY413" s="73"/>
      <c r="BZ413" s="73"/>
      <c r="CA413" s="73"/>
      <c r="CB413" s="73"/>
      <c r="CC413" s="73"/>
      <c r="CD413" s="73"/>
      <c r="CE413" s="73"/>
      <c r="CF413" s="73"/>
      <c r="CG413" s="73"/>
      <c r="CH413" s="73"/>
      <c r="CI413" s="73"/>
      <c r="CJ413" s="73"/>
    </row>
    <row r="414" spans="1:88" s="22" customFormat="1">
      <c r="A414" s="1">
        <v>1934</v>
      </c>
      <c r="B414" s="34" t="s">
        <v>2559</v>
      </c>
      <c r="C414" s="34">
        <v>338</v>
      </c>
      <c r="D414" s="75">
        <v>3499</v>
      </c>
      <c r="E414" s="8">
        <v>100</v>
      </c>
      <c r="F414" s="9" t="s">
        <v>2580</v>
      </c>
      <c r="G414" s="20">
        <v>0</v>
      </c>
      <c r="H414" s="20">
        <v>26300</v>
      </c>
      <c r="I414" s="21">
        <v>26.3</v>
      </c>
      <c r="J414" s="8">
        <v>2</v>
      </c>
      <c r="K414" s="8" t="s">
        <v>238</v>
      </c>
      <c r="L414" s="18">
        <v>42096</v>
      </c>
      <c r="M414" s="207" t="s">
        <v>191</v>
      </c>
      <c r="N414" s="38">
        <v>15.11</v>
      </c>
      <c r="O414" s="38">
        <v>7.18</v>
      </c>
      <c r="P414" s="38">
        <v>2.9</v>
      </c>
      <c r="Q414" s="38">
        <v>1.1100000000000001</v>
      </c>
      <c r="R414" s="38">
        <v>2.60338</v>
      </c>
      <c r="S414" s="38">
        <f t="shared" si="53"/>
        <v>2.5</v>
      </c>
      <c r="T414" s="38">
        <v>25.34</v>
      </c>
      <c r="U414" s="38">
        <v>0.8</v>
      </c>
      <c r="V414" s="38">
        <v>0.16</v>
      </c>
      <c r="W414" s="38">
        <v>0</v>
      </c>
      <c r="X414" s="38">
        <v>3.0167899999999999</v>
      </c>
      <c r="Y414" s="38">
        <f t="shared" si="54"/>
        <v>3</v>
      </c>
      <c r="Z414" s="38">
        <v>0</v>
      </c>
      <c r="AA414" s="38">
        <v>0</v>
      </c>
      <c r="AB414" s="38">
        <v>26.3</v>
      </c>
      <c r="AC414" s="38">
        <v>1.24055</v>
      </c>
      <c r="AD414" s="38">
        <v>19</v>
      </c>
      <c r="AE414" s="38">
        <v>1559.42</v>
      </c>
      <c r="AF414" s="38">
        <v>0.86769147202607289</v>
      </c>
      <c r="AG414" s="38">
        <f t="shared" si="55"/>
        <v>0.9</v>
      </c>
      <c r="AH414" s="38">
        <v>100.7</v>
      </c>
      <c r="AI414" s="38">
        <v>0.10939706681151548</v>
      </c>
      <c r="AJ414" s="38">
        <v>28</v>
      </c>
      <c r="AK414" s="38">
        <v>3.0418250950570342E-2</v>
      </c>
      <c r="AL414" s="38">
        <v>0</v>
      </c>
      <c r="AM414" s="38">
        <f t="shared" si="61"/>
        <v>0</v>
      </c>
      <c r="AN414" s="41"/>
      <c r="AO414" s="73"/>
      <c r="AP414" s="41"/>
      <c r="AQ414" s="41">
        <f>SUM(N414:Q414)</f>
        <v>26.299999999999997</v>
      </c>
      <c r="AR414" s="41">
        <f>SUM(T414:W414)</f>
        <v>26.3</v>
      </c>
      <c r="AS414" s="12">
        <f>SUM(Z414:AB414)</f>
        <v>26.3</v>
      </c>
      <c r="AT414" s="1"/>
      <c r="AU414" s="1">
        <f>I414/AQ414</f>
        <v>1.0000000000000002</v>
      </c>
      <c r="AV414" s="1">
        <f>I414/AR414</f>
        <v>1</v>
      </c>
      <c r="AW414" s="1">
        <f>I414/AS414</f>
        <v>1</v>
      </c>
      <c r="AX414" s="1">
        <f>AT414/I439</f>
        <v>0</v>
      </c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</row>
    <row r="415" spans="1:88" s="22" customFormat="1">
      <c r="A415" s="1">
        <v>1484</v>
      </c>
      <c r="B415" s="34" t="s">
        <v>2016</v>
      </c>
      <c r="C415" s="34">
        <v>411</v>
      </c>
      <c r="D415" s="69">
        <v>3701</v>
      </c>
      <c r="E415" s="34">
        <v>100</v>
      </c>
      <c r="F415" s="34" t="s">
        <v>2039</v>
      </c>
      <c r="G415" s="20" t="s">
        <v>2042</v>
      </c>
      <c r="H415" s="20" t="s">
        <v>2043</v>
      </c>
      <c r="I415" s="188">
        <v>3.3079999999999998</v>
      </c>
      <c r="J415" s="34">
        <v>2</v>
      </c>
      <c r="K415" s="34" t="s">
        <v>238</v>
      </c>
      <c r="L415" s="10">
        <v>42248</v>
      </c>
      <c r="M415" s="9" t="s">
        <v>191</v>
      </c>
      <c r="N415" s="38">
        <v>0.77500000000000002</v>
      </c>
      <c r="O415" s="38">
        <v>0.72499999999999998</v>
      </c>
      <c r="P415" s="38">
        <v>0.77500000000000002</v>
      </c>
      <c r="Q415" s="38">
        <v>1.0249999999999999</v>
      </c>
      <c r="R415" s="38">
        <v>4.3579999999999997</v>
      </c>
      <c r="S415" s="38">
        <f t="shared" si="53"/>
        <v>4.5</v>
      </c>
      <c r="T415" s="38">
        <v>2.95</v>
      </c>
      <c r="U415" s="38">
        <v>0.32500000000000001</v>
      </c>
      <c r="V415" s="38">
        <v>2.5000000000000001E-2</v>
      </c>
      <c r="W415" s="38">
        <v>0</v>
      </c>
      <c r="X415" s="38">
        <v>5.6509999999999998</v>
      </c>
      <c r="Y415" s="38">
        <f t="shared" si="54"/>
        <v>5.5</v>
      </c>
      <c r="Z415" s="38">
        <v>0</v>
      </c>
      <c r="AA415" s="38">
        <v>0</v>
      </c>
      <c r="AB415" s="38">
        <f>SUM(T415:W415)</f>
        <v>3.3000000000000003</v>
      </c>
      <c r="AC415" s="38">
        <v>1.0860000000000001</v>
      </c>
      <c r="AD415" s="38">
        <v>93</v>
      </c>
      <c r="AE415" s="38">
        <v>13.41</v>
      </c>
      <c r="AF415" s="38">
        <f>(AD415+AE415*0.5)/(3.5*I415*1000)*100</f>
        <v>0.86115909483503195</v>
      </c>
      <c r="AG415" s="38">
        <f t="shared" si="55"/>
        <v>0.9</v>
      </c>
      <c r="AH415" s="38">
        <v>1561</v>
      </c>
      <c r="AI415" s="38">
        <f>AH415/(3.5*I415*1000)*100</f>
        <v>13.482466747279323</v>
      </c>
      <c r="AJ415" s="38">
        <v>32.65</v>
      </c>
      <c r="AK415" s="38">
        <f>AJ415/(3.5*I415*1000)*100</f>
        <v>0.28200034548281222</v>
      </c>
      <c r="AL415" s="38">
        <v>18</v>
      </c>
      <c r="AM415" s="38">
        <f t="shared" si="61"/>
        <v>0.1554672655035412</v>
      </c>
      <c r="AN415" s="60"/>
      <c r="AO415" s="60">
        <f>AE415*0.5</f>
        <v>6.7050000000000001</v>
      </c>
      <c r="AP415" s="60">
        <f>(AD415+AH415+AJ415+AL415+AO415)*I415</f>
        <v>5661.1623399999999</v>
      </c>
      <c r="AQ415" s="60"/>
      <c r="AR415" s="60"/>
      <c r="AS415" s="60"/>
      <c r="AT415" s="60"/>
      <c r="AU415" s="61"/>
      <c r="AV415" s="40"/>
      <c r="AW415" s="40"/>
      <c r="AX415" s="40"/>
      <c r="AY415" s="40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</row>
    <row r="416" spans="1:88" s="22" customFormat="1">
      <c r="A416" s="1">
        <v>2147</v>
      </c>
      <c r="B416" s="34" t="s">
        <v>2780</v>
      </c>
      <c r="C416" s="42">
        <v>327</v>
      </c>
      <c r="D416" s="101">
        <v>4283</v>
      </c>
      <c r="E416" s="174">
        <v>100</v>
      </c>
      <c r="F416" s="186" t="s">
        <v>2788</v>
      </c>
      <c r="G416" s="43">
        <v>1842</v>
      </c>
      <c r="H416" s="43">
        <v>0</v>
      </c>
      <c r="I416" s="104">
        <v>1.8420000000000001</v>
      </c>
      <c r="J416" s="107">
        <v>4</v>
      </c>
      <c r="K416" s="186" t="s">
        <v>96</v>
      </c>
      <c r="L416" s="106">
        <v>42135</v>
      </c>
      <c r="M416" s="107" t="s">
        <v>191</v>
      </c>
      <c r="N416" s="46">
        <v>0.57499999999999996</v>
      </c>
      <c r="O416" s="46">
        <v>0.45</v>
      </c>
      <c r="P416" s="46">
        <v>0.27500000000000002</v>
      </c>
      <c r="Q416" s="46">
        <v>0.25</v>
      </c>
      <c r="R416" s="46">
        <v>3.3806500000000002</v>
      </c>
      <c r="S416" s="38">
        <f t="shared" si="53"/>
        <v>3.5</v>
      </c>
      <c r="T416" s="46">
        <v>1.5249999999999999</v>
      </c>
      <c r="U416" s="46">
        <v>2.5000000000000001E-2</v>
      </c>
      <c r="V416" s="46">
        <v>0</v>
      </c>
      <c r="W416" s="46">
        <v>0</v>
      </c>
      <c r="X416" s="46">
        <v>2.6929400000000001</v>
      </c>
      <c r="Y416" s="38">
        <f t="shared" si="54"/>
        <v>2.5</v>
      </c>
      <c r="Z416" s="46">
        <v>0</v>
      </c>
      <c r="AA416" s="46">
        <v>0</v>
      </c>
      <c r="AB416" s="46">
        <v>1.5499999999999998</v>
      </c>
      <c r="AC416" s="46">
        <v>1.1025499999999999</v>
      </c>
      <c r="AD416" s="46">
        <v>53.393999999999998</v>
      </c>
      <c r="AE416" s="46">
        <v>2.63</v>
      </c>
      <c r="AF416" s="46">
        <f>(AD416+AE416*0.5)/(3.5*I416*1000)*100</f>
        <v>0.84859624631611597</v>
      </c>
      <c r="AG416" s="38">
        <f t="shared" si="55"/>
        <v>0.8</v>
      </c>
      <c r="AH416" s="46">
        <v>11.26</v>
      </c>
      <c r="AI416" s="46">
        <f>AH416/(3.5*I416*1000)*100</f>
        <v>0.17465487823794013</v>
      </c>
      <c r="AJ416" s="46">
        <v>2.68</v>
      </c>
      <c r="AK416" s="46">
        <f>AJ416/(3.5*I416*1000)*100</f>
        <v>4.1569722351481313E-2</v>
      </c>
      <c r="AL416" s="46">
        <v>0</v>
      </c>
      <c r="AM416" s="38">
        <f t="shared" si="61"/>
        <v>0</v>
      </c>
      <c r="AN416" s="25"/>
      <c r="AO416" s="25"/>
    </row>
    <row r="417" spans="1:88" s="22" customFormat="1">
      <c r="A417" s="1">
        <v>448</v>
      </c>
      <c r="B417" s="74" t="s">
        <v>699</v>
      </c>
      <c r="C417" s="42">
        <v>513</v>
      </c>
      <c r="D417" s="101">
        <v>1324</v>
      </c>
      <c r="E417" s="102">
        <v>100</v>
      </c>
      <c r="F417" s="103" t="s">
        <v>762</v>
      </c>
      <c r="G417" s="230" t="s">
        <v>92</v>
      </c>
      <c r="H417" s="230" t="s">
        <v>193</v>
      </c>
      <c r="I417" s="183">
        <v>3</v>
      </c>
      <c r="J417" s="105" t="s">
        <v>238</v>
      </c>
      <c r="K417" s="42">
        <v>2</v>
      </c>
      <c r="L417" s="106">
        <v>42264</v>
      </c>
      <c r="M417" s="107" t="s">
        <v>191</v>
      </c>
      <c r="N417" s="46">
        <v>2.0099999999999998</v>
      </c>
      <c r="O417" s="46">
        <v>0.64</v>
      </c>
      <c r="P417" s="46">
        <v>0.31</v>
      </c>
      <c r="Q417" s="46">
        <v>0.05</v>
      </c>
      <c r="R417" s="46">
        <v>2.4166099999999999</v>
      </c>
      <c r="S417" s="38">
        <f t="shared" si="53"/>
        <v>2.5</v>
      </c>
      <c r="T417" s="46">
        <v>2.8</v>
      </c>
      <c r="U417" s="46">
        <v>0.18</v>
      </c>
      <c r="V417" s="46">
        <v>0.03</v>
      </c>
      <c r="W417" s="46">
        <v>0</v>
      </c>
      <c r="X417" s="46">
        <v>4.6535399999999996</v>
      </c>
      <c r="Y417" s="38">
        <f t="shared" si="54"/>
        <v>4.5</v>
      </c>
      <c r="Z417" s="46">
        <v>0</v>
      </c>
      <c r="AA417" s="46">
        <v>0</v>
      </c>
      <c r="AB417" s="46">
        <v>3</v>
      </c>
      <c r="AC417" s="46">
        <v>1.1394599999999999</v>
      </c>
      <c r="AD417" s="46">
        <v>88.47</v>
      </c>
      <c r="AE417" s="46">
        <v>1.24</v>
      </c>
      <c r="AF417" s="46">
        <f>(AD417+AE417*0.5)/(3.5*I417*1000)*100</f>
        <v>0.84847619047619049</v>
      </c>
      <c r="AG417" s="38">
        <f t="shared" si="55"/>
        <v>0.8</v>
      </c>
      <c r="AH417" s="46">
        <v>57.19</v>
      </c>
      <c r="AI417" s="46">
        <f>AH417/(3.5*I417*1000)*100</f>
        <v>0.54466666666666663</v>
      </c>
      <c r="AJ417" s="46">
        <v>0</v>
      </c>
      <c r="AK417" s="46">
        <f>AJ417/(3.5*I417*1000)*100</f>
        <v>0</v>
      </c>
      <c r="AL417" s="46">
        <v>0</v>
      </c>
      <c r="AM417" s="38">
        <f t="shared" si="61"/>
        <v>0</v>
      </c>
      <c r="AN417" s="41"/>
      <c r="AO417" s="41"/>
      <c r="AP417" s="73"/>
      <c r="AQ417" s="41">
        <f>SUM(N417:Q417)</f>
        <v>3.01</v>
      </c>
      <c r="AR417" s="41">
        <f>SUM(T417:W417)</f>
        <v>3.01</v>
      </c>
      <c r="AS417" s="41">
        <f>SUM(Z417:AB417)</f>
        <v>3</v>
      </c>
      <c r="AU417" s="22">
        <f>I417/AQ417</f>
        <v>0.99667774086378746</v>
      </c>
      <c r="AV417" s="22">
        <f>I417/AR417</f>
        <v>0.99667774086378746</v>
      </c>
      <c r="AW417" s="22">
        <f>I417/AS417</f>
        <v>1</v>
      </c>
      <c r="AX417" s="73"/>
      <c r="AY417" s="73"/>
      <c r="AZ417" s="73"/>
      <c r="BA417" s="73"/>
      <c r="BB417" s="73"/>
      <c r="BC417" s="73"/>
      <c r="BD417" s="73"/>
      <c r="BE417" s="73"/>
      <c r="BF417" s="73"/>
      <c r="BG417" s="73"/>
      <c r="BH417" s="73"/>
      <c r="BI417" s="73"/>
      <c r="BJ417" s="73"/>
      <c r="BK417" s="73"/>
      <c r="BL417" s="73"/>
      <c r="BM417" s="73"/>
      <c r="BN417" s="73"/>
      <c r="BO417" s="73"/>
      <c r="BP417" s="73"/>
      <c r="BQ417" s="73"/>
      <c r="BR417" s="73"/>
      <c r="BS417" s="73"/>
      <c r="BT417" s="73"/>
      <c r="BU417" s="73"/>
      <c r="BV417" s="73"/>
      <c r="BW417" s="73"/>
      <c r="BX417" s="73"/>
      <c r="BY417" s="73"/>
      <c r="BZ417" s="73"/>
      <c r="CA417" s="73"/>
      <c r="CB417" s="73"/>
      <c r="CC417" s="73"/>
      <c r="CD417" s="73"/>
      <c r="CE417" s="73"/>
      <c r="CF417" s="73"/>
      <c r="CG417" s="73"/>
      <c r="CH417" s="73"/>
      <c r="CI417" s="73"/>
      <c r="CJ417" s="73"/>
    </row>
    <row r="418" spans="1:88" s="22" customFormat="1">
      <c r="A418" s="1">
        <v>1048</v>
      </c>
      <c r="B418" s="9" t="s">
        <v>1394</v>
      </c>
      <c r="C418" s="186">
        <v>617</v>
      </c>
      <c r="D418" s="174">
        <v>2456</v>
      </c>
      <c r="E418" s="186">
        <v>100</v>
      </c>
      <c r="F418" s="186" t="s">
        <v>1446</v>
      </c>
      <c r="G418" s="43">
        <v>0</v>
      </c>
      <c r="H418" s="43">
        <v>278</v>
      </c>
      <c r="I418" s="44">
        <v>0.27800000000000002</v>
      </c>
      <c r="J418" s="107">
        <v>2</v>
      </c>
      <c r="K418" s="186" t="s">
        <v>238</v>
      </c>
      <c r="L418" s="106">
        <v>42132</v>
      </c>
      <c r="M418" s="107" t="s">
        <v>191</v>
      </c>
      <c r="N418" s="248">
        <v>0</v>
      </c>
      <c r="O418" s="248">
        <v>0.05</v>
      </c>
      <c r="P418" s="248">
        <v>7.4999999999999997E-2</v>
      </c>
      <c r="Q418" s="248">
        <v>2.5000000000000001E-2</v>
      </c>
      <c r="R418" s="248">
        <v>4.7766700000000002</v>
      </c>
      <c r="S418" s="38">
        <f t="shared" si="53"/>
        <v>5</v>
      </c>
      <c r="T418" s="248">
        <v>0.15</v>
      </c>
      <c r="U418" s="248">
        <v>0</v>
      </c>
      <c r="V418" s="248">
        <v>0</v>
      </c>
      <c r="W418" s="248">
        <v>0</v>
      </c>
      <c r="X418" s="248">
        <v>6.5268300000000004</v>
      </c>
      <c r="Y418" s="38">
        <f t="shared" si="54"/>
        <v>6.5</v>
      </c>
      <c r="Z418" s="248">
        <v>0</v>
      </c>
      <c r="AA418" s="248">
        <v>0</v>
      </c>
      <c r="AB418" s="248">
        <f>SUM(N418:Q418)</f>
        <v>0.15</v>
      </c>
      <c r="AC418" s="248">
        <v>1.1198300000000001</v>
      </c>
      <c r="AD418" s="248">
        <v>0</v>
      </c>
      <c r="AE418" s="248">
        <v>16.46</v>
      </c>
      <c r="AF418" s="248">
        <f>(AD418+AE418*0.5)/(3.5*I418*1000)*100</f>
        <v>0.84583761562178827</v>
      </c>
      <c r="AG418" s="38">
        <f t="shared" si="55"/>
        <v>0.8</v>
      </c>
      <c r="AH418" s="248">
        <v>0</v>
      </c>
      <c r="AI418" s="46">
        <f>AH418/(3.5*I418*1000)*100</f>
        <v>0</v>
      </c>
      <c r="AJ418" s="248">
        <v>0</v>
      </c>
      <c r="AK418" s="46">
        <f>AJ418/(3.5*I418*1000)*100</f>
        <v>0</v>
      </c>
      <c r="AL418" s="248">
        <v>0</v>
      </c>
      <c r="AM418" s="38">
        <f t="shared" si="61"/>
        <v>0</v>
      </c>
      <c r="AN418" s="25"/>
      <c r="AO418" s="25">
        <f>AE418*0.5</f>
        <v>8.23</v>
      </c>
      <c r="AP418" s="25">
        <f>(AD418+AH418+AJ418+AL418+AO418)*I418</f>
        <v>2.2879400000000003</v>
      </c>
      <c r="AQ418" s="25"/>
      <c r="AR418" s="25"/>
      <c r="AS418" s="25">
        <f>SUM(N418:Q418)</f>
        <v>0.15</v>
      </c>
      <c r="AT418" s="25">
        <f>SUM(T418:W418)</f>
        <v>0.15</v>
      </c>
      <c r="AU418" s="41"/>
      <c r="AV418" s="41"/>
      <c r="AW418" s="41"/>
    </row>
    <row r="419" spans="1:88" s="22" customFormat="1">
      <c r="A419" s="1">
        <v>1178</v>
      </c>
      <c r="B419" s="34" t="s">
        <v>1639</v>
      </c>
      <c r="C419" s="42">
        <v>433</v>
      </c>
      <c r="D419" s="42">
        <v>335</v>
      </c>
      <c r="E419" s="42">
        <v>100</v>
      </c>
      <c r="F419" s="42" t="s">
        <v>1651</v>
      </c>
      <c r="G419" s="230" t="s">
        <v>1652</v>
      </c>
      <c r="H419" s="230" t="s">
        <v>92</v>
      </c>
      <c r="I419" s="183">
        <v>1.04</v>
      </c>
      <c r="J419" s="109">
        <v>5</v>
      </c>
      <c r="K419" s="42" t="s">
        <v>96</v>
      </c>
      <c r="L419" s="45">
        <v>42282</v>
      </c>
      <c r="M419" s="107" t="s">
        <v>191</v>
      </c>
      <c r="N419" s="46">
        <v>0</v>
      </c>
      <c r="O419" s="46">
        <v>0.25</v>
      </c>
      <c r="P419" s="46">
        <v>0.42499999999999999</v>
      </c>
      <c r="Q419" s="46">
        <v>0.375</v>
      </c>
      <c r="R419" s="46">
        <v>4.6950000000000003</v>
      </c>
      <c r="S419" s="38">
        <f t="shared" si="53"/>
        <v>4.5</v>
      </c>
      <c r="T419" s="46">
        <v>1.05</v>
      </c>
      <c r="U419" s="46">
        <v>0</v>
      </c>
      <c r="V419" s="46">
        <v>0</v>
      </c>
      <c r="W419" s="46">
        <v>0</v>
      </c>
      <c r="X419" s="46">
        <v>1.9336199999999999</v>
      </c>
      <c r="Y419" s="38">
        <f t="shared" si="54"/>
        <v>2</v>
      </c>
      <c r="Z419" s="46">
        <v>0</v>
      </c>
      <c r="AA419" s="46">
        <v>0</v>
      </c>
      <c r="AB419" s="46">
        <v>1.04</v>
      </c>
      <c r="AC419" s="46">
        <v>1.2421</v>
      </c>
      <c r="AD419" s="46">
        <v>25.96</v>
      </c>
      <c r="AE419" s="46">
        <v>9.58</v>
      </c>
      <c r="AF419" s="46">
        <f>(AD419+AE419*0.5)/(3.5*I419*1000)*100</f>
        <v>0.84478021978021978</v>
      </c>
      <c r="AG419" s="38">
        <f t="shared" si="55"/>
        <v>0.8</v>
      </c>
      <c r="AH419" s="46">
        <v>0.03</v>
      </c>
      <c r="AI419" s="46">
        <f>AH419/(3.5*I419*1000)*100</f>
        <v>8.2417582417582407E-4</v>
      </c>
      <c r="AJ419" s="46">
        <v>0</v>
      </c>
      <c r="AK419" s="46">
        <f>AJ419/(3.5*I419*1000)*100</f>
        <v>0</v>
      </c>
      <c r="AL419" s="46">
        <v>0</v>
      </c>
      <c r="AM419" s="38">
        <f>AJ419/(3.5*I419*1000)*100</f>
        <v>0</v>
      </c>
      <c r="AN419" s="25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</row>
    <row r="420" spans="1:88" s="22" customFormat="1">
      <c r="A420" s="1">
        <v>306</v>
      </c>
      <c r="B420" s="34" t="s">
        <v>529</v>
      </c>
      <c r="C420" s="42">
        <v>643</v>
      </c>
      <c r="D420" s="42">
        <v>2145</v>
      </c>
      <c r="E420" s="42">
        <v>100</v>
      </c>
      <c r="F420" s="42" t="s">
        <v>539</v>
      </c>
      <c r="G420" s="230">
        <v>6500</v>
      </c>
      <c r="H420" s="230">
        <v>0</v>
      </c>
      <c r="I420" s="44">
        <v>6.5</v>
      </c>
      <c r="J420" s="66">
        <v>2</v>
      </c>
      <c r="K420" s="42" t="s">
        <v>12</v>
      </c>
      <c r="L420" s="45">
        <v>42163</v>
      </c>
      <c r="M420" s="108" t="s">
        <v>191</v>
      </c>
      <c r="N420" s="46">
        <v>5.6749999999999998</v>
      </c>
      <c r="O420" s="46">
        <v>0.57499999999999996</v>
      </c>
      <c r="P420" s="46">
        <v>0.15</v>
      </c>
      <c r="Q420" s="46">
        <v>0.125</v>
      </c>
      <c r="R420" s="46">
        <v>1.9469000000000001</v>
      </c>
      <c r="S420" s="38">
        <f t="shared" si="53"/>
        <v>2</v>
      </c>
      <c r="T420" s="46">
        <v>6.5250000000000004</v>
      </c>
      <c r="U420" s="46">
        <v>0</v>
      </c>
      <c r="V420" s="46">
        <v>0</v>
      </c>
      <c r="W420" s="46">
        <v>0</v>
      </c>
      <c r="X420" s="46">
        <v>2.32056</v>
      </c>
      <c r="Y420" s="38">
        <f t="shared" si="54"/>
        <v>2.5</v>
      </c>
      <c r="Z420" s="46">
        <v>0</v>
      </c>
      <c r="AA420" s="46">
        <v>0</v>
      </c>
      <c r="AB420" s="46">
        <f>T420+U420+V420+W420</f>
        <v>6.5250000000000004</v>
      </c>
      <c r="AC420" s="46">
        <v>1.1539200000000001</v>
      </c>
      <c r="AD420" s="46">
        <v>0</v>
      </c>
      <c r="AE420" s="46">
        <v>384</v>
      </c>
      <c r="AF420" s="46">
        <v>0.84396000000000004</v>
      </c>
      <c r="AG420" s="38">
        <f t="shared" si="55"/>
        <v>0.8</v>
      </c>
      <c r="AH420" s="46">
        <v>0</v>
      </c>
      <c r="AI420" s="46">
        <v>0</v>
      </c>
      <c r="AJ420" s="46">
        <v>0</v>
      </c>
      <c r="AK420" s="46">
        <v>0</v>
      </c>
      <c r="AL420" s="46">
        <v>0</v>
      </c>
      <c r="AM420" s="38">
        <v>0</v>
      </c>
      <c r="AN420" s="25"/>
      <c r="AO420" s="25"/>
      <c r="AP420" s="25">
        <f>AE420*0.5</f>
        <v>192</v>
      </c>
      <c r="AQ420" s="25">
        <f>(AD420+AH420+AJ420+AL420+AP420)*I420</f>
        <v>1248</v>
      </c>
      <c r="AR420" s="25">
        <f>SUM(N420:Q420)</f>
        <v>6.5250000000000004</v>
      </c>
      <c r="AS420" s="25">
        <f>SUM(T420:W420)</f>
        <v>6.5250000000000004</v>
      </c>
      <c r="AU420" s="41">
        <f>SUM(N420:Q420)</f>
        <v>6.5250000000000004</v>
      </c>
      <c r="AV420" s="41">
        <f>SUM(T420:W420)</f>
        <v>6.5250000000000004</v>
      </c>
      <c r="AW420" s="41">
        <f>SUM(Z420:AB420)</f>
        <v>6.5250000000000004</v>
      </c>
      <c r="AY420" s="22">
        <f>I420/AU420</f>
        <v>0.99616858237547889</v>
      </c>
      <c r="AZ420" s="22">
        <f>I420/AV420</f>
        <v>0.99616858237547889</v>
      </c>
      <c r="BA420" s="22">
        <f>I420/AW420</f>
        <v>0.99616858237547889</v>
      </c>
    </row>
    <row r="421" spans="1:88" s="48" customFormat="1">
      <c r="A421" s="1">
        <v>1417</v>
      </c>
      <c r="B421" s="34" t="s">
        <v>1957</v>
      </c>
      <c r="C421" s="34">
        <v>447</v>
      </c>
      <c r="D421" s="75">
        <v>3221</v>
      </c>
      <c r="E421" s="69">
        <v>100</v>
      </c>
      <c r="F421" s="184" t="s">
        <v>1970</v>
      </c>
      <c r="G421" s="20">
        <v>15303</v>
      </c>
      <c r="H421" s="77">
        <v>0</v>
      </c>
      <c r="I421" s="21">
        <v>15.303000000000001</v>
      </c>
      <c r="J421" s="8">
        <v>2</v>
      </c>
      <c r="K421" s="34" t="s">
        <v>12</v>
      </c>
      <c r="L421" s="10">
        <v>42216</v>
      </c>
      <c r="M421" s="9" t="s">
        <v>191</v>
      </c>
      <c r="N421" s="38">
        <v>7.0250000000000004</v>
      </c>
      <c r="O421" s="38">
        <v>5.05</v>
      </c>
      <c r="P421" s="38">
        <v>2.2999999999999998</v>
      </c>
      <c r="Q421" s="38">
        <v>1</v>
      </c>
      <c r="R421" s="38">
        <v>2.8992499999999999</v>
      </c>
      <c r="S421" s="38">
        <f t="shared" si="53"/>
        <v>3</v>
      </c>
      <c r="T421" s="38">
        <v>13.5</v>
      </c>
      <c r="U421" s="38">
        <v>1.2</v>
      </c>
      <c r="V421" s="38">
        <v>0.47499999999999998</v>
      </c>
      <c r="W421" s="38">
        <v>0.2</v>
      </c>
      <c r="X421" s="38">
        <v>5.3030799999999996</v>
      </c>
      <c r="Y421" s="38">
        <f t="shared" si="54"/>
        <v>5.5</v>
      </c>
      <c r="Z421" s="46">
        <v>0</v>
      </c>
      <c r="AA421" s="46">
        <v>0</v>
      </c>
      <c r="AB421" s="38">
        <v>15.375</v>
      </c>
      <c r="AC421" s="38">
        <v>1.2121299999999999</v>
      </c>
      <c r="AD421" s="38">
        <v>436</v>
      </c>
      <c r="AE421" s="38">
        <v>21</v>
      </c>
      <c r="AF421" s="46">
        <v>0.83363672855929272</v>
      </c>
      <c r="AG421" s="38">
        <f t="shared" si="55"/>
        <v>0.8</v>
      </c>
      <c r="AH421" s="38">
        <v>0</v>
      </c>
      <c r="AI421" s="46">
        <f>AH421/(3.5*I421*1000)*100</f>
        <v>0</v>
      </c>
      <c r="AJ421" s="38">
        <v>3</v>
      </c>
      <c r="AK421" s="46">
        <f>AJ421/(3.5*I421*1000)*100</f>
        <v>5.601142633097151E-3</v>
      </c>
      <c r="AL421" s="38">
        <v>0</v>
      </c>
      <c r="AM421" s="38">
        <f>AL421/(3.5*I421*1000)*100</f>
        <v>0</v>
      </c>
      <c r="AN421" s="41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</row>
    <row r="422" spans="1:88" s="48" customFormat="1">
      <c r="A422" s="1">
        <v>2058</v>
      </c>
      <c r="B422" s="34" t="s">
        <v>2697</v>
      </c>
      <c r="C422" s="34">
        <v>328</v>
      </c>
      <c r="D422" s="75">
        <v>4177</v>
      </c>
      <c r="E422" s="8">
        <v>100</v>
      </c>
      <c r="F422" s="34" t="s">
        <v>2706</v>
      </c>
      <c r="G422" s="58">
        <v>27100</v>
      </c>
      <c r="H422" s="58">
        <v>0</v>
      </c>
      <c r="I422" s="21">
        <v>27.1</v>
      </c>
      <c r="J422" s="8">
        <v>2</v>
      </c>
      <c r="K422" s="8" t="s">
        <v>12</v>
      </c>
      <c r="L422" s="18">
        <v>42119</v>
      </c>
      <c r="M422" s="9" t="s">
        <v>191</v>
      </c>
      <c r="N422" s="38">
        <v>20.975000000000001</v>
      </c>
      <c r="O422" s="38">
        <v>4.4000000000000004</v>
      </c>
      <c r="P422" s="38">
        <v>1.1000000000000001</v>
      </c>
      <c r="Q422" s="38">
        <v>0.55000000000000004</v>
      </c>
      <c r="R422" s="38">
        <v>2.0833900000000001</v>
      </c>
      <c r="S422" s="38">
        <f t="shared" si="53"/>
        <v>2</v>
      </c>
      <c r="T422" s="38">
        <v>26.5</v>
      </c>
      <c r="U422" s="38">
        <v>0.3</v>
      </c>
      <c r="V422" s="38">
        <v>0.2</v>
      </c>
      <c r="W422" s="38">
        <v>2.5000000000000001E-2</v>
      </c>
      <c r="X422" s="38">
        <v>2.3391000000000002</v>
      </c>
      <c r="Y422" s="38">
        <f t="shared" si="54"/>
        <v>2.5</v>
      </c>
      <c r="Z422" s="46">
        <v>0</v>
      </c>
      <c r="AA422" s="46">
        <v>0</v>
      </c>
      <c r="AB422" s="38">
        <v>27.025000000000002</v>
      </c>
      <c r="AC422" s="38">
        <v>1.25417</v>
      </c>
      <c r="AD422" s="38">
        <v>338.51</v>
      </c>
      <c r="AE422" s="38">
        <v>901.93</v>
      </c>
      <c r="AF422" s="46">
        <v>0.83234053769109095</v>
      </c>
      <c r="AG422" s="38">
        <f t="shared" si="55"/>
        <v>0.8</v>
      </c>
      <c r="AH422" s="38">
        <v>73.59</v>
      </c>
      <c r="AI422" s="46">
        <v>7.758566157090141E-2</v>
      </c>
      <c r="AJ422" s="38">
        <v>0</v>
      </c>
      <c r="AK422" s="46">
        <v>0</v>
      </c>
      <c r="AL422" s="38">
        <v>0</v>
      </c>
      <c r="AM422" s="38">
        <f>AL422/(3.5*I422*1000)*100</f>
        <v>0</v>
      </c>
      <c r="AN422" s="72"/>
      <c r="AO422" s="41"/>
      <c r="AP422" s="41"/>
      <c r="AQ422" s="73"/>
      <c r="AR422" s="73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</row>
    <row r="423" spans="1:88" s="48" customFormat="1">
      <c r="A423" s="1">
        <v>461</v>
      </c>
      <c r="B423" s="74" t="s">
        <v>780</v>
      </c>
      <c r="C423" s="34">
        <v>515</v>
      </c>
      <c r="D423" s="34">
        <v>126</v>
      </c>
      <c r="E423" s="34">
        <v>200</v>
      </c>
      <c r="F423" s="34" t="s">
        <v>661</v>
      </c>
      <c r="G423" s="34" t="s">
        <v>785</v>
      </c>
      <c r="H423" s="34" t="s">
        <v>662</v>
      </c>
      <c r="I423" s="55">
        <v>4</v>
      </c>
      <c r="J423" s="5" t="s">
        <v>96</v>
      </c>
      <c r="K423" s="34">
        <v>2</v>
      </c>
      <c r="L423" s="10">
        <v>42265</v>
      </c>
      <c r="M423" s="9" t="s">
        <v>191</v>
      </c>
      <c r="N423" s="38">
        <v>2.95</v>
      </c>
      <c r="O423" s="38">
        <v>0.47499999999999998</v>
      </c>
      <c r="P423" s="38">
        <v>0.4</v>
      </c>
      <c r="Q423" s="38">
        <v>0.23</v>
      </c>
      <c r="R423" s="38">
        <v>2.2075300000000002</v>
      </c>
      <c r="S423" s="38">
        <f t="shared" si="53"/>
        <v>2</v>
      </c>
      <c r="T423" s="38">
        <v>3.7749999999999999</v>
      </c>
      <c r="U423" s="38">
        <v>0.25</v>
      </c>
      <c r="V423" s="38">
        <v>2.5000000000000001E-2</v>
      </c>
      <c r="W423" s="38">
        <v>0</v>
      </c>
      <c r="X423" s="38">
        <v>4.9116200000000001</v>
      </c>
      <c r="Y423" s="38">
        <f t="shared" si="54"/>
        <v>5</v>
      </c>
      <c r="Z423" s="46">
        <v>0</v>
      </c>
      <c r="AA423" s="46">
        <v>0</v>
      </c>
      <c r="AB423" s="38">
        <v>4.0550000000000006</v>
      </c>
      <c r="AC423" s="38">
        <v>1.30359</v>
      </c>
      <c r="AD423" s="38">
        <v>110.32</v>
      </c>
      <c r="AE423" s="38">
        <v>12.358000000000001</v>
      </c>
      <c r="AF423" s="46">
        <f>(AD423+AE423*0.5)/(3.5*I423*1000)*100</f>
        <v>0.8321357142857142</v>
      </c>
      <c r="AG423" s="38">
        <f t="shared" si="55"/>
        <v>0.8</v>
      </c>
      <c r="AH423" s="38">
        <v>86.48</v>
      </c>
      <c r="AI423" s="46">
        <f>AH423/(3.5*I423*1000)*100</f>
        <v>0.61771428571428577</v>
      </c>
      <c r="AJ423" s="38">
        <v>0</v>
      </c>
      <c r="AK423" s="46">
        <f>AJ423/(3.5*I423*1000)*100</f>
        <v>0</v>
      </c>
      <c r="AL423" s="38">
        <v>0</v>
      </c>
      <c r="AM423" s="38">
        <f>AL423/(3.5*I423*1000)*100</f>
        <v>0</v>
      </c>
      <c r="AN423" s="41"/>
      <c r="AO423" s="41"/>
      <c r="AP423" s="114"/>
      <c r="AQ423" s="73"/>
      <c r="AR423" s="73"/>
      <c r="AS423" s="73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</row>
    <row r="424" spans="1:88" s="48" customFormat="1">
      <c r="A424" s="1">
        <v>46</v>
      </c>
      <c r="B424" s="4" t="s">
        <v>37</v>
      </c>
      <c r="C424" s="14">
        <v>523</v>
      </c>
      <c r="D424" s="19">
        <v>106</v>
      </c>
      <c r="E424" s="16">
        <v>100</v>
      </c>
      <c r="F424" s="14" t="s">
        <v>220</v>
      </c>
      <c r="G424" s="20" t="s">
        <v>92</v>
      </c>
      <c r="H424" s="20" t="s">
        <v>97</v>
      </c>
      <c r="I424" s="21">
        <v>28.507000000000001</v>
      </c>
      <c r="J424" s="8">
        <v>4</v>
      </c>
      <c r="K424" s="9" t="s">
        <v>237</v>
      </c>
      <c r="L424" s="18">
        <v>42222</v>
      </c>
      <c r="M424" s="9" t="s">
        <v>191</v>
      </c>
      <c r="N424" s="26">
        <v>12.85</v>
      </c>
      <c r="O424" s="26">
        <v>7.25</v>
      </c>
      <c r="P424" s="26">
        <v>4.875</v>
      </c>
      <c r="Q424" s="26">
        <v>3.35</v>
      </c>
      <c r="R424" s="26">
        <v>3.1602199999999998</v>
      </c>
      <c r="S424" s="38">
        <f t="shared" si="53"/>
        <v>3</v>
      </c>
      <c r="T424" s="26">
        <v>27.475000000000001</v>
      </c>
      <c r="U424" s="26">
        <v>0.77500000000000002</v>
      </c>
      <c r="V424" s="26">
        <v>2.5000000000000001E-2</v>
      </c>
      <c r="W424" s="26">
        <v>0.05</v>
      </c>
      <c r="X424" s="26">
        <v>3.8869600000000002</v>
      </c>
      <c r="Y424" s="38">
        <f t="shared" si="54"/>
        <v>4</v>
      </c>
      <c r="Z424" s="252">
        <v>0</v>
      </c>
      <c r="AA424" s="252">
        <v>0</v>
      </c>
      <c r="AB424" s="26">
        <f>SUM(N424:Q424)</f>
        <v>28.325000000000003</v>
      </c>
      <c r="AC424" s="26">
        <v>1.28026</v>
      </c>
      <c r="AD424" s="26">
        <v>818.57</v>
      </c>
      <c r="AE424" s="26">
        <v>20.9</v>
      </c>
      <c r="AF424" s="252">
        <f>(AD424+AE424*0.5)/(3.5*I424*1000)*100</f>
        <v>0.83089366521506003</v>
      </c>
      <c r="AG424" s="38">
        <f t="shared" si="55"/>
        <v>0.8</v>
      </c>
      <c r="AH424" s="26">
        <v>713.57</v>
      </c>
      <c r="AI424" s="252">
        <f>AH424/(3.5*I424*1000)*100</f>
        <v>0.71518273707209756</v>
      </c>
      <c r="AJ424" s="26">
        <v>163</v>
      </c>
      <c r="AK424" s="252">
        <f>AJ424/(3.5*I424*1000)*100</f>
        <v>0.16336839573237652</v>
      </c>
      <c r="AL424" s="26">
        <v>0.27</v>
      </c>
      <c r="AM424" s="26">
        <f>AL424/(3.5*I424*1000)*100</f>
        <v>2.7061022605976478E-4</v>
      </c>
      <c r="AN424" s="22"/>
      <c r="AO424" s="25"/>
      <c r="AP424" s="25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</row>
    <row r="425" spans="1:88" s="48" customFormat="1">
      <c r="A425" s="1">
        <v>2115</v>
      </c>
      <c r="B425" s="34" t="s">
        <v>2754</v>
      </c>
      <c r="C425" s="34">
        <v>324</v>
      </c>
      <c r="D425" s="75">
        <v>4023</v>
      </c>
      <c r="E425" s="8">
        <v>100</v>
      </c>
      <c r="F425" s="9" t="s">
        <v>2760</v>
      </c>
      <c r="G425" s="20">
        <v>0</v>
      </c>
      <c r="H425" s="20">
        <v>8770</v>
      </c>
      <c r="I425" s="21">
        <v>8.77</v>
      </c>
      <c r="J425" s="9">
        <v>2</v>
      </c>
      <c r="K425" s="34" t="s">
        <v>237</v>
      </c>
      <c r="L425" s="18">
        <v>42138</v>
      </c>
      <c r="M425" s="9" t="s">
        <v>191</v>
      </c>
      <c r="N425" s="38">
        <v>2.2749999999999999</v>
      </c>
      <c r="O425" s="38">
        <v>3.45</v>
      </c>
      <c r="P425" s="38">
        <v>2.2000000000000002</v>
      </c>
      <c r="Q425" s="38">
        <v>0.77500000000000002</v>
      </c>
      <c r="R425" s="38">
        <v>3.34083</v>
      </c>
      <c r="S425" s="38">
        <f t="shared" si="53"/>
        <v>3.5</v>
      </c>
      <c r="T425" s="38">
        <v>8.6999999999999993</v>
      </c>
      <c r="U425" s="38">
        <v>0</v>
      </c>
      <c r="V425" s="38">
        <v>0</v>
      </c>
      <c r="W425" s="38">
        <v>0</v>
      </c>
      <c r="X425" s="38">
        <v>1.62618</v>
      </c>
      <c r="Y425" s="38">
        <f t="shared" si="54"/>
        <v>1.5</v>
      </c>
      <c r="Z425" s="46">
        <v>0</v>
      </c>
      <c r="AA425" s="46">
        <v>0</v>
      </c>
      <c r="AB425" s="38">
        <v>8.6999999999999993</v>
      </c>
      <c r="AC425" s="38">
        <v>1.11053</v>
      </c>
      <c r="AD425" s="38">
        <v>247</v>
      </c>
      <c r="AE425" s="38">
        <v>15.068</v>
      </c>
      <c r="AF425" s="46">
        <v>0.82923603192702389</v>
      </c>
      <c r="AG425" s="38">
        <f t="shared" si="55"/>
        <v>0.8</v>
      </c>
      <c r="AH425" s="38">
        <v>14.99</v>
      </c>
      <c r="AI425" s="46">
        <v>4.8835315197914973E-2</v>
      </c>
      <c r="AJ425" s="38">
        <v>0</v>
      </c>
      <c r="AK425" s="46">
        <v>0</v>
      </c>
      <c r="AL425" s="38">
        <v>0</v>
      </c>
      <c r="AM425" s="38">
        <v>0</v>
      </c>
      <c r="AN425" s="41"/>
      <c r="AO425" s="41"/>
      <c r="AP425" s="73"/>
      <c r="AQ425" s="73"/>
      <c r="AR425" s="73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</row>
    <row r="426" spans="1:88" s="48" customFormat="1">
      <c r="A426" s="1">
        <v>1357</v>
      </c>
      <c r="B426" s="74" t="s">
        <v>1905</v>
      </c>
      <c r="C426" s="34">
        <v>445</v>
      </c>
      <c r="D426" s="75">
        <v>333</v>
      </c>
      <c r="E426" s="69">
        <v>100</v>
      </c>
      <c r="F426" s="184" t="s">
        <v>1909</v>
      </c>
      <c r="G426" s="20">
        <v>0</v>
      </c>
      <c r="H426" s="20">
        <v>33800</v>
      </c>
      <c r="I426" s="21">
        <v>33.799999999999997</v>
      </c>
      <c r="J426" s="8">
        <v>2</v>
      </c>
      <c r="K426" s="34" t="s">
        <v>238</v>
      </c>
      <c r="L426" s="10">
        <v>42188</v>
      </c>
      <c r="M426" s="9" t="s">
        <v>191</v>
      </c>
      <c r="N426" s="38">
        <v>24.625</v>
      </c>
      <c r="O426" s="38">
        <v>6.2249999999999996</v>
      </c>
      <c r="P426" s="38">
        <v>2.4750000000000001</v>
      </c>
      <c r="Q426" s="38">
        <v>0.5</v>
      </c>
      <c r="R426" s="38">
        <v>2.18146</v>
      </c>
      <c r="S426" s="38">
        <f t="shared" si="53"/>
        <v>2</v>
      </c>
      <c r="T426" s="38">
        <v>30.925000000000001</v>
      </c>
      <c r="U426" s="38">
        <v>2.1749999999999998</v>
      </c>
      <c r="V426" s="38">
        <v>0.6</v>
      </c>
      <c r="W426" s="38">
        <v>0.125</v>
      </c>
      <c r="X426" s="38">
        <v>4.01485</v>
      </c>
      <c r="Y426" s="38">
        <f t="shared" si="54"/>
        <v>4</v>
      </c>
      <c r="Z426" s="46">
        <v>0</v>
      </c>
      <c r="AA426" s="46">
        <v>0</v>
      </c>
      <c r="AB426" s="38">
        <v>33.825000000000003</v>
      </c>
      <c r="AC426" s="38">
        <v>1.0637799999999999</v>
      </c>
      <c r="AD426" s="38">
        <v>967</v>
      </c>
      <c r="AE426" s="38">
        <v>22</v>
      </c>
      <c r="AF426" s="46">
        <v>0.8267117497886729</v>
      </c>
      <c r="AG426" s="38">
        <f t="shared" si="55"/>
        <v>0.8</v>
      </c>
      <c r="AH426" s="38">
        <v>0</v>
      </c>
      <c r="AI426" s="46">
        <v>0</v>
      </c>
      <c r="AJ426" s="38">
        <v>37</v>
      </c>
      <c r="AK426" s="46">
        <v>3.127641589180051E-2</v>
      </c>
      <c r="AL426" s="38">
        <v>0</v>
      </c>
      <c r="AM426" s="38">
        <v>0</v>
      </c>
      <c r="AN426" s="72"/>
      <c r="AO426" s="41"/>
      <c r="AP426" s="41"/>
      <c r="AQ426" s="41"/>
      <c r="AR426" s="41"/>
      <c r="AS426" s="73"/>
      <c r="AT426" s="73"/>
      <c r="AU426" s="73"/>
      <c r="AV426" s="73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</row>
    <row r="427" spans="1:88" s="48" customFormat="1">
      <c r="A427" s="1">
        <v>2150</v>
      </c>
      <c r="B427" s="34" t="s">
        <v>2780</v>
      </c>
      <c r="C427" s="34">
        <v>327</v>
      </c>
      <c r="D427" s="75">
        <v>4284</v>
      </c>
      <c r="E427" s="8">
        <v>100</v>
      </c>
      <c r="F427" s="9" t="s">
        <v>2789</v>
      </c>
      <c r="G427" s="20">
        <v>1080</v>
      </c>
      <c r="H427" s="20">
        <v>0</v>
      </c>
      <c r="I427" s="21">
        <v>1.08</v>
      </c>
      <c r="J427" s="9">
        <v>4</v>
      </c>
      <c r="K427" s="9" t="s">
        <v>96</v>
      </c>
      <c r="L427" s="18">
        <v>42135</v>
      </c>
      <c r="M427" s="9" t="s">
        <v>191</v>
      </c>
      <c r="N427" s="38">
        <v>0.625</v>
      </c>
      <c r="O427" s="38">
        <v>0.4</v>
      </c>
      <c r="P427" s="38">
        <v>0.4</v>
      </c>
      <c r="Q427" s="38">
        <v>0.22500000000000001</v>
      </c>
      <c r="R427" s="38">
        <v>3.3462100000000001</v>
      </c>
      <c r="S427" s="38">
        <f t="shared" si="53"/>
        <v>3.5</v>
      </c>
      <c r="T427" s="38">
        <v>1.55</v>
      </c>
      <c r="U427" s="38">
        <v>0.1</v>
      </c>
      <c r="V427" s="38">
        <v>0</v>
      </c>
      <c r="W427" s="38">
        <v>0</v>
      </c>
      <c r="X427" s="38">
        <v>4.7594099999999999</v>
      </c>
      <c r="Y427" s="38">
        <f t="shared" si="54"/>
        <v>5</v>
      </c>
      <c r="Z427" s="46">
        <v>0</v>
      </c>
      <c r="AA427" s="46">
        <v>0</v>
      </c>
      <c r="AB427" s="38">
        <v>1.65</v>
      </c>
      <c r="AC427" s="38">
        <v>0.94516699999999998</v>
      </c>
      <c r="AD427" s="38">
        <v>4.8600000000000003</v>
      </c>
      <c r="AE427" s="38">
        <v>52.66</v>
      </c>
      <c r="AF427" s="46">
        <f>(AD427+AE427*0.5)/(3.5*I427*1000)*100</f>
        <v>0.82513227513227494</v>
      </c>
      <c r="AG427" s="38">
        <f t="shared" si="55"/>
        <v>0.8</v>
      </c>
      <c r="AH427" s="38">
        <v>1.365</v>
      </c>
      <c r="AI427" s="46">
        <f>AH427/(3.5*I427*1000)*100</f>
        <v>3.6111111111111101E-2</v>
      </c>
      <c r="AJ427" s="38">
        <v>0</v>
      </c>
      <c r="AK427" s="46">
        <f>AJ427/(3.5*I427*1000)*100</f>
        <v>0</v>
      </c>
      <c r="AL427" s="38">
        <v>0</v>
      </c>
      <c r="AM427" s="38">
        <f>AL427/(3.5*I427*1000)*100</f>
        <v>0</v>
      </c>
      <c r="AN427" s="25"/>
      <c r="AO427" s="25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</row>
    <row r="428" spans="1:88" s="48" customFormat="1">
      <c r="A428" s="1">
        <v>785</v>
      </c>
      <c r="B428" s="34" t="s">
        <v>1171</v>
      </c>
      <c r="C428" s="34">
        <v>633</v>
      </c>
      <c r="D428" s="148">
        <v>292</v>
      </c>
      <c r="E428" s="34">
        <v>100</v>
      </c>
      <c r="F428" s="34" t="s">
        <v>1177</v>
      </c>
      <c r="G428" s="58">
        <v>0</v>
      </c>
      <c r="H428" s="58">
        <v>8191</v>
      </c>
      <c r="I428" s="35">
        <v>8.1910000000000007</v>
      </c>
      <c r="J428" s="9">
        <v>6</v>
      </c>
      <c r="K428" s="34" t="s">
        <v>238</v>
      </c>
      <c r="L428" s="10">
        <v>42147</v>
      </c>
      <c r="M428" s="9" t="s">
        <v>191</v>
      </c>
      <c r="N428" s="38">
        <v>3.6500000000000004</v>
      </c>
      <c r="O428" s="38">
        <v>2.15</v>
      </c>
      <c r="P428" s="38">
        <v>1.2250000000000001</v>
      </c>
      <c r="Q428" s="38">
        <v>1.125</v>
      </c>
      <c r="R428" s="38">
        <v>3.1178850000000002</v>
      </c>
      <c r="S428" s="38">
        <f t="shared" si="53"/>
        <v>3</v>
      </c>
      <c r="T428" s="38">
        <v>7.1</v>
      </c>
      <c r="U428" s="38">
        <v>0.79999999999999993</v>
      </c>
      <c r="V428" s="38">
        <v>0.2</v>
      </c>
      <c r="W428" s="38">
        <v>0.05</v>
      </c>
      <c r="X428" s="38">
        <v>6.3601200000000002</v>
      </c>
      <c r="Y428" s="38">
        <f t="shared" si="54"/>
        <v>6.5</v>
      </c>
      <c r="Z428" s="46">
        <v>0</v>
      </c>
      <c r="AA428" s="46">
        <v>0</v>
      </c>
      <c r="AB428" s="38">
        <f>N428+O428+P428+Q428</f>
        <v>8.15</v>
      </c>
      <c r="AC428" s="38">
        <v>1.1998150000000001</v>
      </c>
      <c r="AD428" s="38">
        <v>236</v>
      </c>
      <c r="AE428" s="38">
        <v>0</v>
      </c>
      <c r="AF428" s="46">
        <f>(AD428+AE428*0.5)/(3.5*I428*1000)*100</f>
        <v>0.82320316723930453</v>
      </c>
      <c r="AG428" s="38">
        <f t="shared" si="55"/>
        <v>0.8</v>
      </c>
      <c r="AH428" s="38">
        <v>31</v>
      </c>
      <c r="AI428" s="46">
        <f>AH428/(3.5*I428*1000)*100</f>
        <v>0.10813261942550186</v>
      </c>
      <c r="AJ428" s="38">
        <v>548</v>
      </c>
      <c r="AK428" s="46">
        <f>AJ428/(3.5*I428*1000)*100</f>
        <v>1.9115056595217748</v>
      </c>
      <c r="AL428" s="38">
        <v>0</v>
      </c>
      <c r="AM428" s="38">
        <f>AL428/(3.5*I428*1000)*100</f>
        <v>0</v>
      </c>
      <c r="AN428" s="25"/>
      <c r="AO428" s="25">
        <f>AE428*0.5</f>
        <v>0</v>
      </c>
      <c r="AP428" s="25">
        <f>(AD428+AH428+AJ428+AL428+AO428)*I428</f>
        <v>6675.6650000000009</v>
      </c>
      <c r="AQ428" s="25">
        <f>SUM(N428:Q428)</f>
        <v>8.15</v>
      </c>
      <c r="AR428" s="25">
        <f>SUM(T428:W428)</f>
        <v>8.15</v>
      </c>
      <c r="AS428" s="22"/>
      <c r="AT428" s="41"/>
      <c r="AU428" s="41"/>
      <c r="AV428" s="41"/>
      <c r="AW428" s="41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</row>
    <row r="429" spans="1:88" s="48" customFormat="1">
      <c r="A429" s="1">
        <v>1744</v>
      </c>
      <c r="B429" s="34" t="s">
        <v>2324</v>
      </c>
      <c r="C429" s="34">
        <v>423</v>
      </c>
      <c r="D429" s="8">
        <v>3395</v>
      </c>
      <c r="E429" s="34">
        <v>100</v>
      </c>
      <c r="F429" s="34" t="s">
        <v>2340</v>
      </c>
      <c r="G429" s="58">
        <v>0</v>
      </c>
      <c r="H429" s="58" t="s">
        <v>2341</v>
      </c>
      <c r="I429" s="35">
        <v>8.9079999999999995</v>
      </c>
      <c r="J429" s="9">
        <v>2</v>
      </c>
      <c r="K429" s="34" t="s">
        <v>238</v>
      </c>
      <c r="L429" s="10">
        <v>42234</v>
      </c>
      <c r="M429" s="9" t="s">
        <v>191</v>
      </c>
      <c r="N429" s="38">
        <v>5.45</v>
      </c>
      <c r="O429" s="38">
        <v>2.5</v>
      </c>
      <c r="P429" s="38">
        <v>0.67500000000000004</v>
      </c>
      <c r="Q429" s="38">
        <v>0.27500000000000002</v>
      </c>
      <c r="R429" s="38">
        <v>2.4129999999999998</v>
      </c>
      <c r="S429" s="38">
        <f t="shared" si="53"/>
        <v>2.5</v>
      </c>
      <c r="T429" s="38">
        <v>7.625</v>
      </c>
      <c r="U429" s="38">
        <v>0.82499999999999996</v>
      </c>
      <c r="V429" s="38">
        <v>0.375</v>
      </c>
      <c r="W429" s="38">
        <v>7.4999999999999997E-2</v>
      </c>
      <c r="X429" s="38">
        <v>6.3470000000000004</v>
      </c>
      <c r="Y429" s="38">
        <f t="shared" si="54"/>
        <v>6.5</v>
      </c>
      <c r="Z429" s="46">
        <v>0</v>
      </c>
      <c r="AA429" s="251">
        <v>0</v>
      </c>
      <c r="AB429" s="35">
        <v>8.9079999999999995</v>
      </c>
      <c r="AC429" s="38">
        <v>1.1539999999999999</v>
      </c>
      <c r="AD429" s="38">
        <v>238.25</v>
      </c>
      <c r="AE429" s="38">
        <v>33.9</v>
      </c>
      <c r="AF429" s="46">
        <f>(AD429+AE429*0.5)/(3.5*I429*1000)*100</f>
        <v>0.81852588363589729</v>
      </c>
      <c r="AG429" s="38">
        <f t="shared" si="55"/>
        <v>0.8</v>
      </c>
      <c r="AH429" s="38">
        <v>133.31</v>
      </c>
      <c r="AI429" s="46">
        <f>AH429/(3.5*I429*1000)*100</f>
        <v>0.42757713772531913</v>
      </c>
      <c r="AJ429" s="38">
        <v>378.97</v>
      </c>
      <c r="AK429" s="46">
        <f>AJ429/(3.5*I429*1000)*100</f>
        <v>1.2155045224196552</v>
      </c>
      <c r="AL429" s="38">
        <v>7.13</v>
      </c>
      <c r="AM429" s="38">
        <f>AL429/(3.5*I429*1000)*100</f>
        <v>2.2868689460517032E-2</v>
      </c>
      <c r="AN429" s="25"/>
      <c r="AO429" s="12">
        <f>AE429*0.5</f>
        <v>16.95</v>
      </c>
      <c r="AP429" s="12">
        <f>(AD429+AH429+AJ429+AL429+AO429)*I429</f>
        <v>6900.22588</v>
      </c>
      <c r="AQ429" s="25">
        <f>SUM(N429:Q429)</f>
        <v>8.9</v>
      </c>
      <c r="AR429" s="25">
        <f>SUM(T429:W429)</f>
        <v>8.8999999999999986</v>
      </c>
      <c r="AS429" s="22"/>
      <c r="AT429" s="41"/>
      <c r="AU429" s="41"/>
      <c r="AV429" s="41"/>
      <c r="AW429" s="41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</row>
    <row r="430" spans="1:88" s="22" customFormat="1">
      <c r="A430" s="1">
        <v>1712</v>
      </c>
      <c r="B430" s="109" t="s">
        <v>2308</v>
      </c>
      <c r="C430" s="109">
        <v>422</v>
      </c>
      <c r="D430" s="179">
        <v>349</v>
      </c>
      <c r="E430" s="109">
        <v>100</v>
      </c>
      <c r="F430" s="109" t="s">
        <v>2311</v>
      </c>
      <c r="G430" s="231">
        <v>164</v>
      </c>
      <c r="H430" s="231">
        <v>17484</v>
      </c>
      <c r="I430" s="233">
        <v>17.32</v>
      </c>
      <c r="J430" s="9">
        <v>2</v>
      </c>
      <c r="K430" s="109" t="s">
        <v>238</v>
      </c>
      <c r="L430" s="113">
        <v>42229</v>
      </c>
      <c r="M430" s="107" t="s">
        <v>191</v>
      </c>
      <c r="N430" s="52">
        <v>10.66</v>
      </c>
      <c r="O430" s="52">
        <v>4.6900000000000004</v>
      </c>
      <c r="P430" s="52">
        <v>1.34</v>
      </c>
      <c r="Q430" s="52">
        <v>0.63</v>
      </c>
      <c r="R430" s="52">
        <v>4.1092899999999997</v>
      </c>
      <c r="S430" s="38">
        <f t="shared" si="53"/>
        <v>4</v>
      </c>
      <c r="T430" s="52">
        <v>16.5</v>
      </c>
      <c r="U430" s="52">
        <v>0.6</v>
      </c>
      <c r="V430" s="52">
        <v>0.15</v>
      </c>
      <c r="W430" s="52">
        <v>0.08</v>
      </c>
      <c r="X430" s="52">
        <v>8.9369099999999992</v>
      </c>
      <c r="Y430" s="38">
        <f t="shared" si="54"/>
        <v>9</v>
      </c>
      <c r="Z430" s="46">
        <v>0</v>
      </c>
      <c r="AA430" s="46">
        <v>0</v>
      </c>
      <c r="AB430" s="233">
        <v>17.32</v>
      </c>
      <c r="AC430" s="52">
        <v>1.2760100000000001</v>
      </c>
      <c r="AD430" s="52">
        <v>492.54</v>
      </c>
      <c r="AE430" s="52">
        <v>0</v>
      </c>
      <c r="AF430" s="46">
        <v>0.8125</v>
      </c>
      <c r="AG430" s="38">
        <f t="shared" si="55"/>
        <v>0.8</v>
      </c>
      <c r="AH430" s="52">
        <v>0</v>
      </c>
      <c r="AI430" s="46">
        <v>0</v>
      </c>
      <c r="AJ430" s="52">
        <v>273</v>
      </c>
      <c r="AK430" s="46">
        <v>0.45034600000000002</v>
      </c>
      <c r="AL430" s="52">
        <v>0</v>
      </c>
      <c r="AM430" s="55">
        <v>0</v>
      </c>
      <c r="AO430" s="22">
        <f>AE430*0.5</f>
        <v>0</v>
      </c>
      <c r="AP430" s="41">
        <f>(AD430+AH430+AJ430+AL430+AO430)*I430</f>
        <v>13259.1528</v>
      </c>
      <c r="AQ430" s="25">
        <f>SUM(N430:Q430)</f>
        <v>17.32</v>
      </c>
      <c r="AR430" s="25">
        <f>SUM(T430:W430)</f>
        <v>17.329999999999998</v>
      </c>
      <c r="AS430" s="268">
        <v>17.32</v>
      </c>
      <c r="AU430" s="25">
        <f>AS430-AQ430</f>
        <v>0</v>
      </c>
      <c r="AV430" s="41">
        <f>SUM(N430:Q430)</f>
        <v>17.32</v>
      </c>
      <c r="AW430" s="41">
        <f>SUM(T430:W430)</f>
        <v>17.329999999999998</v>
      </c>
      <c r="AX430" s="41">
        <f>SUM(Z430:AB430)</f>
        <v>17.32</v>
      </c>
      <c r="AZ430" s="22">
        <f>I430/AV430</f>
        <v>1</v>
      </c>
      <c r="BA430" s="22">
        <f>I430/AW430</f>
        <v>0.99942296595499147</v>
      </c>
      <c r="BB430" s="22">
        <f>I430/AX430</f>
        <v>1</v>
      </c>
    </row>
    <row r="431" spans="1:88" s="22" customFormat="1">
      <c r="A431" s="1">
        <v>1074</v>
      </c>
      <c r="B431" s="34" t="s">
        <v>1467</v>
      </c>
      <c r="C431" s="34">
        <v>619</v>
      </c>
      <c r="D431" s="8">
        <v>3198</v>
      </c>
      <c r="E431" s="34">
        <v>100</v>
      </c>
      <c r="F431" s="34" t="s">
        <v>1480</v>
      </c>
      <c r="G431" s="58" t="s">
        <v>92</v>
      </c>
      <c r="H431" s="58" t="s">
        <v>1481</v>
      </c>
      <c r="I431" s="35">
        <v>18.861999999999998</v>
      </c>
      <c r="J431" s="9">
        <v>2</v>
      </c>
      <c r="K431" s="34" t="s">
        <v>238</v>
      </c>
      <c r="L431" s="10">
        <v>42094</v>
      </c>
      <c r="M431" s="9" t="s">
        <v>191</v>
      </c>
      <c r="N431" s="38">
        <v>16.04</v>
      </c>
      <c r="O431" s="38">
        <v>2.16</v>
      </c>
      <c r="P431" s="38">
        <v>0.52</v>
      </c>
      <c r="Q431" s="38">
        <v>0.15</v>
      </c>
      <c r="R431" s="38">
        <v>1.9095599999999999</v>
      </c>
      <c r="S431" s="38">
        <f t="shared" si="53"/>
        <v>2</v>
      </c>
      <c r="T431" s="38">
        <v>18.86</v>
      </c>
      <c r="U431" s="38">
        <v>0</v>
      </c>
      <c r="V431" s="38">
        <v>0</v>
      </c>
      <c r="W431" s="38">
        <v>0</v>
      </c>
      <c r="X431" s="38">
        <v>2.8257300000000001</v>
      </c>
      <c r="Y431" s="38">
        <f t="shared" si="54"/>
        <v>3</v>
      </c>
      <c r="Z431" s="251">
        <v>0</v>
      </c>
      <c r="AA431" s="251">
        <v>0</v>
      </c>
      <c r="AB431" s="117">
        <v>18.86</v>
      </c>
      <c r="AC431" s="38">
        <v>1.13626</v>
      </c>
      <c r="AD431" s="38">
        <v>535.70000000000005</v>
      </c>
      <c r="AE431" s="38">
        <v>0</v>
      </c>
      <c r="AF431" s="248">
        <f>(AD431+AE431*0.5)/(3.5*I431*1000)*100</f>
        <v>0.81145765484647892</v>
      </c>
      <c r="AG431" s="38">
        <f t="shared" si="55"/>
        <v>0.8</v>
      </c>
      <c r="AH431" s="38">
        <v>0</v>
      </c>
      <c r="AI431" s="46">
        <f>AH431/(3.5*I431*1000)*100</f>
        <v>0</v>
      </c>
      <c r="AJ431" s="38">
        <v>0</v>
      </c>
      <c r="AK431" s="46">
        <f>AJ431/(3.5*I431*1000)*100</f>
        <v>0</v>
      </c>
      <c r="AL431" s="38">
        <v>0</v>
      </c>
      <c r="AM431" s="38">
        <f>AL431/(3.5*I431*1000)*100</f>
        <v>0</v>
      </c>
      <c r="AN431" s="25"/>
      <c r="AO431" s="25"/>
      <c r="AP431" s="12">
        <f>AE431*0.5</f>
        <v>0</v>
      </c>
      <c r="AQ431" s="12">
        <f>(AD431+AH431+AJ431+AL431+AP431)*I431</f>
        <v>10104.3734</v>
      </c>
      <c r="AR431" s="25"/>
      <c r="AS431" s="25">
        <f>SUM(N431:Q431)</f>
        <v>18.869999999999997</v>
      </c>
      <c r="AT431" s="22">
        <f>SUM(T431:W431)</f>
        <v>18.86</v>
      </c>
      <c r="AU431" s="268">
        <v>18.861999999999998</v>
      </c>
      <c r="AV431" s="41">
        <f>SUM(N431:Q431)</f>
        <v>18.869999999999997</v>
      </c>
      <c r="AW431" s="41">
        <f>SUM(T431:W431)</f>
        <v>18.86</v>
      </c>
      <c r="AX431" s="41">
        <f>SUM(Z431:AB431)</f>
        <v>18.86</v>
      </c>
      <c r="AZ431" s="22">
        <f>I431/AV431</f>
        <v>0.99957604663487021</v>
      </c>
      <c r="BA431" s="22">
        <f>I431/AW431</f>
        <v>1.0001060445387062</v>
      </c>
      <c r="BB431" s="22">
        <f>I431/AX431</f>
        <v>1.0001060445387062</v>
      </c>
    </row>
    <row r="432" spans="1:88" s="22" customFormat="1">
      <c r="A432" s="1">
        <v>2075</v>
      </c>
      <c r="B432" s="34" t="s">
        <v>2715</v>
      </c>
      <c r="C432" s="34">
        <v>329</v>
      </c>
      <c r="D432" s="75">
        <v>4039</v>
      </c>
      <c r="E432" s="8">
        <v>100</v>
      </c>
      <c r="F432" s="34" t="s">
        <v>2721</v>
      </c>
      <c r="G432" s="58">
        <v>0</v>
      </c>
      <c r="H432" s="58">
        <v>4313</v>
      </c>
      <c r="I432" s="21">
        <v>4.3129999999999997</v>
      </c>
      <c r="J432" s="8">
        <v>4</v>
      </c>
      <c r="K432" s="8" t="s">
        <v>237</v>
      </c>
      <c r="L432" s="18">
        <v>42122</v>
      </c>
      <c r="M432" s="9" t="s">
        <v>191</v>
      </c>
      <c r="N432" s="38">
        <v>3.3250000000000002</v>
      </c>
      <c r="O432" s="38">
        <v>0.65</v>
      </c>
      <c r="P432" s="38">
        <v>0.17499999999999999</v>
      </c>
      <c r="Q432" s="38">
        <v>7.4999999999999997E-2</v>
      </c>
      <c r="R432" s="38">
        <v>2.1507700000000001</v>
      </c>
      <c r="S432" s="38">
        <f t="shared" si="53"/>
        <v>2</v>
      </c>
      <c r="T432" s="38">
        <v>3.6</v>
      </c>
      <c r="U432" s="38">
        <v>0.625</v>
      </c>
      <c r="V432" s="38">
        <v>0</v>
      </c>
      <c r="W432" s="38">
        <v>0</v>
      </c>
      <c r="X432" s="38">
        <v>5.8866399999999999</v>
      </c>
      <c r="Y432" s="38">
        <f t="shared" si="54"/>
        <v>6</v>
      </c>
      <c r="Z432" s="46">
        <v>0</v>
      </c>
      <c r="AA432" s="46">
        <v>0</v>
      </c>
      <c r="AB432" s="38">
        <v>4.2250000000000005</v>
      </c>
      <c r="AC432" s="38">
        <v>1.27704</v>
      </c>
      <c r="AD432" s="38">
        <v>121.32</v>
      </c>
      <c r="AE432" s="38">
        <v>2.2999999999999998</v>
      </c>
      <c r="AF432" s="46">
        <v>0.81130138120631967</v>
      </c>
      <c r="AG432" s="38">
        <f t="shared" si="55"/>
        <v>0.8</v>
      </c>
      <c r="AH432" s="38">
        <v>0</v>
      </c>
      <c r="AI432" s="46">
        <v>0</v>
      </c>
      <c r="AJ432" s="38">
        <v>0</v>
      </c>
      <c r="AK432" s="46">
        <v>0</v>
      </c>
      <c r="AL432" s="38">
        <v>0</v>
      </c>
      <c r="AM432" s="38">
        <f>AL432/(3.5*I432*1000)*100</f>
        <v>0</v>
      </c>
      <c r="AN432" s="12"/>
      <c r="AO432" s="12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</row>
    <row r="433" spans="1:88" s="22" customFormat="1">
      <c r="A433" s="1">
        <v>694</v>
      </c>
      <c r="B433" s="34" t="s">
        <v>1084</v>
      </c>
      <c r="C433" s="34">
        <v>624</v>
      </c>
      <c r="D433" s="34">
        <v>2393</v>
      </c>
      <c r="E433" s="34">
        <v>102</v>
      </c>
      <c r="F433" s="9" t="s">
        <v>1104</v>
      </c>
      <c r="G433" s="20">
        <v>51265</v>
      </c>
      <c r="H433" s="20">
        <v>22485</v>
      </c>
      <c r="I433" s="35">
        <v>28.78</v>
      </c>
      <c r="J433" s="127">
        <v>2</v>
      </c>
      <c r="K433" s="34" t="s">
        <v>12</v>
      </c>
      <c r="L433" s="10">
        <v>42170</v>
      </c>
      <c r="M433" s="9" t="s">
        <v>191</v>
      </c>
      <c r="N433" s="38">
        <v>7.2</v>
      </c>
      <c r="O433" s="38">
        <v>9.9749999999999996</v>
      </c>
      <c r="P433" s="38">
        <v>7.7249999999999996</v>
      </c>
      <c r="Q433" s="38">
        <v>3.875</v>
      </c>
      <c r="R433" s="38">
        <v>3.53966</v>
      </c>
      <c r="S433" s="38">
        <f t="shared" si="53"/>
        <v>3.5</v>
      </c>
      <c r="T433" s="38">
        <v>25.574999999999999</v>
      </c>
      <c r="U433" s="38">
        <v>2.7749999999999999</v>
      </c>
      <c r="V433" s="38">
        <v>0.375</v>
      </c>
      <c r="W433" s="38">
        <v>0.05</v>
      </c>
      <c r="X433" s="38">
        <v>5.4627100000000004</v>
      </c>
      <c r="Y433" s="38">
        <f t="shared" si="54"/>
        <v>5.5</v>
      </c>
      <c r="Z433" s="46">
        <v>0</v>
      </c>
      <c r="AA433" s="46">
        <v>2.5000000000000001E-2</v>
      </c>
      <c r="AB433" s="38">
        <v>28.75</v>
      </c>
      <c r="AC433" s="38">
        <v>1.1738999999999999</v>
      </c>
      <c r="AD433" s="38">
        <v>64.62</v>
      </c>
      <c r="AE433" s="38">
        <v>1502.08</v>
      </c>
      <c r="AF433" s="46">
        <v>0.80974999999999997</v>
      </c>
      <c r="AG433" s="38">
        <f t="shared" si="55"/>
        <v>0.8</v>
      </c>
      <c r="AH433" s="38">
        <v>41.6</v>
      </c>
      <c r="AI433" s="46">
        <v>4.1300000000000003E-2</v>
      </c>
      <c r="AJ433" s="38">
        <v>295.70999999999998</v>
      </c>
      <c r="AK433" s="46">
        <v>0.29356700000000002</v>
      </c>
      <c r="AL433" s="38">
        <v>2.02</v>
      </c>
      <c r="AM433" s="38">
        <v>2.0100000000000001E-3</v>
      </c>
      <c r="AN433" s="25"/>
      <c r="AO433" s="25">
        <f>AE433*0.5</f>
        <v>751.04</v>
      </c>
      <c r="AP433" s="25">
        <f>(AD433+AH433+AJ433+AL433+AO433)*I433</f>
        <v>33240.612199999996</v>
      </c>
      <c r="AQ433" s="25">
        <f>SUM(N433:Q433)</f>
        <v>28.774999999999999</v>
      </c>
      <c r="AR433" s="25">
        <f>SUM(T433:W433)</f>
        <v>28.774999999999999</v>
      </c>
      <c r="AT433" s="41"/>
      <c r="AU433" s="41"/>
      <c r="AV433" s="41"/>
      <c r="AW433" s="41"/>
    </row>
    <row r="434" spans="1:88" s="22" customFormat="1">
      <c r="A434" s="1">
        <v>1716</v>
      </c>
      <c r="B434" s="34" t="s">
        <v>2308</v>
      </c>
      <c r="C434" s="34">
        <v>422</v>
      </c>
      <c r="D434" s="8">
        <v>3245</v>
      </c>
      <c r="E434" s="34">
        <v>301</v>
      </c>
      <c r="F434" s="34" t="s">
        <v>2314</v>
      </c>
      <c r="G434" s="58">
        <v>34000</v>
      </c>
      <c r="H434" s="58">
        <v>53317</v>
      </c>
      <c r="I434" s="35">
        <v>19.317</v>
      </c>
      <c r="J434" s="9">
        <v>2</v>
      </c>
      <c r="K434" s="34" t="s">
        <v>238</v>
      </c>
      <c r="L434" s="10">
        <v>42230</v>
      </c>
      <c r="M434" s="9" t="s">
        <v>191</v>
      </c>
      <c r="N434" s="38">
        <v>6.09</v>
      </c>
      <c r="O434" s="38">
        <v>5.45</v>
      </c>
      <c r="P434" s="38">
        <v>4.8499999999999996</v>
      </c>
      <c r="Q434" s="38">
        <v>2.93</v>
      </c>
      <c r="R434" s="38">
        <v>3.44983</v>
      </c>
      <c r="S434" s="38">
        <f t="shared" si="53"/>
        <v>3.5</v>
      </c>
      <c r="T434" s="38">
        <v>17.690000000000001</v>
      </c>
      <c r="U434" s="38">
        <v>1.38</v>
      </c>
      <c r="V434" s="38">
        <v>0.25</v>
      </c>
      <c r="W434" s="38">
        <v>0</v>
      </c>
      <c r="X434" s="38">
        <v>5.6687700000000003</v>
      </c>
      <c r="Y434" s="38">
        <f t="shared" si="54"/>
        <v>5.5</v>
      </c>
      <c r="Z434" s="46">
        <v>0</v>
      </c>
      <c r="AA434" s="46">
        <v>0</v>
      </c>
      <c r="AB434" s="35">
        <v>19.317</v>
      </c>
      <c r="AC434" s="38">
        <v>1.3539099999999999</v>
      </c>
      <c r="AD434" s="38">
        <v>546.44000000000005</v>
      </c>
      <c r="AE434" s="38">
        <v>0</v>
      </c>
      <c r="AF434" s="46">
        <v>0.80823</v>
      </c>
      <c r="AG434" s="38">
        <f t="shared" si="55"/>
        <v>0.8</v>
      </c>
      <c r="AH434" s="38">
        <v>1.4</v>
      </c>
      <c r="AI434" s="46">
        <v>2.0699999999999998E-3</v>
      </c>
      <c r="AJ434" s="38">
        <v>0</v>
      </c>
      <c r="AK434" s="46">
        <v>0</v>
      </c>
      <c r="AL434" s="38">
        <v>0</v>
      </c>
      <c r="AM434" s="55">
        <v>0</v>
      </c>
      <c r="AO434" s="22">
        <f>AE434*0.5</f>
        <v>0</v>
      </c>
      <c r="AP434" s="41">
        <f>(AD434+AH434+AJ434+AL434+AO434)*I434</f>
        <v>10582.62528</v>
      </c>
      <c r="AQ434" s="25">
        <f>SUM(N434:Q434)</f>
        <v>19.32</v>
      </c>
      <c r="AR434" s="25">
        <f>SUM(T434:W434)</f>
        <v>19.32</v>
      </c>
      <c r="AS434" s="268">
        <v>19.317</v>
      </c>
      <c r="AU434" s="25">
        <f>AS434-AQ434</f>
        <v>-3.0000000000001137E-3</v>
      </c>
      <c r="AV434" s="41">
        <f>SUM(N434:Q434)</f>
        <v>19.32</v>
      </c>
      <c r="AW434" s="41">
        <f>SUM(T434:W434)</f>
        <v>19.32</v>
      </c>
      <c r="AX434" s="41">
        <f>SUM(Z434:AB434)</f>
        <v>19.317</v>
      </c>
      <c r="AZ434" s="22">
        <f>I434/AV434</f>
        <v>0.99984472049689443</v>
      </c>
      <c r="BA434" s="22">
        <f>I434/AW434</f>
        <v>0.99984472049689443</v>
      </c>
      <c r="BB434" s="22">
        <f>I434/AX434</f>
        <v>1</v>
      </c>
    </row>
    <row r="435" spans="1:88" s="22" customFormat="1">
      <c r="A435" s="1">
        <v>318</v>
      </c>
      <c r="B435" s="34" t="s">
        <v>542</v>
      </c>
      <c r="C435" s="34">
        <v>644</v>
      </c>
      <c r="D435" s="34">
        <v>2132</v>
      </c>
      <c r="E435" s="34">
        <v>200</v>
      </c>
      <c r="F435" s="34" t="s">
        <v>550</v>
      </c>
      <c r="G435" s="57">
        <v>20212</v>
      </c>
      <c r="H435" s="58">
        <v>43450</v>
      </c>
      <c r="I435" s="35">
        <v>23.238</v>
      </c>
      <c r="J435" s="62">
        <v>2</v>
      </c>
      <c r="K435" s="34" t="s">
        <v>238</v>
      </c>
      <c r="L435" s="10">
        <v>42158</v>
      </c>
      <c r="M435" s="9" t="s">
        <v>191</v>
      </c>
      <c r="N435" s="38">
        <v>17.79</v>
      </c>
      <c r="O435" s="38">
        <v>3.7</v>
      </c>
      <c r="P435" s="38">
        <v>1.29</v>
      </c>
      <c r="Q435" s="38">
        <v>0.48</v>
      </c>
      <c r="R435" s="38">
        <v>2.5417900000000002</v>
      </c>
      <c r="S435" s="38">
        <f t="shared" si="53"/>
        <v>2.5</v>
      </c>
      <c r="T435" s="38">
        <v>22.46</v>
      </c>
      <c r="U435" s="38">
        <v>0.65</v>
      </c>
      <c r="V435" s="38">
        <v>0.13</v>
      </c>
      <c r="W435" s="38">
        <v>0</v>
      </c>
      <c r="X435" s="38">
        <v>2.6034999999999999</v>
      </c>
      <c r="Y435" s="38">
        <f t="shared" si="54"/>
        <v>2.5</v>
      </c>
      <c r="Z435" s="46">
        <v>0</v>
      </c>
      <c r="AA435" s="46">
        <v>0</v>
      </c>
      <c r="AB435" s="38">
        <v>23.24</v>
      </c>
      <c r="AC435" s="38">
        <v>1.0013300000000001</v>
      </c>
      <c r="AD435" s="38">
        <v>325</v>
      </c>
      <c r="AE435" s="38">
        <v>654</v>
      </c>
      <c r="AF435" s="46">
        <v>0.80164000000000002</v>
      </c>
      <c r="AG435" s="38">
        <f t="shared" si="55"/>
        <v>0.8</v>
      </c>
      <c r="AH435" s="38">
        <v>0</v>
      </c>
      <c r="AI435" s="46">
        <v>0</v>
      </c>
      <c r="AJ435" s="38">
        <v>624</v>
      </c>
      <c r="AK435" s="46">
        <v>0.76721600000000001</v>
      </c>
      <c r="AL435" s="38">
        <v>0</v>
      </c>
      <c r="AM435" s="38">
        <v>0</v>
      </c>
      <c r="AN435" s="60"/>
      <c r="AO435" s="60">
        <f>AE435*0.5</f>
        <v>327</v>
      </c>
      <c r="AP435" s="60">
        <f>(AD435+AH435+AJ435+AL435+AO435)*I435</f>
        <v>29651.687999999998</v>
      </c>
      <c r="AQ435" s="25">
        <f>SUM(N435:Q435)</f>
        <v>23.259999999999998</v>
      </c>
      <c r="AR435" s="25">
        <f>SUM(T435:W435)</f>
        <v>23.24</v>
      </c>
      <c r="AS435" s="268">
        <v>23.238</v>
      </c>
      <c r="AT435" s="40"/>
      <c r="AU435" s="41">
        <f>SUM(N435:Q435)</f>
        <v>23.259999999999998</v>
      </c>
      <c r="AV435" s="41">
        <f>SUM(T435:W435)</f>
        <v>23.24</v>
      </c>
      <c r="AW435" s="41">
        <f>SUM(Z435:AB435)</f>
        <v>23.24</v>
      </c>
      <c r="AY435" s="22">
        <f>I435/AU435</f>
        <v>0.99905417024935517</v>
      </c>
      <c r="AZ435" s="22">
        <f>I435/AV435</f>
        <v>0.99991394148020663</v>
      </c>
      <c r="BA435" s="22">
        <f>I435/AW435</f>
        <v>0.99991394148020663</v>
      </c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</row>
    <row r="436" spans="1:88" s="22" customFormat="1">
      <c r="A436" s="1">
        <v>71</v>
      </c>
      <c r="B436" s="4" t="s">
        <v>44</v>
      </c>
      <c r="C436" s="14">
        <v>524</v>
      </c>
      <c r="D436" s="19">
        <v>116</v>
      </c>
      <c r="E436" s="16">
        <v>102</v>
      </c>
      <c r="F436" s="14" t="s">
        <v>49</v>
      </c>
      <c r="G436" s="20" t="s">
        <v>133</v>
      </c>
      <c r="H436" s="20" t="s">
        <v>132</v>
      </c>
      <c r="I436" s="21">
        <v>7.3029999999999999</v>
      </c>
      <c r="J436" s="8">
        <v>2</v>
      </c>
      <c r="K436" s="9" t="s">
        <v>12</v>
      </c>
      <c r="L436" s="18">
        <v>42227</v>
      </c>
      <c r="M436" s="9" t="s">
        <v>191</v>
      </c>
      <c r="N436" s="11">
        <v>5</v>
      </c>
      <c r="O436" s="11">
        <v>1.75</v>
      </c>
      <c r="P436" s="11">
        <v>0.57499999999999996</v>
      </c>
      <c r="Q436" s="11">
        <v>7.4999999999999997E-2</v>
      </c>
      <c r="R436" s="11">
        <v>2.3179699999999999</v>
      </c>
      <c r="S436" s="38">
        <f t="shared" si="53"/>
        <v>2.5</v>
      </c>
      <c r="T436" s="11">
        <v>7.25</v>
      </c>
      <c r="U436" s="11">
        <v>0.125</v>
      </c>
      <c r="V436" s="11">
        <v>2.5000000000000001E-2</v>
      </c>
      <c r="W436" s="11">
        <v>0</v>
      </c>
      <c r="X436" s="11">
        <v>3.3541500000000002</v>
      </c>
      <c r="Y436" s="38">
        <f t="shared" si="54"/>
        <v>3.5</v>
      </c>
      <c r="Z436" s="248">
        <v>0</v>
      </c>
      <c r="AA436" s="248">
        <v>0</v>
      </c>
      <c r="AB436" s="11">
        <v>7.4</v>
      </c>
      <c r="AC436" s="11">
        <v>1.10771</v>
      </c>
      <c r="AD436" s="11">
        <v>204.62</v>
      </c>
      <c r="AE436" s="11">
        <v>0</v>
      </c>
      <c r="AF436" s="248">
        <f t="shared" ref="AF436:AF443" si="62">(AD436+AE436*0.5)/(3.5*I436*1000)*100</f>
        <v>0.8005320709688778</v>
      </c>
      <c r="AG436" s="38">
        <f t="shared" si="55"/>
        <v>0.8</v>
      </c>
      <c r="AH436" s="11">
        <v>0</v>
      </c>
      <c r="AI436" s="248">
        <f>AH436/(3.5*I436*1000)*100</f>
        <v>0</v>
      </c>
      <c r="AJ436" s="11">
        <v>0</v>
      </c>
      <c r="AK436" s="248">
        <f>AJ436/(3.5*I436*1000)*100</f>
        <v>0</v>
      </c>
      <c r="AL436" s="11">
        <v>1.0049999999999999</v>
      </c>
      <c r="AM436" s="11">
        <f t="shared" ref="AM436:AM442" si="63">AL436/(3.5*I436*1000)*100</f>
        <v>3.9318479685452159E-3</v>
      </c>
      <c r="AN436" s="25"/>
      <c r="AO436" s="25"/>
    </row>
    <row r="437" spans="1:88" s="22" customFormat="1">
      <c r="A437" s="1">
        <v>2044</v>
      </c>
      <c r="B437" s="34" t="s">
        <v>2678</v>
      </c>
      <c r="C437" s="34">
        <v>326</v>
      </c>
      <c r="D437" s="75">
        <v>4270</v>
      </c>
      <c r="E437" s="8">
        <v>300</v>
      </c>
      <c r="F437" s="34" t="s">
        <v>2694</v>
      </c>
      <c r="G437" s="58">
        <v>50053</v>
      </c>
      <c r="H437" s="58">
        <v>45165</v>
      </c>
      <c r="I437" s="21">
        <v>4.8879999999999999</v>
      </c>
      <c r="J437" s="8">
        <v>2</v>
      </c>
      <c r="K437" s="8" t="s">
        <v>12</v>
      </c>
      <c r="L437" s="18">
        <v>42124</v>
      </c>
      <c r="M437" s="9" t="s">
        <v>191</v>
      </c>
      <c r="N437" s="38">
        <v>1.65</v>
      </c>
      <c r="O437" s="38">
        <v>2.1</v>
      </c>
      <c r="P437" s="38">
        <v>0.92500000000000004</v>
      </c>
      <c r="Q437" s="38">
        <v>0.3</v>
      </c>
      <c r="R437" s="38">
        <v>3.0253800000000002</v>
      </c>
      <c r="S437" s="38">
        <f t="shared" si="53"/>
        <v>3</v>
      </c>
      <c r="T437" s="38">
        <v>4.5999999999999996</v>
      </c>
      <c r="U437" s="38">
        <v>0.32500000000000001</v>
      </c>
      <c r="V437" s="38">
        <v>0.05</v>
      </c>
      <c r="W437" s="38">
        <v>0</v>
      </c>
      <c r="X437" s="38">
        <v>4.0490000000000004</v>
      </c>
      <c r="Y437" s="38">
        <f t="shared" si="54"/>
        <v>4</v>
      </c>
      <c r="Z437" s="46">
        <v>0</v>
      </c>
      <c r="AA437" s="46">
        <v>0</v>
      </c>
      <c r="AB437" s="38">
        <v>4.9749999999999996</v>
      </c>
      <c r="AC437" s="38">
        <v>1.1991099999999999</v>
      </c>
      <c r="AD437" s="38">
        <v>132.37</v>
      </c>
      <c r="AE437" s="38">
        <v>8.75</v>
      </c>
      <c r="AF437" s="46">
        <f t="shared" si="62"/>
        <v>0.79930441898527005</v>
      </c>
      <c r="AG437" s="38">
        <f t="shared" si="55"/>
        <v>0.8</v>
      </c>
      <c r="AH437" s="38">
        <v>0</v>
      </c>
      <c r="AI437" s="46">
        <v>0</v>
      </c>
      <c r="AJ437" s="55">
        <v>65.48</v>
      </c>
      <c r="AK437" s="183">
        <v>0.38274491465980831</v>
      </c>
      <c r="AL437" s="55">
        <v>0</v>
      </c>
      <c r="AM437" s="55">
        <f t="shared" si="63"/>
        <v>0</v>
      </c>
      <c r="AN437" s="1"/>
      <c r="AO437" s="12"/>
      <c r="AP437" s="12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</row>
    <row r="438" spans="1:88" s="22" customFormat="1">
      <c r="A438" s="1">
        <v>282</v>
      </c>
      <c r="B438" s="34" t="s">
        <v>484</v>
      </c>
      <c r="C438" s="34">
        <v>641</v>
      </c>
      <c r="D438" s="34">
        <v>2347</v>
      </c>
      <c r="E438" s="34">
        <v>100</v>
      </c>
      <c r="F438" s="34" t="s">
        <v>507</v>
      </c>
      <c r="G438" s="58">
        <v>0</v>
      </c>
      <c r="H438" s="58">
        <v>5039</v>
      </c>
      <c r="I438" s="35">
        <v>5.0389999999999997</v>
      </c>
      <c r="J438" s="59">
        <v>4</v>
      </c>
      <c r="K438" s="34" t="s">
        <v>237</v>
      </c>
      <c r="L438" s="10">
        <v>42159</v>
      </c>
      <c r="M438" s="9" t="s">
        <v>191</v>
      </c>
      <c r="N438" s="38">
        <v>4.125</v>
      </c>
      <c r="O438" s="38">
        <v>0.6</v>
      </c>
      <c r="P438" s="38">
        <v>0.25</v>
      </c>
      <c r="Q438" s="38">
        <v>7.4999999999999997E-2</v>
      </c>
      <c r="R438" s="38">
        <v>1.99183</v>
      </c>
      <c r="S438" s="38">
        <f t="shared" si="53"/>
        <v>2</v>
      </c>
      <c r="T438" s="38">
        <v>3.875</v>
      </c>
      <c r="U438" s="38">
        <v>1.05</v>
      </c>
      <c r="V438" s="38">
        <v>0.125</v>
      </c>
      <c r="W438" s="38">
        <v>0</v>
      </c>
      <c r="X438" s="38">
        <v>8.3570899999999995</v>
      </c>
      <c r="Y438" s="38">
        <f t="shared" si="54"/>
        <v>8.5</v>
      </c>
      <c r="Z438" s="46">
        <v>0</v>
      </c>
      <c r="AA438" s="46">
        <v>0</v>
      </c>
      <c r="AB438" s="38">
        <f>T438+U438+V438+W438</f>
        <v>5.05</v>
      </c>
      <c r="AC438" s="38">
        <v>1.19801</v>
      </c>
      <c r="AD438" s="11">
        <v>137</v>
      </c>
      <c r="AE438" s="11">
        <v>7</v>
      </c>
      <c r="AF438" s="46">
        <f t="shared" si="62"/>
        <v>0.7966433249227457</v>
      </c>
      <c r="AG438" s="38">
        <f t="shared" si="55"/>
        <v>0.8</v>
      </c>
      <c r="AH438" s="38">
        <v>0</v>
      </c>
      <c r="AI438" s="46">
        <f t="shared" ref="AI438:AI443" si="64">AH438/(3.5*I438*1000)*100</f>
        <v>0</v>
      </c>
      <c r="AJ438" s="38">
        <v>0</v>
      </c>
      <c r="AK438" s="46">
        <v>0</v>
      </c>
      <c r="AL438" s="38">
        <v>0</v>
      </c>
      <c r="AM438" s="38">
        <f t="shared" si="63"/>
        <v>0</v>
      </c>
      <c r="AN438" s="60"/>
      <c r="AO438" s="60">
        <f>AE438*0.5</f>
        <v>3.5</v>
      </c>
      <c r="AP438" s="60">
        <f>(AD438+AH438+AJ438+AL438+AO438)*I438</f>
        <v>707.97949999999992</v>
      </c>
      <c r="AQ438" s="25">
        <f>SUM(N438:Q438)</f>
        <v>5.05</v>
      </c>
      <c r="AR438" s="25">
        <f>SUM(T438:W438)</f>
        <v>5.05</v>
      </c>
      <c r="AS438" s="61"/>
      <c r="AT438" s="40"/>
      <c r="AU438" s="41">
        <f>SUM(N438:Q438)</f>
        <v>5.05</v>
      </c>
      <c r="AV438" s="41">
        <f>SUM(T438:W438)</f>
        <v>5.05</v>
      </c>
      <c r="AW438" s="41">
        <f>SUM(Z438:AB438)</f>
        <v>5.05</v>
      </c>
      <c r="AX438" s="61"/>
      <c r="AY438" s="22">
        <f>I438/AU438</f>
        <v>0.99782178217821782</v>
      </c>
      <c r="AZ438" s="22">
        <f>I438/AV438</f>
        <v>0.99782178217821782</v>
      </c>
      <c r="BA438" s="22">
        <f>I438/AW438</f>
        <v>0.99782178217821782</v>
      </c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</row>
    <row r="439" spans="1:88" s="22" customFormat="1">
      <c r="A439" s="1">
        <v>1457</v>
      </c>
      <c r="B439" s="34" t="s">
        <v>1987</v>
      </c>
      <c r="C439" s="34">
        <v>448</v>
      </c>
      <c r="D439" s="75">
        <v>3195</v>
      </c>
      <c r="E439" s="69">
        <v>202</v>
      </c>
      <c r="F439" s="34" t="s">
        <v>2005</v>
      </c>
      <c r="G439" s="20">
        <v>33357</v>
      </c>
      <c r="H439" s="20">
        <v>25300</v>
      </c>
      <c r="I439" s="21">
        <v>8.0570000000000004</v>
      </c>
      <c r="J439" s="8">
        <v>4</v>
      </c>
      <c r="K439" s="34" t="s">
        <v>96</v>
      </c>
      <c r="L439" s="10">
        <v>42182</v>
      </c>
      <c r="M439" s="9" t="s">
        <v>191</v>
      </c>
      <c r="N439" s="38">
        <v>5.4</v>
      </c>
      <c r="O439" s="38">
        <v>1.6</v>
      </c>
      <c r="P439" s="38">
        <v>0.625</v>
      </c>
      <c r="Q439" s="38">
        <v>0.4</v>
      </c>
      <c r="R439" s="38">
        <v>2.6608999999999998</v>
      </c>
      <c r="S439" s="38">
        <f t="shared" si="53"/>
        <v>2.5</v>
      </c>
      <c r="T439" s="38">
        <v>7.7</v>
      </c>
      <c r="U439" s="38">
        <v>0.32500000000000001</v>
      </c>
      <c r="V439" s="38">
        <v>0</v>
      </c>
      <c r="W439" s="38">
        <v>0</v>
      </c>
      <c r="X439" s="38">
        <v>5.2340799999999996</v>
      </c>
      <c r="Y439" s="38">
        <f t="shared" si="54"/>
        <v>5</v>
      </c>
      <c r="Z439" s="46">
        <v>0</v>
      </c>
      <c r="AA439" s="46">
        <v>0</v>
      </c>
      <c r="AB439" s="38">
        <v>8.0250000000000004</v>
      </c>
      <c r="AC439" s="38">
        <v>0.99906200000000001</v>
      </c>
      <c r="AD439" s="38">
        <v>12</v>
      </c>
      <c r="AE439" s="38">
        <v>420</v>
      </c>
      <c r="AF439" s="46">
        <f t="shared" si="62"/>
        <v>0.78724800085107882</v>
      </c>
      <c r="AG439" s="38">
        <f t="shared" si="55"/>
        <v>0.8</v>
      </c>
      <c r="AH439" s="38">
        <v>14</v>
      </c>
      <c r="AI439" s="46">
        <f t="shared" si="64"/>
        <v>4.9646270323941907E-2</v>
      </c>
      <c r="AJ439" s="38">
        <v>179</v>
      </c>
      <c r="AK439" s="46">
        <f>AJ439/(3.5*I439*1000)*100</f>
        <v>0.63476302771325732</v>
      </c>
      <c r="AL439" s="38">
        <v>0</v>
      </c>
      <c r="AM439" s="38">
        <f t="shared" si="63"/>
        <v>0</v>
      </c>
      <c r="AN439" s="72"/>
      <c r="AO439" s="41"/>
      <c r="AP439" s="41"/>
      <c r="AQ439" s="73"/>
      <c r="AR439" s="73"/>
      <c r="AS439" s="73"/>
      <c r="AT439" s="73"/>
      <c r="AU439" s="73"/>
      <c r="AV439" s="73"/>
    </row>
    <row r="440" spans="1:88" s="22" customFormat="1">
      <c r="A440" s="1">
        <v>222</v>
      </c>
      <c r="B440" s="34" t="s">
        <v>413</v>
      </c>
      <c r="C440" s="34">
        <v>536</v>
      </c>
      <c r="D440" s="34">
        <v>1225</v>
      </c>
      <c r="E440" s="34">
        <v>101</v>
      </c>
      <c r="F440" s="34" t="s">
        <v>428</v>
      </c>
      <c r="G440" s="20">
        <v>12000</v>
      </c>
      <c r="H440" s="20">
        <v>0</v>
      </c>
      <c r="I440" s="35">
        <v>12</v>
      </c>
      <c r="J440" s="36">
        <v>2</v>
      </c>
      <c r="K440" s="34" t="s">
        <v>12</v>
      </c>
      <c r="L440" s="10">
        <v>42214</v>
      </c>
      <c r="M440" s="9" t="s">
        <v>191</v>
      </c>
      <c r="N440" s="38">
        <v>6.5</v>
      </c>
      <c r="O440" s="38">
        <v>3.15</v>
      </c>
      <c r="P440" s="38">
        <v>1.4</v>
      </c>
      <c r="Q440" s="38">
        <v>0.95</v>
      </c>
      <c r="R440" s="38">
        <v>2.8515600000000001</v>
      </c>
      <c r="S440" s="38">
        <f t="shared" si="53"/>
        <v>3</v>
      </c>
      <c r="T440" s="38">
        <v>3.93</v>
      </c>
      <c r="U440" s="38">
        <v>2.35</v>
      </c>
      <c r="V440" s="38">
        <v>1.68</v>
      </c>
      <c r="W440" s="38">
        <v>4.05</v>
      </c>
      <c r="X440" s="38">
        <v>16.525600000000001</v>
      </c>
      <c r="Y440" s="38">
        <f t="shared" si="54"/>
        <v>16.5</v>
      </c>
      <c r="Z440" s="46">
        <v>0</v>
      </c>
      <c r="AA440" s="46">
        <v>0</v>
      </c>
      <c r="AB440" s="38">
        <v>12</v>
      </c>
      <c r="AC440" s="38">
        <v>1.16658</v>
      </c>
      <c r="AD440" s="38">
        <v>260</v>
      </c>
      <c r="AE440" s="38">
        <v>140.84</v>
      </c>
      <c r="AF440" s="46">
        <f t="shared" si="62"/>
        <v>0.7867142857142857</v>
      </c>
      <c r="AG440" s="38">
        <f t="shared" si="55"/>
        <v>0.8</v>
      </c>
      <c r="AH440" s="38">
        <v>0</v>
      </c>
      <c r="AI440" s="46">
        <f t="shared" si="64"/>
        <v>0</v>
      </c>
      <c r="AJ440" s="38">
        <v>281</v>
      </c>
      <c r="AK440" s="46">
        <f>AJ440/(3.5*I440*1000)*100</f>
        <v>0.669047619047619</v>
      </c>
      <c r="AL440" s="38">
        <v>0</v>
      </c>
      <c r="AM440" s="38">
        <f t="shared" si="63"/>
        <v>0</v>
      </c>
      <c r="AN440" s="25"/>
      <c r="AO440" s="25">
        <f>AE440*0.5</f>
        <v>70.42</v>
      </c>
      <c r="AP440" s="25">
        <f>(AD440+AH440+AJ440+AL440+AO440)*I440</f>
        <v>7337.0399999999991</v>
      </c>
      <c r="AQ440" s="25">
        <f>SUM(N440:Q440)</f>
        <v>12</v>
      </c>
      <c r="AR440" s="25">
        <f>SUM(T440:W440)</f>
        <v>12.01</v>
      </c>
      <c r="AT440" s="41"/>
      <c r="AU440" s="41">
        <f>SUM(N440:Q440)</f>
        <v>12</v>
      </c>
      <c r="AV440" s="41">
        <f>SUM(T440:W440)</f>
        <v>12.01</v>
      </c>
      <c r="AW440" s="41">
        <f>SUM(Z440:AB440)</f>
        <v>12</v>
      </c>
      <c r="AY440" s="22">
        <f>I440/AU440</f>
        <v>1</v>
      </c>
      <c r="AZ440" s="22">
        <f>I440/AV440</f>
        <v>0.99916736053288924</v>
      </c>
      <c r="BA440" s="22">
        <f>I440/AW440</f>
        <v>1</v>
      </c>
    </row>
    <row r="441" spans="1:88" s="22" customFormat="1">
      <c r="A441" s="1">
        <v>2146</v>
      </c>
      <c r="B441" s="34" t="s">
        <v>2780</v>
      </c>
      <c r="C441" s="34">
        <v>327</v>
      </c>
      <c r="D441" s="75">
        <v>4197</v>
      </c>
      <c r="E441" s="8">
        <v>100</v>
      </c>
      <c r="F441" s="9" t="s">
        <v>2787</v>
      </c>
      <c r="G441" s="20">
        <v>15938</v>
      </c>
      <c r="H441" s="20">
        <v>0</v>
      </c>
      <c r="I441" s="21">
        <v>15.938000000000001</v>
      </c>
      <c r="J441" s="9">
        <v>4</v>
      </c>
      <c r="K441" s="9" t="s">
        <v>12</v>
      </c>
      <c r="L441" s="18">
        <v>42135</v>
      </c>
      <c r="M441" s="9" t="s">
        <v>191</v>
      </c>
      <c r="N441" s="38">
        <v>8.35</v>
      </c>
      <c r="O441" s="38">
        <v>4.3499999999999996</v>
      </c>
      <c r="P441" s="38">
        <v>2.15</v>
      </c>
      <c r="Q441" s="38">
        <v>1.0249999999999999</v>
      </c>
      <c r="R441" s="38">
        <v>2.7715900000000002</v>
      </c>
      <c r="S441" s="38">
        <f t="shared" si="53"/>
        <v>3</v>
      </c>
      <c r="T441" s="38">
        <v>13.425000000000001</v>
      </c>
      <c r="U441" s="38">
        <v>1.85</v>
      </c>
      <c r="V441" s="38">
        <v>0.45</v>
      </c>
      <c r="W441" s="38">
        <v>0.15</v>
      </c>
      <c r="X441" s="38">
        <v>6.5892099999999996</v>
      </c>
      <c r="Y441" s="38">
        <f t="shared" si="54"/>
        <v>6.5</v>
      </c>
      <c r="Z441" s="46">
        <v>0</v>
      </c>
      <c r="AA441" s="46">
        <v>0</v>
      </c>
      <c r="AB441" s="38">
        <v>15.875</v>
      </c>
      <c r="AC441" s="38">
        <v>1.4576199999999999</v>
      </c>
      <c r="AD441" s="38">
        <v>435</v>
      </c>
      <c r="AE441" s="38">
        <v>2</v>
      </c>
      <c r="AF441" s="46">
        <f t="shared" si="62"/>
        <v>0.78160012907158105</v>
      </c>
      <c r="AG441" s="38">
        <f t="shared" si="55"/>
        <v>0.8</v>
      </c>
      <c r="AH441" s="38">
        <v>9</v>
      </c>
      <c r="AI441" s="46">
        <f t="shared" si="64"/>
        <v>1.6133947618450068E-2</v>
      </c>
      <c r="AJ441" s="38">
        <v>28</v>
      </c>
      <c r="AK441" s="46">
        <f>AJ441/(3.5*I441*1000)*100</f>
        <v>5.0194503701844653E-2</v>
      </c>
      <c r="AL441" s="38">
        <v>6</v>
      </c>
      <c r="AM441" s="38">
        <f t="shared" si="63"/>
        <v>1.0755965078966711E-2</v>
      </c>
      <c r="AN441" s="25"/>
      <c r="AO441" s="25"/>
    </row>
    <row r="442" spans="1:88" s="22" customFormat="1">
      <c r="A442" s="1">
        <v>18</v>
      </c>
      <c r="B442" s="4" t="s">
        <v>8</v>
      </c>
      <c r="C442" s="14">
        <v>521</v>
      </c>
      <c r="D442" s="19">
        <v>1192</v>
      </c>
      <c r="E442" s="16">
        <v>100</v>
      </c>
      <c r="F442" s="14" t="s">
        <v>227</v>
      </c>
      <c r="G442" s="20">
        <v>0</v>
      </c>
      <c r="H442" s="20">
        <v>20880</v>
      </c>
      <c r="I442" s="21">
        <v>20.88</v>
      </c>
      <c r="J442" s="8">
        <v>2</v>
      </c>
      <c r="K442" s="9" t="s">
        <v>238</v>
      </c>
      <c r="L442" s="18">
        <v>42230</v>
      </c>
      <c r="M442" s="9" t="s">
        <v>191</v>
      </c>
      <c r="N442" s="11">
        <v>5.55</v>
      </c>
      <c r="O442" s="11">
        <v>8.1999999999999993</v>
      </c>
      <c r="P442" s="11">
        <v>5.8250000000000002</v>
      </c>
      <c r="Q442" s="11">
        <v>1.325</v>
      </c>
      <c r="R442" s="11">
        <v>4.125</v>
      </c>
      <c r="S442" s="38">
        <f t="shared" si="53"/>
        <v>4</v>
      </c>
      <c r="T442" s="11">
        <v>4.5750000000000002</v>
      </c>
      <c r="U442" s="11">
        <v>9.3000000000000007</v>
      </c>
      <c r="V442" s="11">
        <v>6.125</v>
      </c>
      <c r="W442" s="11">
        <v>0.9</v>
      </c>
      <c r="X442" s="11">
        <v>10.593999999999999</v>
      </c>
      <c r="Y442" s="38">
        <f t="shared" si="54"/>
        <v>10.5</v>
      </c>
      <c r="Z442" s="248">
        <v>0</v>
      </c>
      <c r="AA442" s="248">
        <v>0</v>
      </c>
      <c r="AB442" s="11">
        <v>20.9</v>
      </c>
      <c r="AC442" s="11">
        <v>1.369</v>
      </c>
      <c r="AD442" s="11">
        <v>560.32000000000005</v>
      </c>
      <c r="AE442" s="11">
        <v>18.63</v>
      </c>
      <c r="AF442" s="248">
        <f t="shared" si="62"/>
        <v>0.77946770662287912</v>
      </c>
      <c r="AG442" s="38">
        <f t="shared" si="55"/>
        <v>0.8</v>
      </c>
      <c r="AH442" s="11">
        <v>56.98</v>
      </c>
      <c r="AI442" s="248">
        <f t="shared" si="64"/>
        <v>7.7969348659003831E-2</v>
      </c>
      <c r="AJ442" s="11">
        <v>125.3</v>
      </c>
      <c r="AK442" s="248">
        <f>AJ442/(3.5*I442*1000)*100</f>
        <v>0.17145593869731801</v>
      </c>
      <c r="AL442" s="11">
        <v>24.23</v>
      </c>
      <c r="AM442" s="11">
        <f t="shared" si="63"/>
        <v>3.3155446086480571E-2</v>
      </c>
      <c r="AQ442" s="12">
        <f>N442+O442+P442+Q442</f>
        <v>20.9</v>
      </c>
      <c r="AR442" s="12">
        <f>T442+U442+V442+W442</f>
        <v>20.9</v>
      </c>
      <c r="AS442" s="12">
        <f>Z442+AA442+AB442</f>
        <v>20.9</v>
      </c>
      <c r="AU442" s="22">
        <v>1.0009578544061302</v>
      </c>
      <c r="AV442" s="22">
        <v>1.0009578544061302</v>
      </c>
      <c r="AW442" s="22">
        <v>1.0009578544061302</v>
      </c>
    </row>
    <row r="443" spans="1:88" s="22" customFormat="1">
      <c r="A443" s="1">
        <v>1225</v>
      </c>
      <c r="B443" s="34" t="s">
        <v>1725</v>
      </c>
      <c r="C443" s="88">
        <v>437</v>
      </c>
      <c r="D443" s="88">
        <v>225</v>
      </c>
      <c r="E443" s="88">
        <v>100</v>
      </c>
      <c r="F443" s="88" t="s">
        <v>1727</v>
      </c>
      <c r="G443" s="88" t="s">
        <v>279</v>
      </c>
      <c r="H443" s="88" t="s">
        <v>92</v>
      </c>
      <c r="I443" s="115">
        <v>10</v>
      </c>
      <c r="J443" s="88">
        <v>2</v>
      </c>
      <c r="K443" s="88" t="s">
        <v>12</v>
      </c>
      <c r="L443" s="116">
        <v>42282</v>
      </c>
      <c r="M443" s="9" t="s">
        <v>191</v>
      </c>
      <c r="N443" s="38">
        <v>6.5250000000000004</v>
      </c>
      <c r="O443" s="38">
        <v>1.95</v>
      </c>
      <c r="P443" s="38">
        <v>1.05</v>
      </c>
      <c r="Q443" s="38">
        <v>0.5</v>
      </c>
      <c r="R443" s="38">
        <v>2.6124200000000002</v>
      </c>
      <c r="S443" s="38">
        <f t="shared" si="53"/>
        <v>2.5</v>
      </c>
      <c r="T443" s="38">
        <v>9.85</v>
      </c>
      <c r="U443" s="38">
        <v>0.05</v>
      </c>
      <c r="V443" s="38">
        <v>0.125</v>
      </c>
      <c r="W443" s="38">
        <v>0</v>
      </c>
      <c r="X443" s="38">
        <v>2.2475399999999999</v>
      </c>
      <c r="Y443" s="38">
        <f t="shared" si="54"/>
        <v>2</v>
      </c>
      <c r="Z443" s="46">
        <v>0</v>
      </c>
      <c r="AA443" s="251">
        <v>0</v>
      </c>
      <c r="AB443" s="117">
        <v>10</v>
      </c>
      <c r="AC443" s="117">
        <v>1.1401699999999999</v>
      </c>
      <c r="AD443" s="117">
        <v>269.10000000000002</v>
      </c>
      <c r="AE443" s="117">
        <v>3.3</v>
      </c>
      <c r="AF443" s="251">
        <f t="shared" si="62"/>
        <v>0.77357142857142858</v>
      </c>
      <c r="AG443" s="38">
        <f t="shared" si="55"/>
        <v>0.8</v>
      </c>
      <c r="AH443" s="117">
        <v>69.2</v>
      </c>
      <c r="AI443" s="251">
        <f t="shared" si="64"/>
        <v>0.19771428571428573</v>
      </c>
      <c r="AJ443" s="117">
        <v>0</v>
      </c>
      <c r="AK443" s="251">
        <f>AJ443/(3.5*I443*1000)*100</f>
        <v>0</v>
      </c>
      <c r="AL443" s="117">
        <v>0</v>
      </c>
      <c r="AM443" s="117">
        <f>AJ443/(3.5*I443*1000)*100</f>
        <v>0</v>
      </c>
      <c r="AN443" s="12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</row>
    <row r="444" spans="1:88" s="22" customFormat="1">
      <c r="A444" s="1">
        <v>494</v>
      </c>
      <c r="B444" s="88" t="s">
        <v>821</v>
      </c>
      <c r="C444" s="88">
        <v>519</v>
      </c>
      <c r="D444" s="88">
        <v>1067</v>
      </c>
      <c r="E444" s="88">
        <v>101</v>
      </c>
      <c r="F444" s="88" t="s">
        <v>842</v>
      </c>
      <c r="G444" s="88" t="s">
        <v>92</v>
      </c>
      <c r="H444" s="88" t="s">
        <v>843</v>
      </c>
      <c r="I444" s="115">
        <v>3.75</v>
      </c>
      <c r="J444" s="88" t="s">
        <v>238</v>
      </c>
      <c r="K444" s="34">
        <v>2</v>
      </c>
      <c r="L444" s="116">
        <v>42277</v>
      </c>
      <c r="M444" s="9" t="s">
        <v>191</v>
      </c>
      <c r="N444" s="117">
        <v>2.11</v>
      </c>
      <c r="O444" s="117">
        <v>0.97</v>
      </c>
      <c r="P444" s="117">
        <v>0.47</v>
      </c>
      <c r="Q444" s="117">
        <v>0.2</v>
      </c>
      <c r="R444" s="117">
        <v>2.93099</v>
      </c>
      <c r="S444" s="38">
        <f t="shared" si="53"/>
        <v>3</v>
      </c>
      <c r="T444" s="117">
        <v>3.75</v>
      </c>
      <c r="U444" s="117">
        <v>0</v>
      </c>
      <c r="V444" s="117">
        <v>0</v>
      </c>
      <c r="W444" s="117">
        <v>0</v>
      </c>
      <c r="X444" s="117">
        <v>2.032</v>
      </c>
      <c r="Y444" s="38">
        <f t="shared" si="54"/>
        <v>2</v>
      </c>
      <c r="Z444" s="251">
        <v>0</v>
      </c>
      <c r="AA444" s="251">
        <v>0</v>
      </c>
      <c r="AB444" s="117">
        <v>3.75</v>
      </c>
      <c r="AC444" s="117">
        <v>1.1761200000000001</v>
      </c>
      <c r="AD444" s="117">
        <v>95.756</v>
      </c>
      <c r="AE444" s="117">
        <v>11.35</v>
      </c>
      <c r="AF444" s="251">
        <v>0.77280800000000005</v>
      </c>
      <c r="AG444" s="38">
        <f t="shared" si="55"/>
        <v>0.8</v>
      </c>
      <c r="AH444" s="117">
        <v>94.26</v>
      </c>
      <c r="AI444" s="251">
        <v>0.718171</v>
      </c>
      <c r="AJ444" s="117">
        <v>0</v>
      </c>
      <c r="AK444" s="251">
        <v>0</v>
      </c>
      <c r="AL444" s="117">
        <v>0</v>
      </c>
      <c r="AM444" s="117">
        <v>0</v>
      </c>
      <c r="AN444" s="41"/>
      <c r="AO444" s="41"/>
      <c r="AP444" s="41"/>
      <c r="AQ444" s="41">
        <f>SUM(N444:Q444)</f>
        <v>3.75</v>
      </c>
      <c r="AR444" s="41">
        <f>SUM(T444:W444)</f>
        <v>3.75</v>
      </c>
      <c r="AS444" s="41">
        <f>SUM(Z444:AB444)</f>
        <v>3.75</v>
      </c>
      <c r="AU444" s="22">
        <f>I444/AQ444</f>
        <v>1</v>
      </c>
      <c r="AV444" s="22">
        <f>I444/AR444</f>
        <v>1</v>
      </c>
      <c r="AW444" s="22">
        <f>I444/AS444</f>
        <v>1</v>
      </c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</row>
    <row r="445" spans="1:88" s="22" customFormat="1">
      <c r="A445" s="1">
        <v>1017</v>
      </c>
      <c r="B445" s="9" t="s">
        <v>1394</v>
      </c>
      <c r="C445" s="9">
        <v>617</v>
      </c>
      <c r="D445" s="8">
        <v>348</v>
      </c>
      <c r="E445" s="9">
        <v>203</v>
      </c>
      <c r="F445" s="9" t="s">
        <v>1417</v>
      </c>
      <c r="G445" s="20">
        <v>117825</v>
      </c>
      <c r="H445" s="20">
        <v>140141</v>
      </c>
      <c r="I445" s="35">
        <v>22.315999999999999</v>
      </c>
      <c r="J445" s="9">
        <v>2</v>
      </c>
      <c r="K445" s="9" t="s">
        <v>238</v>
      </c>
      <c r="L445" s="18">
        <v>42130</v>
      </c>
      <c r="M445" s="9" t="s">
        <v>191</v>
      </c>
      <c r="N445" s="11">
        <v>10.63</v>
      </c>
      <c r="O445" s="11">
        <v>6.15</v>
      </c>
      <c r="P445" s="11">
        <v>4.2750000000000004</v>
      </c>
      <c r="Q445" s="11">
        <v>1.175</v>
      </c>
      <c r="R445" s="11">
        <v>2.5590999999999999</v>
      </c>
      <c r="S445" s="38">
        <f t="shared" si="53"/>
        <v>2.5</v>
      </c>
      <c r="T445" s="11">
        <v>20.399999999999999</v>
      </c>
      <c r="U445" s="11">
        <v>1.55</v>
      </c>
      <c r="V445" s="11">
        <v>0.25</v>
      </c>
      <c r="W445" s="11">
        <v>2.5000000000000001E-2</v>
      </c>
      <c r="X445" s="11">
        <v>5.2144500000000003</v>
      </c>
      <c r="Y445" s="38">
        <f t="shared" si="54"/>
        <v>5</v>
      </c>
      <c r="Z445" s="248">
        <v>0</v>
      </c>
      <c r="AA445" s="248">
        <v>0</v>
      </c>
      <c r="AB445" s="11">
        <f>SUM(N445:Q445)</f>
        <v>22.23</v>
      </c>
      <c r="AC445" s="11">
        <v>1.4748399999999999</v>
      </c>
      <c r="AD445" s="11">
        <v>457.46</v>
      </c>
      <c r="AE445" s="11">
        <v>289.02999999999997</v>
      </c>
      <c r="AF445" s="248">
        <f>(AD445+AE445*0.5)/(3.5*I445*1000)*100</f>
        <v>0.77071543799452014</v>
      </c>
      <c r="AG445" s="38">
        <f t="shared" si="55"/>
        <v>0.8</v>
      </c>
      <c r="AH445" s="11">
        <v>164.66</v>
      </c>
      <c r="AI445" s="46">
        <f>AH445/(3.5*I445*1000)*100</f>
        <v>0.21081607046833789</v>
      </c>
      <c r="AJ445" s="11">
        <v>91.27</v>
      </c>
      <c r="AK445" s="46">
        <f>AJ445/(3.5*I445*1000)*100</f>
        <v>0.11685401889739584</v>
      </c>
      <c r="AL445" s="11">
        <v>0</v>
      </c>
      <c r="AM445" s="38">
        <f>AL445/(3.5*I445*1000)*100</f>
        <v>0</v>
      </c>
      <c r="AN445" s="25"/>
      <c r="AO445" s="25">
        <f>AE445*0.5</f>
        <v>144.51499999999999</v>
      </c>
      <c r="AP445" s="25">
        <f>(AD445+AH445+AJ445+AL445+AO445)*I445</f>
        <v>19145.007979999998</v>
      </c>
      <c r="AQ445" s="25"/>
      <c r="AR445" s="25"/>
      <c r="AS445" s="25">
        <f>SUM(N445:Q445)</f>
        <v>22.23</v>
      </c>
      <c r="AT445" s="25">
        <f>SUM(T445:W445)</f>
        <v>22.224999999999998</v>
      </c>
      <c r="AU445" s="41"/>
      <c r="AV445" s="41"/>
      <c r="AW445" s="41"/>
    </row>
    <row r="446" spans="1:88" s="22" customFormat="1">
      <c r="A446" s="1">
        <v>454</v>
      </c>
      <c r="B446" s="74" t="s">
        <v>699</v>
      </c>
      <c r="C446" s="34">
        <v>513</v>
      </c>
      <c r="D446" s="34">
        <v>1370</v>
      </c>
      <c r="E446" s="34">
        <v>100</v>
      </c>
      <c r="F446" s="34" t="s">
        <v>772</v>
      </c>
      <c r="G446" s="34" t="s">
        <v>92</v>
      </c>
      <c r="H446" s="34" t="s">
        <v>773</v>
      </c>
      <c r="I446" s="55">
        <v>3.28</v>
      </c>
      <c r="J446" s="5" t="s">
        <v>238</v>
      </c>
      <c r="K446" s="34">
        <v>2</v>
      </c>
      <c r="L446" s="10">
        <v>42264</v>
      </c>
      <c r="M446" s="9" t="s">
        <v>191</v>
      </c>
      <c r="N446" s="38">
        <v>2.5299999999999998</v>
      </c>
      <c r="O446" s="38">
        <v>0.56000000000000005</v>
      </c>
      <c r="P446" s="38">
        <v>0.13</v>
      </c>
      <c r="Q446" s="38">
        <v>7.0000000000000007E-2</v>
      </c>
      <c r="R446" s="38">
        <v>2.3202099999999999</v>
      </c>
      <c r="S446" s="38">
        <f t="shared" si="53"/>
        <v>2.5</v>
      </c>
      <c r="T446" s="38">
        <v>3.28</v>
      </c>
      <c r="U446" s="38">
        <v>0</v>
      </c>
      <c r="V446" s="38">
        <v>0</v>
      </c>
      <c r="W446" s="38">
        <v>0</v>
      </c>
      <c r="X446" s="38">
        <v>1.9392799999999999</v>
      </c>
      <c r="Y446" s="38">
        <f t="shared" si="54"/>
        <v>2</v>
      </c>
      <c r="Z446" s="46">
        <v>0</v>
      </c>
      <c r="AA446" s="46">
        <v>0</v>
      </c>
      <c r="AB446" s="38">
        <v>3.28</v>
      </c>
      <c r="AC446" s="38">
        <v>1.02719</v>
      </c>
      <c r="AD446" s="38">
        <v>86.325000000000003</v>
      </c>
      <c r="AE446" s="38">
        <v>4.21</v>
      </c>
      <c r="AF446" s="46">
        <f>(AD446+AE446*0.5)/(3.5*I446*1000)*100</f>
        <v>0.77029616724738692</v>
      </c>
      <c r="AG446" s="38">
        <f t="shared" si="55"/>
        <v>0.8</v>
      </c>
      <c r="AH446" s="38">
        <v>96.45</v>
      </c>
      <c r="AI446" s="46">
        <f>AH446/(3.5*I446*1000)*100</f>
        <v>0.84015679442508728</v>
      </c>
      <c r="AJ446" s="38">
        <v>0</v>
      </c>
      <c r="AK446" s="46">
        <f>AJ446/(3.5*I446*1000)*100</f>
        <v>0</v>
      </c>
      <c r="AL446" s="38">
        <v>0</v>
      </c>
      <c r="AM446" s="38">
        <f>AL446/(3.5*I446*1000)*100</f>
        <v>0</v>
      </c>
      <c r="AN446" s="41"/>
      <c r="AO446" s="41"/>
      <c r="AP446" s="73"/>
      <c r="AQ446" s="41">
        <f>SUM(N446:Q446)</f>
        <v>3.2899999999999996</v>
      </c>
      <c r="AR446" s="41">
        <f>SUM(T446:W446)</f>
        <v>3.28</v>
      </c>
      <c r="AS446" s="41">
        <f>SUM(Z446:AB446)</f>
        <v>3.28</v>
      </c>
      <c r="AU446" s="22">
        <f>I446/AQ446</f>
        <v>0.99696048632218848</v>
      </c>
      <c r="AV446" s="22">
        <f>I446/AR446</f>
        <v>1</v>
      </c>
      <c r="AW446" s="22">
        <f>I446/AS446</f>
        <v>1</v>
      </c>
      <c r="AX446" s="73"/>
      <c r="AY446" s="73"/>
      <c r="AZ446" s="73"/>
      <c r="BA446" s="73"/>
      <c r="BB446" s="73"/>
      <c r="BC446" s="73"/>
      <c r="BD446" s="73"/>
      <c r="BE446" s="73"/>
      <c r="BF446" s="73"/>
      <c r="BG446" s="73"/>
      <c r="BH446" s="73"/>
      <c r="BI446" s="73"/>
      <c r="BJ446" s="73"/>
      <c r="BK446" s="73"/>
      <c r="BL446" s="73"/>
      <c r="BM446" s="73"/>
      <c r="BN446" s="73"/>
      <c r="BO446" s="73"/>
      <c r="BP446" s="73"/>
      <c r="BQ446" s="73"/>
      <c r="BR446" s="73"/>
      <c r="BS446" s="73"/>
      <c r="BT446" s="73"/>
      <c r="BU446" s="73"/>
      <c r="BV446" s="73"/>
      <c r="BW446" s="73"/>
      <c r="BX446" s="73"/>
      <c r="BY446" s="73"/>
      <c r="BZ446" s="73"/>
      <c r="CA446" s="73"/>
      <c r="CB446" s="73"/>
      <c r="CC446" s="73"/>
      <c r="CD446" s="73"/>
      <c r="CE446" s="73"/>
      <c r="CF446" s="73"/>
      <c r="CG446" s="73"/>
      <c r="CH446" s="73"/>
      <c r="CI446" s="73"/>
      <c r="CJ446" s="73"/>
    </row>
    <row r="447" spans="1:88" s="22" customFormat="1">
      <c r="A447" s="1">
        <v>1029</v>
      </c>
      <c r="B447" s="9" t="s">
        <v>1394</v>
      </c>
      <c r="C447" s="9">
        <v>617</v>
      </c>
      <c r="D447" s="8">
        <v>2117</v>
      </c>
      <c r="E447" s="9">
        <v>100</v>
      </c>
      <c r="F447" s="9" t="s">
        <v>1427</v>
      </c>
      <c r="G447" s="20" t="s">
        <v>92</v>
      </c>
      <c r="H447" s="20" t="s">
        <v>1429</v>
      </c>
      <c r="I447" s="35">
        <v>0.53500000000000003</v>
      </c>
      <c r="J447" s="9">
        <v>2</v>
      </c>
      <c r="K447" s="9" t="s">
        <v>238</v>
      </c>
      <c r="L447" s="18">
        <v>42131</v>
      </c>
      <c r="M447" s="9" t="s">
        <v>191</v>
      </c>
      <c r="N447" s="11">
        <v>0.52500000000000002</v>
      </c>
      <c r="O447" s="11">
        <v>0.1</v>
      </c>
      <c r="P447" s="11">
        <v>0</v>
      </c>
      <c r="Q447" s="11">
        <v>0.1</v>
      </c>
      <c r="R447" s="11">
        <v>3.0869</v>
      </c>
      <c r="S447" s="38">
        <f t="shared" si="53"/>
        <v>3</v>
      </c>
      <c r="T447" s="11">
        <v>0.435</v>
      </c>
      <c r="U447" s="11">
        <v>0.1</v>
      </c>
      <c r="V447" s="11">
        <v>0</v>
      </c>
      <c r="W447" s="11">
        <v>0</v>
      </c>
      <c r="X447" s="11">
        <v>3.1833399999999998</v>
      </c>
      <c r="Y447" s="38">
        <f t="shared" si="54"/>
        <v>3</v>
      </c>
      <c r="Z447" s="248">
        <v>0</v>
      </c>
      <c r="AA447" s="248">
        <v>0</v>
      </c>
      <c r="AB447" s="11">
        <f>SUM(N447:Q447)</f>
        <v>0.72499999999999998</v>
      </c>
      <c r="AC447" s="11">
        <v>1.7059</v>
      </c>
      <c r="AD447" s="11">
        <v>7.93</v>
      </c>
      <c r="AE447" s="11">
        <v>12.54</v>
      </c>
      <c r="AF447" s="248">
        <f>(AD447+AE447*0.5)/(3.5*I447*1000)*100</f>
        <v>0.75834445927903871</v>
      </c>
      <c r="AG447" s="38">
        <f t="shared" si="55"/>
        <v>0.8</v>
      </c>
      <c r="AH447" s="11">
        <v>13.72</v>
      </c>
      <c r="AI447" s="46">
        <f>AH447/(3.5*I447*1000)*100</f>
        <v>0.73271028037383179</v>
      </c>
      <c r="AJ447" s="11">
        <v>3.59</v>
      </c>
      <c r="AK447" s="46">
        <f>AJ447/(3.5*I447*1000)*100</f>
        <v>0.19172229639519359</v>
      </c>
      <c r="AL447" s="11">
        <v>0</v>
      </c>
      <c r="AM447" s="38">
        <f>AL447/(3.5*I447*1000)*100</f>
        <v>0</v>
      </c>
      <c r="AN447" s="25"/>
      <c r="AO447" s="25">
        <f>AE447*0.5</f>
        <v>6.27</v>
      </c>
      <c r="AP447" s="25">
        <f>(AD447+AH447+AJ447+AL447+AO447)*I447</f>
        <v>16.857849999999999</v>
      </c>
      <c r="AQ447" s="25"/>
      <c r="AR447" s="25"/>
      <c r="AS447" s="25">
        <f>SUM(N447:Q447)</f>
        <v>0.72499999999999998</v>
      </c>
      <c r="AT447" s="25">
        <f>SUM(T447:W447)</f>
        <v>0.53500000000000003</v>
      </c>
      <c r="AU447" s="41"/>
      <c r="AV447" s="41"/>
      <c r="AW447" s="41"/>
    </row>
    <row r="448" spans="1:88" s="22" customFormat="1">
      <c r="A448" s="1">
        <v>778</v>
      </c>
      <c r="B448" s="34" t="s">
        <v>1149</v>
      </c>
      <c r="C448" s="34">
        <v>622</v>
      </c>
      <c r="D448" s="8">
        <v>2391</v>
      </c>
      <c r="E448" s="34">
        <v>100</v>
      </c>
      <c r="F448" s="34" t="s">
        <v>1170</v>
      </c>
      <c r="G448" s="58">
        <v>368</v>
      </c>
      <c r="H448" s="58">
        <v>28137</v>
      </c>
      <c r="I448" s="35">
        <v>27.12</v>
      </c>
      <c r="J448" s="9">
        <v>2</v>
      </c>
      <c r="K448" s="34" t="s">
        <v>238</v>
      </c>
      <c r="L448" s="10">
        <v>42152</v>
      </c>
      <c r="M448" s="9" t="s">
        <v>191</v>
      </c>
      <c r="N448" s="38">
        <v>18.399999999999999</v>
      </c>
      <c r="O448" s="38">
        <v>5.65</v>
      </c>
      <c r="P448" s="38">
        <v>2.2250000000000001</v>
      </c>
      <c r="Q448" s="38">
        <v>1.375</v>
      </c>
      <c r="R448" s="38">
        <v>2.44</v>
      </c>
      <c r="S448" s="38">
        <f t="shared" si="53"/>
        <v>2.5</v>
      </c>
      <c r="T448" s="38">
        <v>25.44</v>
      </c>
      <c r="U448" s="38">
        <v>1.46</v>
      </c>
      <c r="V448" s="38">
        <v>0.57999999999999996</v>
      </c>
      <c r="W448" s="38">
        <v>0.3</v>
      </c>
      <c r="X448" s="38">
        <v>3.9337499999999999</v>
      </c>
      <c r="Y448" s="38">
        <f t="shared" si="54"/>
        <v>4</v>
      </c>
      <c r="Z448" s="46">
        <v>0</v>
      </c>
      <c r="AA448" s="46">
        <v>0</v>
      </c>
      <c r="AB448" s="38">
        <v>27.77</v>
      </c>
      <c r="AC448" s="38">
        <v>1.1699200000000001</v>
      </c>
      <c r="AD448" s="38">
        <v>634</v>
      </c>
      <c r="AE448" s="38">
        <v>170</v>
      </c>
      <c r="AF448" s="46">
        <f>(AD448+AE448*0.5)/(3.5*I448*1000)*100</f>
        <v>0.75747998314369991</v>
      </c>
      <c r="AG448" s="38">
        <f t="shared" si="55"/>
        <v>0.8</v>
      </c>
      <c r="AH448" s="38">
        <v>7030</v>
      </c>
      <c r="AI448" s="46">
        <f>AH448/(3.5*I448*1000)*100</f>
        <v>7.4062368310155922</v>
      </c>
      <c r="AJ448" s="38">
        <v>97</v>
      </c>
      <c r="AK448" s="46">
        <f>AJ448/(3.5*I448*1000)*100</f>
        <v>0.1021913190054783</v>
      </c>
      <c r="AL448" s="38">
        <v>86</v>
      </c>
      <c r="AM448" s="38">
        <f>AL448/(3.5*I448*1000)*100</f>
        <v>9.0602612726506535E-2</v>
      </c>
      <c r="AN448" s="25"/>
      <c r="AO448" s="25">
        <f>AE448*0.5</f>
        <v>85</v>
      </c>
      <c r="AP448" s="25">
        <f>(AD448+AH448+AJ448+AL448+AO448)*I448</f>
        <v>215115.84</v>
      </c>
      <c r="AQ448" s="25">
        <f>SUM(N448:Q448)</f>
        <v>27.65</v>
      </c>
      <c r="AR448" s="25">
        <f>SUM(T448:W448)</f>
        <v>27.78</v>
      </c>
      <c r="AS448" s="268">
        <v>27.768999999999998</v>
      </c>
      <c r="AT448" s="41"/>
      <c r="AU448" s="41">
        <f>SUM(N448:Q448)</f>
        <v>27.65</v>
      </c>
      <c r="AV448" s="41">
        <f>SUM(T448:W448)</f>
        <v>27.78</v>
      </c>
      <c r="AW448" s="41">
        <f>SUM(Z448:AB448)</f>
        <v>27.77</v>
      </c>
      <c r="AY448" s="22">
        <f>I448/AU448</f>
        <v>0.98083182640144673</v>
      </c>
      <c r="AZ448" s="22">
        <f>I448/AV448</f>
        <v>0.97624190064794814</v>
      </c>
      <c r="BA448" s="22">
        <f>I448/AW448</f>
        <v>0.97659344616492627</v>
      </c>
    </row>
    <row r="449" spans="1:88" s="22" customFormat="1">
      <c r="A449" s="1">
        <v>1497</v>
      </c>
      <c r="B449" s="34" t="s">
        <v>2016</v>
      </c>
      <c r="C449" s="34">
        <v>411</v>
      </c>
      <c r="D449" s="69">
        <v>3902</v>
      </c>
      <c r="E449" s="34">
        <v>602</v>
      </c>
      <c r="F449" s="34" t="s">
        <v>2057</v>
      </c>
      <c r="G449" s="58" t="s">
        <v>2065</v>
      </c>
      <c r="H449" s="58" t="s">
        <v>2066</v>
      </c>
      <c r="I449" s="35">
        <v>5.2649999999999997</v>
      </c>
      <c r="J449" s="34">
        <v>2</v>
      </c>
      <c r="K449" s="34" t="s">
        <v>12</v>
      </c>
      <c r="L449" s="10">
        <v>42248</v>
      </c>
      <c r="M449" s="9" t="s">
        <v>191</v>
      </c>
      <c r="N449" s="38">
        <v>2.1749999999999998</v>
      </c>
      <c r="O449" s="38">
        <v>1.075</v>
      </c>
      <c r="P449" s="38">
        <v>0.875</v>
      </c>
      <c r="Q449" s="38">
        <v>0.92500000000000004</v>
      </c>
      <c r="R449" s="38">
        <v>3.3580000000000001</v>
      </c>
      <c r="S449" s="38">
        <f t="shared" si="53"/>
        <v>3.5</v>
      </c>
      <c r="T449" s="38">
        <v>4.375</v>
      </c>
      <c r="U449" s="38">
        <v>0.5</v>
      </c>
      <c r="V449" s="38">
        <v>0.1</v>
      </c>
      <c r="W449" s="38">
        <v>7.4999999999999997E-2</v>
      </c>
      <c r="X449" s="38">
        <v>6.1639999999999997</v>
      </c>
      <c r="Y449" s="38">
        <f t="shared" si="54"/>
        <v>6</v>
      </c>
      <c r="Z449" s="46">
        <v>0</v>
      </c>
      <c r="AA449" s="46">
        <v>0</v>
      </c>
      <c r="AB449" s="38">
        <f>SUM(T449:W449)</f>
        <v>5.05</v>
      </c>
      <c r="AC449" s="38">
        <v>1.099</v>
      </c>
      <c r="AD449" s="38">
        <v>118</v>
      </c>
      <c r="AE449" s="38">
        <v>43.11</v>
      </c>
      <c r="AF449" s="46">
        <f>(AD449+AE449*0.5)/(3.5*I449*1000)*100</f>
        <v>0.75731922398589069</v>
      </c>
      <c r="AG449" s="38">
        <f t="shared" si="55"/>
        <v>0.8</v>
      </c>
      <c r="AH449" s="38">
        <v>37</v>
      </c>
      <c r="AI449" s="46">
        <f>AH449/(3.5*I449*1000)*100</f>
        <v>0.20078686745353411</v>
      </c>
      <c r="AJ449" s="38">
        <v>210.99</v>
      </c>
      <c r="AK449" s="46">
        <f>AJ449/(3.5*I449*1000)*100</f>
        <v>1.1449735449735452</v>
      </c>
      <c r="AL449" s="38">
        <v>10</v>
      </c>
      <c r="AM449" s="38">
        <f>AL449/(3.5*I449*1000)*100</f>
        <v>5.4266720933387601E-2</v>
      </c>
      <c r="AN449" s="60"/>
      <c r="AO449" s="60">
        <f>AE449*0.5</f>
        <v>21.555</v>
      </c>
      <c r="AP449" s="60">
        <f>(AD449+AH449+AJ449+AL449+AO449)*I449</f>
        <v>2093.0744249999998</v>
      </c>
      <c r="AQ449" s="60"/>
      <c r="AR449" s="60">
        <f>SUM(N449:Q449)</f>
        <v>5.05</v>
      </c>
      <c r="AS449" s="60">
        <f>SUM(T449:W449)</f>
        <v>5.05</v>
      </c>
      <c r="AT449" s="60"/>
      <c r="AU449" s="61"/>
      <c r="AV449" s="40"/>
      <c r="AW449" s="40"/>
      <c r="AX449" s="40"/>
      <c r="AY449" s="40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</row>
    <row r="450" spans="1:88" s="22" customFormat="1">
      <c r="A450" s="1">
        <v>1355</v>
      </c>
      <c r="B450" s="74" t="s">
        <v>1905</v>
      </c>
      <c r="C450" s="34">
        <v>445</v>
      </c>
      <c r="D450" s="75">
        <v>324</v>
      </c>
      <c r="E450" s="69">
        <v>202</v>
      </c>
      <c r="F450" s="184" t="s">
        <v>1908</v>
      </c>
      <c r="G450" s="20">
        <v>44000</v>
      </c>
      <c r="H450" s="20">
        <v>51935</v>
      </c>
      <c r="I450" s="21">
        <v>7.9349999999999996</v>
      </c>
      <c r="J450" s="8">
        <v>4</v>
      </c>
      <c r="K450" s="34" t="s">
        <v>237</v>
      </c>
      <c r="L450" s="10">
        <v>42188</v>
      </c>
      <c r="M450" s="9" t="s">
        <v>191</v>
      </c>
      <c r="N450" s="38">
        <v>5.15</v>
      </c>
      <c r="O450" s="38">
        <v>2.25</v>
      </c>
      <c r="P450" s="38">
        <v>0.4</v>
      </c>
      <c r="Q450" s="38">
        <v>0.17499999999999999</v>
      </c>
      <c r="R450" s="38">
        <v>2.4412500000000001</v>
      </c>
      <c r="S450" s="38">
        <f t="shared" si="53"/>
        <v>2.5</v>
      </c>
      <c r="T450" s="38">
        <v>7.1</v>
      </c>
      <c r="U450" s="38">
        <v>0.6</v>
      </c>
      <c r="V450" s="38">
        <v>0.125</v>
      </c>
      <c r="W450" s="38">
        <v>0.15</v>
      </c>
      <c r="X450" s="38">
        <v>6.5165199999999999</v>
      </c>
      <c r="Y450" s="38">
        <f t="shared" si="54"/>
        <v>6.5</v>
      </c>
      <c r="Z450" s="46">
        <v>0</v>
      </c>
      <c r="AA450" s="46">
        <v>0</v>
      </c>
      <c r="AB450" s="38">
        <v>7.9750000000000005</v>
      </c>
      <c r="AC450" s="38">
        <v>1.03888</v>
      </c>
      <c r="AD450" s="38">
        <v>185.2</v>
      </c>
      <c r="AE450" s="38">
        <v>47</v>
      </c>
      <c r="AF450" s="46">
        <v>0.75146277792780636</v>
      </c>
      <c r="AG450" s="38">
        <f t="shared" si="55"/>
        <v>0.8</v>
      </c>
      <c r="AH450" s="38">
        <v>79.257000000000005</v>
      </c>
      <c r="AI450" s="46">
        <v>0.28537942209019718</v>
      </c>
      <c r="AJ450" s="38">
        <v>0</v>
      </c>
      <c r="AK450" s="46">
        <v>0</v>
      </c>
      <c r="AL450" s="38">
        <v>0</v>
      </c>
      <c r="AM450" s="38">
        <v>0</v>
      </c>
      <c r="AN450" s="72"/>
      <c r="AO450" s="41"/>
      <c r="AP450" s="41"/>
      <c r="AQ450" s="41"/>
      <c r="AR450" s="41"/>
      <c r="AS450" s="73"/>
      <c r="AT450" s="73"/>
      <c r="AU450" s="73"/>
      <c r="AV450" s="73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</row>
    <row r="451" spans="1:88" s="22" customFormat="1">
      <c r="A451" s="1">
        <v>1328</v>
      </c>
      <c r="B451" s="74" t="s">
        <v>1851</v>
      </c>
      <c r="C451" s="34">
        <v>444</v>
      </c>
      <c r="D451" s="75">
        <v>3228</v>
      </c>
      <c r="E451" s="69">
        <v>100</v>
      </c>
      <c r="F451" s="34" t="s">
        <v>1874</v>
      </c>
      <c r="G451" s="20">
        <v>0</v>
      </c>
      <c r="H451" s="20">
        <v>2826</v>
      </c>
      <c r="I451" s="21">
        <v>2.8260000000000001</v>
      </c>
      <c r="J451" s="8">
        <v>2</v>
      </c>
      <c r="K451" s="34" t="s">
        <v>238</v>
      </c>
      <c r="L451" s="10">
        <v>42214</v>
      </c>
      <c r="M451" s="9" t="s">
        <v>191</v>
      </c>
      <c r="N451" s="38">
        <v>2.125</v>
      </c>
      <c r="O451" s="38">
        <v>0.6</v>
      </c>
      <c r="P451" s="38">
        <v>0.05</v>
      </c>
      <c r="Q451" s="38">
        <v>7.4999999999999997E-2</v>
      </c>
      <c r="R451" s="38">
        <v>2.5141200000000001</v>
      </c>
      <c r="S451" s="38">
        <f t="shared" ref="S451:S514" si="65">ROUND(R451/5,1)*5</f>
        <v>2.5</v>
      </c>
      <c r="T451" s="38">
        <v>2.85</v>
      </c>
      <c r="U451" s="38">
        <v>0</v>
      </c>
      <c r="V451" s="38">
        <v>0</v>
      </c>
      <c r="W451" s="38">
        <v>0</v>
      </c>
      <c r="X451" s="38">
        <v>0.85622799999999999</v>
      </c>
      <c r="Y451" s="38">
        <f t="shared" ref="Y451:Y514" si="66">ROUND(X451/5,1)*5</f>
        <v>1</v>
      </c>
      <c r="Z451" s="46">
        <v>0</v>
      </c>
      <c r="AA451" s="46">
        <v>0</v>
      </c>
      <c r="AB451" s="38">
        <v>2.85</v>
      </c>
      <c r="AC451" s="38">
        <v>1.0694699999999999</v>
      </c>
      <c r="AD451" s="38">
        <v>20</v>
      </c>
      <c r="AE451" s="38">
        <v>108</v>
      </c>
      <c r="AF451" s="46">
        <v>0.74815488828227683</v>
      </c>
      <c r="AG451" s="38">
        <f t="shared" ref="AG451:AG514" si="67">ROUND(AF451,1)</f>
        <v>0.7</v>
      </c>
      <c r="AH451" s="38">
        <v>0</v>
      </c>
      <c r="AI451" s="46">
        <v>0</v>
      </c>
      <c r="AJ451" s="38">
        <v>0</v>
      </c>
      <c r="AK451" s="46">
        <v>0</v>
      </c>
      <c r="AL451" s="38">
        <v>0</v>
      </c>
      <c r="AM451" s="38">
        <v>0</v>
      </c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</row>
    <row r="452" spans="1:88" s="22" customFormat="1">
      <c r="A452" s="1">
        <v>438</v>
      </c>
      <c r="B452" s="74" t="s">
        <v>699</v>
      </c>
      <c r="C452" s="34">
        <v>513</v>
      </c>
      <c r="D452" s="75">
        <v>1195</v>
      </c>
      <c r="E452" s="69">
        <v>101</v>
      </c>
      <c r="F452" s="76" t="s">
        <v>742</v>
      </c>
      <c r="G452" s="58" t="s">
        <v>92</v>
      </c>
      <c r="H452" s="58" t="s">
        <v>743</v>
      </c>
      <c r="I452" s="55">
        <v>6.0860000000000003</v>
      </c>
      <c r="J452" s="5" t="s">
        <v>238</v>
      </c>
      <c r="K452" s="34">
        <v>2</v>
      </c>
      <c r="L452" s="18">
        <v>42263</v>
      </c>
      <c r="M452" s="9" t="s">
        <v>191</v>
      </c>
      <c r="N452" s="38">
        <v>2.83</v>
      </c>
      <c r="O452" s="38">
        <v>2.0099999999999998</v>
      </c>
      <c r="P452" s="38">
        <v>0.97</v>
      </c>
      <c r="Q452" s="38">
        <v>0.28000000000000003</v>
      </c>
      <c r="R452" s="38">
        <v>2.6109399999999998</v>
      </c>
      <c r="S452" s="38">
        <f t="shared" si="65"/>
        <v>2.5</v>
      </c>
      <c r="T452" s="38">
        <v>5.79</v>
      </c>
      <c r="U452" s="38">
        <v>0.27</v>
      </c>
      <c r="V452" s="38">
        <v>0.02</v>
      </c>
      <c r="W452" s="38">
        <v>0</v>
      </c>
      <c r="X452" s="38">
        <v>3.8168299999999999</v>
      </c>
      <c r="Y452" s="38">
        <f t="shared" si="66"/>
        <v>4</v>
      </c>
      <c r="Z452" s="46">
        <v>0</v>
      </c>
      <c r="AA452" s="46">
        <v>0</v>
      </c>
      <c r="AB452" s="38">
        <v>6.09</v>
      </c>
      <c r="AC452" s="38">
        <v>1.1547499999999999</v>
      </c>
      <c r="AD452" s="38">
        <v>150.25</v>
      </c>
      <c r="AE452" s="38">
        <v>17.68</v>
      </c>
      <c r="AF452" s="46">
        <f>(AD452+AE452*0.5)/(3.5*I452*1000)*100</f>
        <v>0.7468663443030843</v>
      </c>
      <c r="AG452" s="38">
        <f t="shared" si="67"/>
        <v>0.7</v>
      </c>
      <c r="AH452" s="38">
        <v>84.67</v>
      </c>
      <c r="AI452" s="46">
        <f>AH452/(3.5*I452*1000)*100</f>
        <v>0.39749307544246743</v>
      </c>
      <c r="AJ452" s="38">
        <v>0</v>
      </c>
      <c r="AK452" s="46">
        <f>AJ452/(3.5*I452*1000)*100</f>
        <v>0</v>
      </c>
      <c r="AL452" s="38">
        <v>0</v>
      </c>
      <c r="AM452" s="38">
        <f>AL452/(3.5*I452*1000)*100</f>
        <v>0</v>
      </c>
      <c r="AN452" s="41"/>
      <c r="AO452" s="41"/>
      <c r="AP452" s="73"/>
      <c r="AQ452" s="41">
        <f>SUM(N452:Q452)</f>
        <v>6.09</v>
      </c>
      <c r="AR452" s="41">
        <f>SUM(T452:W452)</f>
        <v>6.08</v>
      </c>
      <c r="AS452" s="41">
        <f>SUM(Z452:AB452)</f>
        <v>6.09</v>
      </c>
      <c r="AU452" s="22">
        <f>I452/AQ452</f>
        <v>0.99934318555008217</v>
      </c>
      <c r="AV452" s="22">
        <f>I452/AR452</f>
        <v>1.0009868421052632</v>
      </c>
      <c r="AW452" s="22">
        <f>I452/AS452</f>
        <v>0.99934318555008217</v>
      </c>
      <c r="AX452" s="73"/>
      <c r="AY452" s="73"/>
      <c r="AZ452" s="73"/>
      <c r="BA452" s="73"/>
      <c r="BB452" s="73"/>
      <c r="BC452" s="73"/>
      <c r="BD452" s="73"/>
      <c r="BE452" s="73"/>
      <c r="BF452" s="73"/>
      <c r="BG452" s="73"/>
      <c r="BH452" s="73"/>
      <c r="BI452" s="73"/>
      <c r="BJ452" s="73"/>
      <c r="BK452" s="73"/>
      <c r="BL452" s="73"/>
      <c r="BM452" s="73"/>
      <c r="BN452" s="73"/>
      <c r="BO452" s="73"/>
      <c r="BP452" s="73"/>
      <c r="BQ452" s="73"/>
      <c r="BR452" s="73"/>
      <c r="BS452" s="73"/>
      <c r="BT452" s="73"/>
      <c r="BU452" s="73"/>
      <c r="BV452" s="73"/>
      <c r="BW452" s="73"/>
      <c r="BX452" s="73"/>
      <c r="BY452" s="73"/>
      <c r="BZ452" s="73"/>
      <c r="CA452" s="73"/>
      <c r="CB452" s="73"/>
      <c r="CC452" s="73"/>
      <c r="CD452" s="73"/>
      <c r="CE452" s="73"/>
      <c r="CF452" s="73"/>
      <c r="CG452" s="73"/>
      <c r="CH452" s="73"/>
      <c r="CI452" s="73"/>
      <c r="CJ452" s="73"/>
    </row>
    <row r="453" spans="1:88" s="22" customFormat="1">
      <c r="A453" s="1">
        <v>680</v>
      </c>
      <c r="B453" s="34" t="s">
        <v>1084</v>
      </c>
      <c r="C453" s="34">
        <v>624</v>
      </c>
      <c r="D453" s="34">
        <v>2092</v>
      </c>
      <c r="E453" s="34">
        <v>100</v>
      </c>
      <c r="F453" s="34" t="s">
        <v>1090</v>
      </c>
      <c r="G453" s="58">
        <v>9450</v>
      </c>
      <c r="H453" s="58">
        <v>0</v>
      </c>
      <c r="I453" s="35">
        <v>9.4499999999999993</v>
      </c>
      <c r="J453" s="127">
        <v>2</v>
      </c>
      <c r="K453" s="34" t="s">
        <v>12</v>
      </c>
      <c r="L453" s="10">
        <v>42170</v>
      </c>
      <c r="M453" s="9" t="s">
        <v>191</v>
      </c>
      <c r="N453" s="38">
        <v>4.2</v>
      </c>
      <c r="O453" s="38">
        <v>3.15</v>
      </c>
      <c r="P453" s="38">
        <v>1.625</v>
      </c>
      <c r="Q453" s="38">
        <v>0.47499999999999998</v>
      </c>
      <c r="R453" s="38">
        <v>2.9459499999999998</v>
      </c>
      <c r="S453" s="38">
        <f t="shared" si="65"/>
        <v>3</v>
      </c>
      <c r="T453" s="38">
        <v>8.4499999999999993</v>
      </c>
      <c r="U453" s="38">
        <v>0.72499999999999998</v>
      </c>
      <c r="V453" s="38">
        <v>0.17499999999999999</v>
      </c>
      <c r="W453" s="38">
        <v>0.1</v>
      </c>
      <c r="X453" s="38">
        <v>4.9956399999999999</v>
      </c>
      <c r="Y453" s="38">
        <f t="shared" si="66"/>
        <v>5</v>
      </c>
      <c r="Z453" s="46">
        <v>0</v>
      </c>
      <c r="AA453" s="46">
        <v>0</v>
      </c>
      <c r="AB453" s="38">
        <f>N453+O453+P453+Q453</f>
        <v>9.4499999999999993</v>
      </c>
      <c r="AC453" s="38">
        <v>1.1650100000000001</v>
      </c>
      <c r="AD453" s="38">
        <v>70.64</v>
      </c>
      <c r="AE453" s="38">
        <v>352.75</v>
      </c>
      <c r="AF453" s="46">
        <v>0.74682999999999999</v>
      </c>
      <c r="AG453" s="38">
        <f t="shared" si="67"/>
        <v>0.7</v>
      </c>
      <c r="AH453" s="38">
        <v>34.96</v>
      </c>
      <c r="AI453" s="46">
        <v>0.1057</v>
      </c>
      <c r="AJ453" s="38">
        <v>97.62</v>
      </c>
      <c r="AK453" s="46">
        <v>0.29514699999999999</v>
      </c>
      <c r="AL453" s="38">
        <v>0</v>
      </c>
      <c r="AM453" s="38">
        <v>0</v>
      </c>
      <c r="AN453" s="25"/>
      <c r="AO453" s="25">
        <f>AE453*0.5</f>
        <v>176.375</v>
      </c>
      <c r="AP453" s="25">
        <f>(AD453+AH453+AJ453+AL453+AO453)*I453</f>
        <v>3587.1727500000002</v>
      </c>
      <c r="AQ453" s="25">
        <f>SUM(N453:Q453)</f>
        <v>9.4499999999999993</v>
      </c>
      <c r="AR453" s="25">
        <f>SUM(T453:W453)</f>
        <v>9.4499999999999993</v>
      </c>
      <c r="AT453" s="41"/>
      <c r="AU453" s="41"/>
      <c r="AV453" s="41"/>
      <c r="AW453" s="41"/>
    </row>
    <row r="454" spans="1:88" s="22" customFormat="1">
      <c r="A454" s="1">
        <v>174</v>
      </c>
      <c r="B454" s="34" t="s">
        <v>332</v>
      </c>
      <c r="C454" s="34">
        <v>533</v>
      </c>
      <c r="D454" s="34">
        <v>1130</v>
      </c>
      <c r="E454" s="34">
        <v>100</v>
      </c>
      <c r="F454" s="34" t="s">
        <v>352</v>
      </c>
      <c r="G454" s="20" t="s">
        <v>92</v>
      </c>
      <c r="H454" s="20" t="s">
        <v>353</v>
      </c>
      <c r="I454" s="35">
        <v>50.552999999999997</v>
      </c>
      <c r="J454" s="33">
        <v>2</v>
      </c>
      <c r="K454" s="34" t="s">
        <v>238</v>
      </c>
      <c r="L454" s="10">
        <v>42202</v>
      </c>
      <c r="M454" s="9" t="s">
        <v>191</v>
      </c>
      <c r="N454" s="38">
        <v>15.54</v>
      </c>
      <c r="O454" s="38">
        <v>13.85</v>
      </c>
      <c r="P454" s="38">
        <v>11.48</v>
      </c>
      <c r="Q454" s="38">
        <v>9.69</v>
      </c>
      <c r="R454" s="38">
        <v>4.09</v>
      </c>
      <c r="S454" s="38">
        <f t="shared" si="65"/>
        <v>4</v>
      </c>
      <c r="T454" s="38">
        <v>44.19</v>
      </c>
      <c r="U454" s="38">
        <v>4.04</v>
      </c>
      <c r="V454" s="38">
        <v>1.34</v>
      </c>
      <c r="W454" s="38">
        <v>0.99</v>
      </c>
      <c r="X454" s="38">
        <v>4.9359999999999999</v>
      </c>
      <c r="Y454" s="38">
        <f t="shared" si="66"/>
        <v>5</v>
      </c>
      <c r="Z454" s="46">
        <v>0.43</v>
      </c>
      <c r="AA454" s="46">
        <v>0.55000000000000004</v>
      </c>
      <c r="AB454" s="38">
        <v>49.57</v>
      </c>
      <c r="AC454" s="38">
        <v>1.4690000000000001</v>
      </c>
      <c r="AD454" s="38">
        <v>1265.4000000000001</v>
      </c>
      <c r="AE454" s="38">
        <v>103.81</v>
      </c>
      <c r="AF454" s="46">
        <f>(AD454+AE454*0.5)/(3.5*I454*1000)*100</f>
        <v>0.74451141800260545</v>
      </c>
      <c r="AG454" s="38">
        <f t="shared" si="67"/>
        <v>0.7</v>
      </c>
      <c r="AH454" s="38">
        <v>0.5</v>
      </c>
      <c r="AI454" s="46">
        <f>AH454/(3.5*I454*1000)*100</f>
        <v>2.8258885300010459E-4</v>
      </c>
      <c r="AJ454" s="38">
        <v>135.43</v>
      </c>
      <c r="AK454" s="46">
        <f>AJ454/(3.5*I454*1000)*100</f>
        <v>7.6542016723608317E-2</v>
      </c>
      <c r="AL454" s="38">
        <v>0</v>
      </c>
      <c r="AM454" s="38">
        <f>AL454/(3.5*I454*1000)*100</f>
        <v>0</v>
      </c>
      <c r="AN454" s="25"/>
      <c r="AO454" s="25">
        <f>AE454*0.5</f>
        <v>51.905000000000001</v>
      </c>
      <c r="AP454" s="25">
        <f>(AD454+AH454+AJ454+AL454+AO454)*I454</f>
        <v>73465.388955000002</v>
      </c>
      <c r="AQ454" s="25"/>
      <c r="AR454" s="25">
        <f>SUM(N454:Q454)</f>
        <v>50.56</v>
      </c>
      <c r="AS454" s="25">
        <f>SUM(T454:W454)</f>
        <v>50.56</v>
      </c>
      <c r="AU454" s="41">
        <f>SUM(N454:Q454)</f>
        <v>50.56</v>
      </c>
      <c r="AV454" s="41">
        <f>SUM(T454:W454)</f>
        <v>50.56</v>
      </c>
      <c r="AW454" s="41">
        <f>SUM(Z454:AB454)</f>
        <v>50.55</v>
      </c>
      <c r="AX454" s="41"/>
      <c r="AY454" s="22">
        <f>I454/AU454</f>
        <v>0.99986155063291127</v>
      </c>
      <c r="AZ454" s="22">
        <f>I454/AV454</f>
        <v>0.99986155063291127</v>
      </c>
      <c r="BA454" s="22">
        <f>I454/AW454</f>
        <v>1.0000593471810089</v>
      </c>
    </row>
    <row r="455" spans="1:88" s="22" customFormat="1">
      <c r="A455" s="1">
        <v>1707</v>
      </c>
      <c r="B455" s="34" t="s">
        <v>2279</v>
      </c>
      <c r="C455" s="34">
        <v>421</v>
      </c>
      <c r="D455" s="8">
        <v>3702</v>
      </c>
      <c r="E455" s="34">
        <v>300</v>
      </c>
      <c r="F455" s="34" t="s">
        <v>2301</v>
      </c>
      <c r="G455" s="58" t="s">
        <v>2306</v>
      </c>
      <c r="H455" s="58" t="s">
        <v>2307</v>
      </c>
      <c r="I455" s="35">
        <v>0.4</v>
      </c>
      <c r="J455" s="9">
        <v>2</v>
      </c>
      <c r="K455" s="34" t="s">
        <v>238</v>
      </c>
      <c r="L455" s="10">
        <v>42227</v>
      </c>
      <c r="M455" s="9" t="s">
        <v>191</v>
      </c>
      <c r="N455" s="38">
        <v>0.5</v>
      </c>
      <c r="O455" s="38">
        <v>0.27500000000000002</v>
      </c>
      <c r="P455" s="38">
        <v>7.4999999999999997E-2</v>
      </c>
      <c r="Q455" s="38">
        <v>0.17499999999999999</v>
      </c>
      <c r="R455" s="38">
        <v>3.4</v>
      </c>
      <c r="S455" s="38">
        <f t="shared" si="65"/>
        <v>3.5</v>
      </c>
      <c r="T455" s="38">
        <v>0.95</v>
      </c>
      <c r="U455" s="38">
        <v>7.4999999999999997E-2</v>
      </c>
      <c r="V455" s="38">
        <v>0</v>
      </c>
      <c r="W455" s="38">
        <v>0</v>
      </c>
      <c r="X455" s="38">
        <v>5.3719999999999999</v>
      </c>
      <c r="Y455" s="38">
        <f t="shared" si="66"/>
        <v>5.5</v>
      </c>
      <c r="Z455" s="46">
        <v>0</v>
      </c>
      <c r="AA455" s="46">
        <v>0</v>
      </c>
      <c r="AB455" s="38">
        <v>0.4</v>
      </c>
      <c r="AC455" s="38">
        <v>1.2749999999999999</v>
      </c>
      <c r="AD455" s="38">
        <v>10.42</v>
      </c>
      <c r="AE455" s="38">
        <v>0</v>
      </c>
      <c r="AF455" s="46">
        <f>(AD455+AE455*0.5)/(3.5*I455*1000)*100</f>
        <v>0.74428571428571422</v>
      </c>
      <c r="AG455" s="38">
        <f t="shared" si="67"/>
        <v>0.7</v>
      </c>
      <c r="AH455" s="38">
        <v>0.47</v>
      </c>
      <c r="AI455" s="46">
        <f>AH455/(3.5*I455*1000)*100</f>
        <v>3.3571428571428565E-2</v>
      </c>
      <c r="AJ455" s="38">
        <v>4.8499999999999996</v>
      </c>
      <c r="AK455" s="46">
        <f>AJ455/(3.5*I455*1000)*100</f>
        <v>0.34642857142857136</v>
      </c>
      <c r="AL455" s="38">
        <v>0</v>
      </c>
      <c r="AM455" s="38">
        <f>AL455/(3.5*I455*1000)*100</f>
        <v>0</v>
      </c>
      <c r="AN455" s="25"/>
      <c r="AO455" s="25">
        <f>AE455*0.5</f>
        <v>0</v>
      </c>
      <c r="AP455" s="25">
        <f>(AD455+AH455+AJ455+AL455+AO455)*I455</f>
        <v>6.2960000000000003</v>
      </c>
      <c r="AQ455" s="25"/>
      <c r="AR455" s="25"/>
      <c r="AT455" s="41"/>
      <c r="AU455" s="41"/>
      <c r="AV455" s="41"/>
      <c r="AW455" s="41"/>
    </row>
    <row r="456" spans="1:88" s="22" customFormat="1">
      <c r="A456" s="1">
        <v>693</v>
      </c>
      <c r="B456" s="34" t="s">
        <v>1084</v>
      </c>
      <c r="C456" s="34">
        <v>624</v>
      </c>
      <c r="D456" s="34">
        <v>2393</v>
      </c>
      <c r="E456" s="34">
        <v>101</v>
      </c>
      <c r="F456" s="9" t="s">
        <v>1103</v>
      </c>
      <c r="G456" s="20">
        <v>22485</v>
      </c>
      <c r="H456" s="20">
        <v>0</v>
      </c>
      <c r="I456" s="35">
        <v>22.484999999999999</v>
      </c>
      <c r="J456" s="127">
        <v>2</v>
      </c>
      <c r="K456" s="34" t="s">
        <v>12</v>
      </c>
      <c r="L456" s="10">
        <v>42170</v>
      </c>
      <c r="M456" s="9" t="s">
        <v>191</v>
      </c>
      <c r="N456" s="38">
        <v>5.375</v>
      </c>
      <c r="O456" s="38">
        <v>6.6749999999999998</v>
      </c>
      <c r="P456" s="38">
        <v>6.9749999999999996</v>
      </c>
      <c r="Q456" s="38">
        <v>3.125</v>
      </c>
      <c r="R456" s="38">
        <v>3.6213500000000001</v>
      </c>
      <c r="S456" s="38">
        <f t="shared" si="65"/>
        <v>3.5</v>
      </c>
      <c r="T456" s="38">
        <v>20.100000000000001</v>
      </c>
      <c r="U456" s="38">
        <v>1.7</v>
      </c>
      <c r="V456" s="38">
        <v>0.27500000000000002</v>
      </c>
      <c r="W456" s="38">
        <v>7.4999999999999997E-2</v>
      </c>
      <c r="X456" s="38">
        <v>5.1482799999999997</v>
      </c>
      <c r="Y456" s="38">
        <f t="shared" si="66"/>
        <v>5</v>
      </c>
      <c r="Z456" s="46">
        <v>0</v>
      </c>
      <c r="AA456" s="46">
        <v>0</v>
      </c>
      <c r="AB456" s="38">
        <f>N456+O456+P456+Q456</f>
        <v>22.15</v>
      </c>
      <c r="AC456" s="38">
        <v>1.2079599999999999</v>
      </c>
      <c r="AD456" s="38">
        <v>434.87</v>
      </c>
      <c r="AE456" s="38">
        <v>297.49</v>
      </c>
      <c r="AF456" s="46">
        <v>0.74158999999999997</v>
      </c>
      <c r="AG456" s="38">
        <f t="shared" si="67"/>
        <v>0.7</v>
      </c>
      <c r="AH456" s="38">
        <v>104.91</v>
      </c>
      <c r="AI456" s="46">
        <v>0.13331000000000001</v>
      </c>
      <c r="AJ456" s="38">
        <v>295.57</v>
      </c>
      <c r="AK456" s="46">
        <v>0.37557699999999999</v>
      </c>
      <c r="AL456" s="38">
        <v>0.85</v>
      </c>
      <c r="AM456" s="38">
        <v>1.08E-3</v>
      </c>
      <c r="AN456" s="25"/>
      <c r="AO456" s="25">
        <f>AE456*0.5</f>
        <v>148.745</v>
      </c>
      <c r="AP456" s="25">
        <f>(AD456+AH456+AJ456+AL456+AO456)*I456</f>
        <v>22146.488324999998</v>
      </c>
      <c r="AQ456" s="25">
        <f>SUM(N456:Q456)</f>
        <v>22.15</v>
      </c>
      <c r="AR456" s="25">
        <f>SUM(T456:W456)</f>
        <v>22.15</v>
      </c>
      <c r="AT456" s="41"/>
      <c r="AU456" s="41"/>
      <c r="AV456" s="41"/>
      <c r="AW456" s="41"/>
    </row>
    <row r="457" spans="1:88" s="22" customFormat="1">
      <c r="A457" s="1">
        <v>455</v>
      </c>
      <c r="B457" s="74" t="s">
        <v>699</v>
      </c>
      <c r="C457" s="34">
        <v>513</v>
      </c>
      <c r="D457" s="34">
        <v>1370</v>
      </c>
      <c r="E457" s="34">
        <v>100</v>
      </c>
      <c r="F457" s="34" t="s">
        <v>772</v>
      </c>
      <c r="G457" s="34" t="s">
        <v>774</v>
      </c>
      <c r="H457" s="34" t="s">
        <v>775</v>
      </c>
      <c r="I457" s="55">
        <v>4.0199999999999996</v>
      </c>
      <c r="J457" s="5" t="s">
        <v>238</v>
      </c>
      <c r="K457" s="34">
        <v>2</v>
      </c>
      <c r="L457" s="10">
        <v>42264</v>
      </c>
      <c r="M457" s="9" t="s">
        <v>191</v>
      </c>
      <c r="N457" s="38">
        <v>3.1</v>
      </c>
      <c r="O457" s="38">
        <v>0.68</v>
      </c>
      <c r="P457" s="38">
        <v>0.16</v>
      </c>
      <c r="Q457" s="38">
        <v>0.09</v>
      </c>
      <c r="R457" s="38">
        <v>2.3202099999999999</v>
      </c>
      <c r="S457" s="38">
        <f t="shared" si="65"/>
        <v>2.5</v>
      </c>
      <c r="T457" s="38">
        <v>4.0199999999999996</v>
      </c>
      <c r="U457" s="38">
        <v>0</v>
      </c>
      <c r="V457" s="38">
        <v>0</v>
      </c>
      <c r="W457" s="38">
        <v>0</v>
      </c>
      <c r="X457" s="38">
        <v>1.9392799999999999</v>
      </c>
      <c r="Y457" s="38">
        <f t="shared" si="66"/>
        <v>2</v>
      </c>
      <c r="Z457" s="46">
        <v>0</v>
      </c>
      <c r="AA457" s="46">
        <v>0</v>
      </c>
      <c r="AB457" s="38">
        <v>4.0199999999999996</v>
      </c>
      <c r="AC457" s="38">
        <v>1.02719</v>
      </c>
      <c r="AD457" s="38">
        <v>96.245000000000005</v>
      </c>
      <c r="AE457" s="38">
        <v>15.68</v>
      </c>
      <c r="AF457" s="46">
        <f>(AD457+AE457*0.5)/(3.5*I457*1000)*100</f>
        <v>0.739765458422175</v>
      </c>
      <c r="AG457" s="38">
        <f t="shared" si="67"/>
        <v>0.7</v>
      </c>
      <c r="AH457" s="38">
        <v>83.456999999999994</v>
      </c>
      <c r="AI457" s="46">
        <f>AH457/(3.5*I457*1000)*100</f>
        <v>0.59315565031982953</v>
      </c>
      <c r="AJ457" s="38">
        <v>0</v>
      </c>
      <c r="AK457" s="46">
        <f>AJ457/(3.5*I457*1000)*100</f>
        <v>0</v>
      </c>
      <c r="AL457" s="38">
        <v>0</v>
      </c>
      <c r="AM457" s="38">
        <f t="shared" ref="AM457:AM462" si="68">AL457/(3.5*I457*1000)*100</f>
        <v>0</v>
      </c>
      <c r="AN457" s="41"/>
      <c r="AO457" s="41"/>
      <c r="AP457" s="73"/>
      <c r="AQ457" s="41">
        <f>SUM(N457:Q457)</f>
        <v>4.03</v>
      </c>
      <c r="AR457" s="41">
        <f>SUM(T457:W457)</f>
        <v>4.0199999999999996</v>
      </c>
      <c r="AS457" s="41">
        <f>SUM(Z457:AB457)</f>
        <v>4.0199999999999996</v>
      </c>
      <c r="AU457" s="22">
        <f>I457/AQ457</f>
        <v>0.99751861042183609</v>
      </c>
      <c r="AV457" s="22">
        <f>I457/AR457</f>
        <v>1</v>
      </c>
      <c r="AW457" s="22">
        <f>I457/AS457</f>
        <v>1</v>
      </c>
      <c r="AX457" s="73"/>
      <c r="AY457" s="73"/>
      <c r="AZ457" s="73"/>
      <c r="BA457" s="73"/>
      <c r="BB457" s="73"/>
      <c r="BC457" s="73"/>
      <c r="BD457" s="73"/>
      <c r="BE457" s="73"/>
      <c r="BF457" s="73"/>
      <c r="BG457" s="73"/>
      <c r="BH457" s="73"/>
      <c r="BI457" s="73"/>
      <c r="BJ457" s="73"/>
      <c r="BK457" s="73"/>
      <c r="BL457" s="73"/>
      <c r="BM457" s="73"/>
      <c r="BN457" s="73"/>
      <c r="BO457" s="73"/>
      <c r="BP457" s="73"/>
      <c r="BQ457" s="73"/>
      <c r="BR457" s="73"/>
      <c r="BS457" s="73"/>
      <c r="BT457" s="73"/>
      <c r="BU457" s="73"/>
      <c r="BV457" s="73"/>
      <c r="BW457" s="73"/>
      <c r="BX457" s="73"/>
      <c r="BY457" s="73"/>
      <c r="BZ457" s="73"/>
      <c r="CA457" s="73"/>
      <c r="CB457" s="73"/>
      <c r="CC457" s="73"/>
      <c r="CD457" s="73"/>
      <c r="CE457" s="73"/>
      <c r="CF457" s="73"/>
      <c r="CG457" s="73"/>
      <c r="CH457" s="73"/>
      <c r="CI457" s="73"/>
      <c r="CJ457" s="73"/>
    </row>
    <row r="458" spans="1:88" s="22" customFormat="1">
      <c r="A458" s="1">
        <v>2010</v>
      </c>
      <c r="B458" s="34" t="s">
        <v>2646</v>
      </c>
      <c r="C458" s="34">
        <v>325</v>
      </c>
      <c r="D458" s="75">
        <v>4112</v>
      </c>
      <c r="E458" s="8">
        <v>201</v>
      </c>
      <c r="F458" s="34" t="s">
        <v>2654</v>
      </c>
      <c r="G458" s="58" t="s">
        <v>2657</v>
      </c>
      <c r="H458" s="58" t="s">
        <v>2658</v>
      </c>
      <c r="I458" s="21">
        <v>15.945</v>
      </c>
      <c r="J458" s="8">
        <v>2</v>
      </c>
      <c r="K458" s="8" t="s">
        <v>12</v>
      </c>
      <c r="L458" s="18">
        <v>42116</v>
      </c>
      <c r="M458" s="9" t="s">
        <v>191</v>
      </c>
      <c r="N458" s="38">
        <v>7.36</v>
      </c>
      <c r="O458" s="38">
        <v>5.29</v>
      </c>
      <c r="P458" s="38">
        <v>2.1</v>
      </c>
      <c r="Q458" s="38">
        <v>1.19</v>
      </c>
      <c r="R458" s="38">
        <v>2.8639899999999998</v>
      </c>
      <c r="S458" s="38">
        <f t="shared" si="65"/>
        <v>3</v>
      </c>
      <c r="T458" s="38">
        <v>15.66</v>
      </c>
      <c r="U458" s="38">
        <v>0.18</v>
      </c>
      <c r="V458" s="38">
        <v>7.0000000000000007E-2</v>
      </c>
      <c r="W458" s="38">
        <v>0.04</v>
      </c>
      <c r="X458" s="38">
        <v>2.9142100000000002</v>
      </c>
      <c r="Y458" s="38">
        <f t="shared" si="66"/>
        <v>3</v>
      </c>
      <c r="Z458" s="46">
        <v>0</v>
      </c>
      <c r="AA458" s="46">
        <v>0</v>
      </c>
      <c r="AB458" s="38">
        <v>15.95</v>
      </c>
      <c r="AC458" s="38">
        <v>1.29383</v>
      </c>
      <c r="AD458" s="38">
        <v>399.16</v>
      </c>
      <c r="AE458" s="38">
        <v>21.89</v>
      </c>
      <c r="AF458" s="46">
        <f>(AD458+AE458*0.5)/(3.5*I458*1000)*100</f>
        <v>0.73485642610760193</v>
      </c>
      <c r="AG458" s="38">
        <f t="shared" si="67"/>
        <v>0.7</v>
      </c>
      <c r="AH458" s="38">
        <v>0</v>
      </c>
      <c r="AI458" s="46">
        <f>AH458/(3.5*I458*1000)*100</f>
        <v>0</v>
      </c>
      <c r="AJ458" s="38">
        <v>1381.65</v>
      </c>
      <c r="AK458" s="46">
        <f>AJ458/(3.5*I458*1000)*100</f>
        <v>2.475742507727456</v>
      </c>
      <c r="AL458" s="38">
        <v>0</v>
      </c>
      <c r="AM458" s="38">
        <f t="shared" si="68"/>
        <v>0</v>
      </c>
      <c r="AN458" s="12"/>
      <c r="AO458" s="12"/>
      <c r="AP458" s="1"/>
      <c r="AQ458" s="41">
        <f>SUM(N458:Q458)</f>
        <v>15.94</v>
      </c>
      <c r="AR458" s="41">
        <f>SUM(T458:W458)</f>
        <v>15.95</v>
      </c>
      <c r="AS458" s="12">
        <f>SUM(Z458:AB458)</f>
        <v>15.95</v>
      </c>
      <c r="AT458" s="1"/>
      <c r="AU458" s="1">
        <f>I458/AQ458</f>
        <v>1.0003136762860729</v>
      </c>
      <c r="AV458" s="1">
        <f>I458/AR458</f>
        <v>0.99968652037617556</v>
      </c>
      <c r="AW458" s="1">
        <f>I458/AS458</f>
        <v>0.99968652037617556</v>
      </c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</row>
    <row r="459" spans="1:88" s="22" customFormat="1">
      <c r="A459" s="1">
        <v>724</v>
      </c>
      <c r="B459" s="109" t="s">
        <v>1123</v>
      </c>
      <c r="C459" s="109">
        <v>627</v>
      </c>
      <c r="D459" s="109">
        <v>2038</v>
      </c>
      <c r="E459" s="109">
        <v>100</v>
      </c>
      <c r="F459" s="109" t="s">
        <v>1130</v>
      </c>
      <c r="G459" s="231">
        <v>0</v>
      </c>
      <c r="H459" s="231">
        <v>10446</v>
      </c>
      <c r="I459" s="235">
        <v>10.446</v>
      </c>
      <c r="J459" s="240">
        <v>4</v>
      </c>
      <c r="K459" s="109" t="s">
        <v>238</v>
      </c>
      <c r="L459" s="113">
        <v>42177</v>
      </c>
      <c r="M459" s="107" t="s">
        <v>191</v>
      </c>
      <c r="N459" s="52">
        <v>3.8250000000000002</v>
      </c>
      <c r="O459" s="52">
        <v>3.8250000000000002</v>
      </c>
      <c r="P459" s="52">
        <v>1.625</v>
      </c>
      <c r="Q459" s="52">
        <v>1.125</v>
      </c>
      <c r="R459" s="52">
        <v>3.2012299999999998</v>
      </c>
      <c r="S459" s="38">
        <f t="shared" si="65"/>
        <v>3</v>
      </c>
      <c r="T459" s="52">
        <v>8</v>
      </c>
      <c r="U459" s="52">
        <v>1.675</v>
      </c>
      <c r="V459" s="52">
        <v>0.5</v>
      </c>
      <c r="W459" s="52">
        <v>0.22500000000000001</v>
      </c>
      <c r="X459" s="52">
        <v>7.9834899999999998</v>
      </c>
      <c r="Y459" s="38">
        <f t="shared" si="66"/>
        <v>8</v>
      </c>
      <c r="Z459" s="52">
        <v>0</v>
      </c>
      <c r="AA459" s="52">
        <v>0</v>
      </c>
      <c r="AB459" s="52">
        <v>10.446</v>
      </c>
      <c r="AC459" s="52">
        <v>1.23003</v>
      </c>
      <c r="AD459" s="52">
        <v>268.39999999999998</v>
      </c>
      <c r="AE459" s="52">
        <v>0</v>
      </c>
      <c r="AF459" s="46">
        <v>0.73411558764804019</v>
      </c>
      <c r="AG459" s="38">
        <f t="shared" si="67"/>
        <v>0.7</v>
      </c>
      <c r="AH459" s="52">
        <v>0</v>
      </c>
      <c r="AI459" s="46">
        <v>0</v>
      </c>
      <c r="AJ459" s="52">
        <v>0</v>
      </c>
      <c r="AK459" s="46">
        <v>0</v>
      </c>
      <c r="AL459" s="52">
        <v>0</v>
      </c>
      <c r="AM459" s="147">
        <f t="shared" si="68"/>
        <v>0</v>
      </c>
      <c r="AN459" s="25"/>
      <c r="AO459" s="25">
        <f>AE459*0.5</f>
        <v>0</v>
      </c>
      <c r="AP459" s="25">
        <f>(AD459+AH459+AJ459+AL459+AO459)*I459</f>
        <v>2803.7063999999996</v>
      </c>
      <c r="AQ459" s="25">
        <f>SUM(N459:Q459)</f>
        <v>10.4</v>
      </c>
      <c r="AR459" s="25">
        <f>SUM(T459:W459)</f>
        <v>10.4</v>
      </c>
      <c r="AS459" s="268">
        <v>10.446</v>
      </c>
      <c r="AT459" s="41"/>
      <c r="AU459" s="41"/>
      <c r="AV459" s="41"/>
      <c r="AW459" s="41"/>
    </row>
    <row r="460" spans="1:88" s="22" customFormat="1">
      <c r="A460" s="1">
        <v>2099</v>
      </c>
      <c r="B460" s="109" t="s">
        <v>2732</v>
      </c>
      <c r="C460" s="109">
        <v>323</v>
      </c>
      <c r="D460" s="110">
        <v>4225</v>
      </c>
      <c r="E460" s="179">
        <v>100</v>
      </c>
      <c r="F460" s="107" t="s">
        <v>2748</v>
      </c>
      <c r="G460" s="232" t="s">
        <v>2749</v>
      </c>
      <c r="H460" s="232" t="s">
        <v>92</v>
      </c>
      <c r="I460" s="234">
        <v>16.117999999999999</v>
      </c>
      <c r="J460" s="107">
        <v>2</v>
      </c>
      <c r="K460" s="109" t="s">
        <v>12</v>
      </c>
      <c r="L460" s="112">
        <v>42101</v>
      </c>
      <c r="M460" s="107" t="s">
        <v>191</v>
      </c>
      <c r="N460" s="52">
        <v>9.3699999999999992</v>
      </c>
      <c r="O460" s="52">
        <v>5.17</v>
      </c>
      <c r="P460" s="52">
        <v>1.35</v>
      </c>
      <c r="Q460" s="52">
        <v>0.23</v>
      </c>
      <c r="R460" s="52">
        <v>2.5235599999999998</v>
      </c>
      <c r="S460" s="38">
        <f t="shared" si="65"/>
        <v>2.5</v>
      </c>
      <c r="T460" s="52">
        <v>12.94</v>
      </c>
      <c r="U460" s="52">
        <v>0.65</v>
      </c>
      <c r="V460" s="52">
        <v>0.23</v>
      </c>
      <c r="W460" s="52">
        <v>2.2999999999999998</v>
      </c>
      <c r="X460" s="52">
        <v>8.6234300000000008</v>
      </c>
      <c r="Y460" s="38">
        <f t="shared" si="66"/>
        <v>8.5</v>
      </c>
      <c r="Z460" s="52">
        <v>0</v>
      </c>
      <c r="AA460" s="52">
        <v>0</v>
      </c>
      <c r="AB460" s="52">
        <v>16.12</v>
      </c>
      <c r="AC460" s="52">
        <v>2.5738799999999999</v>
      </c>
      <c r="AD460" s="52">
        <v>398</v>
      </c>
      <c r="AE460" s="52">
        <v>25.11</v>
      </c>
      <c r="AF460" s="46">
        <f>(AD460+AE460*0.5)/(3.5*I460*1000)*100</f>
        <v>0.72776664953113646</v>
      </c>
      <c r="AG460" s="38">
        <f t="shared" si="67"/>
        <v>0.7</v>
      </c>
      <c r="AH460" s="52">
        <v>41.35</v>
      </c>
      <c r="AI460" s="46">
        <f>AH460/(3.5*I460*1000)*100</f>
        <v>7.329870774466879E-2</v>
      </c>
      <c r="AJ460" s="52">
        <v>1.29</v>
      </c>
      <c r="AK460" s="46">
        <v>7.8352769679300297E-4</v>
      </c>
      <c r="AL460" s="52">
        <v>0</v>
      </c>
      <c r="AM460" s="38">
        <f t="shared" si="68"/>
        <v>0</v>
      </c>
      <c r="AN460" s="25"/>
      <c r="AO460" s="25"/>
      <c r="AQ460" s="41">
        <f>SUM(N460:Q460)</f>
        <v>16.119999999999997</v>
      </c>
      <c r="AR460" s="41">
        <f>SUM(T460:W460)</f>
        <v>16.12</v>
      </c>
      <c r="AS460" s="12">
        <f>SUM(Z460:AB460)</f>
        <v>16.12</v>
      </c>
      <c r="AT460" s="1"/>
      <c r="AU460" s="1">
        <f>I460/AQ460</f>
        <v>0.99987593052109192</v>
      </c>
      <c r="AV460" s="1">
        <f>I460/AR460</f>
        <v>0.99987593052109169</v>
      </c>
      <c r="AW460" s="1">
        <f>I460/AS460</f>
        <v>0.99987593052109169</v>
      </c>
    </row>
    <row r="461" spans="1:88" s="22" customFormat="1">
      <c r="A461" s="1">
        <v>2065</v>
      </c>
      <c r="B461" s="34" t="s">
        <v>2697</v>
      </c>
      <c r="C461" s="34">
        <v>328</v>
      </c>
      <c r="D461" s="75">
        <v>4332</v>
      </c>
      <c r="E461" s="8">
        <v>100</v>
      </c>
      <c r="F461" s="34" t="s">
        <v>2711</v>
      </c>
      <c r="G461" s="58">
        <v>0</v>
      </c>
      <c r="H461" s="58">
        <v>6183</v>
      </c>
      <c r="I461" s="21">
        <v>6.1829999999999998</v>
      </c>
      <c r="J461" s="8">
        <v>2</v>
      </c>
      <c r="K461" s="8" t="s">
        <v>238</v>
      </c>
      <c r="L461" s="18">
        <v>42119</v>
      </c>
      <c r="M461" s="9" t="s">
        <v>191</v>
      </c>
      <c r="N461" s="38">
        <v>5.5750000000000002</v>
      </c>
      <c r="O461" s="38">
        <v>0.32500000000000001</v>
      </c>
      <c r="P461" s="38">
        <v>0.17499999999999999</v>
      </c>
      <c r="Q461" s="38">
        <v>0.125</v>
      </c>
      <c r="R461" s="38">
        <v>1.6431899999999999</v>
      </c>
      <c r="S461" s="38">
        <f t="shared" si="65"/>
        <v>1.5</v>
      </c>
      <c r="T461" s="38">
        <v>6.2</v>
      </c>
      <c r="U461" s="38">
        <v>0</v>
      </c>
      <c r="V461" s="38">
        <v>0</v>
      </c>
      <c r="W461" s="38">
        <v>0</v>
      </c>
      <c r="X461" s="38">
        <v>2.6406100000000001</v>
      </c>
      <c r="Y461" s="38">
        <f t="shared" si="66"/>
        <v>2.5</v>
      </c>
      <c r="Z461" s="52">
        <v>0</v>
      </c>
      <c r="AA461" s="52">
        <v>0</v>
      </c>
      <c r="AB461" s="38">
        <v>6.2</v>
      </c>
      <c r="AC461" s="38">
        <v>1.2218800000000001</v>
      </c>
      <c r="AD461" s="38">
        <v>0</v>
      </c>
      <c r="AE461" s="38">
        <v>313.07</v>
      </c>
      <c r="AF461" s="46">
        <v>0.72334280631223857</v>
      </c>
      <c r="AG461" s="38">
        <f t="shared" si="67"/>
        <v>0.7</v>
      </c>
      <c r="AH461" s="38">
        <v>0</v>
      </c>
      <c r="AI461" s="46">
        <v>0</v>
      </c>
      <c r="AJ461" s="38">
        <v>0</v>
      </c>
      <c r="AK461" s="46">
        <v>0</v>
      </c>
      <c r="AL461" s="38">
        <v>0</v>
      </c>
      <c r="AM461" s="38">
        <f t="shared" si="68"/>
        <v>0</v>
      </c>
      <c r="AN461" s="72"/>
      <c r="AO461" s="41"/>
      <c r="AP461" s="41"/>
      <c r="AQ461" s="73"/>
      <c r="AR461" s="73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</row>
    <row r="462" spans="1:88" s="22" customFormat="1">
      <c r="A462" s="1">
        <v>1032</v>
      </c>
      <c r="B462" s="9" t="s">
        <v>1394</v>
      </c>
      <c r="C462" s="9">
        <v>617</v>
      </c>
      <c r="D462" s="8">
        <v>2166</v>
      </c>
      <c r="E462" s="9">
        <v>202</v>
      </c>
      <c r="F462" s="9" t="s">
        <v>1432</v>
      </c>
      <c r="G462" s="20">
        <v>32622</v>
      </c>
      <c r="H462" s="20">
        <v>59289</v>
      </c>
      <c r="I462" s="35">
        <v>26.667000000000002</v>
      </c>
      <c r="J462" s="9">
        <v>2</v>
      </c>
      <c r="K462" s="9" t="s">
        <v>238</v>
      </c>
      <c r="L462" s="18">
        <v>42132</v>
      </c>
      <c r="M462" s="9" t="s">
        <v>191</v>
      </c>
      <c r="N462" s="11">
        <v>19.436</v>
      </c>
      <c r="O462" s="11">
        <v>5.3150000000000004</v>
      </c>
      <c r="P462" s="11">
        <v>1.625</v>
      </c>
      <c r="Q462" s="11">
        <v>0.29199999999999998</v>
      </c>
      <c r="R462" s="11">
        <v>2.2909099999999998</v>
      </c>
      <c r="S462" s="38">
        <f t="shared" si="65"/>
        <v>2.5</v>
      </c>
      <c r="T462" s="11">
        <v>30.625</v>
      </c>
      <c r="U462" s="11">
        <v>1.125</v>
      </c>
      <c r="V462" s="11">
        <v>0.22500000000000001</v>
      </c>
      <c r="W462" s="11">
        <v>2.5000000000000001E-2</v>
      </c>
      <c r="X462" s="11">
        <v>5.3649300000000002</v>
      </c>
      <c r="Y462" s="38">
        <f t="shared" si="66"/>
        <v>5.5</v>
      </c>
      <c r="Z462" s="253">
        <v>0</v>
      </c>
      <c r="AA462" s="253">
        <v>0</v>
      </c>
      <c r="AB462" s="11">
        <f>SUM(N462:Q462)</f>
        <v>26.668000000000003</v>
      </c>
      <c r="AC462" s="11">
        <v>1.3490599999999999</v>
      </c>
      <c r="AD462" s="11">
        <v>398.78</v>
      </c>
      <c r="AE462" s="11">
        <v>549.17999999999995</v>
      </c>
      <c r="AF462" s="248">
        <f>(AD462+AE462*0.5)/(3.5*I462*1000)*100</f>
        <v>0.72145883890737061</v>
      </c>
      <c r="AG462" s="38">
        <f t="shared" si="67"/>
        <v>0.7</v>
      </c>
      <c r="AH462" s="11">
        <v>0</v>
      </c>
      <c r="AI462" s="46">
        <f>AH462/(3.5*I462*1000)*100</f>
        <v>0</v>
      </c>
      <c r="AJ462" s="11">
        <v>0</v>
      </c>
      <c r="AK462" s="46">
        <f>AJ462/(3.5*I462*1000)*100</f>
        <v>0</v>
      </c>
      <c r="AL462" s="11">
        <v>0</v>
      </c>
      <c r="AM462" s="38">
        <f t="shared" si="68"/>
        <v>0</v>
      </c>
      <c r="AN462" s="25"/>
      <c r="AO462" s="25">
        <f>AE462*0.5</f>
        <v>274.58999999999997</v>
      </c>
      <c r="AP462" s="25">
        <f>(AD462+AH462+AJ462+AL462+AO462)*I462</f>
        <v>17956.75779</v>
      </c>
      <c r="AQ462" s="25"/>
      <c r="AR462" s="25"/>
      <c r="AS462" s="25">
        <f>SUM(N462:Q462)</f>
        <v>26.668000000000003</v>
      </c>
      <c r="AT462" s="25">
        <f>SUM(T462:W462)</f>
        <v>32</v>
      </c>
      <c r="AU462" s="41"/>
      <c r="AV462" s="41"/>
      <c r="AW462" s="41"/>
    </row>
    <row r="463" spans="1:88" s="22" customFormat="1" ht="23.25" customHeight="1">
      <c r="A463" s="1">
        <v>1231</v>
      </c>
      <c r="B463" s="34" t="s">
        <v>1725</v>
      </c>
      <c r="C463" s="88">
        <v>437</v>
      </c>
      <c r="D463" s="88">
        <v>1375</v>
      </c>
      <c r="E463" s="88">
        <v>200</v>
      </c>
      <c r="F463" s="88" t="s">
        <v>1736</v>
      </c>
      <c r="G463" s="88" t="s">
        <v>1737</v>
      </c>
      <c r="H463" s="88" t="s">
        <v>654</v>
      </c>
      <c r="I463" s="115">
        <v>3.7759999999999998</v>
      </c>
      <c r="J463" s="88">
        <v>2</v>
      </c>
      <c r="K463" s="88" t="s">
        <v>12</v>
      </c>
      <c r="L463" s="116">
        <v>42282</v>
      </c>
      <c r="M463" s="9" t="s">
        <v>191</v>
      </c>
      <c r="N463" s="38">
        <v>1.575</v>
      </c>
      <c r="O463" s="38">
        <v>1.5</v>
      </c>
      <c r="P463" s="38">
        <v>0.57499999999999996</v>
      </c>
      <c r="Q463" s="38">
        <v>0.27500000000000002</v>
      </c>
      <c r="R463" s="38">
        <v>2.9565000000000001</v>
      </c>
      <c r="S463" s="38">
        <f t="shared" si="65"/>
        <v>3</v>
      </c>
      <c r="T463" s="38">
        <v>3.5750000000000002</v>
      </c>
      <c r="U463" s="38">
        <v>0.32500000000000001</v>
      </c>
      <c r="V463" s="38">
        <v>2.5000000000000001E-2</v>
      </c>
      <c r="W463" s="38">
        <v>0</v>
      </c>
      <c r="X463" s="38">
        <v>4.7776500000000004</v>
      </c>
      <c r="Y463" s="38">
        <f t="shared" si="66"/>
        <v>5</v>
      </c>
      <c r="Z463" s="52">
        <v>0</v>
      </c>
      <c r="AA463" s="255">
        <v>0</v>
      </c>
      <c r="AB463" s="117">
        <v>3.7759999999999998</v>
      </c>
      <c r="AC463" s="117">
        <v>1.36602</v>
      </c>
      <c r="AD463" s="117">
        <v>85.06</v>
      </c>
      <c r="AE463" s="117">
        <v>20.36</v>
      </c>
      <c r="AF463" s="251">
        <f>(AD463+AE463*0.5)/(3.5*I463*1000)*100</f>
        <v>0.72064164648910412</v>
      </c>
      <c r="AG463" s="38">
        <f t="shared" si="67"/>
        <v>0.7</v>
      </c>
      <c r="AH463" s="117">
        <v>87</v>
      </c>
      <c r="AI463" s="251">
        <f>AH463/(3.5*I463*1000)*100</f>
        <v>0.65829297820823252</v>
      </c>
      <c r="AJ463" s="117">
        <v>0</v>
      </c>
      <c r="AK463" s="251">
        <f>AJ463/(3.5*I463*1000)*100</f>
        <v>0</v>
      </c>
      <c r="AL463" s="117">
        <v>0</v>
      </c>
      <c r="AM463" s="117">
        <f>AJ463/(3.5*I463*1000)*100</f>
        <v>0</v>
      </c>
      <c r="AN463" s="12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</row>
    <row r="464" spans="1:88" s="22" customFormat="1" ht="23.25" customHeight="1">
      <c r="A464" s="1">
        <v>830</v>
      </c>
      <c r="B464" s="34" t="s">
        <v>1204</v>
      </c>
      <c r="C464" s="34">
        <v>647</v>
      </c>
      <c r="D464" s="8">
        <v>2367</v>
      </c>
      <c r="E464" s="34">
        <v>200</v>
      </c>
      <c r="F464" s="34" t="s">
        <v>1222</v>
      </c>
      <c r="G464" s="58" t="s">
        <v>1223</v>
      </c>
      <c r="H464" s="58" t="s">
        <v>1224</v>
      </c>
      <c r="I464" s="35">
        <v>19.920999999999999</v>
      </c>
      <c r="J464" s="9">
        <v>2</v>
      </c>
      <c r="K464" s="34" t="s">
        <v>238</v>
      </c>
      <c r="L464" s="10">
        <v>42153</v>
      </c>
      <c r="M464" s="9" t="s">
        <v>191</v>
      </c>
      <c r="N464" s="38">
        <v>15.5</v>
      </c>
      <c r="O464" s="38">
        <v>3.0749999999999997</v>
      </c>
      <c r="P464" s="38">
        <v>0.79999999999999993</v>
      </c>
      <c r="Q464" s="38">
        <v>0.55000000000000004</v>
      </c>
      <c r="R464" s="38">
        <v>2.9293</v>
      </c>
      <c r="S464" s="38">
        <f t="shared" si="65"/>
        <v>3</v>
      </c>
      <c r="T464" s="38">
        <v>19.424999999999997</v>
      </c>
      <c r="U464" s="38">
        <v>0.5</v>
      </c>
      <c r="V464" s="38">
        <v>0</v>
      </c>
      <c r="W464" s="38">
        <v>0</v>
      </c>
      <c r="X464" s="38">
        <v>5.0559000000000003</v>
      </c>
      <c r="Y464" s="38">
        <f t="shared" si="66"/>
        <v>5</v>
      </c>
      <c r="Z464" s="52">
        <v>0</v>
      </c>
      <c r="AA464" s="52">
        <v>0</v>
      </c>
      <c r="AB464" s="38">
        <f>N464+O464+P464+Q464</f>
        <v>19.925000000000001</v>
      </c>
      <c r="AC464" s="38">
        <v>1.1686000000000001</v>
      </c>
      <c r="AD464" s="38">
        <v>43</v>
      </c>
      <c r="AE464" s="38">
        <v>917</v>
      </c>
      <c r="AF464" s="46">
        <f>(AD464+AE464*0.5)/(3.5*I464*1000)*100</f>
        <v>0.71926968669100089</v>
      </c>
      <c r="AG464" s="38">
        <f t="shared" si="67"/>
        <v>0.7</v>
      </c>
      <c r="AH464" s="38">
        <v>0</v>
      </c>
      <c r="AI464" s="46">
        <f>AH464/(3.5*I464*1000)*100</f>
        <v>0</v>
      </c>
      <c r="AJ464" s="38">
        <v>101</v>
      </c>
      <c r="AK464" s="46">
        <v>0.122728</v>
      </c>
      <c r="AL464" s="38">
        <v>1</v>
      </c>
      <c r="AM464" s="38">
        <v>1.2199999999999999E-3</v>
      </c>
      <c r="AN464" s="25"/>
      <c r="AO464" s="25">
        <f>AE464*0.5</f>
        <v>458.5</v>
      </c>
      <c r="AP464" s="25">
        <f>(AD464+AH464+AJ464+AL464+AO464)*I464</f>
        <v>12022.3235</v>
      </c>
      <c r="AQ464" s="136">
        <f>SUM(N464:Q464)</f>
        <v>19.925000000000001</v>
      </c>
      <c r="AR464" s="136">
        <f>SUM(T464:W464)</f>
        <v>19.924999999999997</v>
      </c>
      <c r="AS464" s="268">
        <v>19.920999999999999</v>
      </c>
      <c r="AT464" s="41"/>
      <c r="AU464" s="41"/>
      <c r="AV464" s="41"/>
      <c r="AW464" s="41"/>
    </row>
    <row r="465" spans="1:88" s="22" customFormat="1">
      <c r="A465" s="1">
        <v>2091</v>
      </c>
      <c r="B465" s="34" t="s">
        <v>2732</v>
      </c>
      <c r="C465" s="34">
        <v>323</v>
      </c>
      <c r="D465" s="75">
        <v>4046</v>
      </c>
      <c r="E465" s="8">
        <v>200</v>
      </c>
      <c r="F465" s="9" t="s">
        <v>2738</v>
      </c>
      <c r="G465" s="20">
        <v>52521</v>
      </c>
      <c r="H465" s="20">
        <v>34027</v>
      </c>
      <c r="I465" s="21">
        <v>18.494</v>
      </c>
      <c r="J465" s="9">
        <v>2</v>
      </c>
      <c r="K465" s="34" t="s">
        <v>12</v>
      </c>
      <c r="L465" s="18">
        <v>42133</v>
      </c>
      <c r="M465" s="9" t="s">
        <v>191</v>
      </c>
      <c r="N465" s="38">
        <v>16.079999999999998</v>
      </c>
      <c r="O465" s="38">
        <v>1.46</v>
      </c>
      <c r="P465" s="38">
        <v>0.57999999999999996</v>
      </c>
      <c r="Q465" s="38">
        <v>0.38</v>
      </c>
      <c r="R465" s="38">
        <v>1.8640300000000001</v>
      </c>
      <c r="S465" s="38">
        <f t="shared" si="65"/>
        <v>2</v>
      </c>
      <c r="T465" s="38">
        <v>18.420000000000002</v>
      </c>
      <c r="U465" s="38">
        <v>0.08</v>
      </c>
      <c r="V465" s="38">
        <v>0</v>
      </c>
      <c r="W465" s="38">
        <v>0</v>
      </c>
      <c r="X465" s="38">
        <v>3.7812700000000001</v>
      </c>
      <c r="Y465" s="38">
        <f t="shared" si="66"/>
        <v>4</v>
      </c>
      <c r="Z465" s="52">
        <v>0</v>
      </c>
      <c r="AA465" s="52">
        <v>0</v>
      </c>
      <c r="AB465" s="38">
        <v>18.489999999999998</v>
      </c>
      <c r="AC465" s="38">
        <v>1.4580299999999999</v>
      </c>
      <c r="AD465" s="38">
        <v>464</v>
      </c>
      <c r="AE465" s="38">
        <v>0</v>
      </c>
      <c r="AF465" s="46">
        <f>(AD465+AE465*0.5)/(3.5*I465*1000)*100</f>
        <v>0.71683480356563523</v>
      </c>
      <c r="AG465" s="38">
        <f t="shared" si="67"/>
        <v>0.7</v>
      </c>
      <c r="AH465" s="38">
        <v>22</v>
      </c>
      <c r="AI465" s="46">
        <f>AH465/(3.5*I465*1000)*100</f>
        <v>3.3987857065612012E-2</v>
      </c>
      <c r="AJ465" s="38">
        <v>0</v>
      </c>
      <c r="AK465" s="46">
        <v>0</v>
      </c>
      <c r="AL465" s="38">
        <v>0</v>
      </c>
      <c r="AM465" s="38">
        <f>AL465/(3.5*I465*1000)*100</f>
        <v>0</v>
      </c>
      <c r="AN465" s="25"/>
      <c r="AO465" s="25"/>
      <c r="AQ465" s="41">
        <f>SUM(N465:Q465)</f>
        <v>18.499999999999996</v>
      </c>
      <c r="AR465" s="41">
        <f>SUM(T465:W465)</f>
        <v>18.5</v>
      </c>
      <c r="AS465" s="12">
        <f>SUM(Z465:AB465)</f>
        <v>18.489999999999998</v>
      </c>
      <c r="AT465" s="1"/>
      <c r="AU465" s="1">
        <f>I465/AQ465</f>
        <v>0.99967567567567583</v>
      </c>
      <c r="AV465" s="1">
        <f>I465/AR465</f>
        <v>0.99967567567567561</v>
      </c>
      <c r="AW465" s="1">
        <f>I465/AS465</f>
        <v>1.0002163331530558</v>
      </c>
    </row>
    <row r="466" spans="1:88" s="22" customFormat="1">
      <c r="A466" s="1">
        <v>876</v>
      </c>
      <c r="B466" s="34" t="s">
        <v>1259</v>
      </c>
      <c r="C466" s="34">
        <v>631</v>
      </c>
      <c r="D466" s="148">
        <v>2412</v>
      </c>
      <c r="E466" s="34">
        <v>100</v>
      </c>
      <c r="F466" s="34" t="s">
        <v>1268</v>
      </c>
      <c r="G466" s="58">
        <v>10325</v>
      </c>
      <c r="H466" s="58">
        <v>0</v>
      </c>
      <c r="I466" s="35">
        <v>10.324999999999999</v>
      </c>
      <c r="J466" s="160">
        <v>2</v>
      </c>
      <c r="K466" s="34" t="s">
        <v>12</v>
      </c>
      <c r="L466" s="10">
        <v>42139</v>
      </c>
      <c r="M466" s="9" t="s">
        <v>191</v>
      </c>
      <c r="N466" s="38">
        <v>3.3</v>
      </c>
      <c r="O466" s="38">
        <v>3.5249999999999999</v>
      </c>
      <c r="P466" s="38">
        <v>2.15</v>
      </c>
      <c r="Q466" s="38">
        <v>1.2250000000000001</v>
      </c>
      <c r="R466" s="38">
        <v>3.40002</v>
      </c>
      <c r="S466" s="38">
        <f t="shared" si="65"/>
        <v>3.5</v>
      </c>
      <c r="T466" s="38">
        <v>9.7249999999999996</v>
      </c>
      <c r="U466" s="38">
        <v>0.3</v>
      </c>
      <c r="V466" s="38">
        <v>0.15</v>
      </c>
      <c r="W466" s="38">
        <v>2.5000000000000001E-2</v>
      </c>
      <c r="X466" s="38">
        <v>3.9007100000000001</v>
      </c>
      <c r="Y466" s="38">
        <f t="shared" si="66"/>
        <v>4</v>
      </c>
      <c r="Z466" s="52">
        <v>0</v>
      </c>
      <c r="AA466" s="52">
        <v>0</v>
      </c>
      <c r="AB466" s="38">
        <f>N466+O466+P466+Q466</f>
        <v>10.199999999999999</v>
      </c>
      <c r="AC466" s="38">
        <v>1.6193</v>
      </c>
      <c r="AD466" s="38">
        <v>47.66</v>
      </c>
      <c r="AE466" s="38">
        <v>422.06</v>
      </c>
      <c r="AF466" s="46">
        <v>0.71584999999999999</v>
      </c>
      <c r="AG466" s="38">
        <f t="shared" si="67"/>
        <v>0.7</v>
      </c>
      <c r="AH466" s="38">
        <v>0</v>
      </c>
      <c r="AI466" s="46">
        <v>0</v>
      </c>
      <c r="AJ466" s="38">
        <v>22.37</v>
      </c>
      <c r="AK466" s="46">
        <v>6.1901999999999999E-2</v>
      </c>
      <c r="AL466" s="38">
        <v>0</v>
      </c>
      <c r="AM466" s="38">
        <v>0</v>
      </c>
      <c r="AN466" s="25"/>
      <c r="AO466" s="25">
        <f>AE466*0.5</f>
        <v>211.03</v>
      </c>
      <c r="AP466" s="25">
        <f>(AD466+AH466+AJ466+AL466+AO466)*I466</f>
        <v>2901.9444999999996</v>
      </c>
      <c r="AQ466" s="25"/>
      <c r="AR466" s="25"/>
      <c r="AS466" s="25">
        <f>SUM(N466:Q466)</f>
        <v>10.199999999999999</v>
      </c>
      <c r="AT466" s="25">
        <f>SUM(T466:W466)</f>
        <v>10.200000000000001</v>
      </c>
      <c r="AU466" s="25"/>
      <c r="AW466" s="41"/>
      <c r="AX466" s="41"/>
      <c r="AY466" s="41"/>
      <c r="AZ466" s="41"/>
    </row>
    <row r="467" spans="1:88" s="22" customFormat="1">
      <c r="A467" s="1">
        <v>1160</v>
      </c>
      <c r="B467" s="74" t="s">
        <v>1577</v>
      </c>
      <c r="C467" s="34">
        <v>432</v>
      </c>
      <c r="D467" s="34">
        <v>3250</v>
      </c>
      <c r="E467" s="34">
        <v>100</v>
      </c>
      <c r="F467" s="34" t="s">
        <v>1621</v>
      </c>
      <c r="G467" s="34" t="s">
        <v>1622</v>
      </c>
      <c r="H467" s="34" t="s">
        <v>92</v>
      </c>
      <c r="I467" s="55">
        <v>12.023</v>
      </c>
      <c r="J467" s="34">
        <v>2</v>
      </c>
      <c r="K467" s="34" t="s">
        <v>12</v>
      </c>
      <c r="L467" s="10">
        <v>42282</v>
      </c>
      <c r="M467" s="9" t="s">
        <v>191</v>
      </c>
      <c r="N467" s="38">
        <v>6</v>
      </c>
      <c r="O467" s="38">
        <v>2.5750000000000002</v>
      </c>
      <c r="P467" s="38">
        <v>1.675</v>
      </c>
      <c r="Q467" s="38">
        <v>1.7250000000000001</v>
      </c>
      <c r="R467" s="38">
        <v>3.2662800000000001</v>
      </c>
      <c r="S467" s="38">
        <f t="shared" si="65"/>
        <v>3.5</v>
      </c>
      <c r="T467" s="38">
        <v>10.25</v>
      </c>
      <c r="U467" s="38">
        <v>0.875</v>
      </c>
      <c r="V467" s="38">
        <v>0.42499999999999999</v>
      </c>
      <c r="W467" s="38">
        <v>0.42499999999999999</v>
      </c>
      <c r="X467" s="38">
        <v>5.2207100000000004</v>
      </c>
      <c r="Y467" s="38">
        <f t="shared" si="66"/>
        <v>5</v>
      </c>
      <c r="Z467" s="52">
        <v>0</v>
      </c>
      <c r="AA467" s="52">
        <v>0</v>
      </c>
      <c r="AB467" s="38">
        <v>11.975</v>
      </c>
      <c r="AC467" s="38">
        <v>1.4658599999999999</v>
      </c>
      <c r="AD467" s="38">
        <v>298.11739999999998</v>
      </c>
      <c r="AE467" s="38">
        <v>2.9750000000000001</v>
      </c>
      <c r="AF467" s="46">
        <v>0.71197999999999995</v>
      </c>
      <c r="AG467" s="38">
        <f t="shared" si="67"/>
        <v>0.7</v>
      </c>
      <c r="AH467" s="38">
        <v>123.6</v>
      </c>
      <c r="AI467" s="46">
        <v>0.29372300000000001</v>
      </c>
      <c r="AJ467" s="38">
        <v>3.2850000000000001</v>
      </c>
      <c r="AK467" s="46">
        <v>7.8059999999999996E-3</v>
      </c>
      <c r="AL467" s="38">
        <v>0</v>
      </c>
      <c r="AM467" s="38">
        <v>0</v>
      </c>
      <c r="AN467" s="114"/>
      <c r="AO467" s="73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</row>
    <row r="468" spans="1:88" s="22" customFormat="1">
      <c r="A468" s="1">
        <v>501</v>
      </c>
      <c r="B468" s="88" t="s">
        <v>821</v>
      </c>
      <c r="C468" s="88">
        <v>519</v>
      </c>
      <c r="D468" s="88">
        <v>1191</v>
      </c>
      <c r="E468" s="88">
        <v>100</v>
      </c>
      <c r="F468" s="88" t="s">
        <v>854</v>
      </c>
      <c r="G468" s="88" t="s">
        <v>92</v>
      </c>
      <c r="H468" s="88" t="s">
        <v>855</v>
      </c>
      <c r="I468" s="115">
        <v>2.86</v>
      </c>
      <c r="J468" s="88" t="s">
        <v>238</v>
      </c>
      <c r="K468" s="34">
        <v>2</v>
      </c>
      <c r="L468" s="10">
        <v>42276</v>
      </c>
      <c r="M468" s="9" t="s">
        <v>191</v>
      </c>
      <c r="N468" s="38">
        <v>0.88</v>
      </c>
      <c r="O468" s="38">
        <v>1.44</v>
      </c>
      <c r="P468" s="38">
        <v>0.46</v>
      </c>
      <c r="Q468" s="38">
        <v>0.08</v>
      </c>
      <c r="R468" s="38">
        <v>3.0394899999999998</v>
      </c>
      <c r="S468" s="38">
        <f t="shared" si="65"/>
        <v>3</v>
      </c>
      <c r="T468" s="38">
        <v>2.86</v>
      </c>
      <c r="U468" s="38">
        <v>0</v>
      </c>
      <c r="V468" s="38">
        <v>0</v>
      </c>
      <c r="W468" s="38">
        <v>0</v>
      </c>
      <c r="X468" s="38">
        <v>3.0361899999999999</v>
      </c>
      <c r="Y468" s="38">
        <f t="shared" si="66"/>
        <v>3</v>
      </c>
      <c r="Z468" s="52">
        <v>0</v>
      </c>
      <c r="AA468" s="255">
        <v>0</v>
      </c>
      <c r="AB468" s="117">
        <v>2.86</v>
      </c>
      <c r="AC468" s="117">
        <v>1.21278</v>
      </c>
      <c r="AD468" s="117">
        <v>67.25</v>
      </c>
      <c r="AE468" s="117">
        <v>7.34</v>
      </c>
      <c r="AF468" s="251">
        <v>0.70849200000000001</v>
      </c>
      <c r="AG468" s="38">
        <f t="shared" si="67"/>
        <v>0.7</v>
      </c>
      <c r="AH468" s="117">
        <v>67.853999999999999</v>
      </c>
      <c r="AI468" s="251">
        <v>0.67786199999999996</v>
      </c>
      <c r="AJ468" s="117">
        <v>0</v>
      </c>
      <c r="AK468" s="251">
        <v>0</v>
      </c>
      <c r="AL468" s="117">
        <v>0</v>
      </c>
      <c r="AM468" s="117">
        <v>0</v>
      </c>
      <c r="AN468" s="41"/>
      <c r="AO468" s="41"/>
      <c r="AP468" s="41"/>
      <c r="AQ468" s="41">
        <f>SUM(N468:Q468)</f>
        <v>2.86</v>
      </c>
      <c r="AR468" s="41">
        <f>SUM(T468:W468)</f>
        <v>2.86</v>
      </c>
      <c r="AS468" s="41">
        <f>SUM(Z468:AB468)</f>
        <v>2.86</v>
      </c>
      <c r="AU468" s="22">
        <f>I468/AQ468</f>
        <v>1</v>
      </c>
      <c r="AV468" s="22">
        <f>I468/AR468</f>
        <v>1</v>
      </c>
      <c r="AW468" s="22">
        <f>I468/AS468</f>
        <v>1</v>
      </c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</row>
    <row r="469" spans="1:88" s="22" customFormat="1">
      <c r="A469" s="1">
        <v>2077</v>
      </c>
      <c r="B469" s="34" t="s">
        <v>2715</v>
      </c>
      <c r="C469" s="34">
        <v>329</v>
      </c>
      <c r="D469" s="75">
        <v>4133</v>
      </c>
      <c r="E469" s="8">
        <v>101</v>
      </c>
      <c r="F469" s="34" t="s">
        <v>2723</v>
      </c>
      <c r="G469" s="58">
        <v>0</v>
      </c>
      <c r="H469" s="58">
        <v>42300</v>
      </c>
      <c r="I469" s="21">
        <v>42.3</v>
      </c>
      <c r="J469" s="8">
        <v>2</v>
      </c>
      <c r="K469" s="8" t="s">
        <v>238</v>
      </c>
      <c r="L469" s="18">
        <v>42121</v>
      </c>
      <c r="M469" s="9" t="s">
        <v>191</v>
      </c>
      <c r="N469" s="38">
        <v>26.8</v>
      </c>
      <c r="O469" s="38">
        <v>9.25</v>
      </c>
      <c r="P469" s="38">
        <v>4.6500000000000004</v>
      </c>
      <c r="Q469" s="38">
        <v>2.3250000000000002</v>
      </c>
      <c r="R469" s="38">
        <v>2.54983</v>
      </c>
      <c r="S469" s="38">
        <f t="shared" si="65"/>
        <v>2.5</v>
      </c>
      <c r="T469" s="38">
        <v>41.725000000000001</v>
      </c>
      <c r="U469" s="38">
        <v>1.1000000000000001</v>
      </c>
      <c r="V469" s="38">
        <v>0.17499999999999999</v>
      </c>
      <c r="W469" s="38">
        <v>2.5000000000000001E-2</v>
      </c>
      <c r="X469" s="38">
        <v>2.7153200000000002</v>
      </c>
      <c r="Y469" s="38">
        <f t="shared" si="66"/>
        <v>2.5</v>
      </c>
      <c r="Z469" s="52">
        <v>0</v>
      </c>
      <c r="AA469" s="52">
        <v>0</v>
      </c>
      <c r="AB469" s="38">
        <v>43.024999999999999</v>
      </c>
      <c r="AC469" s="38">
        <v>1.4019699999999999</v>
      </c>
      <c r="AD469" s="38">
        <v>990.3</v>
      </c>
      <c r="AE469" s="38">
        <v>106.71</v>
      </c>
      <c r="AF469" s="46">
        <v>0.70493414387031417</v>
      </c>
      <c r="AG469" s="38">
        <f t="shared" si="67"/>
        <v>0.7</v>
      </c>
      <c r="AH469" s="38">
        <v>416.67</v>
      </c>
      <c r="AI469" s="46">
        <v>0.28143870314083086</v>
      </c>
      <c r="AJ469" s="38">
        <v>61.39</v>
      </c>
      <c r="AK469" s="46">
        <v>4.1465721040189134E-2</v>
      </c>
      <c r="AL469" s="38">
        <v>0</v>
      </c>
      <c r="AM469" s="38">
        <f>AL469/(3.5*I469*1000)*100</f>
        <v>0</v>
      </c>
      <c r="AN469" s="12"/>
      <c r="AO469" s="12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</row>
    <row r="470" spans="1:88" s="22" customFormat="1">
      <c r="A470" s="1">
        <v>1864</v>
      </c>
      <c r="B470" s="34" t="s">
        <v>2485</v>
      </c>
      <c r="C470" s="34">
        <v>333</v>
      </c>
      <c r="D470" s="75">
        <v>3497</v>
      </c>
      <c r="E470" s="8">
        <v>100</v>
      </c>
      <c r="F470" s="9" t="s">
        <v>2493</v>
      </c>
      <c r="G470" s="20" t="s">
        <v>2494</v>
      </c>
      <c r="H470" s="20" t="s">
        <v>92</v>
      </c>
      <c r="I470" s="21">
        <v>12.15</v>
      </c>
      <c r="J470" s="34">
        <v>2</v>
      </c>
      <c r="K470" s="34" t="s">
        <v>12</v>
      </c>
      <c r="L470" s="18">
        <v>42098</v>
      </c>
      <c r="M470" s="207" t="s">
        <v>191</v>
      </c>
      <c r="N470" s="38">
        <v>6.35</v>
      </c>
      <c r="O470" s="38">
        <v>3.625</v>
      </c>
      <c r="P470" s="38">
        <v>1.5</v>
      </c>
      <c r="Q470" s="38">
        <v>0.55000000000000004</v>
      </c>
      <c r="R470" s="38">
        <v>2.7593999999999999</v>
      </c>
      <c r="S470" s="38">
        <f t="shared" si="65"/>
        <v>3</v>
      </c>
      <c r="T470" s="38">
        <v>10.625</v>
      </c>
      <c r="U470" s="38">
        <v>1.3</v>
      </c>
      <c r="V470" s="38">
        <v>7.4999999999999997E-2</v>
      </c>
      <c r="W470" s="38">
        <v>2.5000000000000001E-2</v>
      </c>
      <c r="X470" s="38">
        <v>5.3247900000000001</v>
      </c>
      <c r="Y470" s="38">
        <f t="shared" si="66"/>
        <v>5.5</v>
      </c>
      <c r="Z470" s="52">
        <v>0</v>
      </c>
      <c r="AA470" s="52">
        <v>0</v>
      </c>
      <c r="AB470" s="38">
        <v>12.025</v>
      </c>
      <c r="AC470" s="38">
        <v>1.3555999999999999</v>
      </c>
      <c r="AD470" s="38">
        <v>279.3</v>
      </c>
      <c r="AE470" s="38">
        <v>31.81</v>
      </c>
      <c r="AF470" s="46">
        <v>0.70286904761904756</v>
      </c>
      <c r="AG470" s="38">
        <f t="shared" si="67"/>
        <v>0.7</v>
      </c>
      <c r="AH470" s="38">
        <v>0</v>
      </c>
      <c r="AI470" s="46">
        <v>0</v>
      </c>
      <c r="AJ470" s="38">
        <v>0</v>
      </c>
      <c r="AK470" s="46">
        <v>0</v>
      </c>
      <c r="AL470" s="38">
        <v>0</v>
      </c>
      <c r="AM470" s="38">
        <f>AL470/(3.5*I470*1000)*100</f>
        <v>0</v>
      </c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</row>
    <row r="471" spans="1:88" s="22" customFormat="1">
      <c r="A471" s="1">
        <v>1958</v>
      </c>
      <c r="B471" s="34" t="s">
        <v>2586</v>
      </c>
      <c r="C471" s="34">
        <v>321</v>
      </c>
      <c r="D471" s="75">
        <v>4103</v>
      </c>
      <c r="E471" s="8">
        <v>102</v>
      </c>
      <c r="F471" s="34" t="s">
        <v>2603</v>
      </c>
      <c r="G471" s="58">
        <v>15799</v>
      </c>
      <c r="H471" s="58">
        <v>32879</v>
      </c>
      <c r="I471" s="21">
        <v>17.079999999999998</v>
      </c>
      <c r="J471" s="8">
        <v>2</v>
      </c>
      <c r="K471" s="8" t="s">
        <v>237</v>
      </c>
      <c r="L471" s="18">
        <v>42123</v>
      </c>
      <c r="M471" s="9" t="s">
        <v>191</v>
      </c>
      <c r="N471" s="38">
        <v>12.75</v>
      </c>
      <c r="O471" s="38">
        <v>2.2250000000000001</v>
      </c>
      <c r="P471" s="38">
        <v>1.05</v>
      </c>
      <c r="Q471" s="38">
        <v>1</v>
      </c>
      <c r="R471" s="38">
        <v>2.2097099999999998</v>
      </c>
      <c r="S471" s="38">
        <f t="shared" si="65"/>
        <v>2</v>
      </c>
      <c r="T471" s="38">
        <v>13.35</v>
      </c>
      <c r="U471" s="38">
        <v>3.15</v>
      </c>
      <c r="V471" s="38">
        <v>0.45</v>
      </c>
      <c r="W471" s="38">
        <v>7.4999999999999997E-2</v>
      </c>
      <c r="X471" s="38">
        <v>6.3828300000000002</v>
      </c>
      <c r="Y471" s="38">
        <f t="shared" si="66"/>
        <v>6.5</v>
      </c>
      <c r="Z471" s="52">
        <v>0</v>
      </c>
      <c r="AA471" s="52">
        <v>0</v>
      </c>
      <c r="AB471" s="38">
        <v>17.024999999999999</v>
      </c>
      <c r="AC471" s="38">
        <v>1.22793</v>
      </c>
      <c r="AD471" s="38">
        <v>389.52</v>
      </c>
      <c r="AE471" s="38">
        <v>61</v>
      </c>
      <c r="AF471" s="46">
        <f>(AD471+AE471*0.5)/(3.5*I471*1000)*100</f>
        <v>0.70260956841753097</v>
      </c>
      <c r="AG471" s="38">
        <f t="shared" si="67"/>
        <v>0.7</v>
      </c>
      <c r="AH471" s="38">
        <v>0</v>
      </c>
      <c r="AI471" s="46">
        <f>AH471/(3.5*I471*1000)*100</f>
        <v>0</v>
      </c>
      <c r="AJ471" s="38">
        <v>0</v>
      </c>
      <c r="AK471" s="46">
        <v>0</v>
      </c>
      <c r="AL471" s="38">
        <v>0</v>
      </c>
      <c r="AM471" s="38">
        <f>AL471/(3.5*I471*1000)*100</f>
        <v>0</v>
      </c>
      <c r="AN471" s="73"/>
      <c r="AO471" s="72"/>
      <c r="AP471" s="41"/>
      <c r="AQ471" s="41"/>
      <c r="AR471" s="73"/>
      <c r="AS471" s="73"/>
      <c r="AT471" s="73"/>
      <c r="AU471" s="73"/>
      <c r="AV471" s="73"/>
      <c r="AW471" s="73"/>
      <c r="AX471" s="73"/>
      <c r="AY471" s="73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</row>
    <row r="472" spans="1:88" s="22" customFormat="1">
      <c r="A472" s="1">
        <v>2138</v>
      </c>
      <c r="B472" s="34" t="s">
        <v>2754</v>
      </c>
      <c r="C472" s="34">
        <v>324</v>
      </c>
      <c r="D472" s="75">
        <v>4353</v>
      </c>
      <c r="E472" s="8">
        <v>100</v>
      </c>
      <c r="F472" s="9" t="s">
        <v>2779</v>
      </c>
      <c r="G472" s="20">
        <v>825</v>
      </c>
      <c r="H472" s="20">
        <v>0</v>
      </c>
      <c r="I472" s="21">
        <v>0.82499999999999996</v>
      </c>
      <c r="J472" s="9">
        <v>2</v>
      </c>
      <c r="K472" s="34" t="s">
        <v>12</v>
      </c>
      <c r="L472" s="18">
        <v>42137</v>
      </c>
      <c r="M472" s="9" t="s">
        <v>191</v>
      </c>
      <c r="N472" s="38">
        <v>2.5000000000000001E-2</v>
      </c>
      <c r="O472" s="38">
        <v>0</v>
      </c>
      <c r="P472" s="38">
        <v>2.5000000000000001E-2</v>
      </c>
      <c r="Q472" s="38">
        <v>0.5</v>
      </c>
      <c r="R472" s="38">
        <v>7.2540899999999997</v>
      </c>
      <c r="S472" s="38">
        <f t="shared" si="65"/>
        <v>7.5</v>
      </c>
      <c r="T472" s="38">
        <v>0.52500000000000002</v>
      </c>
      <c r="U472" s="38">
        <v>2.5000000000000001E-2</v>
      </c>
      <c r="V472" s="38">
        <v>0</v>
      </c>
      <c r="W472" s="38">
        <v>0</v>
      </c>
      <c r="X472" s="38">
        <v>3.4563199999999998</v>
      </c>
      <c r="Y472" s="38">
        <f t="shared" si="66"/>
        <v>3.5</v>
      </c>
      <c r="Z472" s="52">
        <v>0</v>
      </c>
      <c r="AA472" s="52">
        <v>0</v>
      </c>
      <c r="AB472" s="38">
        <v>0.55000000000000004</v>
      </c>
      <c r="AC472" s="38">
        <v>1.4290499999999999</v>
      </c>
      <c r="AD472" s="38">
        <v>7.24</v>
      </c>
      <c r="AE472" s="38">
        <v>25.94</v>
      </c>
      <c r="AF472" s="46">
        <v>0.69991341991342004</v>
      </c>
      <c r="AG472" s="38">
        <f t="shared" si="67"/>
        <v>0.7</v>
      </c>
      <c r="AH472" s="38">
        <v>53.9</v>
      </c>
      <c r="AI472" s="46">
        <v>1.8666666666666669</v>
      </c>
      <c r="AJ472" s="38">
        <v>6.7</v>
      </c>
      <c r="AK472" s="46">
        <v>0.23203463203463207</v>
      </c>
      <c r="AL472" s="38">
        <v>1.64</v>
      </c>
      <c r="AM472" s="38">
        <v>5.6796536796536803E-2</v>
      </c>
      <c r="AN472" s="41"/>
      <c r="AO472" s="41"/>
      <c r="AP472" s="73"/>
      <c r="AQ472" s="73"/>
      <c r="AR472" s="73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</row>
    <row r="473" spans="1:88" s="22" customFormat="1">
      <c r="A473" s="1">
        <v>1947</v>
      </c>
      <c r="B473" s="34" t="s">
        <v>2586</v>
      </c>
      <c r="C473" s="34">
        <v>321</v>
      </c>
      <c r="D473" s="75">
        <v>408</v>
      </c>
      <c r="E473" s="8">
        <v>102</v>
      </c>
      <c r="F473" s="34" t="s">
        <v>2591</v>
      </c>
      <c r="G473" s="58">
        <v>28721</v>
      </c>
      <c r="H473" s="58">
        <v>70891</v>
      </c>
      <c r="I473" s="21">
        <v>42.17</v>
      </c>
      <c r="J473" s="8">
        <v>4</v>
      </c>
      <c r="K473" s="8" t="s">
        <v>237</v>
      </c>
      <c r="L473" s="18">
        <v>42123</v>
      </c>
      <c r="M473" s="9" t="s">
        <v>191</v>
      </c>
      <c r="N473" s="38">
        <v>31</v>
      </c>
      <c r="O473" s="38">
        <v>7.1749999999999998</v>
      </c>
      <c r="P473" s="38">
        <v>2.5499999999999998</v>
      </c>
      <c r="Q473" s="38">
        <v>1.5</v>
      </c>
      <c r="R473" s="38">
        <v>2.2632400000000001</v>
      </c>
      <c r="S473" s="38">
        <f t="shared" si="65"/>
        <v>2.5</v>
      </c>
      <c r="T473" s="38">
        <v>35.725000000000001</v>
      </c>
      <c r="U473" s="38">
        <v>3.2749999999999999</v>
      </c>
      <c r="V473" s="38">
        <v>1.375</v>
      </c>
      <c r="W473" s="38">
        <v>1.85</v>
      </c>
      <c r="X473" s="38">
        <v>5.6013900000000003</v>
      </c>
      <c r="Y473" s="38">
        <f t="shared" si="66"/>
        <v>5.5</v>
      </c>
      <c r="Z473" s="52">
        <v>0</v>
      </c>
      <c r="AA473" s="52">
        <v>0</v>
      </c>
      <c r="AB473" s="38">
        <v>42.225000000000001</v>
      </c>
      <c r="AC473" s="38">
        <v>1.1416200000000001</v>
      </c>
      <c r="AD473" s="38">
        <v>1030.6199999999999</v>
      </c>
      <c r="AE473" s="38">
        <v>0</v>
      </c>
      <c r="AF473" s="46">
        <v>0.69827568684576036</v>
      </c>
      <c r="AG473" s="38">
        <f t="shared" si="67"/>
        <v>0.7</v>
      </c>
      <c r="AH473" s="38">
        <v>0</v>
      </c>
      <c r="AI473" s="46">
        <f>AH473/(3.5*I473*1000)*100</f>
        <v>0</v>
      </c>
      <c r="AJ473" s="38">
        <v>0</v>
      </c>
      <c r="AK473" s="46">
        <v>0</v>
      </c>
      <c r="AL473" s="38">
        <v>0</v>
      </c>
      <c r="AM473" s="38">
        <f t="shared" ref="AM473:AM479" si="69">AL473/(3.5*I473*1000)*100</f>
        <v>0</v>
      </c>
      <c r="AN473" s="73"/>
      <c r="AO473" s="72"/>
      <c r="AP473" s="41"/>
      <c r="AQ473" s="41"/>
      <c r="AR473" s="73"/>
      <c r="AS473" s="73"/>
      <c r="AT473" s="73"/>
      <c r="AU473" s="73"/>
      <c r="AV473" s="73"/>
      <c r="AW473" s="73"/>
      <c r="AX473" s="73"/>
      <c r="AY473" s="73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</row>
    <row r="474" spans="1:88" s="22" customFormat="1">
      <c r="A474" s="1">
        <v>942</v>
      </c>
      <c r="B474" s="34" t="s">
        <v>1329</v>
      </c>
      <c r="C474" s="34">
        <v>611</v>
      </c>
      <c r="D474" s="161">
        <v>207</v>
      </c>
      <c r="E474" s="34">
        <v>100</v>
      </c>
      <c r="F474" s="34" t="s">
        <v>1340</v>
      </c>
      <c r="G474" s="58" t="s">
        <v>1341</v>
      </c>
      <c r="H474" s="58" t="s">
        <v>1342</v>
      </c>
      <c r="I474" s="35">
        <v>36.207000000000001</v>
      </c>
      <c r="J474" s="71">
        <v>2</v>
      </c>
      <c r="K474" s="34" t="s">
        <v>12</v>
      </c>
      <c r="L474" s="10">
        <v>42118</v>
      </c>
      <c r="M474" s="9" t="s">
        <v>191</v>
      </c>
      <c r="N474" s="38">
        <v>18</v>
      </c>
      <c r="O474" s="38">
        <v>6.3500000000000005</v>
      </c>
      <c r="P474" s="38">
        <v>6.5</v>
      </c>
      <c r="Q474" s="38">
        <v>5.35</v>
      </c>
      <c r="R474" s="38">
        <v>2.7926661884603758</v>
      </c>
      <c r="S474" s="38">
        <f t="shared" si="65"/>
        <v>3</v>
      </c>
      <c r="T474" s="38">
        <v>30.675000000000001</v>
      </c>
      <c r="U474" s="38">
        <v>4.5</v>
      </c>
      <c r="V474" s="38">
        <v>0.625</v>
      </c>
      <c r="W474" s="38">
        <v>0.4</v>
      </c>
      <c r="X474" s="38">
        <v>5.6139999999999999</v>
      </c>
      <c r="Y474" s="38">
        <f t="shared" si="66"/>
        <v>5.5</v>
      </c>
      <c r="Z474" s="52">
        <v>0</v>
      </c>
      <c r="AA474" s="52">
        <v>0</v>
      </c>
      <c r="AB474" s="38">
        <v>36.207000000000001</v>
      </c>
      <c r="AC474" s="38">
        <v>1.1535500000000001</v>
      </c>
      <c r="AD474" s="38">
        <v>883.21</v>
      </c>
      <c r="AE474" s="38">
        <v>0</v>
      </c>
      <c r="AF474" s="46">
        <f>(AD474+AE474*0.5)/(3.5*I474*1000)*100</f>
        <v>0.69695283863814816</v>
      </c>
      <c r="AG474" s="38">
        <f t="shared" si="67"/>
        <v>0.7</v>
      </c>
      <c r="AH474" s="38">
        <v>34.340000000000003</v>
      </c>
      <c r="AI474" s="46">
        <f>AH474/(3.5*I474*1000)*100</f>
        <v>2.7098153869220237E-2</v>
      </c>
      <c r="AJ474" s="38">
        <v>0</v>
      </c>
      <c r="AK474" s="46">
        <f>AJ474/(3.5*I474*1000)*100</f>
        <v>0</v>
      </c>
      <c r="AL474" s="38">
        <v>0</v>
      </c>
      <c r="AM474" s="38">
        <f t="shared" si="69"/>
        <v>0</v>
      </c>
      <c r="AN474" s="25"/>
      <c r="AO474" s="25">
        <f>AE474*0.5</f>
        <v>0</v>
      </c>
      <c r="AP474" s="25">
        <f>(AD474+AH474+AJ474+AL474+AO474)*I474</f>
        <v>33221.73285</v>
      </c>
      <c r="AQ474" s="25"/>
      <c r="AR474" s="25">
        <f>SUM(N474:Q474)</f>
        <v>36.200000000000003</v>
      </c>
      <c r="AS474" s="25">
        <f>SUM(T474:W474)</f>
        <v>36.199999999999996</v>
      </c>
      <c r="AT474" s="268">
        <v>36.207000000000001</v>
      </c>
      <c r="AU474" s="41"/>
      <c r="AV474" s="41"/>
      <c r="AW474" s="41"/>
    </row>
    <row r="475" spans="1:88" s="22" customFormat="1">
      <c r="A475" s="1">
        <v>159</v>
      </c>
      <c r="B475" s="34" t="s">
        <v>332</v>
      </c>
      <c r="C475" s="34">
        <v>533</v>
      </c>
      <c r="D475" s="34">
        <v>1</v>
      </c>
      <c r="E475" s="34">
        <v>1401</v>
      </c>
      <c r="F475" s="34" t="s">
        <v>333</v>
      </c>
      <c r="G475" s="50" t="s">
        <v>334</v>
      </c>
      <c r="H475" s="50" t="s">
        <v>335</v>
      </c>
      <c r="I475" s="35">
        <v>21.63</v>
      </c>
      <c r="J475" s="33">
        <v>4</v>
      </c>
      <c r="K475" s="34" t="s">
        <v>237</v>
      </c>
      <c r="L475" s="10">
        <v>42203</v>
      </c>
      <c r="M475" s="9" t="s">
        <v>191</v>
      </c>
      <c r="N475" s="38">
        <v>11.47</v>
      </c>
      <c r="O475" s="38">
        <v>6.18</v>
      </c>
      <c r="P475" s="38">
        <v>2.35</v>
      </c>
      <c r="Q475" s="38">
        <v>1.63</v>
      </c>
      <c r="R475" s="38">
        <v>2.3714400000000002</v>
      </c>
      <c r="S475" s="38">
        <f t="shared" si="65"/>
        <v>2.5</v>
      </c>
      <c r="T475" s="38">
        <v>13.24</v>
      </c>
      <c r="U475" s="38">
        <v>5.18</v>
      </c>
      <c r="V475" s="38">
        <v>1.98</v>
      </c>
      <c r="W475" s="38">
        <v>1.23</v>
      </c>
      <c r="X475" s="38">
        <v>12.856199999999999</v>
      </c>
      <c r="Y475" s="38">
        <f t="shared" si="66"/>
        <v>13</v>
      </c>
      <c r="Z475" s="52">
        <v>0</v>
      </c>
      <c r="AA475" s="52">
        <v>0</v>
      </c>
      <c r="AB475" s="38">
        <v>21.63</v>
      </c>
      <c r="AC475" s="38">
        <v>1.0966</v>
      </c>
      <c r="AD475" s="38">
        <v>489</v>
      </c>
      <c r="AE475" s="38">
        <v>76.87</v>
      </c>
      <c r="AF475" s="46">
        <f>(AD475+AE475*0.5)/(3.5*I475*1000)*100</f>
        <v>0.69669770820949728</v>
      </c>
      <c r="AG475" s="38">
        <f t="shared" si="67"/>
        <v>0.7</v>
      </c>
      <c r="AH475" s="38">
        <v>0</v>
      </c>
      <c r="AI475" s="46">
        <f>AH475/(3.5*I475*1000)*100</f>
        <v>0</v>
      </c>
      <c r="AJ475" s="38">
        <v>20</v>
      </c>
      <c r="AK475" s="46">
        <f>AJ475/(3.5*I475*1000)*100</f>
        <v>2.6418334324020867E-2</v>
      </c>
      <c r="AL475" s="38">
        <v>0</v>
      </c>
      <c r="AM475" s="38">
        <f t="shared" si="69"/>
        <v>0</v>
      </c>
      <c r="AN475" s="25"/>
      <c r="AO475" s="25">
        <f>AE475*0.5</f>
        <v>38.435000000000002</v>
      </c>
      <c r="AP475" s="25">
        <f>(AD475+AH475+AJ475+AL475+AO475)*I475</f>
        <v>11841.019049999999</v>
      </c>
      <c r="AQ475" s="25"/>
      <c r="AR475" s="25">
        <f>SUM(N475:Q475)</f>
        <v>21.63</v>
      </c>
      <c r="AS475" s="25">
        <f>SUM(T475:W475)</f>
        <v>21.630000000000003</v>
      </c>
      <c r="AU475" s="41">
        <f>SUM(N475:Q475)</f>
        <v>21.63</v>
      </c>
      <c r="AV475" s="41">
        <f>SUM(T475:W475)</f>
        <v>21.630000000000003</v>
      </c>
      <c r="AW475" s="41">
        <f>SUM(Z475:AB475)</f>
        <v>21.63</v>
      </c>
      <c r="AY475" s="22">
        <f>I475/AU475</f>
        <v>1</v>
      </c>
      <c r="AZ475" s="22">
        <f>I475/AV475</f>
        <v>0.99999999999999989</v>
      </c>
      <c r="BA475" s="22">
        <f>I475/AW475</f>
        <v>1</v>
      </c>
    </row>
    <row r="476" spans="1:88" s="22" customFormat="1">
      <c r="A476" s="1">
        <v>722</v>
      </c>
      <c r="B476" s="34" t="s">
        <v>1123</v>
      </c>
      <c r="C476" s="34">
        <v>627</v>
      </c>
      <c r="D476" s="34">
        <v>2037</v>
      </c>
      <c r="E476" s="34">
        <v>100</v>
      </c>
      <c r="F476" s="34" t="s">
        <v>1129</v>
      </c>
      <c r="G476" s="58">
        <v>1150</v>
      </c>
      <c r="H476" s="58">
        <v>22096</v>
      </c>
      <c r="I476" s="51">
        <v>20.946000000000002</v>
      </c>
      <c r="J476" s="127">
        <v>2</v>
      </c>
      <c r="K476" s="34" t="s">
        <v>238</v>
      </c>
      <c r="L476" s="10">
        <v>42177</v>
      </c>
      <c r="M476" s="9" t="s">
        <v>191</v>
      </c>
      <c r="N476" s="38">
        <v>11.1</v>
      </c>
      <c r="O476" s="38">
        <v>6.9249999999999998</v>
      </c>
      <c r="P476" s="38">
        <v>2.1749999999999998</v>
      </c>
      <c r="Q476" s="38">
        <v>1.125</v>
      </c>
      <c r="R476" s="38">
        <v>2.8724799999999999</v>
      </c>
      <c r="S476" s="38">
        <f t="shared" si="65"/>
        <v>3</v>
      </c>
      <c r="T476" s="38">
        <v>20.399999999999999</v>
      </c>
      <c r="U476" s="38">
        <v>0.85</v>
      </c>
      <c r="V476" s="38">
        <v>7.4999999999999997E-2</v>
      </c>
      <c r="W476" s="38">
        <v>0</v>
      </c>
      <c r="X476" s="38">
        <v>5.6284000000000001</v>
      </c>
      <c r="Y476" s="38">
        <f t="shared" si="66"/>
        <v>5.5</v>
      </c>
      <c r="Z476" s="52">
        <v>0</v>
      </c>
      <c r="AA476" s="52">
        <v>0</v>
      </c>
      <c r="AB476" s="38">
        <v>20.946000000000002</v>
      </c>
      <c r="AC476" s="38">
        <v>1.0785899999999999</v>
      </c>
      <c r="AD476" s="38">
        <v>509.96</v>
      </c>
      <c r="AE476" s="38">
        <v>0</v>
      </c>
      <c r="AF476" s="46">
        <v>0.69560999999999995</v>
      </c>
      <c r="AG476" s="38">
        <f t="shared" si="67"/>
        <v>0.7</v>
      </c>
      <c r="AH476" s="38">
        <v>0</v>
      </c>
      <c r="AI476" s="46">
        <v>0</v>
      </c>
      <c r="AJ476" s="38">
        <v>0</v>
      </c>
      <c r="AK476" s="46">
        <v>0</v>
      </c>
      <c r="AL476" s="38">
        <v>0</v>
      </c>
      <c r="AM476" s="147">
        <f t="shared" si="69"/>
        <v>0</v>
      </c>
      <c r="AN476" s="25"/>
      <c r="AO476" s="25">
        <f>AE476*0.5</f>
        <v>0</v>
      </c>
      <c r="AP476" s="25">
        <f>(AD476+AH476+AJ476+AL476+AO476)*I476</f>
        <v>10681.622160000001</v>
      </c>
      <c r="AQ476" s="25">
        <f>SUM(N476:Q476)</f>
        <v>21.324999999999999</v>
      </c>
      <c r="AR476" s="25">
        <f>SUM(T476:W476)</f>
        <v>21.324999999999999</v>
      </c>
      <c r="AS476" s="268">
        <v>20.946000000000002</v>
      </c>
      <c r="AT476" s="41"/>
      <c r="AU476" s="41"/>
      <c r="AV476" s="41"/>
      <c r="AW476" s="41"/>
    </row>
    <row r="477" spans="1:88" s="22" customFormat="1">
      <c r="A477" s="1">
        <v>165</v>
      </c>
      <c r="B477" s="34" t="s">
        <v>332</v>
      </c>
      <c r="C477" s="34">
        <v>533</v>
      </c>
      <c r="D477" s="34">
        <v>1</v>
      </c>
      <c r="E477" s="34">
        <v>1404</v>
      </c>
      <c r="F477" s="34" t="s">
        <v>341</v>
      </c>
      <c r="G477" s="50" t="s">
        <v>342</v>
      </c>
      <c r="H477" s="50" t="s">
        <v>340</v>
      </c>
      <c r="I477" s="35">
        <v>25.247</v>
      </c>
      <c r="J477" s="33">
        <v>4</v>
      </c>
      <c r="K477" s="34" t="s">
        <v>96</v>
      </c>
      <c r="L477" s="10">
        <v>42202</v>
      </c>
      <c r="M477" s="9" t="s">
        <v>191</v>
      </c>
      <c r="N477" s="38">
        <v>17.18</v>
      </c>
      <c r="O477" s="38">
        <v>4.95</v>
      </c>
      <c r="P477" s="38">
        <v>2.44</v>
      </c>
      <c r="Q477" s="38">
        <v>0.68</v>
      </c>
      <c r="R477" s="38">
        <v>2.3812700000000002</v>
      </c>
      <c r="S477" s="38">
        <f t="shared" si="65"/>
        <v>2.5</v>
      </c>
      <c r="T477" s="38">
        <v>24.13</v>
      </c>
      <c r="U477" s="38">
        <v>1.04</v>
      </c>
      <c r="V477" s="38">
        <v>0.03</v>
      </c>
      <c r="W477" s="38">
        <v>0.05</v>
      </c>
      <c r="X477" s="38">
        <v>4.8508800000000001</v>
      </c>
      <c r="Y477" s="38">
        <f t="shared" si="66"/>
        <v>5</v>
      </c>
      <c r="Z477" s="52">
        <v>0</v>
      </c>
      <c r="AA477" s="52">
        <v>0</v>
      </c>
      <c r="AB477" s="38">
        <v>25.25</v>
      </c>
      <c r="AC477" s="38">
        <v>1.08195</v>
      </c>
      <c r="AD477" s="38">
        <v>45</v>
      </c>
      <c r="AE477" s="38">
        <v>1134.1300000000001</v>
      </c>
      <c r="AF477" s="46">
        <f>(AD477+AE477*0.5)/(3.5*I477*1000)*100</f>
        <v>0.69265938244430758</v>
      </c>
      <c r="AG477" s="38">
        <f t="shared" si="67"/>
        <v>0.7</v>
      </c>
      <c r="AH477" s="38">
        <v>20</v>
      </c>
      <c r="AI477" s="46">
        <f>AH477/(3.5*I477*1000)*100</f>
        <v>2.263352364354464E-2</v>
      </c>
      <c r="AJ477" s="38">
        <v>185</v>
      </c>
      <c r="AK477" s="46">
        <f>AJ477/(3.5*I477*1000)*100</f>
        <v>0.20936009370278791</v>
      </c>
      <c r="AL477" s="38">
        <v>0</v>
      </c>
      <c r="AM477" s="38">
        <f t="shared" si="69"/>
        <v>0</v>
      </c>
      <c r="AN477" s="25"/>
      <c r="AO477" s="25">
        <f>AE477*0.5</f>
        <v>567.06500000000005</v>
      </c>
      <c r="AP477" s="25">
        <f>(AD477+AH477+AJ477+AL477+AO477)*I477</f>
        <v>20628.440055000003</v>
      </c>
      <c r="AQ477" s="25"/>
      <c r="AR477" s="25">
        <f>SUM(N477:Q477)</f>
        <v>25.25</v>
      </c>
      <c r="AS477" s="25">
        <f>SUM(T477:W477)</f>
        <v>25.25</v>
      </c>
      <c r="AU477" s="41">
        <f>SUM(N477:Q477)</f>
        <v>25.25</v>
      </c>
      <c r="AV477" s="41">
        <f>SUM(T477:W477)</f>
        <v>25.25</v>
      </c>
      <c r="AW477" s="41">
        <f>SUM(Z477:AB477)</f>
        <v>25.25</v>
      </c>
      <c r="AX477" s="41"/>
      <c r="AY477" s="22">
        <f>I477/AU477</f>
        <v>0.99988118811881188</v>
      </c>
      <c r="AZ477" s="22">
        <f>I477/AV477</f>
        <v>0.99988118811881188</v>
      </c>
      <c r="BA477" s="22">
        <f>I477/AW477</f>
        <v>0.99988118811881188</v>
      </c>
    </row>
    <row r="478" spans="1:88" s="22" customFormat="1">
      <c r="A478" s="1">
        <v>1965</v>
      </c>
      <c r="B478" s="34" t="s">
        <v>2586</v>
      </c>
      <c r="C478" s="34">
        <v>321</v>
      </c>
      <c r="D478" s="75">
        <v>4234</v>
      </c>
      <c r="E478" s="8">
        <v>100</v>
      </c>
      <c r="F478" s="34" t="s">
        <v>2610</v>
      </c>
      <c r="G478" s="58">
        <v>0</v>
      </c>
      <c r="H478" s="58">
        <v>3413</v>
      </c>
      <c r="I478" s="21">
        <v>3.4129999999999998</v>
      </c>
      <c r="J478" s="8">
        <v>2</v>
      </c>
      <c r="K478" s="8" t="s">
        <v>238</v>
      </c>
      <c r="L478" s="18">
        <v>42123</v>
      </c>
      <c r="M478" s="9" t="s">
        <v>191</v>
      </c>
      <c r="N478" s="38">
        <v>2.375</v>
      </c>
      <c r="O478" s="38">
        <v>0.3</v>
      </c>
      <c r="P478" s="38">
        <v>0.32500000000000001</v>
      </c>
      <c r="Q478" s="38">
        <v>0.47499999999999998</v>
      </c>
      <c r="R478" s="38">
        <v>2.83446</v>
      </c>
      <c r="S478" s="38">
        <f t="shared" si="65"/>
        <v>3</v>
      </c>
      <c r="T478" s="38">
        <v>3.4750000000000001</v>
      </c>
      <c r="U478" s="38">
        <v>0</v>
      </c>
      <c r="V478" s="38">
        <v>0</v>
      </c>
      <c r="W478" s="38">
        <v>0</v>
      </c>
      <c r="X478" s="38">
        <v>2.5433500000000002</v>
      </c>
      <c r="Y478" s="38">
        <f t="shared" si="66"/>
        <v>2.5</v>
      </c>
      <c r="Z478" s="52">
        <v>0</v>
      </c>
      <c r="AA478" s="52">
        <v>0</v>
      </c>
      <c r="AB478" s="38">
        <v>3.4750000000000001</v>
      </c>
      <c r="AC478" s="38">
        <v>1.15537</v>
      </c>
      <c r="AD478" s="38">
        <v>82.64</v>
      </c>
      <c r="AE478" s="38">
        <v>0</v>
      </c>
      <c r="AF478" s="46">
        <f>(AD478+AE478*0.5)/(3.5*I478*1000)*100</f>
        <v>0.69180863086517941</v>
      </c>
      <c r="AG478" s="38">
        <f t="shared" si="67"/>
        <v>0.7</v>
      </c>
      <c r="AH478" s="38">
        <v>0</v>
      </c>
      <c r="AI478" s="46">
        <f>AH478/(3.5*I478*1000)*100</f>
        <v>0</v>
      </c>
      <c r="AJ478" s="38">
        <v>2.2200000000000002</v>
      </c>
      <c r="AK478" s="46">
        <f>AH478/(3.5*L478*1000)*100</f>
        <v>0</v>
      </c>
      <c r="AL478" s="38">
        <v>0</v>
      </c>
      <c r="AM478" s="38">
        <f t="shared" si="69"/>
        <v>0</v>
      </c>
      <c r="AN478" s="73"/>
      <c r="AO478" s="72"/>
      <c r="AP478" s="41"/>
      <c r="AQ478" s="41"/>
      <c r="AR478" s="73"/>
      <c r="AS478" s="73"/>
      <c r="AT478" s="73"/>
      <c r="AU478" s="73"/>
      <c r="AV478" s="73"/>
      <c r="AW478" s="73"/>
      <c r="AX478" s="73"/>
      <c r="AY478" s="73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</row>
    <row r="479" spans="1:88" s="22" customFormat="1">
      <c r="A479" s="1">
        <v>452</v>
      </c>
      <c r="B479" s="74" t="s">
        <v>699</v>
      </c>
      <c r="C479" s="34">
        <v>513</v>
      </c>
      <c r="D479" s="34">
        <v>1368</v>
      </c>
      <c r="E479" s="34">
        <v>100</v>
      </c>
      <c r="F479" s="34" t="s">
        <v>768</v>
      </c>
      <c r="G479" s="34" t="s">
        <v>92</v>
      </c>
      <c r="H479" s="34" t="s">
        <v>769</v>
      </c>
      <c r="I479" s="55">
        <v>2.9129999999999998</v>
      </c>
      <c r="J479" s="5" t="s">
        <v>238</v>
      </c>
      <c r="K479" s="34">
        <v>2</v>
      </c>
      <c r="L479" s="10">
        <v>42263</v>
      </c>
      <c r="M479" s="9" t="s">
        <v>191</v>
      </c>
      <c r="N479" s="38">
        <v>2.34</v>
      </c>
      <c r="O479" s="38">
        <v>0.28000000000000003</v>
      </c>
      <c r="P479" s="38">
        <v>0.08</v>
      </c>
      <c r="Q479" s="38">
        <v>0.2</v>
      </c>
      <c r="R479" s="38">
        <v>2.3493200000000001</v>
      </c>
      <c r="S479" s="38">
        <f t="shared" si="65"/>
        <v>2.5</v>
      </c>
      <c r="T479" s="38">
        <v>2.91</v>
      </c>
      <c r="U479" s="38">
        <v>0</v>
      </c>
      <c r="V479" s="38">
        <v>0</v>
      </c>
      <c r="W479" s="38">
        <v>0</v>
      </c>
      <c r="X479" s="38">
        <v>1.60276</v>
      </c>
      <c r="Y479" s="38">
        <f t="shared" si="66"/>
        <v>1.5</v>
      </c>
      <c r="Z479" s="52">
        <v>0</v>
      </c>
      <c r="AA479" s="52">
        <v>0</v>
      </c>
      <c r="AB479" s="38">
        <v>2.91</v>
      </c>
      <c r="AC479" s="38">
        <v>1.0729200000000001</v>
      </c>
      <c r="AD479" s="38">
        <v>59.21</v>
      </c>
      <c r="AE479" s="38">
        <v>22.34</v>
      </c>
      <c r="AF479" s="46">
        <f>(AD479+AE479*0.5)/(3.5*I479*1000)*100</f>
        <v>0.69030454612328962</v>
      </c>
      <c r="AG479" s="38">
        <f t="shared" si="67"/>
        <v>0.7</v>
      </c>
      <c r="AH479" s="38">
        <v>94.57</v>
      </c>
      <c r="AI479" s="46">
        <f>AH479/(3.5*I479*1000)*100</f>
        <v>0.92756608307586663</v>
      </c>
      <c r="AJ479" s="38">
        <v>0</v>
      </c>
      <c r="AK479" s="46">
        <f>AJ479/(3.5*I479*1000)*100</f>
        <v>0</v>
      </c>
      <c r="AL479" s="38">
        <v>0</v>
      </c>
      <c r="AM479" s="38">
        <f t="shared" si="69"/>
        <v>0</v>
      </c>
      <c r="AN479" s="41"/>
      <c r="AO479" s="41"/>
      <c r="AP479" s="73"/>
      <c r="AQ479" s="41">
        <f>SUM(N479:Q479)</f>
        <v>2.9000000000000004</v>
      </c>
      <c r="AR479" s="41">
        <f>SUM(T479:W479)</f>
        <v>2.91</v>
      </c>
      <c r="AS479" s="41">
        <f>SUM(Z479:AB479)</f>
        <v>2.91</v>
      </c>
      <c r="AU479" s="22">
        <f>I479/AQ479</f>
        <v>1.0044827586206895</v>
      </c>
      <c r="AV479" s="22">
        <f>I479/AR479</f>
        <v>1.0010309278350515</v>
      </c>
      <c r="AW479" s="22">
        <f>I479/AS479</f>
        <v>1.0010309278350515</v>
      </c>
      <c r="AX479" s="73"/>
      <c r="AY479" s="73"/>
      <c r="AZ479" s="73"/>
      <c r="BA479" s="73"/>
      <c r="BB479" s="73"/>
      <c r="BC479" s="73"/>
      <c r="BD479" s="73"/>
      <c r="BE479" s="73"/>
      <c r="BF479" s="73"/>
      <c r="BG479" s="73"/>
      <c r="BH479" s="73"/>
      <c r="BI479" s="73"/>
      <c r="BJ479" s="73"/>
      <c r="BK479" s="73"/>
      <c r="BL479" s="73"/>
      <c r="BM479" s="73"/>
      <c r="BN479" s="73"/>
      <c r="BO479" s="73"/>
      <c r="BP479" s="73"/>
      <c r="BQ479" s="73"/>
      <c r="BR479" s="73"/>
      <c r="BS479" s="73"/>
      <c r="BT479" s="73"/>
      <c r="BU479" s="73"/>
      <c r="BV479" s="73"/>
      <c r="BW479" s="73"/>
      <c r="BX479" s="73"/>
      <c r="BY479" s="73"/>
      <c r="BZ479" s="73"/>
      <c r="CA479" s="73"/>
      <c r="CB479" s="73"/>
      <c r="CC479" s="73"/>
      <c r="CD479" s="73"/>
      <c r="CE479" s="73"/>
      <c r="CF479" s="73"/>
      <c r="CG479" s="73"/>
      <c r="CH479" s="73"/>
      <c r="CI479" s="73"/>
      <c r="CJ479" s="73"/>
    </row>
    <row r="480" spans="1:88">
      <c r="A480" s="1">
        <v>1398</v>
      </c>
      <c r="B480" s="34" t="s">
        <v>1940</v>
      </c>
      <c r="C480" s="34">
        <v>446</v>
      </c>
      <c r="D480" s="75">
        <v>3251</v>
      </c>
      <c r="E480" s="69">
        <v>100</v>
      </c>
      <c r="F480" s="34" t="s">
        <v>1954</v>
      </c>
      <c r="G480" s="20">
        <v>15271</v>
      </c>
      <c r="H480" s="20">
        <v>0</v>
      </c>
      <c r="I480" s="21">
        <v>15.271000000000001</v>
      </c>
      <c r="J480" s="8">
        <v>2</v>
      </c>
      <c r="K480" s="34" t="s">
        <v>12</v>
      </c>
      <c r="L480" s="10">
        <v>42219</v>
      </c>
      <c r="M480" s="9" t="s">
        <v>191</v>
      </c>
      <c r="N480" s="38">
        <v>12.23</v>
      </c>
      <c r="O480" s="38">
        <v>2.4</v>
      </c>
      <c r="P480" s="38">
        <v>0.55000000000000004</v>
      </c>
      <c r="Q480" s="38">
        <v>0.1</v>
      </c>
      <c r="R480" s="38">
        <v>2.13083</v>
      </c>
      <c r="S480" s="38">
        <f t="shared" si="65"/>
        <v>2</v>
      </c>
      <c r="T480" s="38">
        <v>15.25</v>
      </c>
      <c r="U480" s="38">
        <v>0.02</v>
      </c>
      <c r="V480" s="38">
        <v>0</v>
      </c>
      <c r="W480" s="38">
        <v>0</v>
      </c>
      <c r="X480" s="38">
        <v>2.4387099999999999</v>
      </c>
      <c r="Y480" s="38">
        <f t="shared" si="66"/>
        <v>2.5</v>
      </c>
      <c r="Z480" s="38">
        <v>0</v>
      </c>
      <c r="AA480" s="38">
        <v>0</v>
      </c>
      <c r="AB480" s="11">
        <v>15.27</v>
      </c>
      <c r="AC480" s="38">
        <v>1.20286</v>
      </c>
      <c r="AD480" s="38">
        <v>330.125</v>
      </c>
      <c r="AE480" s="38">
        <v>73.7</v>
      </c>
      <c r="AF480" s="38">
        <v>0.68659550782528977</v>
      </c>
      <c r="AG480" s="38">
        <f t="shared" si="67"/>
        <v>0.7</v>
      </c>
      <c r="AH480" s="38">
        <v>87.432000000000002</v>
      </c>
      <c r="AI480" s="38">
        <v>0.16358176562485383</v>
      </c>
      <c r="AJ480" s="38">
        <v>2.0099999999999998</v>
      </c>
      <c r="AK480" s="38">
        <v>3.7606293909090058E-3</v>
      </c>
      <c r="AL480" s="38">
        <v>0</v>
      </c>
      <c r="AM480" s="38">
        <v>0</v>
      </c>
      <c r="AN480" s="12"/>
      <c r="AP480" s="12">
        <f>SUM(N480:Q480)</f>
        <v>15.280000000000001</v>
      </c>
      <c r="AQ480" s="12">
        <f>SUM(T480:W480)</f>
        <v>15.27</v>
      </c>
      <c r="AR480" s="12">
        <f>SUM(Z480:AB480)</f>
        <v>15.27</v>
      </c>
      <c r="AT480" s="1">
        <f>I480/AP480</f>
        <v>0.99941099476439788</v>
      </c>
      <c r="AU480" s="1">
        <f>I480/AQ480</f>
        <v>1.0000654878847415</v>
      </c>
      <c r="AV480" s="1">
        <f>I480/AR480</f>
        <v>1.0000654878847415</v>
      </c>
    </row>
    <row r="481" spans="1:88">
      <c r="A481" s="1">
        <v>821</v>
      </c>
      <c r="B481" s="34" t="s">
        <v>1204</v>
      </c>
      <c r="C481" s="34">
        <v>647</v>
      </c>
      <c r="D481" s="150">
        <v>2039</v>
      </c>
      <c r="E481" s="34">
        <v>202</v>
      </c>
      <c r="F481" s="34" t="s">
        <v>1213</v>
      </c>
      <c r="G481" s="58">
        <v>77479</v>
      </c>
      <c r="H481" s="58">
        <v>49479</v>
      </c>
      <c r="I481" s="35">
        <v>28</v>
      </c>
      <c r="J481" s="9">
        <v>2</v>
      </c>
      <c r="K481" s="34" t="s">
        <v>12</v>
      </c>
      <c r="L481" s="10">
        <v>42154</v>
      </c>
      <c r="M481" s="9" t="s">
        <v>191</v>
      </c>
      <c r="N481" s="38">
        <v>21.6</v>
      </c>
      <c r="O481" s="38">
        <v>4.7750000000000004</v>
      </c>
      <c r="P481" s="38">
        <v>1.2</v>
      </c>
      <c r="Q481" s="38">
        <v>0.35</v>
      </c>
      <c r="R481" s="38">
        <v>2.15</v>
      </c>
      <c r="S481" s="38">
        <f t="shared" si="65"/>
        <v>2</v>
      </c>
      <c r="T481" s="38">
        <v>26.85</v>
      </c>
      <c r="U481" s="38">
        <v>0.875</v>
      </c>
      <c r="V481" s="38">
        <v>0.125</v>
      </c>
      <c r="W481" s="38">
        <v>7.4999999999999997E-2</v>
      </c>
      <c r="X481" s="38">
        <v>3.94659</v>
      </c>
      <c r="Y481" s="38">
        <f t="shared" si="66"/>
        <v>4</v>
      </c>
      <c r="Z481" s="38">
        <v>0</v>
      </c>
      <c r="AA481" s="38">
        <v>0</v>
      </c>
      <c r="AB481" s="38">
        <f>N481+O481+P481+Q481</f>
        <v>27.925000000000001</v>
      </c>
      <c r="AC481" s="38">
        <v>1.15768</v>
      </c>
      <c r="AD481" s="38">
        <v>0</v>
      </c>
      <c r="AE481" s="38">
        <v>1345</v>
      </c>
      <c r="AF481" s="38">
        <f>(AD481+AE481*0.5)/(3.5*I481*1000)*100</f>
        <v>0.68622448979591832</v>
      </c>
      <c r="AG481" s="38">
        <f t="shared" si="67"/>
        <v>0.7</v>
      </c>
      <c r="AH481" s="38">
        <v>0</v>
      </c>
      <c r="AI481" s="38">
        <f>AH481/(3.5*I481*1000)*100</f>
        <v>0</v>
      </c>
      <c r="AJ481" s="38">
        <v>4</v>
      </c>
      <c r="AK481" s="38">
        <f>AJ481/(3.5*I481*1000)*100</f>
        <v>4.0816326530612249E-3</v>
      </c>
      <c r="AL481" s="38">
        <v>0</v>
      </c>
      <c r="AM481" s="38">
        <f>AL481/(3.5*I481*1000)*100</f>
        <v>0</v>
      </c>
      <c r="AN481" s="25"/>
      <c r="AO481" s="25">
        <f>AE481*0.5</f>
        <v>672.5</v>
      </c>
      <c r="AP481" s="25">
        <f>(AD481+AH481+AJ481+AL481+AO481)*I481</f>
        <v>18942</v>
      </c>
      <c r="AQ481" s="25">
        <f>SUM(N481:Q481)</f>
        <v>27.925000000000001</v>
      </c>
      <c r="AR481" s="25">
        <f>SUM(T481:W481)</f>
        <v>27.925000000000001</v>
      </c>
      <c r="AS481" s="268">
        <v>28</v>
      </c>
      <c r="AT481" s="41"/>
      <c r="AU481" s="41"/>
      <c r="AV481" s="41"/>
      <c r="AW481" s="41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</row>
    <row r="482" spans="1:88">
      <c r="A482" s="1">
        <v>1151</v>
      </c>
      <c r="B482" s="74" t="s">
        <v>1577</v>
      </c>
      <c r="C482" s="34">
        <v>432</v>
      </c>
      <c r="D482" s="34">
        <v>3046</v>
      </c>
      <c r="E482" s="34">
        <v>100</v>
      </c>
      <c r="F482" s="34" t="s">
        <v>1607</v>
      </c>
      <c r="G482" s="34" t="s">
        <v>92</v>
      </c>
      <c r="H482" s="34" t="s">
        <v>1608</v>
      </c>
      <c r="I482" s="55">
        <v>3.3149999999999999</v>
      </c>
      <c r="J482" s="5">
        <v>2</v>
      </c>
      <c r="K482" s="181" t="s">
        <v>238</v>
      </c>
      <c r="L482" s="10">
        <v>42282</v>
      </c>
      <c r="M482" s="9" t="s">
        <v>191</v>
      </c>
      <c r="N482" s="38">
        <v>1.2749999999999999</v>
      </c>
      <c r="O482" s="38">
        <v>1.2</v>
      </c>
      <c r="P482" s="38">
        <v>0.42499999999999999</v>
      </c>
      <c r="Q482" s="38">
        <v>0.125</v>
      </c>
      <c r="R482" s="38">
        <v>3.1974399999999998</v>
      </c>
      <c r="S482" s="38">
        <f t="shared" si="65"/>
        <v>3</v>
      </c>
      <c r="T482" s="38">
        <v>3.0249999999999999</v>
      </c>
      <c r="U482" s="38">
        <v>0</v>
      </c>
      <c r="V482" s="38">
        <v>0</v>
      </c>
      <c r="W482" s="38">
        <v>0</v>
      </c>
      <c r="X482" s="38">
        <v>1.99726</v>
      </c>
      <c r="Y482" s="38">
        <f t="shared" si="66"/>
        <v>2</v>
      </c>
      <c r="Z482" s="38">
        <v>0</v>
      </c>
      <c r="AA482" s="38">
        <v>0</v>
      </c>
      <c r="AB482" s="38">
        <v>3.0249999999999995</v>
      </c>
      <c r="AC482" s="38">
        <v>1.2920199999999999</v>
      </c>
      <c r="AD482" s="38">
        <v>75.998000000000005</v>
      </c>
      <c r="AE482" s="38">
        <v>7.2</v>
      </c>
      <c r="AF482" s="38">
        <v>0.68604200000000004</v>
      </c>
      <c r="AG482" s="38">
        <f t="shared" si="67"/>
        <v>0.7</v>
      </c>
      <c r="AH482" s="38">
        <v>62.35</v>
      </c>
      <c r="AI482" s="38">
        <v>0.53738399999999997</v>
      </c>
      <c r="AJ482" s="38">
        <v>0</v>
      </c>
      <c r="AK482" s="38">
        <v>0</v>
      </c>
      <c r="AL482" s="38">
        <v>0</v>
      </c>
      <c r="AM482" s="38">
        <v>0</v>
      </c>
      <c r="AN482" s="114"/>
      <c r="AO482" s="73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  <c r="CI482" s="22"/>
      <c r="CJ482" s="22"/>
    </row>
    <row r="483" spans="1:88">
      <c r="A483" s="1">
        <v>1280</v>
      </c>
      <c r="B483" s="74" t="s">
        <v>1820</v>
      </c>
      <c r="C483" s="34">
        <v>441</v>
      </c>
      <c r="D483" s="75">
        <v>3195</v>
      </c>
      <c r="E483" s="69">
        <v>100</v>
      </c>
      <c r="F483" s="34" t="s">
        <v>1824</v>
      </c>
      <c r="G483" s="58">
        <v>0</v>
      </c>
      <c r="H483" s="58">
        <v>8450</v>
      </c>
      <c r="I483" s="55">
        <v>8.4499999999999993</v>
      </c>
      <c r="J483" s="34">
        <v>4</v>
      </c>
      <c r="K483" s="34" t="s">
        <v>237</v>
      </c>
      <c r="L483" s="10">
        <v>42186</v>
      </c>
      <c r="M483" s="9" t="s">
        <v>191</v>
      </c>
      <c r="N483" s="38">
        <v>5.25</v>
      </c>
      <c r="O483" s="38">
        <v>1.85</v>
      </c>
      <c r="P483" s="38">
        <v>0.92500000000000004</v>
      </c>
      <c r="Q483" s="38">
        <v>0.4</v>
      </c>
      <c r="R483" s="38">
        <v>2.7001200000000001</v>
      </c>
      <c r="S483" s="38">
        <f t="shared" si="65"/>
        <v>2.5</v>
      </c>
      <c r="T483" s="38">
        <v>8.15</v>
      </c>
      <c r="U483" s="38">
        <v>0.27500000000000002</v>
      </c>
      <c r="V483" s="38">
        <v>0</v>
      </c>
      <c r="W483" s="38">
        <v>0</v>
      </c>
      <c r="X483" s="38">
        <v>4.4480899999999997</v>
      </c>
      <c r="Y483" s="38">
        <f t="shared" si="66"/>
        <v>4.5</v>
      </c>
      <c r="Z483" s="38">
        <v>0</v>
      </c>
      <c r="AA483" s="38">
        <v>0</v>
      </c>
      <c r="AB483" s="38">
        <v>8.4250000000000007</v>
      </c>
      <c r="AC483" s="38">
        <v>1.19482</v>
      </c>
      <c r="AD483" s="38">
        <v>143.80000000000001</v>
      </c>
      <c r="AE483" s="38">
        <v>112.8</v>
      </c>
      <c r="AF483" s="38">
        <v>0.67692307692307707</v>
      </c>
      <c r="AG483" s="38">
        <f t="shared" si="67"/>
        <v>0.7</v>
      </c>
      <c r="AH483" s="38">
        <v>152.9</v>
      </c>
      <c r="AI483" s="38">
        <v>0.23204766384446532</v>
      </c>
      <c r="AJ483" s="38">
        <v>2.2000000000000002</v>
      </c>
      <c r="AK483" s="38">
        <v>5.3756215562424398E-3</v>
      </c>
      <c r="AL483" s="38">
        <v>4</v>
      </c>
      <c r="AM483" s="38">
        <v>0</v>
      </c>
      <c r="AN483" s="40"/>
      <c r="AO483" s="12"/>
    </row>
    <row r="484" spans="1:88">
      <c r="A484" s="1">
        <v>1148</v>
      </c>
      <c r="B484" s="74" t="s">
        <v>1577</v>
      </c>
      <c r="C484" s="34">
        <v>432</v>
      </c>
      <c r="D484" s="34">
        <v>3042</v>
      </c>
      <c r="E484" s="34">
        <v>100</v>
      </c>
      <c r="F484" s="34" t="s">
        <v>1601</v>
      </c>
      <c r="G484" s="34" t="s">
        <v>1602</v>
      </c>
      <c r="H484" s="34" t="s">
        <v>92</v>
      </c>
      <c r="I484" s="55">
        <v>4.9820000000000002</v>
      </c>
      <c r="J484" s="5">
        <v>2</v>
      </c>
      <c r="K484" s="34" t="s">
        <v>12</v>
      </c>
      <c r="L484" s="10">
        <v>42282</v>
      </c>
      <c r="M484" s="9" t="s">
        <v>191</v>
      </c>
      <c r="N484" s="38">
        <v>2.625</v>
      </c>
      <c r="O484" s="38">
        <v>1.625</v>
      </c>
      <c r="P484" s="38">
        <v>0.22500000000000001</v>
      </c>
      <c r="Q484" s="38">
        <v>0.22500000000000001</v>
      </c>
      <c r="R484" s="38">
        <v>2.7704300000000002</v>
      </c>
      <c r="S484" s="38">
        <f t="shared" si="65"/>
        <v>3</v>
      </c>
      <c r="T484" s="38">
        <v>4.7</v>
      </c>
      <c r="U484" s="38">
        <v>0</v>
      </c>
      <c r="V484" s="38">
        <v>0</v>
      </c>
      <c r="W484" s="38">
        <v>0</v>
      </c>
      <c r="X484" s="38">
        <v>1.89839</v>
      </c>
      <c r="Y484" s="38">
        <f t="shared" si="66"/>
        <v>2</v>
      </c>
      <c r="Z484" s="38">
        <v>0</v>
      </c>
      <c r="AA484" s="38">
        <v>0</v>
      </c>
      <c r="AB484" s="38">
        <v>4.6999999999999993</v>
      </c>
      <c r="AC484" s="38">
        <v>1.23319</v>
      </c>
      <c r="AD484" s="38">
        <v>115.96</v>
      </c>
      <c r="AE484" s="38">
        <v>4.0999999999999996</v>
      </c>
      <c r="AF484" s="38">
        <v>0.67677900000000002</v>
      </c>
      <c r="AG484" s="38">
        <f t="shared" si="67"/>
        <v>0.7</v>
      </c>
      <c r="AH484" s="38">
        <v>98.165000000000006</v>
      </c>
      <c r="AI484" s="38">
        <v>0.56296999999999997</v>
      </c>
      <c r="AJ484" s="38">
        <v>0</v>
      </c>
      <c r="AK484" s="38">
        <v>0</v>
      </c>
      <c r="AL484" s="38">
        <v>0</v>
      </c>
      <c r="AM484" s="38">
        <v>0</v>
      </c>
      <c r="AN484" s="114"/>
      <c r="AO484" s="73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</row>
    <row r="485" spans="1:88">
      <c r="A485" s="1">
        <v>156</v>
      </c>
      <c r="B485" s="34" t="s">
        <v>294</v>
      </c>
      <c r="C485" s="34">
        <v>531</v>
      </c>
      <c r="D485" s="34">
        <v>1342</v>
      </c>
      <c r="E485" s="34">
        <v>100</v>
      </c>
      <c r="F485" s="34" t="s">
        <v>326</v>
      </c>
      <c r="G485" s="20" t="s">
        <v>327</v>
      </c>
      <c r="H485" s="20" t="s">
        <v>92</v>
      </c>
      <c r="I485" s="35">
        <v>18.725000000000001</v>
      </c>
      <c r="J485" s="36">
        <v>2</v>
      </c>
      <c r="K485" s="34" t="s">
        <v>12</v>
      </c>
      <c r="L485" s="10">
        <v>42221</v>
      </c>
      <c r="M485" s="9" t="s">
        <v>191</v>
      </c>
      <c r="N485" s="38">
        <v>4.93</v>
      </c>
      <c r="O485" s="38">
        <v>6.56</v>
      </c>
      <c r="P485" s="38">
        <v>5.34</v>
      </c>
      <c r="Q485" s="38">
        <v>1.91</v>
      </c>
      <c r="R485" s="38">
        <v>3.20031</v>
      </c>
      <c r="S485" s="38">
        <f t="shared" si="65"/>
        <v>3</v>
      </c>
      <c r="T485" s="38">
        <v>7.93</v>
      </c>
      <c r="U485" s="38">
        <v>3.99</v>
      </c>
      <c r="V485" s="38">
        <v>2.93</v>
      </c>
      <c r="W485" s="38">
        <v>3.89</v>
      </c>
      <c r="X485" s="38">
        <v>12.709899999999999</v>
      </c>
      <c r="Y485" s="38">
        <f t="shared" si="66"/>
        <v>12.5</v>
      </c>
      <c r="Z485" s="38">
        <v>0</v>
      </c>
      <c r="AA485" s="38">
        <v>0</v>
      </c>
      <c r="AB485" s="38">
        <v>18.73</v>
      </c>
      <c r="AC485" s="38">
        <v>1.5053399999999999</v>
      </c>
      <c r="AD485" s="38">
        <v>219</v>
      </c>
      <c r="AE485" s="38">
        <v>448.56</v>
      </c>
      <c r="AF485" s="38">
        <f t="shared" ref="AF485:AF491" si="70">(AD485+AE485*0.5)/(3.5*I485*1000)*100</f>
        <v>0.6763761205416744</v>
      </c>
      <c r="AG485" s="38">
        <f t="shared" si="67"/>
        <v>0.7</v>
      </c>
      <c r="AH485" s="38">
        <v>4891</v>
      </c>
      <c r="AI485" s="38">
        <f>AH485/(3.5*I485*1000)*100</f>
        <v>7.4629029181766144</v>
      </c>
      <c r="AJ485" s="38">
        <v>1002</v>
      </c>
      <c r="AK485" s="38">
        <f>AJ485/(3.5*I485*1000)*100</f>
        <v>1.5288956704176995</v>
      </c>
      <c r="AL485" s="38">
        <v>1259</v>
      </c>
      <c r="AM485" s="38">
        <f>AL485/(3.5*I485*1000)*100</f>
        <v>1.9210375739080674</v>
      </c>
      <c r="AN485" s="40"/>
      <c r="AO485" s="40">
        <f>AE485*0.5</f>
        <v>224.28</v>
      </c>
      <c r="AP485" s="40">
        <f>(AD485+AH485+AJ485+AL485+AO485)*I485</f>
        <v>142221.61800000002</v>
      </c>
      <c r="AQ485" s="25">
        <f>SUM(N485:Q485)</f>
        <v>18.739999999999998</v>
      </c>
      <c r="AR485" s="25">
        <f>SUM(T485:W485)</f>
        <v>18.739999999999998</v>
      </c>
      <c r="AS485" s="22"/>
      <c r="AT485" s="41"/>
      <c r="AU485" s="41">
        <f>SUM(N485:Q485)</f>
        <v>18.739999999999998</v>
      </c>
      <c r="AV485" s="41">
        <f>SUM(T485:W485)</f>
        <v>18.739999999999998</v>
      </c>
      <c r="AW485" s="41">
        <f>SUM(Z485:AB485)</f>
        <v>18.73</v>
      </c>
      <c r="AX485" s="22"/>
      <c r="AY485" s="22">
        <f>I485/AU485</f>
        <v>0.99919957310565655</v>
      </c>
      <c r="AZ485" s="22">
        <f>I485/AV485</f>
        <v>0.99919957310565655</v>
      </c>
      <c r="BA485" s="22">
        <f>I485/AW485</f>
        <v>0.99973304858515755</v>
      </c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</row>
    <row r="486" spans="1:88" s="22" customFormat="1">
      <c r="A486" s="1">
        <v>124</v>
      </c>
      <c r="B486" s="4" t="s">
        <v>78</v>
      </c>
      <c r="C486" s="14">
        <v>527</v>
      </c>
      <c r="D486" s="19">
        <v>1359</v>
      </c>
      <c r="E486" s="16">
        <v>100</v>
      </c>
      <c r="F486" s="31" t="s">
        <v>88</v>
      </c>
      <c r="G486" s="20">
        <v>9545</v>
      </c>
      <c r="H486" s="20">
        <v>0</v>
      </c>
      <c r="I486" s="21">
        <v>9.5449999999999999</v>
      </c>
      <c r="J486" s="8">
        <v>2</v>
      </c>
      <c r="K486" s="9" t="s">
        <v>12</v>
      </c>
      <c r="L486" s="18">
        <v>42240</v>
      </c>
      <c r="M486" s="9" t="s">
        <v>191</v>
      </c>
      <c r="N486" s="11">
        <v>6.86</v>
      </c>
      <c r="O486" s="11">
        <v>1.65</v>
      </c>
      <c r="P486" s="11">
        <v>0.85</v>
      </c>
      <c r="Q486" s="11">
        <v>0.18</v>
      </c>
      <c r="R486" s="11">
        <v>2.22268</v>
      </c>
      <c r="S486" s="38">
        <f t="shared" si="65"/>
        <v>2</v>
      </c>
      <c r="T486" s="11">
        <v>9.5500000000000007</v>
      </c>
      <c r="U486" s="11">
        <v>0</v>
      </c>
      <c r="V486" s="11">
        <v>0</v>
      </c>
      <c r="W486" s="11">
        <v>0</v>
      </c>
      <c r="X486" s="11">
        <v>2.08961</v>
      </c>
      <c r="Y486" s="38">
        <f t="shared" si="66"/>
        <v>2</v>
      </c>
      <c r="Z486" s="11">
        <v>0</v>
      </c>
      <c r="AA486" s="11">
        <v>0</v>
      </c>
      <c r="AB486" s="11">
        <v>9.5500000000000007</v>
      </c>
      <c r="AC486" s="11">
        <v>0.954484</v>
      </c>
      <c r="AD486" s="11">
        <v>225.36</v>
      </c>
      <c r="AE486" s="11">
        <v>0</v>
      </c>
      <c r="AF486" s="11">
        <f t="shared" si="70"/>
        <v>0.67457906158796677</v>
      </c>
      <c r="AG486" s="38">
        <f t="shared" si="67"/>
        <v>0.7</v>
      </c>
      <c r="AH486" s="11">
        <v>23.3</v>
      </c>
      <c r="AI486" s="11">
        <f>AH486/(3.5*I486*1000)*100</f>
        <v>6.9744817780438534E-2</v>
      </c>
      <c r="AJ486" s="11">
        <v>0</v>
      </c>
      <c r="AK486" s="11">
        <f>AJ486/(3.5*I486*1000)*100</f>
        <v>0</v>
      </c>
      <c r="AL486" s="11">
        <v>0</v>
      </c>
      <c r="AM486" s="11">
        <f>AL486/(3.5*I486*1000)*100</f>
        <v>0</v>
      </c>
      <c r="AO486" s="25"/>
      <c r="AP486" s="25">
        <f>SUM(N486:Q486)</f>
        <v>9.5399999999999991</v>
      </c>
      <c r="AQ486" s="25">
        <f>SUM(T486:W486)</f>
        <v>9.5500000000000007</v>
      </c>
      <c r="AR486" s="25">
        <f>SUM(Z486:AB486)</f>
        <v>9.5500000000000007</v>
      </c>
      <c r="AT486" s="22">
        <f>I486/AP486</f>
        <v>1.000524109014675</v>
      </c>
      <c r="AU486" s="22">
        <f>I486/AQ486</f>
        <v>0.99947643979057588</v>
      </c>
      <c r="AV486" s="22">
        <f>I486/AR486</f>
        <v>0.99947643979057588</v>
      </c>
    </row>
    <row r="487" spans="1:88" s="22" customFormat="1">
      <c r="A487" s="1">
        <v>1512</v>
      </c>
      <c r="B487" s="34" t="s">
        <v>2069</v>
      </c>
      <c r="C487" s="34">
        <v>413</v>
      </c>
      <c r="D487" s="69">
        <v>3043</v>
      </c>
      <c r="E487" s="34">
        <v>100</v>
      </c>
      <c r="F487" s="34" t="s">
        <v>2083</v>
      </c>
      <c r="G487" s="58" t="s">
        <v>2084</v>
      </c>
      <c r="H487" s="58" t="s">
        <v>2085</v>
      </c>
      <c r="I487" s="35">
        <v>18</v>
      </c>
      <c r="J487" s="34">
        <v>2</v>
      </c>
      <c r="K487" s="34" t="s">
        <v>12</v>
      </c>
      <c r="L487" s="10">
        <v>42265</v>
      </c>
      <c r="M487" s="9" t="s">
        <v>191</v>
      </c>
      <c r="N487" s="38">
        <v>10.925000000000001</v>
      </c>
      <c r="O487" s="38">
        <v>3.4750000000000001</v>
      </c>
      <c r="P487" s="38">
        <v>2.0499999999999998</v>
      </c>
      <c r="Q487" s="38">
        <v>1.575</v>
      </c>
      <c r="R487" s="38">
        <v>3.0139999999999998</v>
      </c>
      <c r="S487" s="38">
        <f t="shared" si="65"/>
        <v>3</v>
      </c>
      <c r="T487" s="38">
        <v>14.525</v>
      </c>
      <c r="U487" s="38">
        <v>1.95</v>
      </c>
      <c r="V487" s="38">
        <v>0.77500000000000002</v>
      </c>
      <c r="W487" s="38">
        <v>0.77500000000000002</v>
      </c>
      <c r="X487" s="38">
        <v>7.2629999999999999</v>
      </c>
      <c r="Y487" s="38">
        <f t="shared" si="66"/>
        <v>7.5</v>
      </c>
      <c r="Z487" s="38">
        <v>0</v>
      </c>
      <c r="AA487" s="38">
        <v>0</v>
      </c>
      <c r="AB487" s="196">
        <v>18</v>
      </c>
      <c r="AC487" s="38">
        <v>1.1479999999999999</v>
      </c>
      <c r="AD487" s="38">
        <v>0</v>
      </c>
      <c r="AE487" s="38">
        <v>849.12</v>
      </c>
      <c r="AF487" s="38">
        <f t="shared" si="70"/>
        <v>0.6739047619047619</v>
      </c>
      <c r="AG487" s="38">
        <f t="shared" si="67"/>
        <v>0.7</v>
      </c>
      <c r="AH487" s="38">
        <v>0</v>
      </c>
      <c r="AI487" s="38">
        <f>AH487/(3.5*I487*1000)*100</f>
        <v>0</v>
      </c>
      <c r="AJ487" s="38">
        <v>0</v>
      </c>
      <c r="AK487" s="38">
        <f>AJ487/(3.5*I487*1000)*100</f>
        <v>0</v>
      </c>
      <c r="AL487" s="38">
        <v>113</v>
      </c>
      <c r="AM487" s="38">
        <f>AL487/(3.5*I487*1000)*100</f>
        <v>0.17936507936507937</v>
      </c>
      <c r="AN487" s="25"/>
      <c r="AO487" s="25">
        <f>AE487*0.5</f>
        <v>424.56</v>
      </c>
      <c r="AP487" s="25">
        <f>(AD487+AH487+AJ487+AL487+AO487)*I487</f>
        <v>9676.0799999999981</v>
      </c>
      <c r="AQ487" s="25">
        <f>(AD487+AH487+AJ487+AL487)*I487</f>
        <v>2034</v>
      </c>
      <c r="AR487" s="25"/>
      <c r="AS487" s="25"/>
      <c r="AU487" s="275">
        <v>18</v>
      </c>
      <c r="AV487" s="41">
        <f>SUM(N487:Q487)</f>
        <v>18.024999999999999</v>
      </c>
      <c r="AW487" s="41">
        <f>SUM(T487:W487)</f>
        <v>18.024999999999999</v>
      </c>
      <c r="AX487" s="41">
        <f>SUM(Z487:AB487)</f>
        <v>18</v>
      </c>
      <c r="AZ487" s="22">
        <f>I487/AV487</f>
        <v>0.99861303744798902</v>
      </c>
      <c r="BA487" s="22">
        <f>I487/AW487</f>
        <v>0.99861303744798902</v>
      </c>
      <c r="BB487" s="22">
        <f>I487/AX487</f>
        <v>1</v>
      </c>
    </row>
    <row r="488" spans="1:88" s="22" customFormat="1">
      <c r="A488" s="1">
        <v>1204</v>
      </c>
      <c r="B488" s="34" t="s">
        <v>1674</v>
      </c>
      <c r="C488" s="34">
        <v>435</v>
      </c>
      <c r="D488" s="34">
        <v>2247</v>
      </c>
      <c r="E488" s="34">
        <v>101</v>
      </c>
      <c r="F488" s="34" t="s">
        <v>1692</v>
      </c>
      <c r="G488" s="34" t="s">
        <v>1694</v>
      </c>
      <c r="H488" s="34" t="s">
        <v>1693</v>
      </c>
      <c r="I488" s="55">
        <v>9.2859999999999996</v>
      </c>
      <c r="J488" s="34">
        <v>2</v>
      </c>
      <c r="K488" s="34" t="s">
        <v>12</v>
      </c>
      <c r="L488" s="10">
        <v>42282</v>
      </c>
      <c r="M488" s="9" t="s">
        <v>191</v>
      </c>
      <c r="N488" s="38">
        <v>7.65</v>
      </c>
      <c r="O488" s="38">
        <v>0.97499999999999998</v>
      </c>
      <c r="P488" s="38">
        <v>0.57499999999999996</v>
      </c>
      <c r="Q488" s="38">
        <v>7.4999999999999997E-2</v>
      </c>
      <c r="R488" s="38">
        <v>2.17286</v>
      </c>
      <c r="S488" s="38">
        <f t="shared" si="65"/>
        <v>2</v>
      </c>
      <c r="T488" s="38">
        <v>8.9</v>
      </c>
      <c r="U488" s="38">
        <v>0.375</v>
      </c>
      <c r="V488" s="38">
        <v>0</v>
      </c>
      <c r="W488" s="38">
        <v>0</v>
      </c>
      <c r="X488" s="38">
        <v>4.4370700000000003</v>
      </c>
      <c r="Y488" s="38">
        <f t="shared" si="66"/>
        <v>4.5</v>
      </c>
      <c r="Z488" s="38">
        <v>0</v>
      </c>
      <c r="AA488" s="38">
        <v>0</v>
      </c>
      <c r="AB488" s="55">
        <v>9.2859999999999996</v>
      </c>
      <c r="AC488" s="38">
        <v>1.24231</v>
      </c>
      <c r="AD488" s="38">
        <v>214.22</v>
      </c>
      <c r="AE488" s="38">
        <v>6.14</v>
      </c>
      <c r="AF488" s="38">
        <f t="shared" si="70"/>
        <v>0.66856404418325599</v>
      </c>
      <c r="AG488" s="38">
        <f t="shared" si="67"/>
        <v>0.7</v>
      </c>
      <c r="AH488" s="38">
        <v>168.32</v>
      </c>
      <c r="AI488" s="38">
        <v>0.51789200000000002</v>
      </c>
      <c r="AJ488" s="38">
        <v>1.48</v>
      </c>
      <c r="AK488" s="38">
        <v>4.5539999999999999E-3</v>
      </c>
      <c r="AL488" s="38">
        <v>0</v>
      </c>
      <c r="AM488" s="38">
        <v>0</v>
      </c>
      <c r="AN488" s="12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</row>
    <row r="489" spans="1:88" s="22" customFormat="1">
      <c r="A489" s="1">
        <v>150</v>
      </c>
      <c r="B489" s="34" t="s">
        <v>294</v>
      </c>
      <c r="C489" s="34">
        <v>531</v>
      </c>
      <c r="D489" s="34">
        <v>1120</v>
      </c>
      <c r="E489" s="34">
        <v>100</v>
      </c>
      <c r="F489" s="34" t="s">
        <v>317</v>
      </c>
      <c r="G489" s="20" t="s">
        <v>92</v>
      </c>
      <c r="H489" s="20" t="s">
        <v>279</v>
      </c>
      <c r="I489" s="35">
        <v>10</v>
      </c>
      <c r="J489" s="36">
        <v>2</v>
      </c>
      <c r="K489" s="34" t="s">
        <v>12</v>
      </c>
      <c r="L489" s="18">
        <v>42221</v>
      </c>
      <c r="M489" s="9" t="s">
        <v>191</v>
      </c>
      <c r="N489" s="38">
        <v>7.95</v>
      </c>
      <c r="O489" s="38">
        <v>1.18</v>
      </c>
      <c r="P489" s="38">
        <v>0.7</v>
      </c>
      <c r="Q489" s="38">
        <v>0.18</v>
      </c>
      <c r="R489" s="38">
        <v>2.1349999999999998</v>
      </c>
      <c r="S489" s="38">
        <f t="shared" si="65"/>
        <v>2</v>
      </c>
      <c r="T489" s="38">
        <v>6.27</v>
      </c>
      <c r="U489" s="38">
        <v>1.4</v>
      </c>
      <c r="V489" s="38">
        <v>0.5</v>
      </c>
      <c r="W489" s="38">
        <v>1.83</v>
      </c>
      <c r="X489" s="38">
        <v>17.704999999999998</v>
      </c>
      <c r="Y489" s="38">
        <f t="shared" si="66"/>
        <v>17.5</v>
      </c>
      <c r="Z489" s="38">
        <v>0</v>
      </c>
      <c r="AA489" s="38">
        <v>0.25</v>
      </c>
      <c r="AB489" s="38">
        <v>9.75</v>
      </c>
      <c r="AC489" s="38">
        <v>1.171</v>
      </c>
      <c r="AD489" s="38">
        <v>174.76</v>
      </c>
      <c r="AE489" s="38">
        <v>116.37</v>
      </c>
      <c r="AF489" s="38">
        <f t="shared" si="70"/>
        <v>0.66555714285714285</v>
      </c>
      <c r="AG489" s="38">
        <f t="shared" si="67"/>
        <v>0.7</v>
      </c>
      <c r="AH489" s="38">
        <v>7.44</v>
      </c>
      <c r="AI489" s="38">
        <f>AH489/(3.5*I489*1000)*100</f>
        <v>2.125714285714286E-2</v>
      </c>
      <c r="AJ489" s="38">
        <v>322.77</v>
      </c>
      <c r="AK489" s="38">
        <f>AJ489/(3.5*I489*1000)*100</f>
        <v>0.92219999999999991</v>
      </c>
      <c r="AL489" s="38">
        <v>0</v>
      </c>
      <c r="AM489" s="38">
        <f>AL489/(3.5*I489*1000)*100</f>
        <v>0</v>
      </c>
      <c r="AN489" s="40"/>
      <c r="AO489" s="40">
        <f>AE489*0.5</f>
        <v>58.185000000000002</v>
      </c>
      <c r="AP489" s="40">
        <f>(AD489+AH489+AJ489+AL489+AO489)*I489</f>
        <v>5631.5499999999993</v>
      </c>
      <c r="AQ489" s="25">
        <f>SUM(N489:Q489)</f>
        <v>10.01</v>
      </c>
      <c r="AR489" s="25">
        <f>SUM(T489:W489)</f>
        <v>10</v>
      </c>
      <c r="AT489" s="41"/>
      <c r="AU489" s="41">
        <f>SUM(N489:Q489)</f>
        <v>10.01</v>
      </c>
      <c r="AV489" s="41">
        <f>SUM(T489:W489)</f>
        <v>10</v>
      </c>
      <c r="AW489" s="41">
        <f>SUM(Z489:AB489)</f>
        <v>10</v>
      </c>
      <c r="AY489" s="22">
        <f>I489/AU489</f>
        <v>0.99900099900099903</v>
      </c>
      <c r="AZ489" s="22">
        <f>I489/AV489</f>
        <v>1</v>
      </c>
      <c r="BA489" s="22">
        <f>I489/AW489</f>
        <v>1</v>
      </c>
    </row>
    <row r="490" spans="1:88" s="22" customFormat="1">
      <c r="A490" s="1">
        <v>585</v>
      </c>
      <c r="B490" s="34" t="s">
        <v>976</v>
      </c>
      <c r="C490" s="34">
        <v>552</v>
      </c>
      <c r="D490" s="34">
        <v>2275</v>
      </c>
      <c r="E490" s="34">
        <v>201</v>
      </c>
      <c r="F490" s="9" t="s">
        <v>986</v>
      </c>
      <c r="G490" s="20">
        <v>12000</v>
      </c>
      <c r="H490" s="20">
        <v>30075</v>
      </c>
      <c r="I490" s="35">
        <v>18.074999999999999</v>
      </c>
      <c r="J490" s="71">
        <v>2</v>
      </c>
      <c r="K490" s="34" t="s">
        <v>238</v>
      </c>
      <c r="L490" s="10">
        <v>42194</v>
      </c>
      <c r="M490" s="9" t="s">
        <v>191</v>
      </c>
      <c r="N490" s="38">
        <v>9.75</v>
      </c>
      <c r="O490" s="38">
        <v>4.4249999999999998</v>
      </c>
      <c r="P490" s="38">
        <v>2.15</v>
      </c>
      <c r="Q490" s="38">
        <v>1.7250000000000001</v>
      </c>
      <c r="R490" s="38">
        <v>2.8230300000000002</v>
      </c>
      <c r="S490" s="38">
        <f t="shared" si="65"/>
        <v>3</v>
      </c>
      <c r="T490" s="38">
        <v>17.25</v>
      </c>
      <c r="U490" s="38">
        <v>0.52500000000000002</v>
      </c>
      <c r="V490" s="38">
        <v>0.15</v>
      </c>
      <c r="W490" s="38">
        <v>0.125</v>
      </c>
      <c r="X490" s="38">
        <v>3.2944900000000001</v>
      </c>
      <c r="Y490" s="38">
        <f t="shared" si="66"/>
        <v>3.5</v>
      </c>
      <c r="Z490" s="38">
        <v>0</v>
      </c>
      <c r="AA490" s="38">
        <v>0</v>
      </c>
      <c r="AB490" s="38">
        <f>N490+O490+P490+Q490</f>
        <v>18.05</v>
      </c>
      <c r="AC490" s="38">
        <v>1.14995</v>
      </c>
      <c r="AD490" s="38">
        <v>418</v>
      </c>
      <c r="AE490" s="38">
        <v>5.9</v>
      </c>
      <c r="AF490" s="38">
        <f t="shared" si="70"/>
        <v>0.66540209444773768</v>
      </c>
      <c r="AG490" s="38">
        <f t="shared" si="67"/>
        <v>0.7</v>
      </c>
      <c r="AH490" s="38">
        <v>73</v>
      </c>
      <c r="AI490" s="38">
        <f>AH490/(3.5*I490*1000)*100</f>
        <v>0.11539221497727722</v>
      </c>
      <c r="AJ490" s="38">
        <v>67</v>
      </c>
      <c r="AK490" s="38">
        <f>AJ490/(3.5*I490*1000)*100</f>
        <v>0.10590792333530924</v>
      </c>
      <c r="AL490" s="38">
        <v>61</v>
      </c>
      <c r="AM490" s="38">
        <f>AL490/(3.5*I490*1000)*100</f>
        <v>9.6423631693341255E-2</v>
      </c>
      <c r="AN490" s="25"/>
      <c r="AO490" s="25">
        <f>AE490*0.5</f>
        <v>2.95</v>
      </c>
      <c r="AP490" s="25">
        <f>(AD490+AH490+AJ490+AL490+AO490)*I490</f>
        <v>11241.74625</v>
      </c>
      <c r="AQ490" s="25">
        <f>SUM(N490:Q490)</f>
        <v>18.05</v>
      </c>
      <c r="AR490" s="25">
        <f>SUM(T490:W490)</f>
        <v>18.049999999999997</v>
      </c>
      <c r="AS490" s="268">
        <v>18.074999999999999</v>
      </c>
      <c r="AT490" s="41"/>
      <c r="AU490" s="41"/>
      <c r="AV490" s="41"/>
      <c r="AW490" s="41"/>
    </row>
    <row r="491" spans="1:88" s="22" customFormat="1">
      <c r="A491" s="1">
        <v>215</v>
      </c>
      <c r="B491" s="34" t="s">
        <v>413</v>
      </c>
      <c r="C491" s="34">
        <v>536</v>
      </c>
      <c r="D491" s="34">
        <v>1081</v>
      </c>
      <c r="E491" s="34">
        <v>200</v>
      </c>
      <c r="F491" s="34" t="s">
        <v>416</v>
      </c>
      <c r="G491" s="20">
        <v>13000</v>
      </c>
      <c r="H491" s="20">
        <v>47150</v>
      </c>
      <c r="I491" s="35">
        <v>34.15</v>
      </c>
      <c r="J491" s="36">
        <v>2</v>
      </c>
      <c r="K491" s="34" t="s">
        <v>238</v>
      </c>
      <c r="L491" s="10">
        <v>42214</v>
      </c>
      <c r="M491" s="9" t="s">
        <v>191</v>
      </c>
      <c r="N491" s="38">
        <v>23.19</v>
      </c>
      <c r="O491" s="38">
        <v>6.12</v>
      </c>
      <c r="P491" s="38">
        <v>3.34</v>
      </c>
      <c r="Q491" s="38">
        <v>1.51</v>
      </c>
      <c r="R491" s="38">
        <v>2.4416500000000001</v>
      </c>
      <c r="S491" s="38">
        <f t="shared" si="65"/>
        <v>2.5</v>
      </c>
      <c r="T491" s="38">
        <v>18.53</v>
      </c>
      <c r="U491" s="38">
        <v>5.15</v>
      </c>
      <c r="V491" s="38">
        <v>3.42</v>
      </c>
      <c r="W491" s="38">
        <v>7.06</v>
      </c>
      <c r="X491" s="38">
        <v>14.882899999999999</v>
      </c>
      <c r="Y491" s="38">
        <f t="shared" si="66"/>
        <v>15</v>
      </c>
      <c r="Z491" s="38">
        <v>0.08</v>
      </c>
      <c r="AA491" s="38">
        <v>0.2</v>
      </c>
      <c r="AB491" s="38">
        <v>33.880000000000003</v>
      </c>
      <c r="AC491" s="38">
        <v>1.2612099999999999</v>
      </c>
      <c r="AD491" s="38">
        <v>711</v>
      </c>
      <c r="AE491" s="38">
        <v>168.13</v>
      </c>
      <c r="AF491" s="38">
        <f t="shared" si="70"/>
        <v>0.66518719933068404</v>
      </c>
      <c r="AG491" s="38">
        <f t="shared" si="67"/>
        <v>0.7</v>
      </c>
      <c r="AH491" s="38">
        <v>0</v>
      </c>
      <c r="AI491" s="38">
        <f>AH491/(3.5*I491*1000)*100</f>
        <v>0</v>
      </c>
      <c r="AJ491" s="38">
        <v>505</v>
      </c>
      <c r="AK491" s="38">
        <f>AJ491/(3.5*I491*1000)*100</f>
        <v>0.42250575193474177</v>
      </c>
      <c r="AL491" s="38">
        <v>0</v>
      </c>
      <c r="AM491" s="38">
        <f>AL491/(3.5*I491*1000)*100</f>
        <v>0</v>
      </c>
      <c r="AN491" s="25"/>
      <c r="AO491" s="25">
        <f>AE491*0.5</f>
        <v>84.064999999999998</v>
      </c>
      <c r="AP491" s="25">
        <f>(AD491+AH491+AJ491+AL491+AO491)*I491</f>
        <v>44397.219749999997</v>
      </c>
      <c r="AQ491" s="25">
        <f>SUM(N491:Q491)</f>
        <v>34.160000000000004</v>
      </c>
      <c r="AR491" s="25">
        <f>SUM(T491:W491)</f>
        <v>34.160000000000004</v>
      </c>
      <c r="AT491" s="41"/>
      <c r="AU491" s="41">
        <f>SUM(N491:Q491)</f>
        <v>34.160000000000004</v>
      </c>
      <c r="AV491" s="41">
        <f>SUM(T491:W491)</f>
        <v>34.160000000000004</v>
      </c>
      <c r="AW491" s="41">
        <f>SUM(Z491:AB491)</f>
        <v>34.160000000000004</v>
      </c>
      <c r="AY491" s="22">
        <f>I491/AU491</f>
        <v>0.99970725995316145</v>
      </c>
      <c r="AZ491" s="22">
        <f>I491/AV491</f>
        <v>0.99970725995316145</v>
      </c>
      <c r="BA491" s="22">
        <f>I491/AW491</f>
        <v>0.99970725995316145</v>
      </c>
    </row>
    <row r="492" spans="1:88" s="22" customFormat="1">
      <c r="A492" s="1">
        <v>258</v>
      </c>
      <c r="B492" s="34" t="s">
        <v>265</v>
      </c>
      <c r="C492" s="34">
        <v>539</v>
      </c>
      <c r="D492" s="34">
        <v>1092</v>
      </c>
      <c r="E492" s="34">
        <v>200</v>
      </c>
      <c r="F492" s="34" t="s">
        <v>278</v>
      </c>
      <c r="G492" s="20" t="s">
        <v>279</v>
      </c>
      <c r="H492" s="20" t="s">
        <v>280</v>
      </c>
      <c r="I492" s="35">
        <v>23.202999999999999</v>
      </c>
      <c r="J492" s="36">
        <v>2</v>
      </c>
      <c r="K492" s="34" t="s">
        <v>12</v>
      </c>
      <c r="L492" s="10">
        <v>42212</v>
      </c>
      <c r="M492" s="9" t="s">
        <v>191</v>
      </c>
      <c r="N492" s="38">
        <v>3.88</v>
      </c>
      <c r="O492" s="38">
        <v>8.0399999999999991</v>
      </c>
      <c r="P492" s="38">
        <v>5.09</v>
      </c>
      <c r="Q492" s="38">
        <v>6.2</v>
      </c>
      <c r="R492" s="38">
        <v>3.7109999999999999</v>
      </c>
      <c r="S492" s="38">
        <f t="shared" si="65"/>
        <v>3.5</v>
      </c>
      <c r="T492" s="38">
        <v>18.29</v>
      </c>
      <c r="U492" s="38">
        <v>3.17</v>
      </c>
      <c r="V492" s="38">
        <v>1.0900000000000001</v>
      </c>
      <c r="W492" s="38">
        <v>0.66</v>
      </c>
      <c r="X492" s="38">
        <v>6.31</v>
      </c>
      <c r="Y492" s="38">
        <f t="shared" si="66"/>
        <v>6.5</v>
      </c>
      <c r="Z492" s="38">
        <v>0.03</v>
      </c>
      <c r="AA492" s="38">
        <v>0.05</v>
      </c>
      <c r="AB492" s="38">
        <v>23.13</v>
      </c>
      <c r="AC492" s="38">
        <v>1.663</v>
      </c>
      <c r="AD492" s="38">
        <v>489.54</v>
      </c>
      <c r="AE492" s="38">
        <v>89.35</v>
      </c>
      <c r="AF492" s="38">
        <v>0.65781518399714323</v>
      </c>
      <c r="AG492" s="38">
        <f t="shared" si="67"/>
        <v>0.7</v>
      </c>
      <c r="AH492" s="38">
        <v>0</v>
      </c>
      <c r="AI492" s="38">
        <v>0</v>
      </c>
      <c r="AJ492" s="38">
        <v>4433.5</v>
      </c>
      <c r="AK492" s="38">
        <v>5.4592694294456994</v>
      </c>
      <c r="AL492" s="38">
        <v>97.04</v>
      </c>
      <c r="AM492" s="38">
        <v>0.11949193761890396</v>
      </c>
      <c r="AN492" s="56"/>
      <c r="AO492" s="56"/>
      <c r="AP492" s="25">
        <f>SUM(N492:Q492)</f>
        <v>23.209999999999997</v>
      </c>
      <c r="AQ492" s="25">
        <f>SUM(T492:W492)</f>
        <v>23.21</v>
      </c>
      <c r="AS492" s="41"/>
      <c r="AT492" s="41"/>
      <c r="AU492" s="41"/>
      <c r="AV492" s="41">
        <f>SUM(N492:Q492)</f>
        <v>23.209999999999997</v>
      </c>
      <c r="AW492" s="41">
        <f>SUM(T492:W492)</f>
        <v>23.21</v>
      </c>
      <c r="AX492" s="41">
        <f>SUM(Z492:AB492)</f>
        <v>23.209999999999997</v>
      </c>
      <c r="AZ492" s="22">
        <f>I492/AV492</f>
        <v>0.99969840585954339</v>
      </c>
      <c r="BA492" s="22">
        <f>I492/AW492</f>
        <v>0.99969840585954328</v>
      </c>
      <c r="BB492" s="22">
        <f>I492/AX492</f>
        <v>0.99969840585954339</v>
      </c>
    </row>
    <row r="493" spans="1:88" s="22" customFormat="1">
      <c r="A493" s="1">
        <v>320</v>
      </c>
      <c r="B493" s="34" t="s">
        <v>542</v>
      </c>
      <c r="C493" s="34">
        <v>644</v>
      </c>
      <c r="D493" s="34">
        <v>2185</v>
      </c>
      <c r="E493" s="34">
        <v>200</v>
      </c>
      <c r="F493" s="34" t="s">
        <v>552</v>
      </c>
      <c r="G493" s="65">
        <v>7563</v>
      </c>
      <c r="H493" s="58">
        <v>19970</v>
      </c>
      <c r="I493" s="35">
        <v>12.407</v>
      </c>
      <c r="J493" s="62">
        <v>2</v>
      </c>
      <c r="K493" s="34" t="s">
        <v>238</v>
      </c>
      <c r="L493" s="10">
        <v>42159</v>
      </c>
      <c r="M493" s="9" t="s">
        <v>191</v>
      </c>
      <c r="N493" s="38">
        <v>10.45</v>
      </c>
      <c r="O493" s="38">
        <v>1.41</v>
      </c>
      <c r="P493" s="38">
        <v>0.45</v>
      </c>
      <c r="Q493" s="38">
        <v>0.1</v>
      </c>
      <c r="R493" s="38">
        <v>2.1751900000000002</v>
      </c>
      <c r="S493" s="38">
        <f t="shared" si="65"/>
        <v>2</v>
      </c>
      <c r="T493" s="38">
        <v>12.38</v>
      </c>
      <c r="U493" s="38">
        <v>0.03</v>
      </c>
      <c r="V493" s="38">
        <v>0</v>
      </c>
      <c r="W493" s="38">
        <v>0</v>
      </c>
      <c r="X493" s="38">
        <v>1.7117100000000001</v>
      </c>
      <c r="Y493" s="38">
        <f t="shared" si="66"/>
        <v>1.5</v>
      </c>
      <c r="Z493" s="38">
        <v>0</v>
      </c>
      <c r="AA493" s="38">
        <v>0</v>
      </c>
      <c r="AB493" s="38">
        <v>12.41</v>
      </c>
      <c r="AC493" s="38">
        <v>1.09206</v>
      </c>
      <c r="AD493" s="38">
        <v>0</v>
      </c>
      <c r="AE493" s="38">
        <v>571</v>
      </c>
      <c r="AF493" s="38">
        <v>0.65746000000000004</v>
      </c>
      <c r="AG493" s="38">
        <f t="shared" si="67"/>
        <v>0.7</v>
      </c>
      <c r="AH493" s="38">
        <v>0</v>
      </c>
      <c r="AI493" s="38">
        <v>0</v>
      </c>
      <c r="AJ493" s="38">
        <v>0</v>
      </c>
      <c r="AK493" s="38">
        <v>0</v>
      </c>
      <c r="AL493" s="38">
        <v>0</v>
      </c>
      <c r="AM493" s="38">
        <v>0</v>
      </c>
      <c r="AN493" s="60"/>
      <c r="AO493" s="60">
        <f>AE493*0.5</f>
        <v>285.5</v>
      </c>
      <c r="AP493" s="60">
        <f>(AD493+AH493+AJ493+AL493+AO493)*I493</f>
        <v>3542.1985</v>
      </c>
      <c r="AQ493" s="25">
        <f>SUM(N493:Q493)</f>
        <v>12.409999999999998</v>
      </c>
      <c r="AR493" s="25">
        <f>SUM(T493:W493)</f>
        <v>12.41</v>
      </c>
      <c r="AS493" s="268">
        <v>12.407</v>
      </c>
      <c r="AT493" s="40"/>
      <c r="AU493" s="41">
        <f>SUM(N493:Q493)</f>
        <v>12.409999999999998</v>
      </c>
      <c r="AV493" s="41">
        <f>SUM(T493:W493)</f>
        <v>12.41</v>
      </c>
      <c r="AW493" s="41">
        <f>SUM(Z493:AB493)</f>
        <v>12.41</v>
      </c>
      <c r="AY493" s="22">
        <f>I493/AU493</f>
        <v>0.99975825946817098</v>
      </c>
      <c r="AZ493" s="22">
        <f>I493/AV493</f>
        <v>0.99975825946817087</v>
      </c>
      <c r="BA493" s="22">
        <f>I493/AW493</f>
        <v>0.99975825946817087</v>
      </c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</row>
    <row r="494" spans="1:88" s="22" customFormat="1">
      <c r="A494" s="1">
        <v>1487</v>
      </c>
      <c r="B494" s="34" t="s">
        <v>2016</v>
      </c>
      <c r="C494" s="34">
        <v>411</v>
      </c>
      <c r="D494" s="69">
        <v>3702</v>
      </c>
      <c r="E494" s="34">
        <v>100</v>
      </c>
      <c r="F494" s="34" t="s">
        <v>2039</v>
      </c>
      <c r="G494" s="20" t="s">
        <v>2047</v>
      </c>
      <c r="H494" s="20" t="s">
        <v>2048</v>
      </c>
      <c r="I494" s="188">
        <v>5.407</v>
      </c>
      <c r="J494" s="34">
        <v>2</v>
      </c>
      <c r="K494" s="34" t="s">
        <v>12</v>
      </c>
      <c r="L494" s="10">
        <v>42248</v>
      </c>
      <c r="M494" s="9" t="s">
        <v>191</v>
      </c>
      <c r="N494" s="38">
        <v>2.0499999999999998</v>
      </c>
      <c r="O494" s="38">
        <v>1.75</v>
      </c>
      <c r="P494" s="38">
        <v>0.95</v>
      </c>
      <c r="Q494" s="38">
        <v>0.625</v>
      </c>
      <c r="R494" s="38">
        <v>3.2890000000000001</v>
      </c>
      <c r="S494" s="38">
        <f t="shared" si="65"/>
        <v>3.5</v>
      </c>
      <c r="T494" s="38">
        <v>4.6500000000000004</v>
      </c>
      <c r="U494" s="38">
        <v>0.55000000000000004</v>
      </c>
      <c r="V494" s="38">
        <v>0.15</v>
      </c>
      <c r="W494" s="38">
        <v>2.5000000000000001E-2</v>
      </c>
      <c r="X494" s="38">
        <v>5.7530000000000001</v>
      </c>
      <c r="Y494" s="38">
        <f t="shared" si="66"/>
        <v>6</v>
      </c>
      <c r="Z494" s="38">
        <v>0</v>
      </c>
      <c r="AA494" s="38">
        <v>0</v>
      </c>
      <c r="AB494" s="38">
        <f>SUM(T494:W494)</f>
        <v>5.3750000000000009</v>
      </c>
      <c r="AC494" s="38">
        <v>1.133</v>
      </c>
      <c r="AD494" s="38">
        <v>80</v>
      </c>
      <c r="AE494" s="38">
        <v>88.83</v>
      </c>
      <c r="AF494" s="38">
        <f>(AD494+AE494*0.5)/(3.5*I494*1000)*100</f>
        <v>0.65742820153768911</v>
      </c>
      <c r="AG494" s="38">
        <f t="shared" si="67"/>
        <v>0.7</v>
      </c>
      <c r="AH494" s="38">
        <v>4428</v>
      </c>
      <c r="AI494" s="38">
        <f>AH494/(3.5*I494*1000)*100</f>
        <v>23.398240376231865</v>
      </c>
      <c r="AJ494" s="38">
        <v>203.37</v>
      </c>
      <c r="AK494" s="38">
        <f>AJ494/(3.5*I494*1000)*100</f>
        <v>1.0746386958704324</v>
      </c>
      <c r="AL494" s="38">
        <v>23</v>
      </c>
      <c r="AM494" s="38">
        <f>AL494/(3.5*I494*1000)*100</f>
        <v>0.12153557557663344</v>
      </c>
      <c r="AN494" s="60"/>
      <c r="AO494" s="60">
        <f>AE494*0.5</f>
        <v>44.414999999999999</v>
      </c>
      <c r="AP494" s="60">
        <f>(AD494+AH494+AJ494+AL494+AO494)*I494</f>
        <v>25838.890495</v>
      </c>
      <c r="AQ494" s="60"/>
      <c r="AR494" s="60"/>
      <c r="AS494" s="60"/>
      <c r="AT494" s="60"/>
      <c r="AU494" s="61"/>
      <c r="AV494" s="40"/>
      <c r="AW494" s="40"/>
      <c r="AX494" s="40"/>
      <c r="AY494" s="40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</row>
    <row r="495" spans="1:88">
      <c r="A495" s="1">
        <v>330</v>
      </c>
      <c r="B495" s="34" t="s">
        <v>557</v>
      </c>
      <c r="C495" s="34">
        <v>646</v>
      </c>
      <c r="D495" s="34">
        <v>212</v>
      </c>
      <c r="E495" s="34">
        <v>102</v>
      </c>
      <c r="F495" s="34" t="s">
        <v>563</v>
      </c>
      <c r="G495" s="58">
        <v>32600</v>
      </c>
      <c r="H495" s="58">
        <v>61485</v>
      </c>
      <c r="I495" s="35">
        <v>28.885000000000002</v>
      </c>
      <c r="J495" s="62">
        <v>4</v>
      </c>
      <c r="K495" s="34" t="s">
        <v>96</v>
      </c>
      <c r="L495" s="10">
        <v>42164</v>
      </c>
      <c r="M495" s="9" t="s">
        <v>191</v>
      </c>
      <c r="N495" s="38">
        <v>17.274999999999999</v>
      </c>
      <c r="O495" s="38">
        <v>7.3</v>
      </c>
      <c r="P495" s="38">
        <v>2.65</v>
      </c>
      <c r="Q495" s="38">
        <v>1.5249999999999999</v>
      </c>
      <c r="R495" s="38">
        <v>2.4977100000000001</v>
      </c>
      <c r="S495" s="38">
        <f t="shared" si="65"/>
        <v>2.5</v>
      </c>
      <c r="T495" s="38">
        <v>26</v>
      </c>
      <c r="U495" s="38">
        <v>2.1</v>
      </c>
      <c r="V495" s="38">
        <v>0.52500000000000002</v>
      </c>
      <c r="W495" s="38">
        <v>0.125</v>
      </c>
      <c r="X495" s="38">
        <v>5.3129099999999996</v>
      </c>
      <c r="Y495" s="38">
        <f t="shared" si="66"/>
        <v>5.5</v>
      </c>
      <c r="Z495" s="38">
        <v>0</v>
      </c>
      <c r="AA495" s="38">
        <v>0</v>
      </c>
      <c r="AB495" s="38">
        <f>T495+U495+V495+W495</f>
        <v>28.75</v>
      </c>
      <c r="AC495" s="38">
        <v>1.24081</v>
      </c>
      <c r="AD495" s="38">
        <v>616</v>
      </c>
      <c r="AE495" s="38">
        <v>97</v>
      </c>
      <c r="AF495" s="38">
        <f>(AD495+AE495*0.5)/(3.5*I495*1000)*100</f>
        <v>0.65728628304359649</v>
      </c>
      <c r="AG495" s="38">
        <f t="shared" si="67"/>
        <v>0.7</v>
      </c>
      <c r="AH495" s="38">
        <v>2</v>
      </c>
      <c r="AI495" s="38">
        <f>AH495/(3.5*I495*1000)*100</f>
        <v>1.978288286060486E-3</v>
      </c>
      <c r="AJ495" s="38">
        <v>0</v>
      </c>
      <c r="AK495" s="38">
        <f>AJ495/(3.5*I495*1000)*100</f>
        <v>0</v>
      </c>
      <c r="AL495" s="38">
        <v>0</v>
      </c>
      <c r="AM495" s="38">
        <f>AL495/(3.5*I495*1000)*100</f>
        <v>0</v>
      </c>
      <c r="AN495" s="25"/>
      <c r="AO495" s="25">
        <f>AE495*0.5</f>
        <v>48.5</v>
      </c>
      <c r="AP495" s="25">
        <f>(AD495+AH495+AJ495+AL495+AO495)*I495</f>
        <v>19251.852500000001</v>
      </c>
      <c r="AQ495" s="25">
        <f>SUM(N495:Q495)</f>
        <v>28.749999999999996</v>
      </c>
      <c r="AR495" s="25">
        <f>SUM(T495:W495)</f>
        <v>28.75</v>
      </c>
      <c r="AS495" s="22"/>
      <c r="AT495" s="41"/>
      <c r="AU495" s="41">
        <f>SUM(N495:Q495)</f>
        <v>28.749999999999996</v>
      </c>
      <c r="AV495" s="41">
        <f>SUM(T495:W495)</f>
        <v>28.75</v>
      </c>
      <c r="AW495" s="41">
        <f>SUM(Z495:AB495)</f>
        <v>28.75</v>
      </c>
      <c r="AX495" s="22"/>
      <c r="AY495" s="22">
        <f>I495/AU495</f>
        <v>1.0046956521739132</v>
      </c>
      <c r="AZ495" s="22">
        <f>I495/AV495</f>
        <v>1.004695652173913</v>
      </c>
      <c r="BA495" s="22">
        <f>I495/AW495</f>
        <v>1.004695652173913</v>
      </c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</row>
    <row r="496" spans="1:88">
      <c r="A496" s="1">
        <v>820</v>
      </c>
      <c r="B496" s="34" t="s">
        <v>1204</v>
      </c>
      <c r="C496" s="34">
        <v>647</v>
      </c>
      <c r="D496" s="150">
        <v>2009</v>
      </c>
      <c r="E496" s="34">
        <v>100</v>
      </c>
      <c r="F496" s="34" t="s">
        <v>1212</v>
      </c>
      <c r="G496" s="58">
        <v>59166</v>
      </c>
      <c r="H496" s="58">
        <v>22043</v>
      </c>
      <c r="I496" s="35">
        <v>37.122999999999998</v>
      </c>
      <c r="J496" s="9">
        <v>2</v>
      </c>
      <c r="K496" s="34" t="s">
        <v>12</v>
      </c>
      <c r="L496" s="10">
        <v>42154</v>
      </c>
      <c r="M496" s="9" t="s">
        <v>191</v>
      </c>
      <c r="N496" s="38">
        <v>26.824999999999999</v>
      </c>
      <c r="O496" s="38">
        <v>7.9249999999999998</v>
      </c>
      <c r="P496" s="38">
        <v>1.7250000000000001</v>
      </c>
      <c r="Q496" s="38">
        <v>0.4</v>
      </c>
      <c r="R496" s="38">
        <v>2.093</v>
      </c>
      <c r="S496" s="38">
        <f t="shared" si="65"/>
        <v>2</v>
      </c>
      <c r="T496" s="38">
        <v>35.299999999999997</v>
      </c>
      <c r="U496" s="38">
        <v>1.05</v>
      </c>
      <c r="V496" s="38">
        <v>0.4</v>
      </c>
      <c r="W496" s="38">
        <v>0.125</v>
      </c>
      <c r="X496" s="38">
        <v>3.2210000000000001</v>
      </c>
      <c r="Y496" s="38">
        <f t="shared" si="66"/>
        <v>3</v>
      </c>
      <c r="Z496" s="38">
        <v>0</v>
      </c>
      <c r="AA496" s="38">
        <v>0</v>
      </c>
      <c r="AB496" s="38">
        <f>N496+O496+P496+Q496</f>
        <v>36.875</v>
      </c>
      <c r="AC496" s="38">
        <v>1.196</v>
      </c>
      <c r="AD496" s="38">
        <v>46</v>
      </c>
      <c r="AE496" s="38">
        <v>1611</v>
      </c>
      <c r="AF496" s="38">
        <f>(AD496+AE496*0.5)/(3.5*I496*1000)*100</f>
        <v>0.65535036038497507</v>
      </c>
      <c r="AG496" s="38">
        <f t="shared" si="67"/>
        <v>0.7</v>
      </c>
      <c r="AH496" s="38">
        <v>35</v>
      </c>
      <c r="AI496" s="38">
        <f>AH496/(3.5*I496*1000)*100</f>
        <v>2.6937478113299034E-2</v>
      </c>
      <c r="AJ496" s="38">
        <v>53</v>
      </c>
      <c r="AK496" s="38">
        <f>AJ496/(3.5*I496*1000)*100</f>
        <v>4.0791038285852822E-2</v>
      </c>
      <c r="AL496" s="38">
        <v>34</v>
      </c>
      <c r="AM496" s="38">
        <f>AL496/(3.5*I496*1000)*100</f>
        <v>2.6167835881490485E-2</v>
      </c>
      <c r="AN496" s="25"/>
      <c r="AO496" s="25">
        <f>AE496*0.5</f>
        <v>805.5</v>
      </c>
      <c r="AP496" s="25">
        <f>(AD496+AH496+AJ496+AL496+AO496)*I496</f>
        <v>36139.2405</v>
      </c>
      <c r="AQ496" s="25">
        <f>SUM(N496:Q496)</f>
        <v>36.875</v>
      </c>
      <c r="AR496" s="25">
        <f>SUM(T496:W496)</f>
        <v>36.874999999999993</v>
      </c>
      <c r="AS496" s="268">
        <v>37.122999999999998</v>
      </c>
      <c r="AT496" s="41"/>
      <c r="AU496" s="41"/>
      <c r="AV496" s="41"/>
      <c r="AW496" s="41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</row>
    <row r="497" spans="1:88">
      <c r="A497" s="1">
        <v>1213</v>
      </c>
      <c r="B497" s="34" t="s">
        <v>1674</v>
      </c>
      <c r="C497" s="34">
        <v>435</v>
      </c>
      <c r="D497" s="34">
        <v>2274</v>
      </c>
      <c r="E497" s="34">
        <v>200</v>
      </c>
      <c r="F497" s="34" t="s">
        <v>1707</v>
      </c>
      <c r="G497" s="34" t="s">
        <v>1708</v>
      </c>
      <c r="H497" s="34" t="s">
        <v>1709</v>
      </c>
      <c r="I497" s="55">
        <v>7.5720000000000001</v>
      </c>
      <c r="J497" s="34">
        <v>2</v>
      </c>
      <c r="K497" s="181" t="s">
        <v>238</v>
      </c>
      <c r="L497" s="10">
        <v>42282</v>
      </c>
      <c r="M497" s="9" t="s">
        <v>191</v>
      </c>
      <c r="N497" s="38">
        <v>3.55</v>
      </c>
      <c r="O497" s="38">
        <v>2.125</v>
      </c>
      <c r="P497" s="38">
        <v>0.75</v>
      </c>
      <c r="Q497" s="38">
        <v>0.42499999999999999</v>
      </c>
      <c r="R497" s="38">
        <v>2.7503700000000002</v>
      </c>
      <c r="S497" s="38">
        <f t="shared" si="65"/>
        <v>3</v>
      </c>
      <c r="T497" s="38">
        <v>6.7249999999999996</v>
      </c>
      <c r="U497" s="38">
        <v>0.125</v>
      </c>
      <c r="V497" s="38">
        <v>0</v>
      </c>
      <c r="W497" s="38">
        <v>0</v>
      </c>
      <c r="X497" s="38">
        <v>3.2571300000000001</v>
      </c>
      <c r="Y497" s="38">
        <f t="shared" si="66"/>
        <v>3.5</v>
      </c>
      <c r="Z497" s="38">
        <v>0</v>
      </c>
      <c r="AA497" s="38">
        <v>0</v>
      </c>
      <c r="AB497" s="55">
        <v>7.5720000000000001</v>
      </c>
      <c r="AC497" s="38">
        <v>1.54488</v>
      </c>
      <c r="AD497" s="38">
        <v>169.6</v>
      </c>
      <c r="AE497" s="38">
        <v>8.14</v>
      </c>
      <c r="AF497" s="38">
        <f>(AD497+AE497*0.5)/(3.5*I497*1000)*100</f>
        <v>0.65530903328050705</v>
      </c>
      <c r="AG497" s="38">
        <f t="shared" si="67"/>
        <v>0.7</v>
      </c>
      <c r="AH497" s="38">
        <v>154.63</v>
      </c>
      <c r="AI497" s="38">
        <v>0.58346500000000001</v>
      </c>
      <c r="AJ497" s="38">
        <v>0</v>
      </c>
      <c r="AK497" s="38">
        <v>0</v>
      </c>
      <c r="AL497" s="38">
        <v>0</v>
      </c>
      <c r="AM497" s="38">
        <v>0</v>
      </c>
      <c r="AN497" s="12"/>
    </row>
    <row r="498" spans="1:88">
      <c r="A498" s="1">
        <v>861</v>
      </c>
      <c r="B498" s="34" t="s">
        <v>1231</v>
      </c>
      <c r="C498" s="34">
        <v>615</v>
      </c>
      <c r="D498" s="34">
        <v>2375</v>
      </c>
      <c r="E498" s="34">
        <v>100</v>
      </c>
      <c r="F498" s="34" t="s">
        <v>1255</v>
      </c>
      <c r="G498" s="58">
        <v>0</v>
      </c>
      <c r="H498" s="58">
        <v>28547</v>
      </c>
      <c r="I498" s="35">
        <v>28.547000000000001</v>
      </c>
      <c r="J498" s="9">
        <v>2</v>
      </c>
      <c r="K498" s="34" t="s">
        <v>238</v>
      </c>
      <c r="L498" s="10">
        <v>42133</v>
      </c>
      <c r="M498" s="9" t="s">
        <v>191</v>
      </c>
      <c r="N498" s="38">
        <v>21.1</v>
      </c>
      <c r="O498" s="38">
        <v>5.15</v>
      </c>
      <c r="P498" s="38">
        <v>1.25</v>
      </c>
      <c r="Q498" s="38">
        <v>0.97499999999999998</v>
      </c>
      <c r="R498" s="38">
        <v>2.8498299999999999</v>
      </c>
      <c r="S498" s="38">
        <f t="shared" si="65"/>
        <v>3</v>
      </c>
      <c r="T498" s="38">
        <v>27.675000000000001</v>
      </c>
      <c r="U498" s="38">
        <v>0.52500000000000002</v>
      </c>
      <c r="V498" s="38">
        <v>0.2</v>
      </c>
      <c r="W498" s="38">
        <v>7.4999999999999997E-2</v>
      </c>
      <c r="X498" s="38">
        <v>3.9096199999999999</v>
      </c>
      <c r="Y498" s="38">
        <f t="shared" si="66"/>
        <v>4</v>
      </c>
      <c r="Z498" s="38">
        <v>0</v>
      </c>
      <c r="AA498" s="38">
        <v>0</v>
      </c>
      <c r="AB498" s="38">
        <f>N498+O498+P498+Q498</f>
        <v>28.475000000000001</v>
      </c>
      <c r="AC498" s="38">
        <v>1.4107400000000001</v>
      </c>
      <c r="AD498" s="38">
        <v>589.62</v>
      </c>
      <c r="AE498" s="38">
        <v>120.2</v>
      </c>
      <c r="AF498" s="38">
        <v>0.65027999999999997</v>
      </c>
      <c r="AG498" s="38">
        <f t="shared" si="67"/>
        <v>0.7</v>
      </c>
      <c r="AH498" s="38">
        <v>450.38</v>
      </c>
      <c r="AI498" s="38">
        <v>0.45077</v>
      </c>
      <c r="AJ498" s="38">
        <v>53.74</v>
      </c>
      <c r="AK498" s="38">
        <v>5.3786E-2</v>
      </c>
      <c r="AL498" s="38">
        <v>9.64</v>
      </c>
      <c r="AM498" s="38">
        <v>9.6500000000000006E-3</v>
      </c>
      <c r="AN498" s="25"/>
      <c r="AO498" s="25">
        <f>AE498*0.5</f>
        <v>60.1</v>
      </c>
      <c r="AP498" s="25">
        <f>(AD498+AH498+AJ498+AL498+AO498)*I498</f>
        <v>33213.863559999998</v>
      </c>
      <c r="AQ498" s="25">
        <f>SUM(N498:Q498)</f>
        <v>28.475000000000001</v>
      </c>
      <c r="AR498" s="25">
        <f>SUM(T498:W498)</f>
        <v>28.474999999999998</v>
      </c>
      <c r="AS498" s="268">
        <v>28.547000000000001</v>
      </c>
      <c r="AT498" s="41"/>
      <c r="AU498" s="41"/>
      <c r="AV498" s="41"/>
      <c r="AW498" s="41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</row>
    <row r="499" spans="1:88">
      <c r="A499" s="1">
        <v>2048</v>
      </c>
      <c r="B499" s="34" t="s">
        <v>2697</v>
      </c>
      <c r="C499" s="34">
        <v>328</v>
      </c>
      <c r="D499" s="75">
        <v>401</v>
      </c>
      <c r="E499" s="8">
        <v>401</v>
      </c>
      <c r="F499" s="34" t="s">
        <v>2698</v>
      </c>
      <c r="G499" s="58">
        <v>145542</v>
      </c>
      <c r="H499" s="58">
        <v>128042</v>
      </c>
      <c r="I499" s="21">
        <v>17.5</v>
      </c>
      <c r="J499" s="8">
        <v>2</v>
      </c>
      <c r="K499" s="8" t="s">
        <v>12</v>
      </c>
      <c r="L499" s="18">
        <v>42120</v>
      </c>
      <c r="M499" s="9" t="s">
        <v>191</v>
      </c>
      <c r="N499" s="38">
        <v>11.25</v>
      </c>
      <c r="O499" s="38">
        <v>3.35</v>
      </c>
      <c r="P499" s="38">
        <v>1.7</v>
      </c>
      <c r="Q499" s="38">
        <v>1.2</v>
      </c>
      <c r="R499" s="38">
        <v>2.5623900000000002</v>
      </c>
      <c r="S499" s="38">
        <f t="shared" si="65"/>
        <v>2.5</v>
      </c>
      <c r="T499" s="38">
        <v>15.8</v>
      </c>
      <c r="U499" s="38">
        <v>1.35</v>
      </c>
      <c r="V499" s="38">
        <v>0.3</v>
      </c>
      <c r="W499" s="38">
        <v>0.05</v>
      </c>
      <c r="X499" s="38">
        <v>4.9943900000000001</v>
      </c>
      <c r="Y499" s="38">
        <f t="shared" si="66"/>
        <v>5</v>
      </c>
      <c r="Z499" s="38">
        <v>0</v>
      </c>
      <c r="AA499" s="38">
        <v>0</v>
      </c>
      <c r="AB499" s="38">
        <v>17.5</v>
      </c>
      <c r="AC499" s="38">
        <v>1.17855</v>
      </c>
      <c r="AD499" s="38">
        <v>286.08999999999997</v>
      </c>
      <c r="AE499" s="38">
        <v>216.6</v>
      </c>
      <c r="AF499" s="38">
        <v>0.64390204081632652</v>
      </c>
      <c r="AG499" s="38">
        <f t="shared" si="67"/>
        <v>0.6</v>
      </c>
      <c r="AH499" s="38">
        <v>127.85</v>
      </c>
      <c r="AI499" s="38">
        <v>0.208734693877551</v>
      </c>
      <c r="AJ499" s="38">
        <v>1.1499999999999999</v>
      </c>
      <c r="AK499" s="38">
        <v>1.8775510204081633E-3</v>
      </c>
      <c r="AL499" s="38">
        <v>1</v>
      </c>
      <c r="AM499" s="38">
        <f>AL499/(3.5*I499*1000)*100</f>
        <v>1.6326530612244896E-3</v>
      </c>
      <c r="AN499" s="72"/>
      <c r="AO499" s="41"/>
      <c r="AP499" s="41"/>
      <c r="AQ499" s="73"/>
      <c r="AR499" s="73"/>
    </row>
    <row r="500" spans="1:88">
      <c r="A500" s="1">
        <v>175</v>
      </c>
      <c r="B500" s="34" t="s">
        <v>332</v>
      </c>
      <c r="C500" s="34">
        <v>533</v>
      </c>
      <c r="D500" s="34">
        <v>1149</v>
      </c>
      <c r="E500" s="34">
        <v>100</v>
      </c>
      <c r="F500" s="34" t="s">
        <v>354</v>
      </c>
      <c r="G500" s="20" t="s">
        <v>92</v>
      </c>
      <c r="H500" s="20" t="s">
        <v>355</v>
      </c>
      <c r="I500" s="35">
        <v>43.725999999999999</v>
      </c>
      <c r="J500" s="33">
        <v>2</v>
      </c>
      <c r="K500" s="34" t="s">
        <v>238</v>
      </c>
      <c r="L500" s="10">
        <v>42201</v>
      </c>
      <c r="M500" s="9" t="s">
        <v>191</v>
      </c>
      <c r="N500" s="38">
        <v>19.04</v>
      </c>
      <c r="O500" s="38">
        <v>12.86</v>
      </c>
      <c r="P500" s="38">
        <v>7.77</v>
      </c>
      <c r="Q500" s="38">
        <v>4.0599999999999996</v>
      </c>
      <c r="R500" s="38">
        <v>2.86</v>
      </c>
      <c r="S500" s="38">
        <f t="shared" si="65"/>
        <v>3</v>
      </c>
      <c r="T500" s="38">
        <v>40.39</v>
      </c>
      <c r="U500" s="38">
        <v>1.6</v>
      </c>
      <c r="V500" s="38">
        <v>0.64</v>
      </c>
      <c r="W500" s="38">
        <v>1.1000000000000001</v>
      </c>
      <c r="X500" s="38">
        <v>5.0030000000000001</v>
      </c>
      <c r="Y500" s="38">
        <f t="shared" si="66"/>
        <v>5</v>
      </c>
      <c r="Z500" s="38">
        <v>0.27</v>
      </c>
      <c r="AA500" s="38">
        <v>0.53</v>
      </c>
      <c r="AB500" s="38">
        <v>42.93</v>
      </c>
      <c r="AC500" s="38">
        <v>1.304</v>
      </c>
      <c r="AD500" s="38">
        <v>511.92</v>
      </c>
      <c r="AE500" s="38">
        <v>941.56</v>
      </c>
      <c r="AF500" s="38">
        <f>(AD500+AE500*0.5)/(3.5*I500*1000)*100</f>
        <v>0.64211551152959012</v>
      </c>
      <c r="AG500" s="38">
        <f t="shared" si="67"/>
        <v>0.6</v>
      </c>
      <c r="AH500" s="38">
        <v>1022.2</v>
      </c>
      <c r="AI500" s="38">
        <f>AH500/(3.5*I500*1000)*100</f>
        <v>0.66792558856776951</v>
      </c>
      <c r="AJ500" s="38">
        <v>74.510000000000005</v>
      </c>
      <c r="AK500" s="38">
        <f>AJ500/(3.5*I500*1000)*100</f>
        <v>4.8686299749740265E-2</v>
      </c>
      <c r="AL500" s="38">
        <v>184.3</v>
      </c>
      <c r="AM500" s="38">
        <f>AL500/(3.5*I500*1000)*100</f>
        <v>0.1204252455224417</v>
      </c>
      <c r="AN500" s="25"/>
      <c r="AO500" s="25">
        <f>AE500*0.5</f>
        <v>470.78</v>
      </c>
      <c r="AP500" s="25">
        <f>(AD500+AH500+AJ500+AL500+AO500)*I500</f>
        <v>98982.983460000003</v>
      </c>
      <c r="AQ500" s="25"/>
      <c r="AR500" s="25">
        <f>SUM(N500:Q500)</f>
        <v>43.730000000000004</v>
      </c>
      <c r="AS500" s="25">
        <f>SUM(T500:W500)</f>
        <v>43.730000000000004</v>
      </c>
      <c r="AT500" s="22"/>
      <c r="AU500" s="41">
        <f>SUM(N500:Q500)</f>
        <v>43.730000000000004</v>
      </c>
      <c r="AV500" s="41">
        <f>SUM(T500:W500)</f>
        <v>43.730000000000004</v>
      </c>
      <c r="AW500" s="41">
        <f>SUM(Z500:AB500)</f>
        <v>43.73</v>
      </c>
      <c r="AX500" s="41"/>
      <c r="AY500" s="22">
        <f>I500/AU500</f>
        <v>0.99990852961353749</v>
      </c>
      <c r="AZ500" s="22">
        <f>I500/AV500</f>
        <v>0.99990852961353749</v>
      </c>
      <c r="BA500" s="22">
        <f>I500/AW500</f>
        <v>0.99990852961353771</v>
      </c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</row>
    <row r="501" spans="1:88">
      <c r="A501" s="1">
        <v>1465</v>
      </c>
      <c r="B501" s="34" t="s">
        <v>1987</v>
      </c>
      <c r="C501" s="34">
        <v>448</v>
      </c>
      <c r="D501" s="75">
        <v>3454</v>
      </c>
      <c r="E501" s="69">
        <v>303</v>
      </c>
      <c r="F501" s="34" t="s">
        <v>2013</v>
      </c>
      <c r="G501" s="20">
        <v>74609</v>
      </c>
      <c r="H501" s="20">
        <v>86609</v>
      </c>
      <c r="I501" s="21">
        <v>12</v>
      </c>
      <c r="J501" s="8">
        <v>2</v>
      </c>
      <c r="K501" s="34" t="s">
        <v>238</v>
      </c>
      <c r="L501" s="10">
        <v>42183</v>
      </c>
      <c r="M501" s="9" t="s">
        <v>191</v>
      </c>
      <c r="N501" s="38">
        <v>8.7750000000000004</v>
      </c>
      <c r="O501" s="38">
        <v>2.2250000000000001</v>
      </c>
      <c r="P501" s="38">
        <v>0.75</v>
      </c>
      <c r="Q501" s="38">
        <v>0.32500000000000001</v>
      </c>
      <c r="R501" s="38">
        <v>2.3635600000000001</v>
      </c>
      <c r="S501" s="38">
        <f t="shared" si="65"/>
        <v>2.5</v>
      </c>
      <c r="T501" s="38">
        <v>11.9</v>
      </c>
      <c r="U501" s="38">
        <v>0.17499999999999999</v>
      </c>
      <c r="V501" s="38">
        <v>0</v>
      </c>
      <c r="W501" s="38">
        <v>0</v>
      </c>
      <c r="X501" s="38">
        <v>2.8643900000000002</v>
      </c>
      <c r="Y501" s="38">
        <f t="shared" si="66"/>
        <v>3</v>
      </c>
      <c r="Z501" s="38">
        <v>0</v>
      </c>
      <c r="AA501" s="38">
        <v>0</v>
      </c>
      <c r="AB501" s="38">
        <v>12.074999999999999</v>
      </c>
      <c r="AC501" s="38">
        <v>1.1078399999999999</v>
      </c>
      <c r="AD501" s="38">
        <v>245.23</v>
      </c>
      <c r="AE501" s="38">
        <v>44.6</v>
      </c>
      <c r="AF501" s="38">
        <f>(AD501+AE501*0.5)/(3.5*I501*1000)*100</f>
        <v>0.63697619047619036</v>
      </c>
      <c r="AG501" s="38">
        <f t="shared" si="67"/>
        <v>0.6</v>
      </c>
      <c r="AH501" s="38">
        <v>18.5</v>
      </c>
      <c r="AI501" s="38">
        <f>AH501/(3.5*I501*1000)*100</f>
        <v>4.4047619047619044E-2</v>
      </c>
      <c r="AJ501" s="38">
        <v>0</v>
      </c>
      <c r="AK501" s="38">
        <f>AJ501/(3.5*I501*1000)*100</f>
        <v>0</v>
      </c>
      <c r="AL501" s="38">
        <v>0</v>
      </c>
      <c r="AM501" s="38">
        <f>AL501/(3.5*I501*1000)*100</f>
        <v>0</v>
      </c>
      <c r="AN501" s="72"/>
      <c r="AO501" s="41"/>
      <c r="AP501" s="41"/>
      <c r="AQ501" s="73"/>
      <c r="AR501" s="73"/>
      <c r="AS501" s="73"/>
      <c r="AT501" s="73"/>
      <c r="AU501" s="73"/>
      <c r="AV501" s="73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</row>
    <row r="502" spans="1:88">
      <c r="A502" s="1">
        <v>360</v>
      </c>
      <c r="B502" s="74" t="s">
        <v>571</v>
      </c>
      <c r="C502" s="34">
        <v>512</v>
      </c>
      <c r="D502" s="75">
        <v>1400</v>
      </c>
      <c r="E502" s="69">
        <v>100</v>
      </c>
      <c r="F502" s="76" t="s">
        <v>600</v>
      </c>
      <c r="G502" s="20" t="s">
        <v>92</v>
      </c>
      <c r="H502" s="20" t="s">
        <v>601</v>
      </c>
      <c r="I502" s="21">
        <v>1.3160000000000001</v>
      </c>
      <c r="J502" s="8">
        <v>4</v>
      </c>
      <c r="K502" s="34" t="s">
        <v>238</v>
      </c>
      <c r="L502" s="18">
        <v>42257</v>
      </c>
      <c r="M502" s="71" t="s">
        <v>191</v>
      </c>
      <c r="N502" s="38">
        <v>7.0000000000000007E-2</v>
      </c>
      <c r="O502" s="38">
        <v>0.15</v>
      </c>
      <c r="P502" s="38">
        <v>0.3</v>
      </c>
      <c r="Q502" s="38">
        <v>0.81</v>
      </c>
      <c r="R502" s="38">
        <v>5.7522599999999997</v>
      </c>
      <c r="S502" s="38">
        <f t="shared" si="65"/>
        <v>6</v>
      </c>
      <c r="T502" s="38">
        <v>1.28</v>
      </c>
      <c r="U502" s="38">
        <v>0.04</v>
      </c>
      <c r="V502" s="38">
        <v>0</v>
      </c>
      <c r="W502" s="38">
        <v>0</v>
      </c>
      <c r="X502" s="38">
        <v>4.1627599999999996</v>
      </c>
      <c r="Y502" s="38">
        <f t="shared" si="66"/>
        <v>4</v>
      </c>
      <c r="Z502" s="38">
        <v>0</v>
      </c>
      <c r="AA502" s="38">
        <v>0</v>
      </c>
      <c r="AB502" s="38">
        <v>1.32</v>
      </c>
      <c r="AC502" s="38">
        <v>1.1963699999999999</v>
      </c>
      <c r="AD502" s="38">
        <v>15</v>
      </c>
      <c r="AE502" s="38">
        <v>28.12</v>
      </c>
      <c r="AF502" s="38">
        <f>(AD502+AE502*0.5)/(3.5*I502*1000)*100</f>
        <v>0.63091619626574036</v>
      </c>
      <c r="AG502" s="38">
        <f t="shared" si="67"/>
        <v>0.6</v>
      </c>
      <c r="AH502" s="38">
        <v>0</v>
      </c>
      <c r="AI502" s="38">
        <f>AH502/(3.5*I502*1000)*100</f>
        <v>0</v>
      </c>
      <c r="AJ502" s="38">
        <v>0</v>
      </c>
      <c r="AK502" s="38">
        <f>AJ502/(3.5*I502*1000)*100</f>
        <v>0</v>
      </c>
      <c r="AL502" s="38">
        <v>0</v>
      </c>
      <c r="AM502" s="38">
        <f>AL502/(3.5*I502*1000)*100</f>
        <v>0</v>
      </c>
      <c r="AN502" s="72"/>
      <c r="AO502" s="41"/>
      <c r="AP502" s="41"/>
      <c r="AQ502" s="73"/>
      <c r="AR502" s="73"/>
      <c r="AS502" s="73"/>
      <c r="AT502" s="73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</row>
    <row r="503" spans="1:88" ht="23.25" customHeight="1">
      <c r="A503" s="1">
        <v>2060</v>
      </c>
      <c r="B503" s="34" t="s">
        <v>2697</v>
      </c>
      <c r="C503" s="34">
        <v>328</v>
      </c>
      <c r="D503" s="75">
        <v>4292</v>
      </c>
      <c r="E503" s="8">
        <v>100</v>
      </c>
      <c r="F503" s="34" t="s">
        <v>2707</v>
      </c>
      <c r="G503" s="58">
        <v>180</v>
      </c>
      <c r="H503" s="58">
        <v>0</v>
      </c>
      <c r="I503" s="21">
        <v>0.18</v>
      </c>
      <c r="J503" s="8">
        <v>4</v>
      </c>
      <c r="K503" s="8" t="s">
        <v>96</v>
      </c>
      <c r="L503" s="18">
        <v>42120</v>
      </c>
      <c r="M503" s="9" t="s">
        <v>191</v>
      </c>
      <c r="N503" s="38">
        <v>0</v>
      </c>
      <c r="O503" s="38">
        <v>0.1</v>
      </c>
      <c r="P503" s="38">
        <v>2.5000000000000001E-2</v>
      </c>
      <c r="Q503" s="38">
        <v>7.4999999999999997E-2</v>
      </c>
      <c r="R503" s="38">
        <v>5.3624999999999998</v>
      </c>
      <c r="S503" s="38">
        <f t="shared" si="65"/>
        <v>5.5</v>
      </c>
      <c r="T503" s="38">
        <v>0.2</v>
      </c>
      <c r="U503" s="38">
        <v>0</v>
      </c>
      <c r="V503" s="38">
        <v>0</v>
      </c>
      <c r="W503" s="38">
        <v>0</v>
      </c>
      <c r="X503" s="38">
        <v>2.6102500000000002</v>
      </c>
      <c r="Y503" s="38">
        <f t="shared" si="66"/>
        <v>2.5</v>
      </c>
      <c r="Z503" s="38">
        <v>0</v>
      </c>
      <c r="AA503" s="38">
        <v>0</v>
      </c>
      <c r="AB503" s="38">
        <v>0.2</v>
      </c>
      <c r="AC503" s="38">
        <v>1.032</v>
      </c>
      <c r="AD503" s="38">
        <v>0</v>
      </c>
      <c r="AE503" s="38">
        <v>7.92</v>
      </c>
      <c r="AF503" s="38">
        <v>0.62857142857142856</v>
      </c>
      <c r="AG503" s="38">
        <f t="shared" si="67"/>
        <v>0.6</v>
      </c>
      <c r="AH503" s="38">
        <v>0</v>
      </c>
      <c r="AI503" s="38">
        <v>0</v>
      </c>
      <c r="AJ503" s="38">
        <v>0</v>
      </c>
      <c r="AK503" s="38">
        <v>0</v>
      </c>
      <c r="AL503" s="38">
        <v>0</v>
      </c>
      <c r="AM503" s="38">
        <f>AL503/(3.5*I503*1000)*100</f>
        <v>0</v>
      </c>
      <c r="AN503" s="72"/>
      <c r="AO503" s="41"/>
      <c r="AP503" s="41"/>
      <c r="AQ503" s="73"/>
      <c r="AR503" s="73"/>
    </row>
    <row r="504" spans="1:88">
      <c r="A504" s="1">
        <v>294</v>
      </c>
      <c r="B504" s="34" t="s">
        <v>509</v>
      </c>
      <c r="C504" s="34">
        <v>642</v>
      </c>
      <c r="D504" s="34">
        <v>2280</v>
      </c>
      <c r="E504" s="34">
        <v>101</v>
      </c>
      <c r="F504" s="34" t="s">
        <v>522</v>
      </c>
      <c r="G504" s="58">
        <v>0</v>
      </c>
      <c r="H504" s="58">
        <v>17500</v>
      </c>
      <c r="I504" s="35">
        <v>17.5</v>
      </c>
      <c r="J504" s="62">
        <v>2</v>
      </c>
      <c r="K504" s="34" t="s">
        <v>238</v>
      </c>
      <c r="L504" s="10">
        <v>42222</v>
      </c>
      <c r="M504" s="9" t="s">
        <v>191</v>
      </c>
      <c r="N504" s="38">
        <v>10.3</v>
      </c>
      <c r="O504" s="38">
        <v>4.2</v>
      </c>
      <c r="P504" s="38">
        <v>2.15</v>
      </c>
      <c r="Q504" s="38">
        <v>0.72499999999999998</v>
      </c>
      <c r="R504" s="38">
        <v>2.5687099999999998</v>
      </c>
      <c r="S504" s="38">
        <f t="shared" si="65"/>
        <v>2.5</v>
      </c>
      <c r="T504" s="38">
        <v>15.925000000000001</v>
      </c>
      <c r="U504" s="38">
        <v>1.175</v>
      </c>
      <c r="V504" s="38">
        <v>0.27500000000000002</v>
      </c>
      <c r="W504" s="38">
        <v>0</v>
      </c>
      <c r="X504" s="38">
        <v>6.1339100000000002</v>
      </c>
      <c r="Y504" s="38">
        <f t="shared" si="66"/>
        <v>6</v>
      </c>
      <c r="Z504" s="38">
        <v>0</v>
      </c>
      <c r="AA504" s="38">
        <v>0</v>
      </c>
      <c r="AB504" s="38">
        <f>T504+U504+V504+W504</f>
        <v>17.375</v>
      </c>
      <c r="AC504" s="38">
        <v>1.4238200000000001</v>
      </c>
      <c r="AD504" s="38">
        <v>382</v>
      </c>
      <c r="AE504" s="38">
        <v>0</v>
      </c>
      <c r="AF504" s="38">
        <v>0.62367346938775503</v>
      </c>
      <c r="AG504" s="38">
        <f t="shared" si="67"/>
        <v>0.6</v>
      </c>
      <c r="AH504" s="38">
        <v>0</v>
      </c>
      <c r="AI504" s="38">
        <v>0</v>
      </c>
      <c r="AJ504" s="38">
        <v>862.13</v>
      </c>
      <c r="AK504" s="38">
        <v>1.4075591836734693</v>
      </c>
      <c r="AL504" s="38">
        <v>0</v>
      </c>
      <c r="AM504" s="38">
        <v>0</v>
      </c>
      <c r="AN504" s="60"/>
      <c r="AO504" s="60"/>
      <c r="AP504" s="60">
        <f>AE504*0.5</f>
        <v>0</v>
      </c>
      <c r="AQ504" s="64">
        <f>(AD504+AH504+AJ504+AL504+AP504)*I504</f>
        <v>21772.275000000001</v>
      </c>
      <c r="AR504" s="60"/>
      <c r="AS504" s="25">
        <f>SUM(N504:Q504)</f>
        <v>17.375</v>
      </c>
      <c r="AT504" s="25"/>
      <c r="AU504" s="41">
        <f>SUM(N504:Q504)</f>
        <v>17.375</v>
      </c>
      <c r="AV504" s="41">
        <f>SUM(T504:W504)</f>
        <v>17.375</v>
      </c>
      <c r="AW504" s="41">
        <f>SUM(Z504:AB504)</f>
        <v>17.375</v>
      </c>
      <c r="AX504" s="22"/>
      <c r="AY504" s="22">
        <f>I504/AU504</f>
        <v>1.0071942446043165</v>
      </c>
      <c r="AZ504" s="22">
        <f>I504/AV504</f>
        <v>1.0071942446043165</v>
      </c>
      <c r="BA504" s="22">
        <f>I504/AW504</f>
        <v>1.0071942446043165</v>
      </c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</row>
    <row r="505" spans="1:88">
      <c r="A505" s="1">
        <v>1270</v>
      </c>
      <c r="B505" s="34" t="s">
        <v>1775</v>
      </c>
      <c r="C505" s="88">
        <v>438</v>
      </c>
      <c r="D505" s="88">
        <v>3331</v>
      </c>
      <c r="E505" s="88">
        <v>100</v>
      </c>
      <c r="F505" s="88" t="s">
        <v>1808</v>
      </c>
      <c r="G505" s="88" t="s">
        <v>1809</v>
      </c>
      <c r="H505" s="88" t="s">
        <v>92</v>
      </c>
      <c r="I505" s="115">
        <v>15.611000000000001</v>
      </c>
      <c r="J505" s="88">
        <v>2</v>
      </c>
      <c r="K505" s="88" t="s">
        <v>12</v>
      </c>
      <c r="L505" s="116">
        <v>42282</v>
      </c>
      <c r="M505" s="9" t="s">
        <v>191</v>
      </c>
      <c r="N505" s="117">
        <v>6.4749999999999996</v>
      </c>
      <c r="O505" s="117">
        <v>5.0250000000000004</v>
      </c>
      <c r="P505" s="117">
        <v>2.4500000000000002</v>
      </c>
      <c r="Q505" s="117">
        <v>1.625</v>
      </c>
      <c r="R505" s="117">
        <v>3.2148300000000001</v>
      </c>
      <c r="S505" s="38">
        <f t="shared" si="65"/>
        <v>3</v>
      </c>
      <c r="T505" s="117">
        <v>14.3</v>
      </c>
      <c r="U505" s="38">
        <v>0.8</v>
      </c>
      <c r="V505" s="38">
        <v>0.375</v>
      </c>
      <c r="W505" s="38">
        <v>0.1</v>
      </c>
      <c r="X505" s="38">
        <v>4.3983100000000004</v>
      </c>
      <c r="Y505" s="38">
        <f t="shared" si="66"/>
        <v>4.5</v>
      </c>
      <c r="Z505" s="38">
        <v>0</v>
      </c>
      <c r="AA505" s="38">
        <v>0</v>
      </c>
      <c r="AB505" s="55">
        <v>15.611000000000001</v>
      </c>
      <c r="AC505" s="38">
        <v>1.31569</v>
      </c>
      <c r="AD505" s="38">
        <v>338.97</v>
      </c>
      <c r="AE505" s="38">
        <v>2.6</v>
      </c>
      <c r="AF505" s="117">
        <f>(AD505+AE505*0.5)/(3.5*I505*1000)*100</f>
        <v>0.62276599833450785</v>
      </c>
      <c r="AG505" s="38">
        <f t="shared" si="67"/>
        <v>0.6</v>
      </c>
      <c r="AH505" s="117">
        <v>220.6</v>
      </c>
      <c r="AI505" s="117">
        <f>AH505/(3.5*I505*1000)*100</f>
        <v>0.4037446123154918</v>
      </c>
      <c r="AJ505" s="117">
        <v>1.5</v>
      </c>
      <c r="AK505" s="117">
        <v>2.745E-3</v>
      </c>
      <c r="AL505" s="117">
        <v>0</v>
      </c>
      <c r="AM505" s="117">
        <v>0</v>
      </c>
      <c r="AN505" s="12"/>
    </row>
    <row r="506" spans="1:88">
      <c r="A506" s="1">
        <v>1396</v>
      </c>
      <c r="B506" s="34" t="s">
        <v>1940</v>
      </c>
      <c r="C506" s="34">
        <v>446</v>
      </c>
      <c r="D506" s="75">
        <v>3213</v>
      </c>
      <c r="E506" s="69">
        <v>100</v>
      </c>
      <c r="F506" s="34" t="s">
        <v>1952</v>
      </c>
      <c r="G506" s="20">
        <v>0</v>
      </c>
      <c r="H506" s="20">
        <v>32068</v>
      </c>
      <c r="I506" s="21">
        <v>32.067999999999998</v>
      </c>
      <c r="J506" s="8">
        <v>4</v>
      </c>
      <c r="K506" s="34" t="s">
        <v>238</v>
      </c>
      <c r="L506" s="10">
        <v>42220</v>
      </c>
      <c r="M506" s="9" t="s">
        <v>191</v>
      </c>
      <c r="N506" s="38">
        <v>22.88</v>
      </c>
      <c r="O506" s="38">
        <v>6.68</v>
      </c>
      <c r="P506" s="38">
        <v>1.99</v>
      </c>
      <c r="Q506" s="38">
        <v>0.52</v>
      </c>
      <c r="R506" s="38">
        <v>2.2068500000000002</v>
      </c>
      <c r="S506" s="38">
        <f t="shared" si="65"/>
        <v>2</v>
      </c>
      <c r="T506" s="38">
        <v>30.1</v>
      </c>
      <c r="U506" s="38">
        <v>1.52</v>
      </c>
      <c r="V506" s="38">
        <v>0.34</v>
      </c>
      <c r="W506" s="38">
        <v>0.1</v>
      </c>
      <c r="X506" s="38">
        <v>3.7610700000000001</v>
      </c>
      <c r="Y506" s="38">
        <f t="shared" si="66"/>
        <v>4</v>
      </c>
      <c r="Z506" s="38">
        <v>0</v>
      </c>
      <c r="AA506" s="38">
        <v>0</v>
      </c>
      <c r="AB506" s="11">
        <v>32.07</v>
      </c>
      <c r="AC506" s="38">
        <v>1.20062</v>
      </c>
      <c r="AD506" s="38">
        <v>665.02099999999996</v>
      </c>
      <c r="AE506" s="38">
        <v>64.5</v>
      </c>
      <c r="AF506" s="38">
        <v>0.62124325094887645</v>
      </c>
      <c r="AG506" s="38">
        <f t="shared" si="67"/>
        <v>0.6</v>
      </c>
      <c r="AH506" s="38">
        <v>22.5</v>
      </c>
      <c r="AI506" s="38">
        <v>2.0046686505461608E-2</v>
      </c>
      <c r="AJ506" s="38">
        <v>0</v>
      </c>
      <c r="AK506" s="38">
        <v>0</v>
      </c>
      <c r="AL506" s="38">
        <v>0</v>
      </c>
      <c r="AM506" s="38">
        <v>0</v>
      </c>
      <c r="AN506" s="12"/>
      <c r="AP506" s="12">
        <f>SUM(N506:Q506)</f>
        <v>32.07</v>
      </c>
      <c r="AQ506" s="12">
        <f>SUM(T506:W506)</f>
        <v>32.06</v>
      </c>
      <c r="AR506" s="12">
        <f>SUM(Z506:AB506)</f>
        <v>32.07</v>
      </c>
      <c r="AT506" s="1">
        <f>I506/AP506</f>
        <v>0.9999376364203304</v>
      </c>
      <c r="AU506" s="1">
        <f>I506/AQ506</f>
        <v>1.0002495321272613</v>
      </c>
      <c r="AV506" s="1">
        <f>I506/AR506</f>
        <v>0.9999376364203304</v>
      </c>
    </row>
    <row r="507" spans="1:88">
      <c r="A507" s="1">
        <v>2211</v>
      </c>
      <c r="B507" s="34" t="s">
        <v>2853</v>
      </c>
      <c r="C507" s="34">
        <v>318</v>
      </c>
      <c r="D507" s="75">
        <v>406</v>
      </c>
      <c r="E507" s="8">
        <v>102</v>
      </c>
      <c r="F507" s="9" t="s">
        <v>2855</v>
      </c>
      <c r="G507" s="20">
        <v>75725</v>
      </c>
      <c r="H507" s="20">
        <v>54775</v>
      </c>
      <c r="I507" s="21">
        <v>20.95</v>
      </c>
      <c r="J507" s="8">
        <v>4</v>
      </c>
      <c r="K507" s="8" t="s">
        <v>96</v>
      </c>
      <c r="L507" s="18">
        <v>42149</v>
      </c>
      <c r="M507" s="9" t="s">
        <v>191</v>
      </c>
      <c r="N507" s="38">
        <v>15.75</v>
      </c>
      <c r="O507" s="38">
        <v>3.75</v>
      </c>
      <c r="P507" s="38">
        <v>1.0249999999999999</v>
      </c>
      <c r="Q507" s="38">
        <v>0.4</v>
      </c>
      <c r="R507" s="38">
        <v>2.1859099999999998</v>
      </c>
      <c r="S507" s="38">
        <f t="shared" si="65"/>
        <v>2</v>
      </c>
      <c r="T507" s="38">
        <v>19.975000000000001</v>
      </c>
      <c r="U507" s="38">
        <v>0.875</v>
      </c>
      <c r="V507" s="38">
        <v>0.05</v>
      </c>
      <c r="W507" s="38">
        <v>2.5000000000000001E-2</v>
      </c>
      <c r="X507" s="38">
        <v>4.7749499999999996</v>
      </c>
      <c r="Y507" s="38">
        <f t="shared" si="66"/>
        <v>5</v>
      </c>
      <c r="Z507" s="38">
        <v>0</v>
      </c>
      <c r="AA507" s="38">
        <v>0</v>
      </c>
      <c r="AB507" s="38">
        <v>20.924999999999997</v>
      </c>
      <c r="AC507" s="38">
        <v>1.2238100000000001</v>
      </c>
      <c r="AD507" s="38">
        <v>436.02</v>
      </c>
      <c r="AE507" s="38">
        <v>35</v>
      </c>
      <c r="AF507" s="38">
        <v>0.61850664848278214</v>
      </c>
      <c r="AG507" s="38">
        <f t="shared" si="67"/>
        <v>0.6</v>
      </c>
      <c r="AH507" s="38">
        <v>0</v>
      </c>
      <c r="AI507" s="38">
        <v>0</v>
      </c>
      <c r="AJ507" s="38">
        <v>4.18</v>
      </c>
      <c r="AK507" s="38">
        <v>5.7006478008864636E-3</v>
      </c>
      <c r="AL507" s="38">
        <v>0</v>
      </c>
      <c r="AM507" s="38">
        <f>AL507/(3.5*I507*1000)*100</f>
        <v>0</v>
      </c>
      <c r="AN507" s="22"/>
      <c r="AO507" s="25"/>
      <c r="AP507" s="25"/>
      <c r="AQ507" s="22"/>
      <c r="AR507" s="22"/>
      <c r="AS507" s="22"/>
    </row>
    <row r="508" spans="1:88">
      <c r="A508" s="1">
        <v>1919</v>
      </c>
      <c r="B508" s="34" t="s">
        <v>2559</v>
      </c>
      <c r="C508" s="34">
        <v>338</v>
      </c>
      <c r="D508" s="75">
        <v>3174</v>
      </c>
      <c r="E508" s="8">
        <v>100</v>
      </c>
      <c r="F508" s="34" t="s">
        <v>2565</v>
      </c>
      <c r="G508" s="20">
        <v>0</v>
      </c>
      <c r="H508" s="20">
        <v>14190</v>
      </c>
      <c r="I508" s="21">
        <v>14.19</v>
      </c>
      <c r="J508" s="8">
        <v>2</v>
      </c>
      <c r="K508" s="8" t="s">
        <v>238</v>
      </c>
      <c r="L508" s="18">
        <v>42097</v>
      </c>
      <c r="M508" s="207" t="s">
        <v>191</v>
      </c>
      <c r="N508" s="38">
        <v>10.24</v>
      </c>
      <c r="O508" s="38">
        <v>2.37</v>
      </c>
      <c r="P508" s="38">
        <v>1.04</v>
      </c>
      <c r="Q508" s="38">
        <v>0.53</v>
      </c>
      <c r="R508" s="38">
        <v>2.3405</v>
      </c>
      <c r="S508" s="38">
        <f t="shared" si="65"/>
        <v>2.5</v>
      </c>
      <c r="T508" s="38">
        <v>13.66</v>
      </c>
      <c r="U508" s="38">
        <v>0.46</v>
      </c>
      <c r="V508" s="38">
        <v>0.08</v>
      </c>
      <c r="W508" s="38">
        <v>0</v>
      </c>
      <c r="X508" s="56">
        <v>3.3955799999999998</v>
      </c>
      <c r="Y508" s="38">
        <f t="shared" si="66"/>
        <v>3.5</v>
      </c>
      <c r="Z508" s="38">
        <v>0</v>
      </c>
      <c r="AA508" s="38">
        <v>0</v>
      </c>
      <c r="AB508" s="38">
        <v>14.19</v>
      </c>
      <c r="AC508" s="38">
        <v>1.14934</v>
      </c>
      <c r="AD508" s="38">
        <v>303.27</v>
      </c>
      <c r="AE508" s="38">
        <v>6.28</v>
      </c>
      <c r="AF508" s="38">
        <v>0.61695358904661224</v>
      </c>
      <c r="AG508" s="38">
        <f t="shared" si="67"/>
        <v>0.6</v>
      </c>
      <c r="AH508" s="38">
        <v>1</v>
      </c>
      <c r="AI508" s="38">
        <v>2.0134903855834087E-3</v>
      </c>
      <c r="AJ508" s="38">
        <v>80</v>
      </c>
      <c r="AK508" s="38">
        <v>0.16107923084667269</v>
      </c>
      <c r="AL508" s="38">
        <v>10</v>
      </c>
      <c r="AM508" s="38">
        <f>AL508/(3.5*I508*1000)*100</f>
        <v>2.0134903855834087E-2</v>
      </c>
      <c r="AN508" s="41"/>
      <c r="AO508" s="73"/>
      <c r="AP508" s="41"/>
      <c r="AQ508" s="41">
        <f>SUM(N508:Q508)</f>
        <v>14.179999999999998</v>
      </c>
      <c r="AR508" s="41">
        <f>SUM(T508:W508)</f>
        <v>14.200000000000001</v>
      </c>
      <c r="AS508" s="12">
        <f>SUM(Z508:AB508)</f>
        <v>14.19</v>
      </c>
      <c r="AU508" s="1">
        <f>I508/AQ508</f>
        <v>1.0007052186177716</v>
      </c>
      <c r="AV508" s="1">
        <f>I508/AR508</f>
        <v>0.99929577464788721</v>
      </c>
      <c r="AW508" s="1">
        <f>I508/AS508</f>
        <v>1</v>
      </c>
      <c r="AX508" s="1">
        <f>AT508/I533</f>
        <v>0</v>
      </c>
    </row>
    <row r="509" spans="1:88">
      <c r="A509" s="1">
        <v>910</v>
      </c>
      <c r="B509" s="34" t="s">
        <v>1302</v>
      </c>
      <c r="C509" s="34">
        <v>636</v>
      </c>
      <c r="D509" s="161">
        <v>2126</v>
      </c>
      <c r="E509" s="34">
        <v>100</v>
      </c>
      <c r="F509" s="34" t="s">
        <v>1304</v>
      </c>
      <c r="G509" s="58">
        <v>0</v>
      </c>
      <c r="H509" s="58">
        <v>11225</v>
      </c>
      <c r="I509" s="35">
        <v>11.225</v>
      </c>
      <c r="J509" s="71">
        <v>2</v>
      </c>
      <c r="K509" s="34" t="s">
        <v>238</v>
      </c>
      <c r="L509" s="10">
        <v>42137</v>
      </c>
      <c r="M509" s="9" t="s">
        <v>191</v>
      </c>
      <c r="N509" s="38">
        <v>8.65</v>
      </c>
      <c r="O509" s="38">
        <v>1.65</v>
      </c>
      <c r="P509" s="38">
        <v>0.55000000000000004</v>
      </c>
      <c r="Q509" s="38">
        <v>0.375</v>
      </c>
      <c r="R509" s="38">
        <v>2.37</v>
      </c>
      <c r="S509" s="38">
        <f t="shared" si="65"/>
        <v>2.5</v>
      </c>
      <c r="T509" s="38">
        <v>11.175000000000001</v>
      </c>
      <c r="U509" s="38">
        <v>0.05</v>
      </c>
      <c r="V509" s="38">
        <v>0</v>
      </c>
      <c r="W509" s="38">
        <v>0</v>
      </c>
      <c r="X509" s="38">
        <v>3.53</v>
      </c>
      <c r="Y509" s="38">
        <f t="shared" si="66"/>
        <v>3.5</v>
      </c>
      <c r="Z509" s="38">
        <v>0</v>
      </c>
      <c r="AA509" s="38">
        <v>0</v>
      </c>
      <c r="AB509" s="38">
        <f>N509+O509+P509+Q509</f>
        <v>11.225000000000001</v>
      </c>
      <c r="AC509" s="38">
        <v>1.724</v>
      </c>
      <c r="AD509" s="38">
        <v>133.91999999999999</v>
      </c>
      <c r="AE509" s="38">
        <v>216.87</v>
      </c>
      <c r="AF509" s="38">
        <v>0.61687999999999998</v>
      </c>
      <c r="AG509" s="38">
        <f t="shared" si="67"/>
        <v>0.6</v>
      </c>
      <c r="AH509" s="38">
        <v>0</v>
      </c>
      <c r="AI509" s="38">
        <v>0</v>
      </c>
      <c r="AJ509" s="38">
        <v>1763.69</v>
      </c>
      <c r="AK509" s="38">
        <v>4.4891889999999997</v>
      </c>
      <c r="AL509" s="38">
        <v>0</v>
      </c>
      <c r="AM509" s="38">
        <v>0</v>
      </c>
      <c r="AN509" s="25"/>
      <c r="AO509" s="25">
        <f>AE509*0.5</f>
        <v>108.435</v>
      </c>
      <c r="AP509" s="25">
        <f>(AD509+AH509+AJ509+AL509+AO509)*I509</f>
        <v>22517.855125000002</v>
      </c>
      <c r="AQ509" s="25"/>
      <c r="AR509" s="25"/>
      <c r="AS509" s="25">
        <f>SUM(N509:Q509)</f>
        <v>11.225000000000001</v>
      </c>
      <c r="AT509" s="25">
        <f>SUM(T509:W509)</f>
        <v>11.225000000000001</v>
      </c>
      <c r="AU509" s="22"/>
      <c r="AV509" s="41"/>
      <c r="AW509" s="41"/>
      <c r="AX509" s="41"/>
      <c r="AY509" s="41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</row>
    <row r="510" spans="1:88">
      <c r="A510" s="1">
        <v>1202</v>
      </c>
      <c r="B510" s="34" t="s">
        <v>1674</v>
      </c>
      <c r="C510" s="34">
        <v>435</v>
      </c>
      <c r="D510" s="34">
        <v>2243</v>
      </c>
      <c r="E510" s="34">
        <v>101</v>
      </c>
      <c r="F510" s="34" t="s">
        <v>1690</v>
      </c>
      <c r="G510" s="34" t="s">
        <v>92</v>
      </c>
      <c r="H510" s="34" t="s">
        <v>1691</v>
      </c>
      <c r="I510" s="55">
        <v>5</v>
      </c>
      <c r="J510" s="34">
        <v>2</v>
      </c>
      <c r="K510" s="181" t="s">
        <v>238</v>
      </c>
      <c r="L510" s="10">
        <v>42282</v>
      </c>
      <c r="M510" s="9" t="s">
        <v>191</v>
      </c>
      <c r="N510" s="38">
        <v>2.9</v>
      </c>
      <c r="O510" s="38">
        <v>0.875</v>
      </c>
      <c r="P510" s="38">
        <v>0.375</v>
      </c>
      <c r="Q510" s="38">
        <v>0.3</v>
      </c>
      <c r="R510" s="38">
        <v>2.6677499999999998</v>
      </c>
      <c r="S510" s="38">
        <f t="shared" si="65"/>
        <v>2.5</v>
      </c>
      <c r="T510" s="38">
        <v>4.3499999999999996</v>
      </c>
      <c r="U510" s="38">
        <v>0.1</v>
      </c>
      <c r="V510" s="38">
        <v>0</v>
      </c>
      <c r="W510" s="38">
        <v>0</v>
      </c>
      <c r="X510" s="38">
        <v>2.2793199999999998</v>
      </c>
      <c r="Y510" s="38">
        <f t="shared" si="66"/>
        <v>2.5</v>
      </c>
      <c r="Z510" s="38">
        <v>0</v>
      </c>
      <c r="AA510" s="38">
        <v>0</v>
      </c>
      <c r="AB510" s="55">
        <v>5</v>
      </c>
      <c r="AC510" s="38">
        <v>1.1923299999999999</v>
      </c>
      <c r="AD510" s="38">
        <v>103.85</v>
      </c>
      <c r="AE510" s="38">
        <v>7.63</v>
      </c>
      <c r="AF510" s="38">
        <f>(AD510+AE510*0.5)/(3.5*I510*1000)*100</f>
        <v>0.61522857142857135</v>
      </c>
      <c r="AG510" s="38">
        <f t="shared" si="67"/>
        <v>0.6</v>
      </c>
      <c r="AH510" s="38">
        <v>67.650000000000006</v>
      </c>
      <c r="AI510" s="38">
        <v>0.386571</v>
      </c>
      <c r="AJ510" s="38">
        <v>0</v>
      </c>
      <c r="AK510" s="38">
        <v>0</v>
      </c>
      <c r="AL510" s="38">
        <v>0</v>
      </c>
      <c r="AM510" s="38">
        <v>0</v>
      </c>
      <c r="AN510" s="12"/>
    </row>
    <row r="511" spans="1:88">
      <c r="A511" s="1">
        <v>1034</v>
      </c>
      <c r="B511" s="9" t="s">
        <v>1394</v>
      </c>
      <c r="C511" s="9">
        <v>617</v>
      </c>
      <c r="D511" s="8">
        <v>2208</v>
      </c>
      <c r="E511" s="9">
        <v>101</v>
      </c>
      <c r="F511" s="9" t="s">
        <v>1434</v>
      </c>
      <c r="G511" s="20">
        <v>0</v>
      </c>
      <c r="H511" s="20">
        <v>4557</v>
      </c>
      <c r="I511" s="35">
        <v>4.5570000000000004</v>
      </c>
      <c r="J511" s="9">
        <v>2</v>
      </c>
      <c r="K511" s="9" t="s">
        <v>238</v>
      </c>
      <c r="L511" s="18">
        <v>42132</v>
      </c>
      <c r="M511" s="9" t="s">
        <v>191</v>
      </c>
      <c r="N511" s="11">
        <v>1.8</v>
      </c>
      <c r="O511" s="11">
        <v>1.95</v>
      </c>
      <c r="P511" s="11">
        <v>0.57499999999999996</v>
      </c>
      <c r="Q511" s="11">
        <v>0.22500000000000001</v>
      </c>
      <c r="R511" s="11">
        <v>2.90456</v>
      </c>
      <c r="S511" s="38">
        <f t="shared" si="65"/>
        <v>3</v>
      </c>
      <c r="T511" s="11">
        <v>3.625</v>
      </c>
      <c r="U511" s="11">
        <v>0.82499999999999996</v>
      </c>
      <c r="V511" s="11">
        <v>7.4999999999999997E-2</v>
      </c>
      <c r="W511" s="11">
        <v>2.5000000000000001E-2</v>
      </c>
      <c r="X511" s="11">
        <v>7.0601399999999996</v>
      </c>
      <c r="Y511" s="38">
        <f t="shared" si="66"/>
        <v>7</v>
      </c>
      <c r="Z511" s="11">
        <v>0</v>
      </c>
      <c r="AA511" s="11">
        <v>0</v>
      </c>
      <c r="AB511" s="11">
        <f>SUM(N511:Q511)</f>
        <v>4.55</v>
      </c>
      <c r="AC511" s="11">
        <v>1.1920599999999999</v>
      </c>
      <c r="AD511" s="11">
        <v>89.63</v>
      </c>
      <c r="AE511" s="11">
        <v>16.489999999999998</v>
      </c>
      <c r="AF511" s="11">
        <f>(AD511+AE511*0.5)/(3.5*I511*1000)*100</f>
        <v>0.61365560048904355</v>
      </c>
      <c r="AG511" s="38">
        <f t="shared" si="67"/>
        <v>0.6</v>
      </c>
      <c r="AH511" s="11">
        <v>0</v>
      </c>
      <c r="AI511" s="38">
        <f>AH511/(3.5*I511*1000)*100</f>
        <v>0</v>
      </c>
      <c r="AJ511" s="11">
        <v>32.299999999999997</v>
      </c>
      <c r="AK511" s="38">
        <f>AJ511/(3.5*I511*1000)*100</f>
        <v>0.20251418539766136</v>
      </c>
      <c r="AL511" s="11">
        <v>0</v>
      </c>
      <c r="AM511" s="38">
        <f>AL511/(3.5*I511*1000)*100</f>
        <v>0</v>
      </c>
      <c r="AN511" s="25"/>
      <c r="AO511" s="25">
        <f>AE511*0.5</f>
        <v>8.2449999999999992</v>
      </c>
      <c r="AP511" s="25">
        <f>(AD511+AH511+AJ511+AL511+AO511)*I511</f>
        <v>593.20747499999993</v>
      </c>
      <c r="AQ511" s="25"/>
      <c r="AR511" s="25"/>
      <c r="AS511" s="25">
        <f>SUM(N511:Q511)</f>
        <v>4.55</v>
      </c>
      <c r="AT511" s="25">
        <f>SUM(T511:W511)</f>
        <v>4.5500000000000007</v>
      </c>
      <c r="AU511" s="41"/>
      <c r="AV511" s="41"/>
      <c r="AW511" s="41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</row>
    <row r="512" spans="1:88">
      <c r="A512" s="1">
        <v>2124</v>
      </c>
      <c r="B512" s="34" t="s">
        <v>2754</v>
      </c>
      <c r="C512" s="34">
        <v>324</v>
      </c>
      <c r="D512" s="75">
        <v>4028</v>
      </c>
      <c r="E512" s="8">
        <v>100</v>
      </c>
      <c r="F512" s="9" t="s">
        <v>2766</v>
      </c>
      <c r="G512" s="20">
        <v>8608</v>
      </c>
      <c r="H512" s="20">
        <v>0</v>
      </c>
      <c r="I512" s="21">
        <v>8.6080000000000005</v>
      </c>
      <c r="J512" s="9">
        <v>2</v>
      </c>
      <c r="K512" s="34" t="s">
        <v>238</v>
      </c>
      <c r="L512" s="18">
        <v>42138</v>
      </c>
      <c r="M512" s="9" t="s">
        <v>191</v>
      </c>
      <c r="N512" s="38">
        <v>3.4750000000000001</v>
      </c>
      <c r="O512" s="38">
        <v>3.0750000000000002</v>
      </c>
      <c r="P512" s="38">
        <v>1.55</v>
      </c>
      <c r="Q512" s="38">
        <v>0.55000000000000004</v>
      </c>
      <c r="R512" s="38">
        <v>3.02962</v>
      </c>
      <c r="S512" s="38">
        <f t="shared" si="65"/>
        <v>3</v>
      </c>
      <c r="T512" s="38">
        <v>8.3249999999999993</v>
      </c>
      <c r="U512" s="38">
        <v>0.27500000000000002</v>
      </c>
      <c r="V512" s="38">
        <v>2.5000000000000001E-2</v>
      </c>
      <c r="W512" s="38">
        <v>2.5000000000000001E-2</v>
      </c>
      <c r="X512" s="38">
        <v>3.9553799999999999</v>
      </c>
      <c r="Y512" s="38">
        <f t="shared" si="66"/>
        <v>4</v>
      </c>
      <c r="Z512" s="38">
        <v>0</v>
      </c>
      <c r="AA512" s="38">
        <v>0</v>
      </c>
      <c r="AB512" s="38">
        <v>8.6500000000000021</v>
      </c>
      <c r="AC512" s="38">
        <v>1.21045</v>
      </c>
      <c r="AD512" s="38">
        <v>168</v>
      </c>
      <c r="AE512" s="38">
        <v>32.82</v>
      </c>
      <c r="AF512" s="38">
        <v>0.61208842272968667</v>
      </c>
      <c r="AG512" s="38">
        <f t="shared" si="67"/>
        <v>0.6</v>
      </c>
      <c r="AH512" s="38">
        <v>99.74</v>
      </c>
      <c r="AI512" s="38">
        <v>0.33105416887944772</v>
      </c>
      <c r="AJ512" s="38">
        <v>1.68</v>
      </c>
      <c r="AK512" s="38">
        <v>5.5762081784386614E-3</v>
      </c>
      <c r="AL512" s="38">
        <v>9.26</v>
      </c>
      <c r="AM512" s="38">
        <v>3.0735528412108335E-2</v>
      </c>
      <c r="AN512" s="41"/>
      <c r="AO512" s="41"/>
      <c r="AP512" s="73"/>
      <c r="AQ512" s="73"/>
      <c r="AR512" s="73"/>
    </row>
    <row r="513" spans="1:88">
      <c r="A513" s="1">
        <v>1536</v>
      </c>
      <c r="B513" s="34" t="s">
        <v>2104</v>
      </c>
      <c r="C513" s="34">
        <v>414</v>
      </c>
      <c r="D513" s="69">
        <v>3239</v>
      </c>
      <c r="E513" s="34">
        <v>100</v>
      </c>
      <c r="F513" s="34" t="s">
        <v>2113</v>
      </c>
      <c r="G513" s="58">
        <v>1000</v>
      </c>
      <c r="H513" s="58">
        <v>17126</v>
      </c>
      <c r="I513" s="35">
        <v>16.126000000000001</v>
      </c>
      <c r="J513" s="34">
        <v>2</v>
      </c>
      <c r="K513" s="34" t="s">
        <v>238</v>
      </c>
      <c r="L513" s="10">
        <v>42266</v>
      </c>
      <c r="M513" s="9" t="s">
        <v>191</v>
      </c>
      <c r="N513" s="38">
        <v>12.35</v>
      </c>
      <c r="O513" s="38">
        <v>2.5499999999999998</v>
      </c>
      <c r="P513" s="38">
        <v>1.0249999999999999</v>
      </c>
      <c r="Q513" s="38">
        <v>0.17499999999999999</v>
      </c>
      <c r="R513" s="38">
        <v>2.1522800000000002</v>
      </c>
      <c r="S513" s="38">
        <f t="shared" si="65"/>
        <v>2</v>
      </c>
      <c r="T513" s="38">
        <v>15.9</v>
      </c>
      <c r="U513" s="38">
        <v>0.2</v>
      </c>
      <c r="V513" s="38">
        <v>0</v>
      </c>
      <c r="W513" s="38">
        <v>0</v>
      </c>
      <c r="X513" s="38">
        <v>4.6986400000000001</v>
      </c>
      <c r="Y513" s="38">
        <f t="shared" si="66"/>
        <v>4.5</v>
      </c>
      <c r="Z513" s="38">
        <v>0</v>
      </c>
      <c r="AA513" s="38">
        <v>0</v>
      </c>
      <c r="AB513" s="38">
        <v>16.126000000000001</v>
      </c>
      <c r="AC513" s="38">
        <v>1.1703699999999999</v>
      </c>
      <c r="AD513" s="38">
        <v>323</v>
      </c>
      <c r="AE513" s="38">
        <v>41.9</v>
      </c>
      <c r="AF513" s="38">
        <f>(AD513+AE513*0.5)/(3.5*I513*1000)*100</f>
        <v>0.60939742385854256</v>
      </c>
      <c r="AG513" s="38">
        <f t="shared" si="67"/>
        <v>0.6</v>
      </c>
      <c r="AH513" s="38">
        <v>17219</v>
      </c>
      <c r="AI513" s="38">
        <f>AH513/(3.5*I513*1000)*100</f>
        <v>30.507964068673481</v>
      </c>
      <c r="AJ513" s="38">
        <v>156.05000000000001</v>
      </c>
      <c r="AK513" s="38">
        <f>AJ513/(3.5*I513*1000)*100</f>
        <v>0.27648340745202954</v>
      </c>
      <c r="AL513" s="38">
        <v>362</v>
      </c>
      <c r="AM513" s="38">
        <f t="shared" ref="AM513:AM518" si="71">AL513/(3.5*I513*1000)*100</f>
        <v>0.64137772186885422</v>
      </c>
      <c r="AN513" s="25"/>
      <c r="AO513" s="25">
        <f>AE513*0.5</f>
        <v>20.95</v>
      </c>
      <c r="AP513" s="25">
        <f>(AD513+AH513+AJ513+AL513+AO513)*I513</f>
        <v>291574.20600000001</v>
      </c>
      <c r="AQ513" s="25"/>
      <c r="AR513" s="25">
        <f>SUM(N513:Q513)</f>
        <v>16.099999999999998</v>
      </c>
      <c r="AS513" s="25">
        <f>SUM(T513:W513)</f>
        <v>16.100000000000001</v>
      </c>
      <c r="AT513" s="25"/>
      <c r="AU513" s="22"/>
      <c r="AV513" s="41"/>
      <c r="AW513" s="41"/>
      <c r="AX513" s="41"/>
      <c r="AY513" s="41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</row>
    <row r="514" spans="1:88">
      <c r="A514" s="1">
        <v>38</v>
      </c>
      <c r="B514" s="4" t="s">
        <v>21</v>
      </c>
      <c r="C514" s="14">
        <v>522</v>
      </c>
      <c r="D514" s="19">
        <v>1252</v>
      </c>
      <c r="E514" s="16">
        <v>100</v>
      </c>
      <c r="F514" s="16" t="s">
        <v>33</v>
      </c>
      <c r="G514" s="20" t="s">
        <v>92</v>
      </c>
      <c r="H514" s="20" t="s">
        <v>185</v>
      </c>
      <c r="I514" s="21">
        <v>23.532</v>
      </c>
      <c r="J514" s="8">
        <v>4</v>
      </c>
      <c r="K514" s="9" t="s">
        <v>238</v>
      </c>
      <c r="L514" s="24">
        <v>42238</v>
      </c>
      <c r="M514" s="9" t="s">
        <v>191</v>
      </c>
      <c r="N514" s="11">
        <v>4.75</v>
      </c>
      <c r="O514" s="11">
        <v>4.9249999999999998</v>
      </c>
      <c r="P514" s="11">
        <v>6.8</v>
      </c>
      <c r="Q514" s="11">
        <v>7</v>
      </c>
      <c r="R514" s="11">
        <v>4.44529</v>
      </c>
      <c r="S514" s="38">
        <f t="shared" si="65"/>
        <v>4.5</v>
      </c>
      <c r="T514" s="11">
        <v>20.675000000000001</v>
      </c>
      <c r="U514" s="11">
        <v>1.6</v>
      </c>
      <c r="V514" s="11">
        <v>0.42499999999999999</v>
      </c>
      <c r="W514" s="11">
        <v>0.77500000000000002</v>
      </c>
      <c r="X514" s="11">
        <v>5.5609000000000002</v>
      </c>
      <c r="Y514" s="38">
        <f t="shared" si="66"/>
        <v>5.5</v>
      </c>
      <c r="Z514" s="11">
        <v>0</v>
      </c>
      <c r="AA514" s="11">
        <v>0</v>
      </c>
      <c r="AB514" s="11">
        <f>SUM(N514:Q514)</f>
        <v>23.475000000000001</v>
      </c>
      <c r="AC514" s="11">
        <v>1.86127</v>
      </c>
      <c r="AD514" s="11">
        <v>228.53</v>
      </c>
      <c r="AE514" s="11">
        <v>544.15</v>
      </c>
      <c r="AF514" s="11">
        <f>(AD514+AE514*0.5)/(3.5*I514*1000)*100</f>
        <v>0.60781064082950875</v>
      </c>
      <c r="AG514" s="38">
        <f t="shared" si="67"/>
        <v>0.6</v>
      </c>
      <c r="AH514" s="11">
        <v>848.8</v>
      </c>
      <c r="AI514" s="11">
        <f>AH514/(3.5*I514*1000)*100</f>
        <v>1.0305723513270681</v>
      </c>
      <c r="AJ514" s="11">
        <v>818</v>
      </c>
      <c r="AK514" s="11">
        <f>AJ514/(3.5*I514*1000)*100</f>
        <v>0.993176464874578</v>
      </c>
      <c r="AL514" s="11">
        <v>9.25</v>
      </c>
      <c r="AM514" s="11">
        <f t="shared" si="71"/>
        <v>1.1230907457322553E-2</v>
      </c>
      <c r="AN514" s="22"/>
      <c r="AO514" s="25"/>
      <c r="AP514" s="25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  <c r="CI514" s="22"/>
      <c r="CJ514" s="22"/>
    </row>
    <row r="515" spans="1:88">
      <c r="A515" s="1">
        <v>1911</v>
      </c>
      <c r="B515" s="34" t="s">
        <v>2550</v>
      </c>
      <c r="C515" s="34">
        <v>337</v>
      </c>
      <c r="D515" s="75">
        <v>3510</v>
      </c>
      <c r="E515" s="8">
        <v>100</v>
      </c>
      <c r="F515" s="9" t="s">
        <v>2557</v>
      </c>
      <c r="G515" s="20">
        <v>0</v>
      </c>
      <c r="H515" s="20">
        <v>25921</v>
      </c>
      <c r="I515" s="21">
        <v>25.920999999999999</v>
      </c>
      <c r="J515" s="8">
        <v>4</v>
      </c>
      <c r="K515" s="8" t="s">
        <v>237</v>
      </c>
      <c r="L515" s="18">
        <v>42091</v>
      </c>
      <c r="M515" s="207" t="s">
        <v>191</v>
      </c>
      <c r="N515" s="38">
        <v>5.76</v>
      </c>
      <c r="O515" s="38">
        <v>9.18</v>
      </c>
      <c r="P515" s="38">
        <v>8.0299999999999994</v>
      </c>
      <c r="Q515" s="38">
        <v>2.95</v>
      </c>
      <c r="R515" s="38">
        <v>3.5329899999999999</v>
      </c>
      <c r="S515" s="38">
        <f t="shared" ref="S515:S578" si="72">ROUND(R515/5,1)*5</f>
        <v>3.5</v>
      </c>
      <c r="T515" s="38">
        <v>22.06</v>
      </c>
      <c r="U515" s="38">
        <v>3.48</v>
      </c>
      <c r="V515" s="38">
        <v>0.35</v>
      </c>
      <c r="W515" s="38">
        <v>0.03</v>
      </c>
      <c r="X515" s="38">
        <v>6.6873500000000003</v>
      </c>
      <c r="Y515" s="38">
        <f t="shared" ref="Y515:Y578" si="73">ROUND(X515/5,1)*5</f>
        <v>6.5</v>
      </c>
      <c r="Z515" s="38">
        <v>0</v>
      </c>
      <c r="AA515" s="38">
        <v>0</v>
      </c>
      <c r="AB515" s="38">
        <v>25.92</v>
      </c>
      <c r="AC515" s="38">
        <v>1.3139099999999999</v>
      </c>
      <c r="AD515" s="38">
        <v>390.36</v>
      </c>
      <c r="AE515" s="38">
        <v>319.88</v>
      </c>
      <c r="AF515" s="38">
        <v>0.60656830920323834</v>
      </c>
      <c r="AG515" s="38">
        <f t="shared" ref="AG515:AG578" si="74">ROUND(AF515,1)</f>
        <v>0.6</v>
      </c>
      <c r="AH515" s="38">
        <v>38.26</v>
      </c>
      <c r="AI515" s="38">
        <v>4.2172094330575872E-2</v>
      </c>
      <c r="AJ515" s="38">
        <v>0</v>
      </c>
      <c r="AK515" s="38">
        <v>0</v>
      </c>
      <c r="AL515" s="38">
        <v>1</v>
      </c>
      <c r="AM515" s="38">
        <f t="shared" si="71"/>
        <v>1.1022502438728665E-3</v>
      </c>
      <c r="AQ515" s="41">
        <f>SUM(N515:Q515)</f>
        <v>25.919999999999998</v>
      </c>
      <c r="AR515" s="41">
        <f>SUM(T515:W515)</f>
        <v>25.92</v>
      </c>
      <c r="AS515" s="12">
        <f>SUM(Z515:AB515)</f>
        <v>25.92</v>
      </c>
      <c r="AU515" s="1">
        <f>I515/AQ515</f>
        <v>1.0000385802469136</v>
      </c>
      <c r="AV515" s="1">
        <f>I515/AR515</f>
        <v>1.0000385802469134</v>
      </c>
      <c r="AW515" s="1">
        <f>I515/AS515</f>
        <v>1.0000385802469134</v>
      </c>
    </row>
    <row r="516" spans="1:88">
      <c r="A516" s="1">
        <v>206</v>
      </c>
      <c r="B516" s="34" t="s">
        <v>383</v>
      </c>
      <c r="C516" s="34">
        <v>535</v>
      </c>
      <c r="D516" s="34">
        <v>1188</v>
      </c>
      <c r="E516" s="34">
        <v>100</v>
      </c>
      <c r="F516" s="34" t="s">
        <v>400</v>
      </c>
      <c r="G516" s="20">
        <v>0</v>
      </c>
      <c r="H516" s="20">
        <v>24960</v>
      </c>
      <c r="I516" s="35">
        <v>24.96</v>
      </c>
      <c r="J516" s="36">
        <v>2</v>
      </c>
      <c r="K516" s="34" t="s">
        <v>238</v>
      </c>
      <c r="L516" s="18">
        <v>42209</v>
      </c>
      <c r="M516" s="9" t="s">
        <v>191</v>
      </c>
      <c r="N516" s="38">
        <v>0.3</v>
      </c>
      <c r="O516" s="38">
        <v>4.45</v>
      </c>
      <c r="P516" s="38">
        <v>10.87</v>
      </c>
      <c r="Q516" s="38">
        <v>9.39</v>
      </c>
      <c r="R516" s="38">
        <v>5.1665999999999999</v>
      </c>
      <c r="S516" s="38">
        <f t="shared" si="72"/>
        <v>5</v>
      </c>
      <c r="T516" s="38">
        <v>22.54</v>
      </c>
      <c r="U516" s="38">
        <v>2.4700000000000002</v>
      </c>
      <c r="V516" s="38">
        <v>0</v>
      </c>
      <c r="W516" s="38">
        <v>0</v>
      </c>
      <c r="X516" s="38">
        <v>6.6906299999999996</v>
      </c>
      <c r="Y516" s="38">
        <f t="shared" si="73"/>
        <v>6.5</v>
      </c>
      <c r="Z516" s="38">
        <v>0</v>
      </c>
      <c r="AA516" s="38">
        <v>0</v>
      </c>
      <c r="AB516" s="38">
        <v>25.01</v>
      </c>
      <c r="AC516" s="38">
        <v>1.32507</v>
      </c>
      <c r="AD516" s="38">
        <v>499</v>
      </c>
      <c r="AE516" s="38">
        <v>58.62</v>
      </c>
      <c r="AF516" s="38">
        <f>(AD516+AE516*0.5)/(3.5*I516*1000)*100</f>
        <v>0.60475045787545789</v>
      </c>
      <c r="AG516" s="38">
        <f t="shared" si="74"/>
        <v>0.6</v>
      </c>
      <c r="AH516" s="38">
        <v>553</v>
      </c>
      <c r="AI516" s="38">
        <f>AH516/(3.5*I516*1000)*100</f>
        <v>0.63301282051282048</v>
      </c>
      <c r="AJ516" s="38">
        <v>15</v>
      </c>
      <c r="AK516" s="38">
        <f>AJ516/(3.5*I516*1000)*100</f>
        <v>1.7170329670329672E-2</v>
      </c>
      <c r="AL516" s="38">
        <v>308</v>
      </c>
      <c r="AM516" s="38">
        <f t="shared" si="71"/>
        <v>0.35256410256410259</v>
      </c>
      <c r="AN516" s="25"/>
      <c r="AO516" s="25"/>
      <c r="AP516" s="25">
        <f>AE516*0.5</f>
        <v>29.31</v>
      </c>
      <c r="AQ516" s="25">
        <f>(AD516+AH516+AJ516+AL516+AP516)*I516</f>
        <v>35051.577599999997</v>
      </c>
      <c r="AR516" s="25"/>
      <c r="AS516" s="25"/>
      <c r="AT516" s="25"/>
      <c r="AU516" s="41">
        <f>SUM(N516:Q516)</f>
        <v>25.009999999999998</v>
      </c>
      <c r="AV516" s="41">
        <f>SUM(T516:W516)</f>
        <v>25.009999999999998</v>
      </c>
      <c r="AW516" s="41">
        <f>SUM(Z516:AB516)</f>
        <v>25.01</v>
      </c>
      <c r="AX516" s="41"/>
      <c r="AY516" s="22">
        <f>I516/AU516</f>
        <v>0.99800079968012811</v>
      </c>
      <c r="AZ516" s="22">
        <f>I516/AV516</f>
        <v>0.99800079968012811</v>
      </c>
      <c r="BA516" s="22">
        <f>I516/AW516</f>
        <v>0.99800079968012789</v>
      </c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</row>
    <row r="517" spans="1:88">
      <c r="A517" s="1">
        <v>1865</v>
      </c>
      <c r="B517" s="34" t="s">
        <v>2495</v>
      </c>
      <c r="C517" s="34">
        <v>335</v>
      </c>
      <c r="D517" s="75">
        <v>323</v>
      </c>
      <c r="E517" s="8">
        <v>100</v>
      </c>
      <c r="F517" s="34" t="s">
        <v>2496</v>
      </c>
      <c r="G517" s="20">
        <v>0</v>
      </c>
      <c r="H517" s="20">
        <v>18592</v>
      </c>
      <c r="I517" s="21">
        <v>18.591999999999999</v>
      </c>
      <c r="J517" s="8">
        <v>4</v>
      </c>
      <c r="K517" s="8" t="s">
        <v>237</v>
      </c>
      <c r="L517" s="18">
        <v>42093</v>
      </c>
      <c r="M517" s="207" t="s">
        <v>191</v>
      </c>
      <c r="N517" s="38">
        <v>11.06</v>
      </c>
      <c r="O517" s="38">
        <v>4.6500000000000004</v>
      </c>
      <c r="P517" s="38">
        <v>2.27</v>
      </c>
      <c r="Q517" s="38">
        <v>0.6</v>
      </c>
      <c r="R517" s="38">
        <v>2.6344799999999999</v>
      </c>
      <c r="S517" s="38">
        <f t="shared" si="72"/>
        <v>2.5</v>
      </c>
      <c r="T517" s="38">
        <v>18.399999999999999</v>
      </c>
      <c r="U517" s="38">
        <v>0.16</v>
      </c>
      <c r="V517" s="38">
        <v>0.03</v>
      </c>
      <c r="W517" s="38">
        <v>0</v>
      </c>
      <c r="X517" s="38">
        <v>2.9727199999999998</v>
      </c>
      <c r="Y517" s="38">
        <f t="shared" si="73"/>
        <v>3</v>
      </c>
      <c r="Z517" s="38">
        <v>0</v>
      </c>
      <c r="AA517" s="38">
        <v>0</v>
      </c>
      <c r="AB517" s="38">
        <v>18.59</v>
      </c>
      <c r="AC517" s="38">
        <v>1.2148399999999999</v>
      </c>
      <c r="AD517" s="38">
        <v>362.05</v>
      </c>
      <c r="AE517" s="38">
        <v>59.66</v>
      </c>
      <c r="AF517" s="38">
        <f>(AD517+AE517*0.5)/(3.5*I517*1000)*100</f>
        <v>0.60222522744037377</v>
      </c>
      <c r="AG517" s="38">
        <f t="shared" si="74"/>
        <v>0.6</v>
      </c>
      <c r="AH517" s="38">
        <v>29.353999999999999</v>
      </c>
      <c r="AI517" s="38">
        <f>AH517/(3.5*I517*1000)*100</f>
        <v>4.5110031964593067E-2</v>
      </c>
      <c r="AJ517" s="38">
        <v>0</v>
      </c>
      <c r="AK517" s="38">
        <f>AJ517/(3.5*I517*1000)*100</f>
        <v>0</v>
      </c>
      <c r="AL517" s="38">
        <v>0</v>
      </c>
      <c r="AM517" s="38">
        <f t="shared" si="71"/>
        <v>0</v>
      </c>
      <c r="AN517" s="208"/>
      <c r="AO517" s="73"/>
      <c r="AP517" s="73"/>
      <c r="AQ517" s="41">
        <f>SUM(N517:Q517)</f>
        <v>18.580000000000002</v>
      </c>
      <c r="AR517" s="41">
        <f>SUM(T517:W517)</f>
        <v>18.59</v>
      </c>
      <c r="AS517" s="12">
        <f>SUM(Z517:AB517)</f>
        <v>18.59</v>
      </c>
      <c r="AU517" s="1">
        <f>I517/AQ517</f>
        <v>1.0006458557588804</v>
      </c>
      <c r="AV517" s="1">
        <f>I517/AR517</f>
        <v>1.0001075847229692</v>
      </c>
      <c r="AW517" s="1">
        <f>I517/AS517</f>
        <v>1.0001075847229692</v>
      </c>
    </row>
    <row r="518" spans="1:88">
      <c r="A518" s="1">
        <v>619</v>
      </c>
      <c r="B518" s="34" t="s">
        <v>1017</v>
      </c>
      <c r="C518" s="34">
        <v>555</v>
      </c>
      <c r="D518" s="34">
        <v>2114</v>
      </c>
      <c r="E518" s="34">
        <v>100</v>
      </c>
      <c r="F518" s="9" t="s">
        <v>1022</v>
      </c>
      <c r="G518" s="118">
        <v>26790</v>
      </c>
      <c r="H518" s="118">
        <v>0</v>
      </c>
      <c r="I518" s="35">
        <v>26.79</v>
      </c>
      <c r="J518" s="78">
        <v>2</v>
      </c>
      <c r="K518" s="34" t="s">
        <v>12</v>
      </c>
      <c r="L518" s="10">
        <v>42187</v>
      </c>
      <c r="M518" s="9" t="s">
        <v>191</v>
      </c>
      <c r="N518" s="38">
        <v>19.899999999999999</v>
      </c>
      <c r="O518" s="38">
        <v>3.9249999999999998</v>
      </c>
      <c r="P518" s="38">
        <v>1.65</v>
      </c>
      <c r="Q518" s="38">
        <v>1.1499999999999999</v>
      </c>
      <c r="R518" s="38">
        <v>2.4540299999999999</v>
      </c>
      <c r="S518" s="38">
        <f t="shared" si="72"/>
        <v>2.5</v>
      </c>
      <c r="T518" s="38">
        <v>24.55</v>
      </c>
      <c r="U518" s="38">
        <v>1.7749999999999999</v>
      </c>
      <c r="V518" s="38">
        <v>0.25</v>
      </c>
      <c r="W518" s="38">
        <v>0.05</v>
      </c>
      <c r="X518" s="38">
        <v>4.1427100000000001</v>
      </c>
      <c r="Y518" s="38">
        <f t="shared" si="73"/>
        <v>4</v>
      </c>
      <c r="Z518" s="38">
        <v>0</v>
      </c>
      <c r="AA518" s="38">
        <v>0</v>
      </c>
      <c r="AB518" s="38">
        <f>N518+O518+P518+Q518</f>
        <v>26.624999999999996</v>
      </c>
      <c r="AC518" s="38">
        <v>1.0505500000000001</v>
      </c>
      <c r="AD518" s="38">
        <v>455</v>
      </c>
      <c r="AE518" s="38">
        <v>217.9</v>
      </c>
      <c r="AF518" s="38">
        <f>(AD518+AE518*0.5)/(3.5*I518*1000)*100</f>
        <v>0.60145043459713121</v>
      </c>
      <c r="AG518" s="38">
        <f t="shared" si="74"/>
        <v>0.6</v>
      </c>
      <c r="AH518" s="38">
        <v>0</v>
      </c>
      <c r="AI518" s="38">
        <f>AH518/(3.5*I518*1000)*100</f>
        <v>0</v>
      </c>
      <c r="AJ518" s="38">
        <v>239</v>
      </c>
      <c r="AK518" s="38">
        <f>AJ518/(3.5*I518*1000)*100</f>
        <v>0.25489255052524928</v>
      </c>
      <c r="AL518" s="38">
        <v>0</v>
      </c>
      <c r="AM518" s="38">
        <f t="shared" si="71"/>
        <v>0</v>
      </c>
      <c r="AN518" s="25"/>
      <c r="AO518" s="25">
        <f>AE518*0.5</f>
        <v>108.95</v>
      </c>
      <c r="AP518" s="25">
        <f>(AD518+AH518+AJ518+AL518+AO518)*I518</f>
        <v>21511.030500000001</v>
      </c>
      <c r="AQ518" s="25">
        <f>SUM(N518:Q518)</f>
        <v>26.624999999999996</v>
      </c>
      <c r="AR518" s="25">
        <f>SUM(T518:W518)</f>
        <v>26.625</v>
      </c>
      <c r="AS518" s="22"/>
      <c r="AT518" s="41"/>
      <c r="AU518" s="41"/>
      <c r="AV518" s="41"/>
      <c r="AW518" s="41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</row>
    <row r="519" spans="1:88">
      <c r="A519" s="1">
        <v>481</v>
      </c>
      <c r="B519" s="88" t="s">
        <v>821</v>
      </c>
      <c r="C519" s="88">
        <v>519</v>
      </c>
      <c r="D519" s="88">
        <v>113</v>
      </c>
      <c r="E519" s="88">
        <v>201</v>
      </c>
      <c r="F519" s="88" t="s">
        <v>824</v>
      </c>
      <c r="G519" s="88" t="s">
        <v>826</v>
      </c>
      <c r="H519" s="88" t="s">
        <v>825</v>
      </c>
      <c r="I519" s="115">
        <v>3.55</v>
      </c>
      <c r="J519" s="88" t="s">
        <v>12</v>
      </c>
      <c r="K519" s="34">
        <v>2</v>
      </c>
      <c r="L519" s="116">
        <v>42276</v>
      </c>
      <c r="M519" s="9" t="s">
        <v>191</v>
      </c>
      <c r="N519" s="117">
        <v>2.4700000000000002</v>
      </c>
      <c r="O519" s="117">
        <v>0.57999999999999996</v>
      </c>
      <c r="P519" s="117">
        <v>0.36</v>
      </c>
      <c r="Q519" s="117">
        <v>0.14000000000000001</v>
      </c>
      <c r="R519" s="117">
        <v>2.5434700000000001</v>
      </c>
      <c r="S519" s="38">
        <f t="shared" si="72"/>
        <v>2.5</v>
      </c>
      <c r="T519" s="117">
        <v>3.45</v>
      </c>
      <c r="U519" s="117">
        <v>0.1</v>
      </c>
      <c r="V519" s="117">
        <v>0</v>
      </c>
      <c r="W519" s="117">
        <v>0</v>
      </c>
      <c r="X519" s="117">
        <v>2.6234099999999998</v>
      </c>
      <c r="Y519" s="38">
        <f t="shared" si="73"/>
        <v>2.5</v>
      </c>
      <c r="Z519" s="117">
        <v>0</v>
      </c>
      <c r="AA519" s="117">
        <v>0</v>
      </c>
      <c r="AB519" s="117">
        <v>3.55</v>
      </c>
      <c r="AC519" s="117">
        <v>1.1902900000000001</v>
      </c>
      <c r="AD519" s="117">
        <v>68.344999999999999</v>
      </c>
      <c r="AE519" s="117">
        <v>12.467000000000001</v>
      </c>
      <c r="AF519" s="117">
        <v>0.60022900000000001</v>
      </c>
      <c r="AG519" s="38">
        <f t="shared" si="74"/>
        <v>0.6</v>
      </c>
      <c r="AH519" s="117">
        <v>86.57</v>
      </c>
      <c r="AI519" s="117">
        <v>0.69674000000000003</v>
      </c>
      <c r="AJ519" s="117">
        <v>0</v>
      </c>
      <c r="AK519" s="117">
        <v>0</v>
      </c>
      <c r="AL519" s="117">
        <v>0</v>
      </c>
      <c r="AM519" s="117">
        <v>0</v>
      </c>
      <c r="AN519" s="41"/>
      <c r="AO519" s="41"/>
      <c r="AP519" s="41"/>
      <c r="AQ519" s="41">
        <f>SUM(N519:Q519)</f>
        <v>3.5500000000000003</v>
      </c>
      <c r="AR519" s="41">
        <f>SUM(T519:W519)</f>
        <v>3.5500000000000003</v>
      </c>
      <c r="AS519" s="41">
        <f>SUM(Z519:AB519)</f>
        <v>3.55</v>
      </c>
      <c r="AT519" s="22"/>
      <c r="AU519" s="22">
        <f>I519/AQ519</f>
        <v>0.99999999999999989</v>
      </c>
      <c r="AV519" s="22">
        <f>I519/AR519</f>
        <v>0.99999999999999989</v>
      </c>
      <c r="AW519" s="22">
        <f>I519/AS519</f>
        <v>1</v>
      </c>
    </row>
    <row r="520" spans="1:88">
      <c r="A520" s="1">
        <v>578</v>
      </c>
      <c r="B520" s="34" t="s">
        <v>976</v>
      </c>
      <c r="C520" s="34">
        <v>552</v>
      </c>
      <c r="D520" s="34">
        <v>1191</v>
      </c>
      <c r="E520" s="34">
        <v>200</v>
      </c>
      <c r="F520" s="9" t="s">
        <v>980</v>
      </c>
      <c r="G520" s="20">
        <v>18232</v>
      </c>
      <c r="H520" s="20">
        <v>2860</v>
      </c>
      <c r="I520" s="35">
        <v>15.372</v>
      </c>
      <c r="J520" s="71">
        <v>2</v>
      </c>
      <c r="K520" s="34" t="s">
        <v>12</v>
      </c>
      <c r="L520" s="10">
        <v>42195</v>
      </c>
      <c r="M520" s="9" t="s">
        <v>191</v>
      </c>
      <c r="N520" s="38">
        <v>7.375</v>
      </c>
      <c r="O520" s="38">
        <v>4.8250000000000002</v>
      </c>
      <c r="P520" s="38">
        <v>1.9750000000000001</v>
      </c>
      <c r="Q520" s="38">
        <v>1.175</v>
      </c>
      <c r="R520" s="38">
        <v>2.8871199999999999</v>
      </c>
      <c r="S520" s="38">
        <f t="shared" si="72"/>
        <v>3</v>
      </c>
      <c r="T520" s="38">
        <v>13.25</v>
      </c>
      <c r="U520" s="38">
        <v>1.575</v>
      </c>
      <c r="V520" s="38">
        <v>0.27500000000000002</v>
      </c>
      <c r="W520" s="38">
        <v>0.25</v>
      </c>
      <c r="X520" s="38">
        <v>5.55274</v>
      </c>
      <c r="Y520" s="38">
        <f t="shared" si="73"/>
        <v>5.5</v>
      </c>
      <c r="Z520" s="38">
        <v>0</v>
      </c>
      <c r="AA520" s="38">
        <v>0</v>
      </c>
      <c r="AB520" s="38">
        <f>N520+O520+P520+Q520</f>
        <v>15.35</v>
      </c>
      <c r="AC520" s="38">
        <v>1.34602</v>
      </c>
      <c r="AD520" s="38">
        <v>319</v>
      </c>
      <c r="AE520" s="38">
        <v>3.55</v>
      </c>
      <c r="AF520" s="38">
        <f>(AD520+AE520*0.5)/(3.5*I520*1000)*100</f>
        <v>0.5962138953942232</v>
      </c>
      <c r="AG520" s="38">
        <f t="shared" si="74"/>
        <v>0.6</v>
      </c>
      <c r="AH520" s="38">
        <v>4</v>
      </c>
      <c r="AI520" s="38">
        <f>AH520/(3.5*I520*1000)*100</f>
        <v>7.4346678562135244E-3</v>
      </c>
      <c r="AJ520" s="38">
        <v>0</v>
      </c>
      <c r="AK520" s="38">
        <f>AJ520/(3.5*I520*1000)*100</f>
        <v>0</v>
      </c>
      <c r="AL520" s="38">
        <v>40</v>
      </c>
      <c r="AM520" s="38">
        <f>AL520/(3.5*I520*1000)*100</f>
        <v>7.4346678562135241E-2</v>
      </c>
      <c r="AN520" s="25"/>
      <c r="AO520" s="25">
        <f>AE520*0.5</f>
        <v>1.7749999999999999</v>
      </c>
      <c r="AP520" s="25">
        <f>(AD520+AH520+AJ520+AL520+AO520)*I520</f>
        <v>5607.3212999999996</v>
      </c>
      <c r="AQ520" s="25">
        <f>SUM(N520:Q520)</f>
        <v>15.35</v>
      </c>
      <c r="AR520" s="25">
        <f>SUM(T520:W520)</f>
        <v>15.35</v>
      </c>
      <c r="AS520" s="268">
        <v>15.372</v>
      </c>
      <c r="AT520" s="41"/>
      <c r="AU520" s="41"/>
      <c r="AV520" s="41"/>
      <c r="AW520" s="41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  <c r="CH520" s="22"/>
      <c r="CI520" s="22"/>
      <c r="CJ520" s="22"/>
    </row>
    <row r="521" spans="1:88">
      <c r="A521" s="1">
        <v>1428</v>
      </c>
      <c r="B521" s="34" t="s">
        <v>1957</v>
      </c>
      <c r="C521" s="34">
        <v>447</v>
      </c>
      <c r="D521" s="75">
        <v>3504</v>
      </c>
      <c r="E521" s="69">
        <v>100</v>
      </c>
      <c r="F521" s="34" t="s">
        <v>1982</v>
      </c>
      <c r="G521" s="20">
        <v>0</v>
      </c>
      <c r="H521" s="20">
        <v>3717</v>
      </c>
      <c r="I521" s="21">
        <v>3.7170000000000001</v>
      </c>
      <c r="J521" s="8">
        <v>2</v>
      </c>
      <c r="K521" s="34" t="s">
        <v>1520</v>
      </c>
      <c r="L521" s="10">
        <v>42217</v>
      </c>
      <c r="M521" s="9" t="s">
        <v>191</v>
      </c>
      <c r="N521" s="38">
        <v>2.7</v>
      </c>
      <c r="O521" s="38">
        <v>0.42499999999999999</v>
      </c>
      <c r="P521" s="38">
        <v>0.22500000000000001</v>
      </c>
      <c r="Q521" s="38">
        <v>0.35</v>
      </c>
      <c r="R521" s="38">
        <v>2.5463499999999999</v>
      </c>
      <c r="S521" s="38">
        <f t="shared" si="72"/>
        <v>2.5</v>
      </c>
      <c r="T521" s="38">
        <v>3.55</v>
      </c>
      <c r="U521" s="38">
        <v>0.125</v>
      </c>
      <c r="V521" s="38">
        <v>2.5000000000000001E-2</v>
      </c>
      <c r="W521" s="38">
        <v>0</v>
      </c>
      <c r="X521" s="38">
        <v>2.9134899999999999</v>
      </c>
      <c r="Y521" s="38">
        <f t="shared" si="73"/>
        <v>3</v>
      </c>
      <c r="Z521" s="38">
        <v>0</v>
      </c>
      <c r="AA521" s="38">
        <v>0</v>
      </c>
      <c r="AB521" s="38">
        <v>3.7</v>
      </c>
      <c r="AC521" s="38">
        <v>1.2303599999999999</v>
      </c>
      <c r="AD521" s="38">
        <v>55.432000000000002</v>
      </c>
      <c r="AE521" s="38">
        <v>42.54</v>
      </c>
      <c r="AF521" s="38">
        <v>0.58958453437872316</v>
      </c>
      <c r="AG521" s="38">
        <f t="shared" si="74"/>
        <v>0.6</v>
      </c>
      <c r="AH521" s="38">
        <v>87.11</v>
      </c>
      <c r="AI521" s="38">
        <f>AH521/(3.5*I521*1000)*100</f>
        <v>0.66958760905492132</v>
      </c>
      <c r="AJ521" s="38">
        <v>1.125</v>
      </c>
      <c r="AK521" s="38">
        <f>AJ521/(3.5*I521*1000)*100</f>
        <v>8.6475268073331023E-3</v>
      </c>
      <c r="AL521" s="38">
        <v>0</v>
      </c>
      <c r="AM521" s="38">
        <f>AL521/(3.5*I521*1000)*100</f>
        <v>0</v>
      </c>
      <c r="AN521" s="41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</row>
    <row r="522" spans="1:88">
      <c r="A522" s="1">
        <v>1181</v>
      </c>
      <c r="B522" s="34" t="s">
        <v>1639</v>
      </c>
      <c r="C522" s="34">
        <v>433</v>
      </c>
      <c r="D522" s="34">
        <v>3027</v>
      </c>
      <c r="E522" s="34">
        <v>100</v>
      </c>
      <c r="F522" s="34" t="s">
        <v>1655</v>
      </c>
      <c r="G522" s="58" t="s">
        <v>92</v>
      </c>
      <c r="H522" s="58" t="s">
        <v>1656</v>
      </c>
      <c r="I522" s="55">
        <v>15.9</v>
      </c>
      <c r="J522" s="34">
        <v>2</v>
      </c>
      <c r="K522" s="181" t="s">
        <v>238</v>
      </c>
      <c r="L522" s="10">
        <v>42282</v>
      </c>
      <c r="M522" s="9" t="s">
        <v>191</v>
      </c>
      <c r="N522" s="38">
        <v>11.85</v>
      </c>
      <c r="O522" s="38">
        <v>2.4750000000000001</v>
      </c>
      <c r="P522" s="38">
        <v>1.175</v>
      </c>
      <c r="Q522" s="38">
        <v>0.57499999999999996</v>
      </c>
      <c r="R522" s="38">
        <v>2.2516500000000002</v>
      </c>
      <c r="S522" s="38">
        <f t="shared" si="72"/>
        <v>2.5</v>
      </c>
      <c r="T522" s="38">
        <v>15.074999999999999</v>
      </c>
      <c r="U522" s="38">
        <v>0.8</v>
      </c>
      <c r="V522" s="38">
        <v>7.4999999999999997E-2</v>
      </c>
      <c r="W522" s="38">
        <v>0.125</v>
      </c>
      <c r="X522" s="38">
        <v>3.1101200000000002</v>
      </c>
      <c r="Y522" s="38">
        <f t="shared" si="73"/>
        <v>3</v>
      </c>
      <c r="Z522" s="38">
        <v>0</v>
      </c>
      <c r="AA522" s="38">
        <v>0</v>
      </c>
      <c r="AB522" s="38">
        <v>15.9</v>
      </c>
      <c r="AC522" s="38">
        <v>1.28531</v>
      </c>
      <c r="AD522" s="38">
        <v>278.2</v>
      </c>
      <c r="AE522" s="38">
        <v>98.6</v>
      </c>
      <c r="AF522" s="38">
        <f>(AD522+AE522*0.5)/(3.5*I522*1000)*100</f>
        <v>0.58849955076370175</v>
      </c>
      <c r="AG522" s="38">
        <f t="shared" si="74"/>
        <v>0.6</v>
      </c>
      <c r="AH522" s="38">
        <v>145.32</v>
      </c>
      <c r="AI522" s="38">
        <f>AH522/(3.5*I522*1000)*100</f>
        <v>0.26113207547169809</v>
      </c>
      <c r="AJ522" s="38">
        <v>2.3E-2</v>
      </c>
      <c r="AK522" s="38">
        <f>AJ522/(3.5*I522*1000)*100</f>
        <v>4.1329739442946988E-5</v>
      </c>
      <c r="AL522" s="38">
        <v>0</v>
      </c>
      <c r="AM522" s="38">
        <f>AJ522/(3.5*I522*1000)*100</f>
        <v>4.1329739442946988E-5</v>
      </c>
      <c r="AN522" s="25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182"/>
      <c r="BI522" s="182"/>
      <c r="BJ522" s="182"/>
      <c r="BK522" s="182"/>
      <c r="BL522" s="182"/>
      <c r="BM522" s="182"/>
      <c r="BN522" s="182"/>
      <c r="BO522" s="182"/>
      <c r="BP522" s="182"/>
      <c r="BQ522" s="182"/>
      <c r="BR522" s="182"/>
      <c r="BS522" s="182"/>
      <c r="BT522" s="182"/>
      <c r="BU522" s="182"/>
      <c r="BV522" s="182"/>
      <c r="BW522" s="182"/>
      <c r="BX522" s="182"/>
      <c r="BY522" s="182"/>
      <c r="BZ522" s="182"/>
      <c r="CA522" s="182"/>
      <c r="CB522" s="182"/>
      <c r="CC522" s="182"/>
      <c r="CD522" s="182"/>
      <c r="CE522" s="182"/>
      <c r="CF522" s="182"/>
      <c r="CG522" s="182"/>
      <c r="CH522" s="182"/>
      <c r="CI522" s="182"/>
      <c r="CJ522" s="182"/>
    </row>
    <row r="523" spans="1:88">
      <c r="A523" s="1">
        <v>682</v>
      </c>
      <c r="B523" s="34" t="s">
        <v>1084</v>
      </c>
      <c r="C523" s="34">
        <v>624</v>
      </c>
      <c r="D523" s="34">
        <v>2096</v>
      </c>
      <c r="E523" s="34">
        <v>102</v>
      </c>
      <c r="F523" s="34" t="s">
        <v>1092</v>
      </c>
      <c r="G523" s="58">
        <v>41000</v>
      </c>
      <c r="H523" s="58">
        <v>69091</v>
      </c>
      <c r="I523" s="35">
        <v>28.091000000000001</v>
      </c>
      <c r="J523" s="127">
        <v>2</v>
      </c>
      <c r="K523" s="34" t="s">
        <v>238</v>
      </c>
      <c r="L523" s="10">
        <v>42170</v>
      </c>
      <c r="M523" s="9" t="s">
        <v>191</v>
      </c>
      <c r="N523" s="38">
        <v>20.074999999999999</v>
      </c>
      <c r="O523" s="38">
        <v>5.0999999999999996</v>
      </c>
      <c r="P523" s="38">
        <v>1.95</v>
      </c>
      <c r="Q523" s="38">
        <v>0.85</v>
      </c>
      <c r="R523" s="38">
        <v>2.4198599999999999</v>
      </c>
      <c r="S523" s="38">
        <f t="shared" si="72"/>
        <v>2.5</v>
      </c>
      <c r="T523" s="38">
        <v>24.5</v>
      </c>
      <c r="U523" s="38">
        <v>2.1</v>
      </c>
      <c r="V523" s="38">
        <v>0.65</v>
      </c>
      <c r="W523" s="38">
        <v>0.72499999999999998</v>
      </c>
      <c r="X523" s="38">
        <v>4.8140299999999998</v>
      </c>
      <c r="Y523" s="38">
        <f t="shared" si="73"/>
        <v>5</v>
      </c>
      <c r="Z523" s="38">
        <v>0</v>
      </c>
      <c r="AA523" s="38">
        <v>0</v>
      </c>
      <c r="AB523" s="38">
        <f>N523+O523+P523+Q523</f>
        <v>27.974999999999998</v>
      </c>
      <c r="AC523" s="38">
        <v>1.1659900000000001</v>
      </c>
      <c r="AD523" s="38">
        <v>369.5</v>
      </c>
      <c r="AE523" s="38">
        <v>417.21</v>
      </c>
      <c r="AF523" s="38">
        <v>0.58799000000000001</v>
      </c>
      <c r="AG523" s="38">
        <f t="shared" si="74"/>
        <v>0.6</v>
      </c>
      <c r="AH523" s="38">
        <v>1.03</v>
      </c>
      <c r="AI523" s="38">
        <v>1.0499999999999999E-3</v>
      </c>
      <c r="AJ523" s="38">
        <v>271.17</v>
      </c>
      <c r="AK523" s="38">
        <v>0.275808</v>
      </c>
      <c r="AL523" s="38">
        <v>0</v>
      </c>
      <c r="AM523" s="38">
        <v>0</v>
      </c>
      <c r="AN523" s="25"/>
      <c r="AO523" s="25">
        <f>AE523*0.5</f>
        <v>208.60499999999999</v>
      </c>
      <c r="AP523" s="25">
        <f>(AD523+AH523+AJ523+AL523+AO523)*I523</f>
        <v>23885.917755000002</v>
      </c>
      <c r="AQ523" s="25">
        <f>SUM(N523:Q523)</f>
        <v>27.974999999999998</v>
      </c>
      <c r="AR523" s="25">
        <f>SUM(T523:W523)</f>
        <v>27.975000000000001</v>
      </c>
      <c r="AS523" s="22"/>
      <c r="AT523" s="41"/>
      <c r="AU523" s="41"/>
      <c r="AV523" s="41"/>
      <c r="AW523" s="41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  <c r="CH523" s="22"/>
      <c r="CI523" s="22"/>
      <c r="CJ523" s="22"/>
    </row>
    <row r="524" spans="1:88">
      <c r="A524" s="1">
        <v>1383</v>
      </c>
      <c r="B524" s="74" t="s">
        <v>1905</v>
      </c>
      <c r="C524" s="34">
        <v>445</v>
      </c>
      <c r="D524" s="75">
        <v>3480</v>
      </c>
      <c r="E524" s="69">
        <v>100</v>
      </c>
      <c r="F524" s="184" t="s">
        <v>1936</v>
      </c>
      <c r="G524" s="20">
        <v>0</v>
      </c>
      <c r="H524" s="20">
        <v>40</v>
      </c>
      <c r="I524" s="21">
        <v>40.200000000000003</v>
      </c>
      <c r="J524" s="8">
        <v>2</v>
      </c>
      <c r="K524" s="34" t="s">
        <v>238</v>
      </c>
      <c r="L524" s="10">
        <v>42208</v>
      </c>
      <c r="M524" s="9" t="s">
        <v>191</v>
      </c>
      <c r="N524" s="38">
        <v>27.774999999999999</v>
      </c>
      <c r="O524" s="38">
        <v>8.7750000000000004</v>
      </c>
      <c r="P524" s="38">
        <v>2.9750000000000001</v>
      </c>
      <c r="Q524" s="38">
        <v>0.82499999999999996</v>
      </c>
      <c r="R524" s="38">
        <v>2.36287</v>
      </c>
      <c r="S524" s="38">
        <f t="shared" si="72"/>
        <v>2.5</v>
      </c>
      <c r="T524" s="38">
        <v>39.9</v>
      </c>
      <c r="U524" s="38">
        <v>0.25</v>
      </c>
      <c r="V524" s="38">
        <v>0.125</v>
      </c>
      <c r="W524" s="38">
        <v>7.4999999999999997E-2</v>
      </c>
      <c r="X524" s="38">
        <v>2.4290600000000002</v>
      </c>
      <c r="Y524" s="38">
        <f t="shared" si="73"/>
        <v>2.5</v>
      </c>
      <c r="Z524" s="38">
        <v>0</v>
      </c>
      <c r="AA524" s="38">
        <v>0</v>
      </c>
      <c r="AB524" s="38">
        <v>40.35</v>
      </c>
      <c r="AC524" s="38">
        <v>1.24597</v>
      </c>
      <c r="AD524" s="38">
        <v>408</v>
      </c>
      <c r="AE524" s="38">
        <v>836</v>
      </c>
      <c r="AF524" s="38">
        <v>0.5870646766169153</v>
      </c>
      <c r="AG524" s="38">
        <f t="shared" si="74"/>
        <v>0.6</v>
      </c>
      <c r="AH524" s="38">
        <v>17</v>
      </c>
      <c r="AI524" s="38">
        <v>1.2082444918265812E-2</v>
      </c>
      <c r="AJ524" s="38">
        <v>12</v>
      </c>
      <c r="AK524" s="38">
        <v>8.5287846481876314E-3</v>
      </c>
      <c r="AL524" s="38">
        <v>0</v>
      </c>
      <c r="AM524" s="38">
        <v>0</v>
      </c>
      <c r="AN524" s="72"/>
      <c r="AO524" s="41"/>
      <c r="AP524" s="41"/>
      <c r="AQ524" s="41"/>
      <c r="AR524" s="41"/>
      <c r="AS524" s="73"/>
      <c r="AT524" s="73"/>
      <c r="AU524" s="73"/>
      <c r="AV524" s="73"/>
    </row>
    <row r="525" spans="1:88">
      <c r="A525" s="1">
        <v>2068</v>
      </c>
      <c r="B525" s="34" t="s">
        <v>2697</v>
      </c>
      <c r="C525" s="34">
        <v>328</v>
      </c>
      <c r="D525" s="75">
        <v>4350</v>
      </c>
      <c r="E525" s="8">
        <v>100</v>
      </c>
      <c r="F525" s="34" t="s">
        <v>2714</v>
      </c>
      <c r="G525" s="58">
        <v>0</v>
      </c>
      <c r="H525" s="58">
        <v>1000</v>
      </c>
      <c r="I525" s="21">
        <v>1</v>
      </c>
      <c r="J525" s="8">
        <v>2</v>
      </c>
      <c r="K525" s="8" t="s">
        <v>238</v>
      </c>
      <c r="L525" s="18">
        <v>42120</v>
      </c>
      <c r="M525" s="9" t="s">
        <v>191</v>
      </c>
      <c r="N525" s="38">
        <v>0.77500000000000002</v>
      </c>
      <c r="O525" s="38">
        <v>2.5000000000000001E-2</v>
      </c>
      <c r="P525" s="38">
        <v>7.4999999999999997E-2</v>
      </c>
      <c r="Q525" s="38">
        <v>7.4999999999999997E-2</v>
      </c>
      <c r="R525" s="38">
        <v>2.29447</v>
      </c>
      <c r="S525" s="38">
        <f t="shared" si="72"/>
        <v>2.5</v>
      </c>
      <c r="T525" s="38">
        <v>0.9</v>
      </c>
      <c r="U525" s="38">
        <v>0.05</v>
      </c>
      <c r="V525" s="38">
        <v>0</v>
      </c>
      <c r="W525" s="38">
        <v>0</v>
      </c>
      <c r="X525" s="38">
        <v>4.0247099999999998</v>
      </c>
      <c r="Y525" s="38">
        <f t="shared" si="73"/>
        <v>4</v>
      </c>
      <c r="Z525" s="38">
        <v>0</v>
      </c>
      <c r="AA525" s="38">
        <v>0</v>
      </c>
      <c r="AB525" s="38">
        <v>0.95</v>
      </c>
      <c r="AC525" s="38">
        <v>1.35297</v>
      </c>
      <c r="AD525" s="38">
        <v>10.36</v>
      </c>
      <c r="AE525" s="38">
        <v>20.369</v>
      </c>
      <c r="AF525" s="38">
        <v>0.58698571428571433</v>
      </c>
      <c r="AG525" s="38">
        <f t="shared" si="74"/>
        <v>0.6</v>
      </c>
      <c r="AH525" s="38">
        <v>29.37</v>
      </c>
      <c r="AI525" s="38">
        <v>0.83914285714285719</v>
      </c>
      <c r="AJ525" s="38">
        <v>0.36499999999999999</v>
      </c>
      <c r="AK525" s="38">
        <v>1.0428571428571428E-2</v>
      </c>
      <c r="AL525" s="38">
        <v>0</v>
      </c>
      <c r="AM525" s="38">
        <f>AL525/(3.5*I525*1000)*100</f>
        <v>0</v>
      </c>
      <c r="AN525" s="72"/>
      <c r="AO525" s="41"/>
      <c r="AP525" s="41"/>
      <c r="AQ525" s="73"/>
      <c r="AR525" s="73"/>
    </row>
    <row r="526" spans="1:88">
      <c r="A526" s="1">
        <v>77</v>
      </c>
      <c r="B526" s="4" t="s">
        <v>44</v>
      </c>
      <c r="C526" s="14">
        <v>524</v>
      </c>
      <c r="D526" s="19">
        <v>1136</v>
      </c>
      <c r="E526" s="16">
        <v>100</v>
      </c>
      <c r="F526" s="14" t="s">
        <v>55</v>
      </c>
      <c r="G526" s="20" t="s">
        <v>92</v>
      </c>
      <c r="H526" s="20" t="s">
        <v>140</v>
      </c>
      <c r="I526" s="21">
        <v>2.04</v>
      </c>
      <c r="J526" s="8">
        <v>2</v>
      </c>
      <c r="K526" s="9" t="s">
        <v>238</v>
      </c>
      <c r="L526" s="18">
        <v>42227</v>
      </c>
      <c r="M526" s="9" t="s">
        <v>191</v>
      </c>
      <c r="N526" s="11">
        <v>0.22500000000000001</v>
      </c>
      <c r="O526" s="11">
        <v>1.1000000000000001</v>
      </c>
      <c r="P526" s="11">
        <v>0.4</v>
      </c>
      <c r="Q526" s="11">
        <v>0.32500000000000001</v>
      </c>
      <c r="R526" s="11">
        <v>3.78085</v>
      </c>
      <c r="S526" s="38">
        <f t="shared" si="72"/>
        <v>4</v>
      </c>
      <c r="T526" s="11">
        <v>1.9</v>
      </c>
      <c r="U526" s="11">
        <v>0.15</v>
      </c>
      <c r="V526" s="11">
        <v>0</v>
      </c>
      <c r="W526" s="11">
        <v>0</v>
      </c>
      <c r="X526" s="11">
        <v>5.2145000000000001</v>
      </c>
      <c r="Y526" s="38">
        <f t="shared" si="73"/>
        <v>5</v>
      </c>
      <c r="Z526" s="11">
        <v>0</v>
      </c>
      <c r="AA526" s="11">
        <v>0</v>
      </c>
      <c r="AB526" s="11">
        <v>2.0500000000000003</v>
      </c>
      <c r="AC526" s="11">
        <v>1.31867</v>
      </c>
      <c r="AD526" s="11">
        <v>41.85</v>
      </c>
      <c r="AE526" s="11">
        <v>0</v>
      </c>
      <c r="AF526" s="11">
        <f>(AD526+AE526*0.5)/(3.5*I526*1000)*100</f>
        <v>0.58613445378151263</v>
      </c>
      <c r="AG526" s="38">
        <f t="shared" si="74"/>
        <v>0.6</v>
      </c>
      <c r="AH526" s="11">
        <v>0</v>
      </c>
      <c r="AI526" s="11">
        <f>AH526/(3.5*I526*1000)*100</f>
        <v>0</v>
      </c>
      <c r="AJ526" s="11">
        <v>0</v>
      </c>
      <c r="AK526" s="11">
        <f>AJ526/(3.5*I526*1000)*100</f>
        <v>0</v>
      </c>
      <c r="AL526" s="11">
        <v>0</v>
      </c>
      <c r="AM526" s="11">
        <f>AL526/(3.5*I526*1000)*100</f>
        <v>0</v>
      </c>
      <c r="AN526" s="25"/>
      <c r="AO526" s="25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  <c r="CI526" s="22"/>
      <c r="CJ526" s="22"/>
    </row>
    <row r="527" spans="1:88">
      <c r="A527" s="1">
        <v>313</v>
      </c>
      <c r="B527" s="34" t="s">
        <v>542</v>
      </c>
      <c r="C527" s="34">
        <v>644</v>
      </c>
      <c r="D527" s="34">
        <v>2030</v>
      </c>
      <c r="E527" s="34">
        <v>100</v>
      </c>
      <c r="F527" s="34" t="s">
        <v>545</v>
      </c>
      <c r="G527" s="58">
        <v>0</v>
      </c>
      <c r="H527" s="58">
        <v>2155</v>
      </c>
      <c r="I527" s="35">
        <v>2.1549999999999998</v>
      </c>
      <c r="J527" s="62">
        <v>4</v>
      </c>
      <c r="K527" s="34" t="s">
        <v>237</v>
      </c>
      <c r="L527" s="10">
        <v>42158</v>
      </c>
      <c r="M527" s="9" t="s">
        <v>191</v>
      </c>
      <c r="N527" s="38">
        <v>1.35</v>
      </c>
      <c r="O527" s="38">
        <v>0.28000000000000003</v>
      </c>
      <c r="P527" s="38">
        <v>0.3</v>
      </c>
      <c r="Q527" s="38">
        <v>0.23</v>
      </c>
      <c r="R527" s="38">
        <v>2.7933699999999999</v>
      </c>
      <c r="S527" s="38">
        <f t="shared" si="72"/>
        <v>3</v>
      </c>
      <c r="T527" s="38">
        <v>1.98</v>
      </c>
      <c r="U527" s="38">
        <v>0.08</v>
      </c>
      <c r="V527" s="38">
        <v>0.1</v>
      </c>
      <c r="W527" s="38">
        <v>0</v>
      </c>
      <c r="X527" s="38">
        <v>4.8339499999999997</v>
      </c>
      <c r="Y527" s="38">
        <f t="shared" si="73"/>
        <v>5</v>
      </c>
      <c r="Z527" s="38">
        <v>0</v>
      </c>
      <c r="AA527" s="38">
        <v>0</v>
      </c>
      <c r="AB527" s="38">
        <v>2.16</v>
      </c>
      <c r="AC527" s="38">
        <v>1.1363799999999999</v>
      </c>
      <c r="AD527" s="38">
        <v>11</v>
      </c>
      <c r="AE527" s="38">
        <v>66</v>
      </c>
      <c r="AF527" s="38">
        <v>0.58335999999999999</v>
      </c>
      <c r="AG527" s="38">
        <f t="shared" si="74"/>
        <v>0.6</v>
      </c>
      <c r="AH527" s="38">
        <v>0</v>
      </c>
      <c r="AI527" s="38">
        <v>0</v>
      </c>
      <c r="AJ527" s="38">
        <v>0</v>
      </c>
      <c r="AK527" s="38">
        <v>0</v>
      </c>
      <c r="AL527" s="38">
        <v>0</v>
      </c>
      <c r="AM527" s="38">
        <v>0</v>
      </c>
      <c r="AN527" s="60"/>
      <c r="AO527" s="60">
        <f>AE527*0.5</f>
        <v>33</v>
      </c>
      <c r="AP527" s="60">
        <f>(AD527+AH527+AJ527+AL527+AO527)*I527</f>
        <v>94.82</v>
      </c>
      <c r="AQ527" s="25">
        <f>SUM(N527:Q527)</f>
        <v>2.16</v>
      </c>
      <c r="AR527" s="25">
        <f>SUM(T527:W527)</f>
        <v>2.16</v>
      </c>
      <c r="AS527" s="268">
        <v>2.1549999999999998</v>
      </c>
      <c r="AT527" s="40"/>
      <c r="AU527" s="41">
        <f>SUM(N527:Q527)</f>
        <v>2.16</v>
      </c>
      <c r="AV527" s="41">
        <f>SUM(T527:W527)</f>
        <v>2.16</v>
      </c>
      <c r="AW527" s="41">
        <f>SUM(Z527:AB527)</f>
        <v>2.16</v>
      </c>
      <c r="AX527" s="22"/>
      <c r="AY527" s="22">
        <f>I527/AU527</f>
        <v>0.99768518518518501</v>
      </c>
      <c r="AZ527" s="22">
        <f>I527/AV527</f>
        <v>0.99768518518518501</v>
      </c>
      <c r="BA527" s="22">
        <f>I527/AW527</f>
        <v>0.99768518518518501</v>
      </c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</row>
    <row r="528" spans="1:88">
      <c r="A528" s="1">
        <v>1140</v>
      </c>
      <c r="B528" s="74" t="s">
        <v>1577</v>
      </c>
      <c r="C528" s="34">
        <v>432</v>
      </c>
      <c r="D528" s="34">
        <v>2273</v>
      </c>
      <c r="E528" s="34">
        <v>100</v>
      </c>
      <c r="F528" s="34" t="s">
        <v>1589</v>
      </c>
      <c r="G528" s="34" t="s">
        <v>1590</v>
      </c>
      <c r="H528" s="34" t="s">
        <v>92</v>
      </c>
      <c r="I528" s="55">
        <v>2.2029999999999998</v>
      </c>
      <c r="J528" s="5">
        <v>2</v>
      </c>
      <c r="K528" s="34" t="s">
        <v>12</v>
      </c>
      <c r="L528" s="10">
        <v>42282</v>
      </c>
      <c r="M528" s="9" t="s">
        <v>191</v>
      </c>
      <c r="N528" s="38">
        <v>1.8</v>
      </c>
      <c r="O528" s="38">
        <v>0.35</v>
      </c>
      <c r="P528" s="38">
        <v>0.05</v>
      </c>
      <c r="Q528" s="38">
        <v>2.5000000000000001E-2</v>
      </c>
      <c r="R528" s="38">
        <v>2.0655100000000002</v>
      </c>
      <c r="S528" s="38">
        <f t="shared" si="72"/>
        <v>2</v>
      </c>
      <c r="T528" s="38">
        <v>2.125</v>
      </c>
      <c r="U528" s="38">
        <v>7.4999999999999997E-2</v>
      </c>
      <c r="V528" s="38">
        <v>2.5000000000000001E-2</v>
      </c>
      <c r="W528" s="38">
        <v>0</v>
      </c>
      <c r="X528" s="38">
        <v>3.6678700000000002</v>
      </c>
      <c r="Y528" s="38">
        <f t="shared" si="73"/>
        <v>3.5</v>
      </c>
      <c r="Z528" s="38">
        <v>0</v>
      </c>
      <c r="AA528" s="38">
        <v>0</v>
      </c>
      <c r="AB528" s="38">
        <v>2.2249999999999996</v>
      </c>
      <c r="AC528" s="38">
        <v>1.43679</v>
      </c>
      <c r="AD528" s="38">
        <v>14.63</v>
      </c>
      <c r="AE528" s="38">
        <v>60.3</v>
      </c>
      <c r="AF528" s="38">
        <v>0.580766</v>
      </c>
      <c r="AG528" s="38">
        <f t="shared" si="74"/>
        <v>0.6</v>
      </c>
      <c r="AH528" s="38">
        <v>20.364999999999998</v>
      </c>
      <c r="AI528" s="38">
        <v>0.26412000000000002</v>
      </c>
      <c r="AJ528" s="38">
        <v>5.1139999999999999</v>
      </c>
      <c r="AK528" s="38">
        <v>6.6324999999999995E-2</v>
      </c>
      <c r="AL528" s="38">
        <v>0</v>
      </c>
      <c r="AM528" s="38">
        <v>0</v>
      </c>
      <c r="AN528" s="114"/>
      <c r="AO528" s="73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  <c r="CI528" s="22"/>
      <c r="CJ528" s="22"/>
    </row>
    <row r="529" spans="1:88">
      <c r="A529" s="1">
        <v>886</v>
      </c>
      <c r="B529" s="34" t="s">
        <v>1271</v>
      </c>
      <c r="C529" s="34">
        <v>632</v>
      </c>
      <c r="D529" s="162">
        <v>2213</v>
      </c>
      <c r="E529" s="34">
        <v>100</v>
      </c>
      <c r="F529" s="34" t="s">
        <v>1279</v>
      </c>
      <c r="G529" s="58">
        <v>0</v>
      </c>
      <c r="H529" s="58">
        <v>11885</v>
      </c>
      <c r="I529" s="35">
        <v>11.885</v>
      </c>
      <c r="J529" s="9">
        <v>2</v>
      </c>
      <c r="K529" s="34" t="s">
        <v>238</v>
      </c>
      <c r="L529" s="10">
        <v>42143</v>
      </c>
      <c r="M529" s="9" t="s">
        <v>191</v>
      </c>
      <c r="N529" s="38">
        <v>4.875</v>
      </c>
      <c r="O529" s="38">
        <v>3.0750000000000002</v>
      </c>
      <c r="P529" s="38">
        <v>2.2250000000000001</v>
      </c>
      <c r="Q529" s="38">
        <v>1.7749999999999999</v>
      </c>
      <c r="R529" s="38">
        <v>3.2591199999999998</v>
      </c>
      <c r="S529" s="38">
        <f t="shared" si="72"/>
        <v>3.5</v>
      </c>
      <c r="T529" s="38">
        <v>10.6</v>
      </c>
      <c r="U529" s="38">
        <v>1.125</v>
      </c>
      <c r="V529" s="38">
        <v>0.17499999999999999</v>
      </c>
      <c r="W529" s="38">
        <v>0.05</v>
      </c>
      <c r="X529" s="38">
        <v>6.1234900000000003</v>
      </c>
      <c r="Y529" s="38">
        <f t="shared" si="73"/>
        <v>6</v>
      </c>
      <c r="Z529" s="38">
        <v>0</v>
      </c>
      <c r="AA529" s="38">
        <v>0</v>
      </c>
      <c r="AB529" s="38">
        <f>N529+O529+P529+Q529</f>
        <v>11.950000000000001</v>
      </c>
      <c r="AC529" s="38">
        <v>2.1191800000000001</v>
      </c>
      <c r="AD529" s="38">
        <v>235.8</v>
      </c>
      <c r="AE529" s="38">
        <v>8.2200000000000006</v>
      </c>
      <c r="AF529" s="38">
        <v>0.57674099999999995</v>
      </c>
      <c r="AG529" s="38">
        <f t="shared" si="74"/>
        <v>0.6</v>
      </c>
      <c r="AH529" s="38">
        <v>1482.91</v>
      </c>
      <c r="AI529" s="38">
        <v>3.564902</v>
      </c>
      <c r="AJ529" s="38">
        <v>8.9499999999999993</v>
      </c>
      <c r="AK529" s="38">
        <v>2.1516E-2</v>
      </c>
      <c r="AL529" s="38">
        <v>285.7</v>
      </c>
      <c r="AM529" s="38">
        <v>0.68681999999999999</v>
      </c>
      <c r="AN529" s="25"/>
      <c r="AO529" s="25">
        <f>AE529*0.5</f>
        <v>4.1100000000000003</v>
      </c>
      <c r="AP529" s="25">
        <f>(AD529+AH529+AJ529+AL529+AO529)*I529</f>
        <v>23977.630949999999</v>
      </c>
      <c r="AQ529" s="25">
        <f>SUM(N529:Q529)</f>
        <v>11.950000000000001</v>
      </c>
      <c r="AR529" s="25">
        <f>SUM(T529:W529)</f>
        <v>11.950000000000001</v>
      </c>
      <c r="AS529" s="22"/>
      <c r="AT529" s="41"/>
      <c r="AU529" s="41"/>
      <c r="AV529" s="41"/>
      <c r="AW529" s="41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  <c r="CI529" s="22"/>
      <c r="CJ529" s="22"/>
    </row>
    <row r="530" spans="1:88">
      <c r="A530" s="1">
        <v>629</v>
      </c>
      <c r="B530" s="34" t="s">
        <v>1017</v>
      </c>
      <c r="C530" s="34">
        <v>555</v>
      </c>
      <c r="D530" s="34">
        <v>2479</v>
      </c>
      <c r="E530" s="34">
        <v>101</v>
      </c>
      <c r="F530" s="9" t="s">
        <v>1032</v>
      </c>
      <c r="G530" s="118">
        <v>7950</v>
      </c>
      <c r="H530" s="118">
        <v>0</v>
      </c>
      <c r="I530" s="35">
        <v>7.95</v>
      </c>
      <c r="J530" s="71">
        <v>2</v>
      </c>
      <c r="K530" s="34" t="s">
        <v>12</v>
      </c>
      <c r="L530" s="10">
        <v>42186</v>
      </c>
      <c r="M530" s="9" t="s">
        <v>191</v>
      </c>
      <c r="N530" s="38">
        <v>2.5750000000000002</v>
      </c>
      <c r="O530" s="38">
        <v>2.65</v>
      </c>
      <c r="P530" s="38">
        <v>1.75</v>
      </c>
      <c r="Q530" s="38">
        <v>0.875</v>
      </c>
      <c r="R530" s="38">
        <v>2.79745</v>
      </c>
      <c r="S530" s="38">
        <f t="shared" si="72"/>
        <v>3</v>
      </c>
      <c r="T530" s="38">
        <v>7.5750000000000002</v>
      </c>
      <c r="U530" s="38">
        <v>0.25</v>
      </c>
      <c r="V530" s="38">
        <v>2.5000000000000001E-2</v>
      </c>
      <c r="W530" s="38">
        <v>0</v>
      </c>
      <c r="X530" s="38">
        <v>3.17381</v>
      </c>
      <c r="Y530" s="38">
        <f t="shared" si="73"/>
        <v>3</v>
      </c>
      <c r="Z530" s="38">
        <v>0</v>
      </c>
      <c r="AA530" s="38">
        <v>0</v>
      </c>
      <c r="AB530" s="38">
        <f>N530+O530+P530+Q530</f>
        <v>7.85</v>
      </c>
      <c r="AC530" s="38">
        <v>1.1744600000000001</v>
      </c>
      <c r="AD530" s="38">
        <v>160</v>
      </c>
      <c r="AE530" s="38">
        <v>0</v>
      </c>
      <c r="AF530" s="38">
        <f>(AD530+AE530*0.5)/(3.5*I530*1000)*100</f>
        <v>0.57502246181491468</v>
      </c>
      <c r="AG530" s="38">
        <f t="shared" si="74"/>
        <v>0.6</v>
      </c>
      <c r="AH530" s="38">
        <v>0</v>
      </c>
      <c r="AI530" s="38">
        <f>AH530/(3.5*I530*1000)*100</f>
        <v>0</v>
      </c>
      <c r="AJ530" s="38">
        <v>0</v>
      </c>
      <c r="AK530" s="38">
        <f>AJ530/(3.5*I530*1000)*100</f>
        <v>0</v>
      </c>
      <c r="AL530" s="38">
        <v>0</v>
      </c>
      <c r="AM530" s="38">
        <f>AL530/(3.5*I530*1000)*100</f>
        <v>0</v>
      </c>
      <c r="AN530" s="25"/>
      <c r="AO530" s="25">
        <f>AE530*0.5</f>
        <v>0</v>
      </c>
      <c r="AP530" s="25">
        <f>(AD530+AH530+AJ530+AL530+AO530)*I530</f>
        <v>1272</v>
      </c>
      <c r="AQ530" s="25">
        <f>SUM(N530:Q530)</f>
        <v>7.85</v>
      </c>
      <c r="AR530" s="25">
        <f>SUM(T530:W530)</f>
        <v>7.8500000000000005</v>
      </c>
      <c r="AS530" s="22"/>
      <c r="AT530" s="41"/>
      <c r="AU530" s="41"/>
      <c r="AV530" s="41"/>
      <c r="AW530" s="41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  <c r="CI530" s="22"/>
      <c r="CJ530" s="22"/>
    </row>
    <row r="531" spans="1:88">
      <c r="A531" s="1">
        <v>2142</v>
      </c>
      <c r="B531" s="34" t="s">
        <v>2780</v>
      </c>
      <c r="C531" s="34">
        <v>327</v>
      </c>
      <c r="D531" s="75">
        <v>415</v>
      </c>
      <c r="E531" s="8">
        <v>100</v>
      </c>
      <c r="F531" s="9" t="s">
        <v>2783</v>
      </c>
      <c r="G531" s="20">
        <v>21381</v>
      </c>
      <c r="H531" s="20">
        <v>0</v>
      </c>
      <c r="I531" s="21">
        <v>21.381</v>
      </c>
      <c r="J531" s="9">
        <v>2</v>
      </c>
      <c r="K531" s="9" t="s">
        <v>12</v>
      </c>
      <c r="L531" s="18">
        <v>42135</v>
      </c>
      <c r="M531" s="9" t="s">
        <v>191</v>
      </c>
      <c r="N531" s="38">
        <v>14.375</v>
      </c>
      <c r="O531" s="38">
        <v>3.8250000000000002</v>
      </c>
      <c r="P531" s="38">
        <v>2.2000000000000002</v>
      </c>
      <c r="Q531" s="38">
        <v>0.97499999999999998</v>
      </c>
      <c r="R531" s="38">
        <v>2.4010099999999999</v>
      </c>
      <c r="S531" s="38">
        <f t="shared" si="72"/>
        <v>2.5</v>
      </c>
      <c r="T531" s="38">
        <v>20.100000000000001</v>
      </c>
      <c r="U531" s="38">
        <v>1.175</v>
      </c>
      <c r="V531" s="38">
        <v>0.1</v>
      </c>
      <c r="W531" s="38">
        <v>0</v>
      </c>
      <c r="X531" s="38">
        <v>3.9493100000000001</v>
      </c>
      <c r="Y531" s="38">
        <f t="shared" si="73"/>
        <v>4</v>
      </c>
      <c r="Z531" s="38">
        <v>0</v>
      </c>
      <c r="AA531" s="38">
        <v>0</v>
      </c>
      <c r="AB531" s="38">
        <v>21.375</v>
      </c>
      <c r="AC531" s="38">
        <v>1.4553400000000001</v>
      </c>
      <c r="AD531" s="38">
        <v>423</v>
      </c>
      <c r="AE531" s="38">
        <v>13</v>
      </c>
      <c r="AF531" s="38">
        <f>(AD531+AE531*0.5)/(3.5*I531*1000)*100</f>
        <v>0.5739408152765807</v>
      </c>
      <c r="AG531" s="38">
        <f t="shared" si="74"/>
        <v>0.6</v>
      </c>
      <c r="AH531" s="38">
        <v>102</v>
      </c>
      <c r="AI531" s="38">
        <f>AH531/(3.5*I531*1000)*100</f>
        <v>0.13630259175369319</v>
      </c>
      <c r="AJ531" s="38">
        <v>15</v>
      </c>
      <c r="AK531" s="38">
        <f>AJ531/(3.5*I531*1000)*100</f>
        <v>2.0044498787307824E-2</v>
      </c>
      <c r="AL531" s="38">
        <v>0</v>
      </c>
      <c r="AM531" s="38">
        <f>AL531/(3.5*I531*1000)*100</f>
        <v>0</v>
      </c>
      <c r="AN531" s="25"/>
      <c r="AO531" s="25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</row>
    <row r="532" spans="1:88">
      <c r="A532" s="1">
        <v>1163</v>
      </c>
      <c r="B532" s="74" t="s">
        <v>1577</v>
      </c>
      <c r="C532" s="34">
        <v>432</v>
      </c>
      <c r="D532" s="34">
        <v>3314</v>
      </c>
      <c r="E532" s="34">
        <v>102</v>
      </c>
      <c r="F532" s="34" t="s">
        <v>1628</v>
      </c>
      <c r="G532" s="34" t="s">
        <v>1629</v>
      </c>
      <c r="H532" s="34" t="s">
        <v>1630</v>
      </c>
      <c r="I532" s="55">
        <v>7.0039999999999996</v>
      </c>
      <c r="J532" s="34">
        <v>2</v>
      </c>
      <c r="K532" s="181" t="s">
        <v>238</v>
      </c>
      <c r="L532" s="10">
        <v>42282</v>
      </c>
      <c r="M532" s="9" t="s">
        <v>191</v>
      </c>
      <c r="N532" s="38">
        <v>4.3</v>
      </c>
      <c r="O532" s="38">
        <v>1.4750000000000001</v>
      </c>
      <c r="P532" s="38">
        <v>0.52500000000000002</v>
      </c>
      <c r="Q532" s="38">
        <v>0.67500000000000004</v>
      </c>
      <c r="R532" s="38">
        <v>2.81047</v>
      </c>
      <c r="S532" s="38">
        <f t="shared" si="72"/>
        <v>3</v>
      </c>
      <c r="T532" s="38">
        <v>4.45</v>
      </c>
      <c r="U532" s="38">
        <v>1.75</v>
      </c>
      <c r="V532" s="38">
        <v>0.75</v>
      </c>
      <c r="W532" s="38">
        <v>2.5000000000000001E-2</v>
      </c>
      <c r="X532" s="38">
        <v>8.3153000000000006</v>
      </c>
      <c r="Y532" s="38">
        <f t="shared" si="73"/>
        <v>8.5</v>
      </c>
      <c r="Z532" s="38">
        <v>0</v>
      </c>
      <c r="AA532" s="38">
        <v>0</v>
      </c>
      <c r="AB532" s="38">
        <v>6.9750000000000005</v>
      </c>
      <c r="AC532" s="38">
        <v>1.8370500000000001</v>
      </c>
      <c r="AD532" s="38">
        <v>139.66800000000001</v>
      </c>
      <c r="AE532" s="38">
        <v>1.2</v>
      </c>
      <c r="AF532" s="38">
        <v>0.57219500000000001</v>
      </c>
      <c r="AG532" s="38">
        <f t="shared" si="74"/>
        <v>0.6</v>
      </c>
      <c r="AH532" s="38">
        <v>116.39</v>
      </c>
      <c r="AI532" s="38">
        <v>0.47478999999999999</v>
      </c>
      <c r="AJ532" s="38">
        <v>4.3</v>
      </c>
      <c r="AK532" s="38">
        <v>1.7541000000000001E-2</v>
      </c>
      <c r="AL532" s="38">
        <v>0</v>
      </c>
      <c r="AM532" s="38">
        <v>0</v>
      </c>
      <c r="AN532" s="114"/>
      <c r="AO532" s="73"/>
    </row>
    <row r="533" spans="1:88">
      <c r="A533" s="1">
        <v>138</v>
      </c>
      <c r="B533" s="34" t="s">
        <v>294</v>
      </c>
      <c r="C533" s="34">
        <v>531</v>
      </c>
      <c r="D533" s="34">
        <v>101</v>
      </c>
      <c r="E533" s="34">
        <v>401</v>
      </c>
      <c r="F533" s="34" t="s">
        <v>295</v>
      </c>
      <c r="G533" s="20">
        <v>190947</v>
      </c>
      <c r="H533" s="20">
        <v>216931</v>
      </c>
      <c r="I533" s="35">
        <v>26.074999999999999</v>
      </c>
      <c r="J533" s="36">
        <v>2</v>
      </c>
      <c r="K533" s="34" t="s">
        <v>238</v>
      </c>
      <c r="L533" s="18">
        <v>42223</v>
      </c>
      <c r="M533" s="9" t="s">
        <v>191</v>
      </c>
      <c r="N533" s="38">
        <v>12.5</v>
      </c>
      <c r="O533" s="38">
        <v>12.5</v>
      </c>
      <c r="P533" s="38">
        <v>0</v>
      </c>
      <c r="Q533" s="38">
        <v>0</v>
      </c>
      <c r="R533" s="38">
        <v>2.2421600000000002</v>
      </c>
      <c r="S533" s="38">
        <f t="shared" si="72"/>
        <v>2</v>
      </c>
      <c r="T533" s="38">
        <v>5.83</v>
      </c>
      <c r="U533" s="38">
        <v>2.2400000000000002</v>
      </c>
      <c r="V533" s="38">
        <v>1.58</v>
      </c>
      <c r="W533" s="38">
        <v>15.35</v>
      </c>
      <c r="X533" s="38">
        <v>40.254399999999997</v>
      </c>
      <c r="Y533" s="38">
        <f t="shared" si="73"/>
        <v>40.5</v>
      </c>
      <c r="Z533" s="38">
        <v>0</v>
      </c>
      <c r="AA533" s="38">
        <v>0</v>
      </c>
      <c r="AB533" s="38">
        <v>24.99</v>
      </c>
      <c r="AC533" s="38">
        <v>1.51634</v>
      </c>
      <c r="AD533" s="38">
        <v>482</v>
      </c>
      <c r="AE533" s="38">
        <v>78.33</v>
      </c>
      <c r="AF533" s="38">
        <f t="shared" ref="AF533:AF540" si="75">(AD533+AE533*0.5)/(3.5*I533*1000)*100</f>
        <v>0.5710614984248733</v>
      </c>
      <c r="AG533" s="38">
        <f t="shared" si="74"/>
        <v>0.6</v>
      </c>
      <c r="AH533" s="38">
        <v>191</v>
      </c>
      <c r="AI533" s="38">
        <f t="shared" ref="AI533:AI540" si="76">AH533/(3.5*I533*1000)*100</f>
        <v>0.20928639912340774</v>
      </c>
      <c r="AJ533" s="38">
        <v>0</v>
      </c>
      <c r="AK533" s="38">
        <f t="shared" ref="AK533:AK540" si="77">AJ533/(3.5*I533*1000)*100</f>
        <v>0</v>
      </c>
      <c r="AL533" s="38">
        <v>6</v>
      </c>
      <c r="AM533" s="38">
        <f>AL533/(3.5*I533*1000)*100</f>
        <v>6.5744418572798247E-3</v>
      </c>
      <c r="AN533" s="40"/>
      <c r="AO533" s="40">
        <f>AE533*0.5</f>
        <v>39.164999999999999</v>
      </c>
      <c r="AP533" s="40">
        <f>(AD533+AH533+AJ533+AL533+AO533)*I533</f>
        <v>18726.152374999998</v>
      </c>
      <c r="AQ533" s="25">
        <f>SUM(N533:Q533)</f>
        <v>25</v>
      </c>
      <c r="AR533" s="25">
        <f>SUM(T533:W533)</f>
        <v>25</v>
      </c>
      <c r="AS533" s="22"/>
      <c r="AT533" s="41"/>
      <c r="AU533" s="41">
        <f>SUM(N533:Q533)</f>
        <v>25</v>
      </c>
      <c r="AV533" s="41">
        <f>SUM(T533:W533)</f>
        <v>25</v>
      </c>
      <c r="AW533" s="41">
        <f>SUM(Z533:AB533)</f>
        <v>24.99</v>
      </c>
      <c r="AX533" s="22"/>
      <c r="AY533" s="22">
        <f>I533/AU533</f>
        <v>1.0429999999999999</v>
      </c>
      <c r="AZ533" s="22">
        <f>I533/AV533</f>
        <v>1.0429999999999999</v>
      </c>
      <c r="BA533" s="22">
        <f>I533/AW533</f>
        <v>1.0434173669467788</v>
      </c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</row>
    <row r="534" spans="1:88">
      <c r="A534" s="1">
        <v>960</v>
      </c>
      <c r="B534" s="34" t="s">
        <v>1329</v>
      </c>
      <c r="C534" s="34">
        <v>611</v>
      </c>
      <c r="D534" s="161">
        <v>2464</v>
      </c>
      <c r="E534" s="34">
        <v>100</v>
      </c>
      <c r="F534" s="34" t="s">
        <v>1358</v>
      </c>
      <c r="G534" s="58">
        <v>0</v>
      </c>
      <c r="H534" s="58">
        <v>606</v>
      </c>
      <c r="I534" s="35">
        <v>0.60599999999999998</v>
      </c>
      <c r="J534" s="71">
        <v>2</v>
      </c>
      <c r="K534" s="34" t="s">
        <v>238</v>
      </c>
      <c r="L534" s="10">
        <v>42118</v>
      </c>
      <c r="M534" s="9" t="s">
        <v>191</v>
      </c>
      <c r="N534" s="38">
        <v>0.47499999999999998</v>
      </c>
      <c r="O534" s="38">
        <v>0.1</v>
      </c>
      <c r="P534" s="38">
        <v>2.5000000000000001E-2</v>
      </c>
      <c r="Q534" s="38">
        <v>0.05</v>
      </c>
      <c r="R534" s="38">
        <v>2.6503800000000002</v>
      </c>
      <c r="S534" s="38">
        <f t="shared" si="72"/>
        <v>2.5</v>
      </c>
      <c r="T534" s="38">
        <v>0.6</v>
      </c>
      <c r="U534" s="38">
        <v>0.05</v>
      </c>
      <c r="V534" s="38">
        <v>0</v>
      </c>
      <c r="W534" s="38">
        <v>0</v>
      </c>
      <c r="X534" s="38">
        <v>4.8366899999999999</v>
      </c>
      <c r="Y534" s="38">
        <f t="shared" si="73"/>
        <v>5</v>
      </c>
      <c r="Z534" s="38">
        <v>0</v>
      </c>
      <c r="AA534" s="38">
        <v>0</v>
      </c>
      <c r="AB534" s="38">
        <v>0.60599999999999998</v>
      </c>
      <c r="AC534" s="38">
        <v>1.17096</v>
      </c>
      <c r="AD534" s="38">
        <v>0</v>
      </c>
      <c r="AE534" s="38">
        <v>24.21</v>
      </c>
      <c r="AF534" s="38">
        <f t="shared" si="75"/>
        <v>0.57072135785007072</v>
      </c>
      <c r="AG534" s="38">
        <f t="shared" si="74"/>
        <v>0.6</v>
      </c>
      <c r="AH534" s="38">
        <v>0</v>
      </c>
      <c r="AI534" s="38">
        <f t="shared" si="76"/>
        <v>0</v>
      </c>
      <c r="AJ534" s="38">
        <v>0</v>
      </c>
      <c r="AK534" s="38">
        <f t="shared" si="77"/>
        <v>0</v>
      </c>
      <c r="AL534" s="38">
        <v>0</v>
      </c>
      <c r="AM534" s="38">
        <f>AL534/(3.5*I534*1000)*100</f>
        <v>0</v>
      </c>
      <c r="AN534" s="25"/>
      <c r="AO534" s="25">
        <f>AE534*0.5</f>
        <v>12.105</v>
      </c>
      <c r="AP534" s="25">
        <f>(AD534+AH534+AJ534+AL534+AO534)*I534</f>
        <v>7.3356300000000001</v>
      </c>
      <c r="AQ534" s="25"/>
      <c r="AR534" s="25">
        <f>SUM(N534:Q534)</f>
        <v>0.65</v>
      </c>
      <c r="AS534" s="25">
        <f>SUM(T534:W534)</f>
        <v>0.65</v>
      </c>
      <c r="AT534" s="268">
        <v>0.60599999999999998</v>
      </c>
      <c r="AU534" s="41"/>
      <c r="AV534" s="41"/>
      <c r="AW534" s="41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</row>
    <row r="535" spans="1:88">
      <c r="A535" s="1">
        <v>1472</v>
      </c>
      <c r="B535" s="34" t="s">
        <v>2016</v>
      </c>
      <c r="C535" s="34">
        <v>411</v>
      </c>
      <c r="D535" s="69">
        <v>304</v>
      </c>
      <c r="E535" s="34">
        <v>201</v>
      </c>
      <c r="F535" s="34" t="s">
        <v>2021</v>
      </c>
      <c r="G535" s="58" t="s">
        <v>2023</v>
      </c>
      <c r="H535" s="58" t="s">
        <v>2022</v>
      </c>
      <c r="I535" s="35">
        <v>11.683999999999999</v>
      </c>
      <c r="J535" s="34">
        <v>8</v>
      </c>
      <c r="K535" s="34" t="s">
        <v>237</v>
      </c>
      <c r="L535" s="10">
        <v>42247</v>
      </c>
      <c r="M535" s="9" t="s">
        <v>191</v>
      </c>
      <c r="N535" s="38">
        <v>1.4750000000000001</v>
      </c>
      <c r="O535" s="38">
        <v>2.0249999999999999</v>
      </c>
      <c r="P535" s="38">
        <v>3.65</v>
      </c>
      <c r="Q535" s="38">
        <v>4.5750000000000002</v>
      </c>
      <c r="R535" s="38">
        <v>4.4429999999999996</v>
      </c>
      <c r="S535" s="38">
        <f t="shared" si="72"/>
        <v>4.5</v>
      </c>
      <c r="T535" s="38">
        <v>11.6</v>
      </c>
      <c r="U535" s="38">
        <v>0.1</v>
      </c>
      <c r="V535" s="38">
        <v>2.5000000000000001E-2</v>
      </c>
      <c r="W535" s="38">
        <v>0</v>
      </c>
      <c r="X535" s="38">
        <v>3.8690000000000002</v>
      </c>
      <c r="Y535" s="38">
        <f t="shared" si="73"/>
        <v>4</v>
      </c>
      <c r="Z535" s="38">
        <v>0</v>
      </c>
      <c r="AA535" s="38">
        <v>0</v>
      </c>
      <c r="AB535" s="38">
        <f>SUM(T535:W535)</f>
        <v>11.725</v>
      </c>
      <c r="AC535" s="38">
        <v>1.08</v>
      </c>
      <c r="AD535" s="38">
        <v>0</v>
      </c>
      <c r="AE535" s="38">
        <v>463.93</v>
      </c>
      <c r="AF535" s="38">
        <f t="shared" si="75"/>
        <v>0.56723480217146771</v>
      </c>
      <c r="AG535" s="38">
        <f t="shared" si="74"/>
        <v>0.6</v>
      </c>
      <c r="AH535" s="38">
        <v>0</v>
      </c>
      <c r="AI535" s="38">
        <f t="shared" si="76"/>
        <v>0</v>
      </c>
      <c r="AJ535" s="38">
        <v>134.41999999999999</v>
      </c>
      <c r="AK535" s="38">
        <f t="shared" si="77"/>
        <v>0.32870347728273092</v>
      </c>
      <c r="AL535" s="38">
        <v>0</v>
      </c>
      <c r="AM535" s="38">
        <f>AL535/(3.5*I535*1000)*100</f>
        <v>0</v>
      </c>
      <c r="AN535" s="60"/>
      <c r="AO535" s="60">
        <f>AE535*0.5</f>
        <v>231.965</v>
      </c>
      <c r="AP535" s="60">
        <f>(AD535+AH535+AJ535+AL535+AO535)*I535</f>
        <v>4280.8423399999992</v>
      </c>
      <c r="AQ535" s="60"/>
      <c r="AR535" s="60"/>
      <c r="AS535" s="60"/>
      <c r="AT535" s="60"/>
      <c r="AU535" s="61"/>
      <c r="AV535" s="40"/>
      <c r="AW535" s="40"/>
      <c r="AX535" s="40"/>
      <c r="AY535" s="40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</row>
    <row r="536" spans="1:88">
      <c r="A536" s="1">
        <v>1013</v>
      </c>
      <c r="B536" s="9" t="s">
        <v>1394</v>
      </c>
      <c r="C536" s="9">
        <v>617</v>
      </c>
      <c r="D536" s="8">
        <v>226</v>
      </c>
      <c r="E536" s="9">
        <v>205</v>
      </c>
      <c r="F536" s="9" t="s">
        <v>1412</v>
      </c>
      <c r="G536" s="175">
        <v>155863</v>
      </c>
      <c r="H536" s="175">
        <v>147079</v>
      </c>
      <c r="I536" s="35">
        <v>8.7840000000000007</v>
      </c>
      <c r="J536" s="9">
        <v>4</v>
      </c>
      <c r="K536" s="9" t="s">
        <v>96</v>
      </c>
      <c r="L536" s="18">
        <v>42131</v>
      </c>
      <c r="M536" s="9" t="s">
        <v>191</v>
      </c>
      <c r="N536" s="11">
        <v>5.125</v>
      </c>
      <c r="O536" s="11">
        <v>1.65</v>
      </c>
      <c r="P536" s="11">
        <v>1.0249999999999999</v>
      </c>
      <c r="Q536" s="11">
        <v>0.97499999999999998</v>
      </c>
      <c r="R536" s="11">
        <v>3.7991100000000002</v>
      </c>
      <c r="S536" s="38">
        <f t="shared" si="72"/>
        <v>4</v>
      </c>
      <c r="T536" s="11">
        <v>6.35</v>
      </c>
      <c r="U536" s="11">
        <v>1.8</v>
      </c>
      <c r="V536" s="11">
        <v>0.375</v>
      </c>
      <c r="W536" s="11">
        <v>0.25</v>
      </c>
      <c r="X536" s="11">
        <v>9.0477100000000004</v>
      </c>
      <c r="Y536" s="38">
        <f t="shared" si="73"/>
        <v>9</v>
      </c>
      <c r="Z536" s="11">
        <v>0</v>
      </c>
      <c r="AA536" s="11">
        <v>0</v>
      </c>
      <c r="AB536" s="11">
        <f>SUM(N536:Q536)</f>
        <v>8.7750000000000004</v>
      </c>
      <c r="AC536" s="11">
        <v>1.2046399999999999</v>
      </c>
      <c r="AD536" s="11">
        <v>158.91</v>
      </c>
      <c r="AE536" s="11">
        <v>30.64</v>
      </c>
      <c r="AF536" s="11">
        <f t="shared" si="75"/>
        <v>0.56671220400728584</v>
      </c>
      <c r="AG536" s="38">
        <f t="shared" si="74"/>
        <v>0.6</v>
      </c>
      <c r="AH536" s="11">
        <v>64.52</v>
      </c>
      <c r="AI536" s="38">
        <f t="shared" si="76"/>
        <v>0.20986208691126718</v>
      </c>
      <c r="AJ536" s="11">
        <v>543.95000000000005</v>
      </c>
      <c r="AK536" s="38">
        <f t="shared" si="77"/>
        <v>1.7692883164194639</v>
      </c>
      <c r="AL536" s="11">
        <v>0</v>
      </c>
      <c r="AM536" s="38">
        <f>AL536/(3.5*I536*1000)*100</f>
        <v>0</v>
      </c>
      <c r="AN536" s="25"/>
      <c r="AO536" s="25">
        <f>AE536*0.5</f>
        <v>15.32</v>
      </c>
      <c r="AP536" s="25">
        <f>(AD536+AH536+AJ536+AL536+AO536)*I536</f>
        <v>6875.2368000000015</v>
      </c>
      <c r="AQ536" s="25"/>
      <c r="AR536" s="25"/>
      <c r="AS536" s="25">
        <f>SUM(N536:Q536)</f>
        <v>8.7750000000000004</v>
      </c>
      <c r="AT536" s="25">
        <f>SUM(T536:W536)</f>
        <v>8.7750000000000004</v>
      </c>
      <c r="AU536" s="41"/>
      <c r="AV536" s="41"/>
      <c r="AW536" s="41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</row>
    <row r="537" spans="1:88">
      <c r="A537" s="1">
        <v>1876</v>
      </c>
      <c r="B537" s="34" t="s">
        <v>2495</v>
      </c>
      <c r="C537" s="34">
        <v>335</v>
      </c>
      <c r="D537" s="75">
        <v>3291</v>
      </c>
      <c r="E537" s="8">
        <v>101</v>
      </c>
      <c r="F537" s="9" t="s">
        <v>2510</v>
      </c>
      <c r="G537" s="20" t="s">
        <v>92</v>
      </c>
      <c r="H537" s="20" t="s">
        <v>2511</v>
      </c>
      <c r="I537" s="21">
        <v>3.92</v>
      </c>
      <c r="J537" s="34">
        <v>2</v>
      </c>
      <c r="K537" s="34" t="s">
        <v>237</v>
      </c>
      <c r="L537" s="18">
        <v>42095</v>
      </c>
      <c r="M537" s="207" t="s">
        <v>191</v>
      </c>
      <c r="N537" s="38">
        <v>0.03</v>
      </c>
      <c r="O537" s="38">
        <v>1.6</v>
      </c>
      <c r="P537" s="38">
        <v>1.73</v>
      </c>
      <c r="Q537" s="38">
        <v>0.56000000000000005</v>
      </c>
      <c r="R537" s="38">
        <v>3.9826600000000001</v>
      </c>
      <c r="S537" s="38">
        <f t="shared" si="72"/>
        <v>4</v>
      </c>
      <c r="T537" s="38">
        <v>2.0099999999999998</v>
      </c>
      <c r="U537" s="38">
        <v>1.53</v>
      </c>
      <c r="V537" s="38">
        <v>0.31</v>
      </c>
      <c r="W537" s="38">
        <v>0.08</v>
      </c>
      <c r="X537" s="38">
        <v>10.5329</v>
      </c>
      <c r="Y537" s="38">
        <f t="shared" si="73"/>
        <v>10.5</v>
      </c>
      <c r="Z537" s="38">
        <v>0</v>
      </c>
      <c r="AA537" s="38">
        <v>0</v>
      </c>
      <c r="AB537" s="38">
        <v>3.92</v>
      </c>
      <c r="AC537" s="38">
        <v>1.6485300000000001</v>
      </c>
      <c r="AD537" s="38">
        <v>65.3</v>
      </c>
      <c r="AE537" s="38">
        <v>24.58</v>
      </c>
      <c r="AF537" s="38">
        <f t="shared" si="75"/>
        <v>0.56552478134110795</v>
      </c>
      <c r="AG537" s="38">
        <f t="shared" si="74"/>
        <v>0.6</v>
      </c>
      <c r="AH537" s="38">
        <v>52.66</v>
      </c>
      <c r="AI537" s="38">
        <f t="shared" si="76"/>
        <v>0.38381924198250728</v>
      </c>
      <c r="AJ537" s="38">
        <v>1.258</v>
      </c>
      <c r="AK537" s="38">
        <f t="shared" si="77"/>
        <v>9.1690962099125386E-3</v>
      </c>
      <c r="AL537" s="38">
        <v>3.6240000000000001</v>
      </c>
      <c r="AM537" s="38">
        <f>AL537/(3.5*I537*1000)*100</f>
        <v>2.6413994169096212E-2</v>
      </c>
      <c r="AN537" s="73"/>
      <c r="AO537" s="73"/>
      <c r="AP537" s="73"/>
      <c r="AQ537" s="41">
        <f>SUM(N537:Q537)</f>
        <v>3.9200000000000004</v>
      </c>
      <c r="AR537" s="41">
        <f>SUM(T537:W537)</f>
        <v>3.93</v>
      </c>
      <c r="AS537" s="12">
        <f>SUM(Z537:AB537)</f>
        <v>3.92</v>
      </c>
      <c r="AU537" s="1">
        <f>I537/AQ537</f>
        <v>0.99999999999999989</v>
      </c>
      <c r="AV537" s="1">
        <f>I537/AR537</f>
        <v>0.99745547073791341</v>
      </c>
      <c r="AW537" s="1">
        <f>I537/AS537</f>
        <v>1</v>
      </c>
    </row>
    <row r="538" spans="1:88" s="22" customFormat="1">
      <c r="A538" s="1">
        <v>1189</v>
      </c>
      <c r="B538" s="34" t="s">
        <v>1639</v>
      </c>
      <c r="C538" s="34">
        <v>433</v>
      </c>
      <c r="D538" s="34">
        <v>3283</v>
      </c>
      <c r="E538" s="34">
        <v>100</v>
      </c>
      <c r="F538" s="34" t="s">
        <v>1668</v>
      </c>
      <c r="G538" s="58" t="s">
        <v>92</v>
      </c>
      <c r="H538" s="58" t="s">
        <v>1669</v>
      </c>
      <c r="I538" s="55">
        <v>3.5190000000000001</v>
      </c>
      <c r="J538" s="34">
        <v>2</v>
      </c>
      <c r="K538" s="181" t="s">
        <v>238</v>
      </c>
      <c r="L538" s="10">
        <v>42282</v>
      </c>
      <c r="M538" s="9" t="s">
        <v>191</v>
      </c>
      <c r="N538" s="38">
        <v>2.95</v>
      </c>
      <c r="O538" s="38">
        <v>0.32500000000000001</v>
      </c>
      <c r="P538" s="38">
        <v>0.15</v>
      </c>
      <c r="Q538" s="38">
        <v>0.15</v>
      </c>
      <c r="R538" s="38">
        <v>2.2491599999999998</v>
      </c>
      <c r="S538" s="38">
        <f t="shared" si="72"/>
        <v>2</v>
      </c>
      <c r="T538" s="38">
        <v>3.5249999999999999</v>
      </c>
      <c r="U538" s="38">
        <v>0.05</v>
      </c>
      <c r="V538" s="38">
        <v>0</v>
      </c>
      <c r="W538" s="38">
        <v>0</v>
      </c>
      <c r="X538" s="38">
        <v>2.1085500000000001</v>
      </c>
      <c r="Y538" s="38">
        <f t="shared" si="73"/>
        <v>2</v>
      </c>
      <c r="Z538" s="38">
        <v>0</v>
      </c>
      <c r="AA538" s="38">
        <v>0</v>
      </c>
      <c r="AB538" s="38">
        <v>3.5190000000000001</v>
      </c>
      <c r="AC538" s="38">
        <v>1.16456</v>
      </c>
      <c r="AD538" s="38">
        <v>62.39</v>
      </c>
      <c r="AE538" s="38">
        <v>14.35</v>
      </c>
      <c r="AF538" s="38">
        <f t="shared" si="75"/>
        <v>0.56481143181910443</v>
      </c>
      <c r="AG538" s="38">
        <f t="shared" si="74"/>
        <v>0.6</v>
      </c>
      <c r="AH538" s="38">
        <v>126.32</v>
      </c>
      <c r="AI538" s="38">
        <f t="shared" si="76"/>
        <v>1.0256160435188566</v>
      </c>
      <c r="AJ538" s="38">
        <v>0</v>
      </c>
      <c r="AK538" s="38">
        <f t="shared" si="77"/>
        <v>0</v>
      </c>
      <c r="AL538" s="38">
        <v>0</v>
      </c>
      <c r="AM538" s="38">
        <f>AJ538/(3.5*I538*1000)*100</f>
        <v>0</v>
      </c>
      <c r="AN538" s="25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</row>
    <row r="539" spans="1:88" s="22" customFormat="1">
      <c r="A539" s="1">
        <v>1894</v>
      </c>
      <c r="B539" s="34" t="s">
        <v>2528</v>
      </c>
      <c r="C539" s="34">
        <v>336</v>
      </c>
      <c r="D539" s="75">
        <v>375</v>
      </c>
      <c r="E539" s="8">
        <v>102</v>
      </c>
      <c r="F539" s="9" t="s">
        <v>2529</v>
      </c>
      <c r="G539" s="20" t="s">
        <v>2531</v>
      </c>
      <c r="H539" s="20" t="s">
        <v>2530</v>
      </c>
      <c r="I539" s="21">
        <v>16.489999999999998</v>
      </c>
      <c r="J539" s="8">
        <v>2</v>
      </c>
      <c r="K539" s="8" t="s">
        <v>12</v>
      </c>
      <c r="L539" s="18">
        <v>42089</v>
      </c>
      <c r="M539" s="207" t="s">
        <v>191</v>
      </c>
      <c r="N539" s="26">
        <v>13.04</v>
      </c>
      <c r="O539" s="26">
        <v>2.34</v>
      </c>
      <c r="P539" s="26">
        <v>0.68</v>
      </c>
      <c r="Q539" s="26">
        <v>0.42</v>
      </c>
      <c r="R539" s="26">
        <v>2.0285799999999998</v>
      </c>
      <c r="S539" s="38">
        <f t="shared" si="72"/>
        <v>2</v>
      </c>
      <c r="T539" s="26">
        <v>14.73</v>
      </c>
      <c r="U539" s="26">
        <v>1.1599999999999999</v>
      </c>
      <c r="V539" s="26">
        <v>0.37</v>
      </c>
      <c r="W539" s="26">
        <v>0.24</v>
      </c>
      <c r="X539" s="26">
        <v>5.2771800000000004</v>
      </c>
      <c r="Y539" s="38">
        <f t="shared" si="73"/>
        <v>5.5</v>
      </c>
      <c r="Z539" s="11">
        <v>0</v>
      </c>
      <c r="AA539" s="11">
        <v>0</v>
      </c>
      <c r="AB539" s="11">
        <v>16.489999999999998</v>
      </c>
      <c r="AC539" s="11">
        <v>1.0568599999999999</v>
      </c>
      <c r="AD539" s="11">
        <v>213.67</v>
      </c>
      <c r="AE539" s="11">
        <v>223</v>
      </c>
      <c r="AF539" s="38">
        <f t="shared" si="75"/>
        <v>0.56340639348522914</v>
      </c>
      <c r="AG539" s="38">
        <f t="shared" si="74"/>
        <v>0.6</v>
      </c>
      <c r="AH539" s="38">
        <v>561.98</v>
      </c>
      <c r="AI539" s="38">
        <f t="shared" si="76"/>
        <v>0.97371567183574481</v>
      </c>
      <c r="AJ539" s="38">
        <v>0</v>
      </c>
      <c r="AK539" s="38">
        <f t="shared" si="77"/>
        <v>0</v>
      </c>
      <c r="AL539" s="38">
        <v>1.4</v>
      </c>
      <c r="AM539" s="38">
        <f>AL539/(3.5*I539*1000)*100</f>
        <v>2.4257125530624622E-3</v>
      </c>
      <c r="AN539" s="1"/>
      <c r="AO539" s="1"/>
      <c r="AQ539" s="41">
        <f>SUM(N539:Q539)</f>
        <v>16.48</v>
      </c>
      <c r="AR539" s="41">
        <f>SUM(T539:W539)</f>
        <v>16.5</v>
      </c>
      <c r="AS539" s="12">
        <f>SUM(Z539:AB539)</f>
        <v>16.489999999999998</v>
      </c>
      <c r="AT539" s="1"/>
      <c r="AU539" s="1">
        <f>I539/AQ539</f>
        <v>1.0006067961165048</v>
      </c>
      <c r="AV539" s="1">
        <f>I539/AR539</f>
        <v>0.99939393939393928</v>
      </c>
      <c r="AW539" s="1">
        <f>I539/AS539</f>
        <v>1</v>
      </c>
    </row>
    <row r="540" spans="1:88" s="22" customFormat="1">
      <c r="A540" s="1">
        <v>1066</v>
      </c>
      <c r="B540" s="88" t="s">
        <v>1467</v>
      </c>
      <c r="C540" s="88">
        <v>619</v>
      </c>
      <c r="D540" s="8">
        <v>359</v>
      </c>
      <c r="E540" s="88">
        <v>101</v>
      </c>
      <c r="F540" s="34" t="s">
        <v>1470</v>
      </c>
      <c r="G540" s="58">
        <v>0</v>
      </c>
      <c r="H540" s="58">
        <v>10396</v>
      </c>
      <c r="I540" s="35">
        <v>10.396000000000001</v>
      </c>
      <c r="J540" s="9">
        <v>4</v>
      </c>
      <c r="K540" s="88" t="s">
        <v>237</v>
      </c>
      <c r="L540" s="116">
        <v>42094</v>
      </c>
      <c r="M540" s="9" t="s">
        <v>191</v>
      </c>
      <c r="N540" s="117">
        <v>8.2899999999999991</v>
      </c>
      <c r="O540" s="117">
        <v>1.41</v>
      </c>
      <c r="P540" s="117">
        <v>0.42</v>
      </c>
      <c r="Q540" s="117">
        <v>0.28999999999999998</v>
      </c>
      <c r="R540" s="117">
        <v>2.5396299999999998</v>
      </c>
      <c r="S540" s="38">
        <f t="shared" si="72"/>
        <v>2.5</v>
      </c>
      <c r="T540" s="117">
        <v>8.36</v>
      </c>
      <c r="U540" s="117">
        <v>1.97</v>
      </c>
      <c r="V540" s="117">
        <v>0.08</v>
      </c>
      <c r="W540" s="117">
        <v>0</v>
      </c>
      <c r="X540" s="117">
        <v>7.3702399999999999</v>
      </c>
      <c r="Y540" s="38">
        <f t="shared" si="73"/>
        <v>7.5</v>
      </c>
      <c r="Z540" s="117">
        <v>0</v>
      </c>
      <c r="AA540" s="117">
        <v>0</v>
      </c>
      <c r="AB540" s="117">
        <v>10.4</v>
      </c>
      <c r="AC540" s="117">
        <v>1.4954799999999999</v>
      </c>
      <c r="AD540" s="38">
        <v>204.82</v>
      </c>
      <c r="AE540" s="38">
        <v>0</v>
      </c>
      <c r="AF540" s="169">
        <f t="shared" si="75"/>
        <v>0.56290881108118507</v>
      </c>
      <c r="AG540" s="38">
        <f t="shared" si="74"/>
        <v>0.6</v>
      </c>
      <c r="AH540" s="38">
        <v>0</v>
      </c>
      <c r="AI540" s="99">
        <f t="shared" si="76"/>
        <v>0</v>
      </c>
      <c r="AJ540" s="38">
        <v>0</v>
      </c>
      <c r="AK540" s="99">
        <f t="shared" si="77"/>
        <v>0</v>
      </c>
      <c r="AL540" s="38">
        <v>0</v>
      </c>
      <c r="AM540" s="99">
        <f>AL540/(3.5*I540*1000)*100</f>
        <v>0</v>
      </c>
      <c r="AN540" s="12"/>
      <c r="AO540" s="12"/>
      <c r="AP540" s="12">
        <f>AE540*0.5</f>
        <v>0</v>
      </c>
      <c r="AQ540" s="12">
        <f>(AD540+AH540+AJ540+AL540+AP540)*I540</f>
        <v>2129.30872</v>
      </c>
      <c r="AR540" s="12"/>
      <c r="AS540" s="25">
        <f>SUM(N540:Q540)</f>
        <v>10.409999999999998</v>
      </c>
      <c r="AT540" s="22">
        <f>SUM(T540:W540)</f>
        <v>10.41</v>
      </c>
      <c r="AU540" s="268">
        <v>10.396000000000001</v>
      </c>
      <c r="AV540" s="41">
        <f>SUM(N540:Q540)</f>
        <v>10.409999999999998</v>
      </c>
      <c r="AW540" s="41">
        <f>SUM(T540:W540)</f>
        <v>10.41</v>
      </c>
      <c r="AX540" s="41">
        <f>SUM(Z540:AB540)</f>
        <v>10.4</v>
      </c>
      <c r="AZ540" s="22">
        <f>I540/AV540</f>
        <v>0.99865513928914529</v>
      </c>
      <c r="BA540" s="22">
        <f>I540/AW540</f>
        <v>0.99865513928914507</v>
      </c>
      <c r="BB540" s="22">
        <f>I540/AX540</f>
        <v>0.99961538461538468</v>
      </c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</row>
    <row r="541" spans="1:88" s="22" customFormat="1" ht="23.25" customHeight="1">
      <c r="A541" s="1">
        <v>1372</v>
      </c>
      <c r="B541" s="74" t="s">
        <v>1905</v>
      </c>
      <c r="C541" s="34">
        <v>445</v>
      </c>
      <c r="D541" s="75">
        <v>3363</v>
      </c>
      <c r="E541" s="69">
        <v>100</v>
      </c>
      <c r="F541" s="184" t="s">
        <v>1921</v>
      </c>
      <c r="G541" s="20" t="s">
        <v>1923</v>
      </c>
      <c r="H541" s="20" t="s">
        <v>1924</v>
      </c>
      <c r="I541" s="21">
        <v>19.085999999999999</v>
      </c>
      <c r="J541" s="8">
        <v>2</v>
      </c>
      <c r="K541" s="34" t="s">
        <v>238</v>
      </c>
      <c r="L541" s="10">
        <v>42208</v>
      </c>
      <c r="M541" s="9" t="s">
        <v>191</v>
      </c>
      <c r="N541" s="38">
        <v>10.525</v>
      </c>
      <c r="O541" s="38">
        <v>4.3</v>
      </c>
      <c r="P541" s="38">
        <v>3.15</v>
      </c>
      <c r="Q541" s="38">
        <v>1.6</v>
      </c>
      <c r="R541" s="38">
        <v>2.8584200000000002</v>
      </c>
      <c r="S541" s="38">
        <f t="shared" si="72"/>
        <v>3</v>
      </c>
      <c r="T541" s="38">
        <v>16.774999999999999</v>
      </c>
      <c r="U541" s="38">
        <v>1.55</v>
      </c>
      <c r="V541" s="38">
        <v>0.9</v>
      </c>
      <c r="W541" s="38">
        <v>0.35</v>
      </c>
      <c r="X541" s="38">
        <v>5.4479499999999996</v>
      </c>
      <c r="Y541" s="38">
        <f t="shared" si="73"/>
        <v>5.5</v>
      </c>
      <c r="Z541" s="38">
        <v>0</v>
      </c>
      <c r="AA541" s="38">
        <v>0</v>
      </c>
      <c r="AB541" s="38">
        <v>19.574999999999999</v>
      </c>
      <c r="AC541" s="38">
        <v>1.2818000000000001</v>
      </c>
      <c r="AD541" s="38">
        <v>369</v>
      </c>
      <c r="AE541" s="38">
        <v>13</v>
      </c>
      <c r="AF541" s="38">
        <v>0.56211733357285087</v>
      </c>
      <c r="AG541" s="38">
        <f t="shared" si="74"/>
        <v>0.6</v>
      </c>
      <c r="AH541" s="38">
        <v>0</v>
      </c>
      <c r="AI541" s="38">
        <v>0</v>
      </c>
      <c r="AJ541" s="38">
        <v>248</v>
      </c>
      <c r="AK541" s="38">
        <v>0.37125192736635687</v>
      </c>
      <c r="AL541" s="38">
        <v>1</v>
      </c>
      <c r="AM541" s="38">
        <v>1.4969835780901486E-3</v>
      </c>
      <c r="AN541" s="72"/>
      <c r="AO541" s="41"/>
      <c r="AP541" s="41"/>
      <c r="AQ541" s="41"/>
      <c r="AR541" s="41"/>
      <c r="AS541" s="73"/>
      <c r="AT541" s="73"/>
      <c r="AU541" s="73"/>
      <c r="AV541" s="73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</row>
    <row r="542" spans="1:88" s="22" customFormat="1">
      <c r="A542" s="1">
        <v>61</v>
      </c>
      <c r="B542" s="4" t="s">
        <v>37</v>
      </c>
      <c r="C542" s="14">
        <v>523</v>
      </c>
      <c r="D542" s="19">
        <v>1391</v>
      </c>
      <c r="E542" s="16">
        <v>100</v>
      </c>
      <c r="F542" s="14" t="s">
        <v>126</v>
      </c>
      <c r="G542" s="20" t="s">
        <v>113</v>
      </c>
      <c r="H542" s="20" t="s">
        <v>92</v>
      </c>
      <c r="I542" s="8">
        <v>2.7130000000000001</v>
      </c>
      <c r="J542" s="8">
        <v>2</v>
      </c>
      <c r="K542" s="9" t="s">
        <v>12</v>
      </c>
      <c r="L542" s="18">
        <v>42222</v>
      </c>
      <c r="M542" s="9" t="s">
        <v>191</v>
      </c>
      <c r="N542" s="26">
        <v>1.925</v>
      </c>
      <c r="O542" s="26">
        <v>0.45</v>
      </c>
      <c r="P542" s="26">
        <v>0.125</v>
      </c>
      <c r="Q542" s="26">
        <v>0.22500000000000001</v>
      </c>
      <c r="R542" s="26">
        <v>2.6311900000000001</v>
      </c>
      <c r="S542" s="38">
        <f t="shared" si="72"/>
        <v>2.5</v>
      </c>
      <c r="T542" s="26">
        <v>2.7250000000000001</v>
      </c>
      <c r="U542" s="26">
        <v>0</v>
      </c>
      <c r="V542" s="26">
        <v>0</v>
      </c>
      <c r="W542" s="26">
        <v>0</v>
      </c>
      <c r="X542" s="26">
        <v>1.5872299999999999</v>
      </c>
      <c r="Y542" s="38">
        <f t="shared" si="73"/>
        <v>1.5</v>
      </c>
      <c r="Z542" s="26">
        <v>0</v>
      </c>
      <c r="AA542" s="26">
        <v>0</v>
      </c>
      <c r="AB542" s="26">
        <f>SUM(N542:Q542)</f>
        <v>2.7250000000000001</v>
      </c>
      <c r="AC542" s="26">
        <v>1.1180000000000001</v>
      </c>
      <c r="AD542" s="26">
        <v>0</v>
      </c>
      <c r="AE542" s="26">
        <v>105.88</v>
      </c>
      <c r="AF542" s="26">
        <f>(AD542+AE542*0.5)/(3.5*I542*1000)*100</f>
        <v>0.55752724974988144</v>
      </c>
      <c r="AG542" s="38">
        <f t="shared" si="74"/>
        <v>0.6</v>
      </c>
      <c r="AH542" s="26">
        <v>107.89</v>
      </c>
      <c r="AI542" s="26">
        <f>AH542/(3.5*I542*1000)*100</f>
        <v>1.136222421146859</v>
      </c>
      <c r="AJ542" s="26">
        <v>0</v>
      </c>
      <c r="AK542" s="26">
        <f>AJ542/(3.5*I542*1000)*100</f>
        <v>0</v>
      </c>
      <c r="AL542" s="26">
        <v>0</v>
      </c>
      <c r="AM542" s="26">
        <f>AL542/(3.5*I542*1000)*100</f>
        <v>0</v>
      </c>
      <c r="AO542" s="25"/>
      <c r="AP542" s="25"/>
    </row>
    <row r="543" spans="1:88" s="22" customFormat="1">
      <c r="A543" s="1">
        <v>170</v>
      </c>
      <c r="B543" s="34" t="s">
        <v>332</v>
      </c>
      <c r="C543" s="34">
        <v>533</v>
      </c>
      <c r="D543" s="34">
        <v>120</v>
      </c>
      <c r="E543" s="34">
        <v>300</v>
      </c>
      <c r="F543" s="34" t="s">
        <v>348</v>
      </c>
      <c r="G543" s="20">
        <v>55950</v>
      </c>
      <c r="H543" s="20">
        <v>60541</v>
      </c>
      <c r="I543" s="35">
        <v>4.5910000000000002</v>
      </c>
      <c r="J543" s="33">
        <v>2</v>
      </c>
      <c r="K543" s="34" t="s">
        <v>238</v>
      </c>
      <c r="L543" s="10">
        <v>42205</v>
      </c>
      <c r="M543" s="9" t="s">
        <v>191</v>
      </c>
      <c r="N543" s="38">
        <v>3.86</v>
      </c>
      <c r="O543" s="38">
        <v>0.45</v>
      </c>
      <c r="P543" s="38">
        <v>0.25</v>
      </c>
      <c r="Q543" s="38">
        <v>0.03</v>
      </c>
      <c r="R543" s="38">
        <v>2.12697</v>
      </c>
      <c r="S543" s="38">
        <f t="shared" si="72"/>
        <v>2</v>
      </c>
      <c r="T543" s="38">
        <v>4.46</v>
      </c>
      <c r="U543" s="38">
        <v>0.13</v>
      </c>
      <c r="V543" s="38">
        <v>0</v>
      </c>
      <c r="W543" s="38">
        <v>0</v>
      </c>
      <c r="X543" s="38">
        <v>5.7729299999999997</v>
      </c>
      <c r="Y543" s="38">
        <f t="shared" si="73"/>
        <v>6</v>
      </c>
      <c r="Z543" s="38">
        <v>0</v>
      </c>
      <c r="AA543" s="38">
        <v>0</v>
      </c>
      <c r="AB543" s="38">
        <v>4.59</v>
      </c>
      <c r="AC543" s="38">
        <v>1.1006100000000001</v>
      </c>
      <c r="AD543" s="38">
        <v>4</v>
      </c>
      <c r="AE543" s="38">
        <v>170.18</v>
      </c>
      <c r="AF543" s="38">
        <f>(AD543+AE543*0.5)/(3.5*I543*1000)*100</f>
        <v>0.55443880884961261</v>
      </c>
      <c r="AG543" s="38">
        <f t="shared" si="74"/>
        <v>0.6</v>
      </c>
      <c r="AH543" s="38">
        <v>0</v>
      </c>
      <c r="AI543" s="38">
        <f>AH543/(3.5*I543*1000)*100</f>
        <v>0</v>
      </c>
      <c r="AJ543" s="38">
        <v>0</v>
      </c>
      <c r="AK543" s="38">
        <f>AJ543/(3.5*I543*1000)*100</f>
        <v>0</v>
      </c>
      <c r="AL543" s="38">
        <v>0</v>
      </c>
      <c r="AM543" s="38">
        <f>AL543/(3.5*I543*1000)*100</f>
        <v>0</v>
      </c>
      <c r="AN543" s="25"/>
      <c r="AO543" s="25">
        <f>AE543*0.5</f>
        <v>85.09</v>
      </c>
      <c r="AP543" s="25">
        <f>(AD543+AH543+AJ543+AL543+AO543)*I543</f>
        <v>409.01219000000003</v>
      </c>
      <c r="AQ543" s="25"/>
      <c r="AR543" s="25">
        <f>SUM(N543:Q543)</f>
        <v>4.59</v>
      </c>
      <c r="AS543" s="25">
        <f>SUM(T543:W543)</f>
        <v>4.59</v>
      </c>
      <c r="AU543" s="41">
        <f>SUM(N543:Q543)</f>
        <v>4.59</v>
      </c>
      <c r="AV543" s="41">
        <f>SUM(T543:W543)</f>
        <v>4.59</v>
      </c>
      <c r="AW543" s="41">
        <f>SUM(Z543:AB543)</f>
        <v>4.59</v>
      </c>
      <c r="AX543" s="41"/>
      <c r="AY543" s="22">
        <f>I543/AU543</f>
        <v>1.0002178649237474</v>
      </c>
      <c r="AZ543" s="22">
        <f>I543/AV543</f>
        <v>1.0002178649237474</v>
      </c>
      <c r="BA543" s="22">
        <f>I543/AW543</f>
        <v>1.0002178649237474</v>
      </c>
    </row>
    <row r="544" spans="1:88" s="22" customFormat="1">
      <c r="A544" s="1">
        <v>1335</v>
      </c>
      <c r="B544" s="74" t="s">
        <v>1851</v>
      </c>
      <c r="C544" s="34">
        <v>444</v>
      </c>
      <c r="D544" s="75">
        <v>3398</v>
      </c>
      <c r="E544" s="69">
        <v>100</v>
      </c>
      <c r="F544" s="34" t="s">
        <v>1882</v>
      </c>
      <c r="G544" s="20">
        <v>0</v>
      </c>
      <c r="H544" s="20">
        <v>13804</v>
      </c>
      <c r="I544" s="21">
        <v>13.804</v>
      </c>
      <c r="J544" s="8">
        <v>2</v>
      </c>
      <c r="K544" s="34" t="s">
        <v>238</v>
      </c>
      <c r="L544" s="10">
        <v>42212</v>
      </c>
      <c r="M544" s="9" t="s">
        <v>191</v>
      </c>
      <c r="N544" s="38">
        <v>9.7249999999999996</v>
      </c>
      <c r="O544" s="38">
        <v>2.9</v>
      </c>
      <c r="P544" s="38">
        <v>0.92500000000000004</v>
      </c>
      <c r="Q544" s="38">
        <v>0.25</v>
      </c>
      <c r="R544" s="38">
        <v>2.3926599999999998</v>
      </c>
      <c r="S544" s="38">
        <f t="shared" si="72"/>
        <v>2.5</v>
      </c>
      <c r="T544" s="38">
        <v>13.725</v>
      </c>
      <c r="U544" s="38">
        <v>7.4999999999999997E-2</v>
      </c>
      <c r="V544" s="38">
        <v>0</v>
      </c>
      <c r="W544" s="38">
        <v>0</v>
      </c>
      <c r="X544" s="38">
        <v>2.4617499999999999</v>
      </c>
      <c r="Y544" s="38">
        <f t="shared" si="73"/>
        <v>2.5</v>
      </c>
      <c r="Z544" s="38">
        <v>0</v>
      </c>
      <c r="AA544" s="38">
        <v>0</v>
      </c>
      <c r="AB544" s="38">
        <v>13.8</v>
      </c>
      <c r="AC544" s="38">
        <v>1.25783</v>
      </c>
      <c r="AD544" s="38">
        <v>176</v>
      </c>
      <c r="AE544" s="38">
        <v>183</v>
      </c>
      <c r="AF544" s="38">
        <v>0.55366974375957279</v>
      </c>
      <c r="AG544" s="38">
        <f t="shared" si="74"/>
        <v>0.6</v>
      </c>
      <c r="AH544" s="38">
        <v>2</v>
      </c>
      <c r="AI544" s="38">
        <v>4.1395868692304513E-3</v>
      </c>
      <c r="AJ544" s="38">
        <v>41</v>
      </c>
      <c r="AK544" s="38">
        <v>8.4861530819224235E-2</v>
      </c>
      <c r="AL544" s="38">
        <v>0</v>
      </c>
      <c r="AM544" s="38">
        <v>0</v>
      </c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</row>
    <row r="545" spans="1:88" s="22" customFormat="1">
      <c r="A545" s="1">
        <v>688</v>
      </c>
      <c r="B545" s="34" t="s">
        <v>1084</v>
      </c>
      <c r="C545" s="34">
        <v>624</v>
      </c>
      <c r="D545" s="34">
        <v>2289</v>
      </c>
      <c r="E545" s="34">
        <v>200</v>
      </c>
      <c r="F545" s="34" t="s">
        <v>1098</v>
      </c>
      <c r="G545" s="58">
        <v>16700</v>
      </c>
      <c r="H545" s="58">
        <v>25388</v>
      </c>
      <c r="I545" s="35">
        <v>8.6880000000000006</v>
      </c>
      <c r="J545" s="127">
        <v>2</v>
      </c>
      <c r="K545" s="34" t="s">
        <v>238</v>
      </c>
      <c r="L545" s="10">
        <v>42170</v>
      </c>
      <c r="M545" s="9" t="s">
        <v>191</v>
      </c>
      <c r="N545" s="38">
        <v>2.4249999999999998</v>
      </c>
      <c r="O545" s="38">
        <v>2.85</v>
      </c>
      <c r="P545" s="38">
        <v>2.6</v>
      </c>
      <c r="Q545" s="38">
        <v>0.7</v>
      </c>
      <c r="R545" s="38">
        <v>3.3175500000000002</v>
      </c>
      <c r="S545" s="38">
        <f t="shared" si="72"/>
        <v>3.5</v>
      </c>
      <c r="T545" s="38">
        <v>8.0749999999999993</v>
      </c>
      <c r="U545" s="38">
        <v>0.47499999999999998</v>
      </c>
      <c r="V545" s="38">
        <v>2.5000000000000001E-2</v>
      </c>
      <c r="W545" s="38">
        <v>0</v>
      </c>
      <c r="X545" s="38">
        <v>4.6938599999999999</v>
      </c>
      <c r="Y545" s="38">
        <f t="shared" si="73"/>
        <v>4.5</v>
      </c>
      <c r="Z545" s="38">
        <v>0</v>
      </c>
      <c r="AA545" s="38">
        <v>0</v>
      </c>
      <c r="AB545" s="38">
        <f>N545+O545+P545+Q545</f>
        <v>8.5749999999999993</v>
      </c>
      <c r="AC545" s="38">
        <v>1.09873</v>
      </c>
      <c r="AD545" s="38">
        <v>121.63</v>
      </c>
      <c r="AE545" s="38">
        <v>93.2</v>
      </c>
      <c r="AF545" s="38">
        <v>0.55323999999999995</v>
      </c>
      <c r="AG545" s="38">
        <f t="shared" si="74"/>
        <v>0.6</v>
      </c>
      <c r="AH545" s="38">
        <v>16.21</v>
      </c>
      <c r="AI545" s="38">
        <v>5.3310000000000003E-2</v>
      </c>
      <c r="AJ545" s="38">
        <v>159.82</v>
      </c>
      <c r="AK545" s="38">
        <v>0.52558499999999997</v>
      </c>
      <c r="AL545" s="38">
        <v>0</v>
      </c>
      <c r="AM545" s="38">
        <v>0</v>
      </c>
      <c r="AN545" s="25"/>
      <c r="AO545" s="25">
        <f>AE545*0.5</f>
        <v>46.6</v>
      </c>
      <c r="AP545" s="25">
        <f>(AD545+AH545+AJ545+AL545+AO545)*I545</f>
        <v>2990.9308800000003</v>
      </c>
      <c r="AQ545" s="25">
        <f>SUM(N545:Q545)</f>
        <v>8.5749999999999993</v>
      </c>
      <c r="AR545" s="25">
        <f>SUM(T545:W545)</f>
        <v>8.5749999999999993</v>
      </c>
      <c r="AT545" s="41"/>
      <c r="AU545" s="41"/>
      <c r="AV545" s="41"/>
      <c r="AW545" s="41"/>
    </row>
    <row r="546" spans="1:88" s="22" customFormat="1">
      <c r="A546" s="1">
        <v>1001</v>
      </c>
      <c r="B546" s="170" t="s">
        <v>1394</v>
      </c>
      <c r="C546" s="170">
        <v>617</v>
      </c>
      <c r="D546" s="8">
        <v>219</v>
      </c>
      <c r="E546" s="170">
        <v>302</v>
      </c>
      <c r="F546" s="9" t="s">
        <v>1399</v>
      </c>
      <c r="G546" s="20">
        <v>128082</v>
      </c>
      <c r="H546" s="20">
        <v>137897</v>
      </c>
      <c r="I546" s="35">
        <v>9.8149999999999995</v>
      </c>
      <c r="J546" s="9">
        <v>4</v>
      </c>
      <c r="K546" s="9" t="s">
        <v>238</v>
      </c>
      <c r="L546" s="172">
        <v>42129</v>
      </c>
      <c r="M546" s="9" t="s">
        <v>191</v>
      </c>
      <c r="N546" s="173">
        <v>3.7749999999999999</v>
      </c>
      <c r="O546" s="173">
        <v>2.875</v>
      </c>
      <c r="P546" s="173">
        <v>2.5</v>
      </c>
      <c r="Q546" s="173">
        <v>0.95</v>
      </c>
      <c r="R546" s="173">
        <v>3.2932100000000002</v>
      </c>
      <c r="S546" s="38">
        <f t="shared" si="72"/>
        <v>3.5</v>
      </c>
      <c r="T546" s="173">
        <v>5.1749999999999998</v>
      </c>
      <c r="U546" s="173">
        <v>2.95</v>
      </c>
      <c r="V546" s="173">
        <v>1.1000000000000001</v>
      </c>
      <c r="W546" s="173">
        <v>0.875</v>
      </c>
      <c r="X546" s="173">
        <v>9.7056000000000004</v>
      </c>
      <c r="Y546" s="38">
        <f t="shared" si="73"/>
        <v>9.5</v>
      </c>
      <c r="Z546" s="11">
        <v>0</v>
      </c>
      <c r="AA546" s="11">
        <v>0</v>
      </c>
      <c r="AB546" s="11">
        <f>SUM(N546:Q546)</f>
        <v>10.1</v>
      </c>
      <c r="AC546" s="173">
        <v>1.2080900000000001</v>
      </c>
      <c r="AD546" s="11">
        <v>139</v>
      </c>
      <c r="AE546" s="11">
        <v>97.96</v>
      </c>
      <c r="AF546" s="169">
        <f>(AD546+AE546*0.5)/(3.5*I546*1000)*100</f>
        <v>0.54720908230842003</v>
      </c>
      <c r="AG546" s="38">
        <f t="shared" si="74"/>
        <v>0.5</v>
      </c>
      <c r="AH546" s="11">
        <v>133.13999999999999</v>
      </c>
      <c r="AI546" s="99">
        <f>AH546/(3.5*I546*1000)*100</f>
        <v>0.38757004584819149</v>
      </c>
      <c r="AJ546" s="11">
        <v>114.44</v>
      </c>
      <c r="AK546" s="99">
        <f>AJ546/(3.5*I546*1000)*100</f>
        <v>0.33313441525362053</v>
      </c>
      <c r="AL546" s="11">
        <v>0</v>
      </c>
      <c r="AM546" s="99">
        <f>AL546/(3.5*I546*1000)*100</f>
        <v>0</v>
      </c>
      <c r="AN546" s="12"/>
      <c r="AO546" s="25">
        <f>AE546*0.5</f>
        <v>48.98</v>
      </c>
      <c r="AP546" s="25">
        <f>(AD546+AH546+AJ546+AL546+AO546)*I546</f>
        <v>4275.0213999999996</v>
      </c>
      <c r="AQ546" s="12"/>
      <c r="AR546" s="12"/>
      <c r="AS546" s="25">
        <f>SUM(N546:Q546)</f>
        <v>10.1</v>
      </c>
      <c r="AT546" s="25">
        <f>SUM(T546:W546)</f>
        <v>10.1</v>
      </c>
      <c r="AU546" s="41"/>
      <c r="AV546" s="41"/>
      <c r="AW546" s="4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</row>
    <row r="547" spans="1:88" s="22" customFormat="1">
      <c r="A547" s="1">
        <v>177</v>
      </c>
      <c r="B547" s="34" t="s">
        <v>332</v>
      </c>
      <c r="C547" s="34">
        <v>533</v>
      </c>
      <c r="D547" s="34">
        <v>1181</v>
      </c>
      <c r="E547" s="34">
        <v>100</v>
      </c>
      <c r="F547" s="34" t="s">
        <v>357</v>
      </c>
      <c r="G547" s="20">
        <v>0</v>
      </c>
      <c r="H547" s="20">
        <v>14365</v>
      </c>
      <c r="I547" s="35">
        <v>14.365</v>
      </c>
      <c r="J547" s="33">
        <v>2</v>
      </c>
      <c r="K547" s="34" t="s">
        <v>238</v>
      </c>
      <c r="L547" s="10">
        <v>42203</v>
      </c>
      <c r="M547" s="9" t="s">
        <v>191</v>
      </c>
      <c r="N547" s="38">
        <v>6.57</v>
      </c>
      <c r="O547" s="38">
        <v>3.77</v>
      </c>
      <c r="P547" s="38">
        <v>2.67</v>
      </c>
      <c r="Q547" s="38">
        <v>1.36</v>
      </c>
      <c r="R547" s="38">
        <v>3.0068000000000001</v>
      </c>
      <c r="S547" s="38">
        <f t="shared" si="72"/>
        <v>3</v>
      </c>
      <c r="T547" s="38">
        <v>12.12</v>
      </c>
      <c r="U547" s="38">
        <v>1.59</v>
      </c>
      <c r="V547" s="38">
        <v>0.38</v>
      </c>
      <c r="W547" s="38">
        <v>0.28000000000000003</v>
      </c>
      <c r="X547" s="38">
        <v>5.9813000000000001</v>
      </c>
      <c r="Y547" s="38">
        <f t="shared" si="73"/>
        <v>6</v>
      </c>
      <c r="Z547" s="38">
        <v>0</v>
      </c>
      <c r="AA547" s="38">
        <v>0</v>
      </c>
      <c r="AB547" s="38">
        <v>14.37</v>
      </c>
      <c r="AC547" s="38">
        <v>1.35537</v>
      </c>
      <c r="AD547" s="38">
        <v>241</v>
      </c>
      <c r="AE547" s="38">
        <v>66.98</v>
      </c>
      <c r="AF547" s="38">
        <f>(AD547+AE547*0.5)/(3.5*I547*1000)*100</f>
        <v>0.54594997762418573</v>
      </c>
      <c r="AG547" s="38">
        <f t="shared" si="74"/>
        <v>0.5</v>
      </c>
      <c r="AH547" s="38">
        <v>0</v>
      </c>
      <c r="AI547" s="38">
        <f>AH547/(3.5*I547*1000)*100</f>
        <v>0</v>
      </c>
      <c r="AJ547" s="38">
        <v>0</v>
      </c>
      <c r="AK547" s="38">
        <f>AJ547/(3.5*I547*1000)*100</f>
        <v>0</v>
      </c>
      <c r="AL547" s="38">
        <v>0</v>
      </c>
      <c r="AM547" s="38">
        <f>AL547/(3.5*I547*1000)*100</f>
        <v>0</v>
      </c>
      <c r="AN547" s="25"/>
      <c r="AO547" s="25">
        <f>AE547*0.5</f>
        <v>33.49</v>
      </c>
      <c r="AP547" s="25">
        <f>(AD547+AH547+AJ547+AL547+AO547)*I547</f>
        <v>3943.0488500000001</v>
      </c>
      <c r="AQ547" s="25"/>
      <c r="AR547" s="25">
        <f>SUM(N547:Q547)</f>
        <v>14.37</v>
      </c>
      <c r="AS547" s="25">
        <f>SUM(T547:W547)</f>
        <v>14.37</v>
      </c>
      <c r="AU547" s="41">
        <f>SUM(N547:Q547)</f>
        <v>14.37</v>
      </c>
      <c r="AV547" s="41">
        <f>SUM(T547:W547)</f>
        <v>14.37</v>
      </c>
      <c r="AW547" s="41">
        <f>SUM(Z547:AB547)</f>
        <v>14.37</v>
      </c>
      <c r="AX547" s="41"/>
      <c r="AY547" s="22">
        <f>I547/AU547</f>
        <v>0.99965205288796111</v>
      </c>
      <c r="AZ547" s="22">
        <f>I547/AV547</f>
        <v>0.99965205288796111</v>
      </c>
      <c r="BA547" s="22">
        <f>I547/AW547</f>
        <v>0.99965205288796111</v>
      </c>
    </row>
    <row r="548" spans="1:88" s="22" customFormat="1" ht="27" customHeight="1">
      <c r="A548" s="1">
        <v>1953</v>
      </c>
      <c r="B548" s="34" t="s">
        <v>2586</v>
      </c>
      <c r="C548" s="34">
        <v>321</v>
      </c>
      <c r="D548" s="75">
        <v>4016</v>
      </c>
      <c r="E548" s="8">
        <v>102</v>
      </c>
      <c r="F548" s="34" t="s">
        <v>2598</v>
      </c>
      <c r="G548" s="58">
        <v>23250</v>
      </c>
      <c r="H548" s="58">
        <v>40789</v>
      </c>
      <c r="I548" s="21">
        <v>17.539000000000001</v>
      </c>
      <c r="J548" s="8">
        <v>2</v>
      </c>
      <c r="K548" s="8" t="s">
        <v>12</v>
      </c>
      <c r="L548" s="18">
        <v>42124</v>
      </c>
      <c r="M548" s="37" t="s">
        <v>191</v>
      </c>
      <c r="N548" s="38">
        <v>12.95</v>
      </c>
      <c r="O548" s="38">
        <v>2.9</v>
      </c>
      <c r="P548" s="38">
        <v>1.2250000000000001</v>
      </c>
      <c r="Q548" s="38">
        <v>0.6</v>
      </c>
      <c r="R548" s="38">
        <v>2.2719499999999999</v>
      </c>
      <c r="S548" s="38">
        <f t="shared" si="72"/>
        <v>2.5</v>
      </c>
      <c r="T548" s="38">
        <v>13.675000000000001</v>
      </c>
      <c r="U548" s="38">
        <v>2.95</v>
      </c>
      <c r="V548" s="38">
        <v>0.72499999999999998</v>
      </c>
      <c r="W548" s="38">
        <v>0.32500000000000001</v>
      </c>
      <c r="X548" s="38">
        <v>5.8704599999999996</v>
      </c>
      <c r="Y548" s="38">
        <f t="shared" si="73"/>
        <v>6</v>
      </c>
      <c r="Z548" s="38">
        <v>0</v>
      </c>
      <c r="AA548" s="38">
        <v>0</v>
      </c>
      <c r="AB548" s="38">
        <v>17.675000000000001</v>
      </c>
      <c r="AC548" s="38">
        <v>1.31538</v>
      </c>
      <c r="AD548" s="39">
        <v>306.92</v>
      </c>
      <c r="AE548" s="38">
        <v>56.39</v>
      </c>
      <c r="AF548" s="38">
        <f>(AD548+AE548*0.5)/(3.5*I548*1000)*100</f>
        <v>0.54590993133669441</v>
      </c>
      <c r="AG548" s="38">
        <f t="shared" si="74"/>
        <v>0.5</v>
      </c>
      <c r="AH548" s="38">
        <v>11.54</v>
      </c>
      <c r="AI548" s="38">
        <f>AH548/(3.5*I548*1000)*100</f>
        <v>1.879892158699388E-2</v>
      </c>
      <c r="AJ548" s="38">
        <v>534.29</v>
      </c>
      <c r="AK548" s="38">
        <v>0.87037052120580249</v>
      </c>
      <c r="AL548" s="38">
        <v>1</v>
      </c>
      <c r="AM548" s="38">
        <f>AL548/(3.5*I548*1000)*100</f>
        <v>1.6290226678504229E-3</v>
      </c>
      <c r="AN548" s="73"/>
      <c r="AO548" s="72"/>
      <c r="AP548" s="41"/>
      <c r="AQ548" s="41"/>
      <c r="AR548" s="73"/>
      <c r="AS548" s="48"/>
      <c r="AT548" s="73"/>
      <c r="AU548" s="73"/>
      <c r="AV548" s="73"/>
      <c r="AW548" s="73"/>
      <c r="AX548" s="73"/>
      <c r="AY548" s="73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</row>
    <row r="549" spans="1:88" s="22" customFormat="1" ht="22.5" customHeight="1">
      <c r="A549" s="1">
        <v>1316</v>
      </c>
      <c r="B549" s="74" t="s">
        <v>1851</v>
      </c>
      <c r="C549" s="34">
        <v>444</v>
      </c>
      <c r="D549" s="75">
        <v>324</v>
      </c>
      <c r="E549" s="69">
        <v>100</v>
      </c>
      <c r="F549" s="34" t="s">
        <v>1860</v>
      </c>
      <c r="G549" s="20">
        <v>2000</v>
      </c>
      <c r="H549" s="20">
        <v>11000</v>
      </c>
      <c r="I549" s="21">
        <v>9</v>
      </c>
      <c r="J549" s="8">
        <v>4</v>
      </c>
      <c r="K549" s="34" t="s">
        <v>237</v>
      </c>
      <c r="L549" s="10">
        <v>42211</v>
      </c>
      <c r="M549" s="37" t="s">
        <v>191</v>
      </c>
      <c r="N549" s="38">
        <v>5.25</v>
      </c>
      <c r="O549" s="38">
        <v>2.4249999999999998</v>
      </c>
      <c r="P549" s="38">
        <v>0.875</v>
      </c>
      <c r="Q549" s="38">
        <v>0.47499999999999998</v>
      </c>
      <c r="R549" s="38">
        <v>2.7157300000000002</v>
      </c>
      <c r="S549" s="38">
        <f t="shared" si="72"/>
        <v>2.5</v>
      </c>
      <c r="T549" s="38">
        <v>8.4</v>
      </c>
      <c r="U549" s="38">
        <v>0.52500000000000002</v>
      </c>
      <c r="V549" s="38">
        <v>0.1</v>
      </c>
      <c r="W549" s="38">
        <v>0</v>
      </c>
      <c r="X549" s="38">
        <v>5.6531599999999997</v>
      </c>
      <c r="Y549" s="38">
        <f t="shared" si="73"/>
        <v>5.5</v>
      </c>
      <c r="Z549" s="38">
        <v>0</v>
      </c>
      <c r="AA549" s="38">
        <v>0</v>
      </c>
      <c r="AB549" s="38">
        <v>9.0250000000000004</v>
      </c>
      <c r="AC549" s="38">
        <v>1.04501</v>
      </c>
      <c r="AD549" s="39">
        <v>171</v>
      </c>
      <c r="AE549" s="38">
        <v>0</v>
      </c>
      <c r="AF549" s="38">
        <v>0.54285714285714282</v>
      </c>
      <c r="AG549" s="38">
        <f t="shared" si="74"/>
        <v>0.5</v>
      </c>
      <c r="AH549" s="38">
        <v>0</v>
      </c>
      <c r="AI549" s="38">
        <v>0</v>
      </c>
      <c r="AJ549" s="38">
        <v>0</v>
      </c>
      <c r="AK549" s="38">
        <v>0</v>
      </c>
      <c r="AL549" s="38">
        <v>0</v>
      </c>
      <c r="AM549" s="38">
        <v>0</v>
      </c>
      <c r="AN549" s="1"/>
      <c r="AO549" s="1"/>
      <c r="AP549" s="1"/>
      <c r="AQ549" s="1"/>
      <c r="AR549" s="1"/>
      <c r="AS549" s="178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</row>
    <row r="550" spans="1:88" s="22" customFormat="1">
      <c r="A550" s="1">
        <v>1255</v>
      </c>
      <c r="B550" s="34" t="s">
        <v>1775</v>
      </c>
      <c r="C550" s="88">
        <v>438</v>
      </c>
      <c r="D550" s="88">
        <v>1118</v>
      </c>
      <c r="E550" s="88">
        <v>100</v>
      </c>
      <c r="F550" s="88" t="s">
        <v>1780</v>
      </c>
      <c r="G550" s="88" t="s">
        <v>696</v>
      </c>
      <c r="H550" s="88" t="s">
        <v>92</v>
      </c>
      <c r="I550" s="115">
        <v>10.827</v>
      </c>
      <c r="J550" s="88">
        <v>2</v>
      </c>
      <c r="K550" s="88" t="s">
        <v>12</v>
      </c>
      <c r="L550" s="116">
        <v>42282</v>
      </c>
      <c r="M550" s="37" t="s">
        <v>191</v>
      </c>
      <c r="N550" s="117">
        <v>5.65</v>
      </c>
      <c r="O550" s="117">
        <v>3.35</v>
      </c>
      <c r="P550" s="117">
        <v>1.325</v>
      </c>
      <c r="Q550" s="117">
        <v>0.52500000000000002</v>
      </c>
      <c r="R550" s="117">
        <v>2.8077000000000001</v>
      </c>
      <c r="S550" s="38">
        <f t="shared" si="72"/>
        <v>3</v>
      </c>
      <c r="T550" s="117">
        <v>6.9749999999999996</v>
      </c>
      <c r="U550" s="117">
        <v>2.4249999999999998</v>
      </c>
      <c r="V550" s="117">
        <v>0.9</v>
      </c>
      <c r="W550" s="117">
        <v>0.55000000000000004</v>
      </c>
      <c r="X550" s="117">
        <v>9.1943199999999994</v>
      </c>
      <c r="Y550" s="38">
        <f t="shared" si="73"/>
        <v>9</v>
      </c>
      <c r="Z550" s="117">
        <v>0</v>
      </c>
      <c r="AA550" s="117">
        <v>0</v>
      </c>
      <c r="AB550" s="115">
        <v>10.827</v>
      </c>
      <c r="AC550" s="117">
        <v>1.29826</v>
      </c>
      <c r="AD550" s="254">
        <v>205.2</v>
      </c>
      <c r="AE550" s="117">
        <v>1.02</v>
      </c>
      <c r="AF550" s="117">
        <f>(AD550+AE550*0.5)/(3.5*I550*1000)*100</f>
        <v>0.54284922614099662</v>
      </c>
      <c r="AG550" s="38">
        <f t="shared" si="74"/>
        <v>0.5</v>
      </c>
      <c r="AH550" s="117">
        <v>186.5</v>
      </c>
      <c r="AI550" s="117">
        <f>AH550/(3.5*I550*1000)*100</f>
        <v>0.49215585375186377</v>
      </c>
      <c r="AJ550" s="117">
        <v>6.32</v>
      </c>
      <c r="AK550" s="117">
        <v>1.6677999999999998E-2</v>
      </c>
      <c r="AL550" s="117">
        <v>0</v>
      </c>
      <c r="AM550" s="117">
        <v>0</v>
      </c>
      <c r="AN550" s="12"/>
      <c r="AO550" s="1"/>
      <c r="AP550" s="1"/>
      <c r="AQ550" s="1"/>
      <c r="AR550" s="1"/>
      <c r="AS550" s="178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</row>
    <row r="551" spans="1:88" s="22" customFormat="1">
      <c r="A551" s="1">
        <v>2034</v>
      </c>
      <c r="B551" s="34" t="s">
        <v>2678</v>
      </c>
      <c r="C551" s="34">
        <v>326</v>
      </c>
      <c r="D551" s="75">
        <v>4019</v>
      </c>
      <c r="E551" s="8">
        <v>100</v>
      </c>
      <c r="F551" s="34" t="s">
        <v>2683</v>
      </c>
      <c r="G551" s="58">
        <v>1000</v>
      </c>
      <c r="H551" s="58">
        <v>28171</v>
      </c>
      <c r="I551" s="21">
        <v>27.170999999999999</v>
      </c>
      <c r="J551" s="8">
        <v>2</v>
      </c>
      <c r="K551" s="8" t="s">
        <v>238</v>
      </c>
      <c r="L551" s="18">
        <v>42125</v>
      </c>
      <c r="M551" s="37" t="s">
        <v>191</v>
      </c>
      <c r="N551" s="38">
        <v>17.350000000000001</v>
      </c>
      <c r="O551" s="38">
        <v>5.9749999999999996</v>
      </c>
      <c r="P551" s="38">
        <v>2.9249999999999998</v>
      </c>
      <c r="Q551" s="38">
        <v>2.3250000000000002</v>
      </c>
      <c r="R551" s="38">
        <v>2.6973799999999999</v>
      </c>
      <c r="S551" s="38">
        <f t="shared" si="72"/>
        <v>2.5</v>
      </c>
      <c r="T551" s="38">
        <v>27.2</v>
      </c>
      <c r="U551" s="38">
        <v>1.175</v>
      </c>
      <c r="V551" s="38">
        <v>0.15</v>
      </c>
      <c r="W551" s="38">
        <v>0.05</v>
      </c>
      <c r="X551" s="38">
        <v>3.85663</v>
      </c>
      <c r="Y551" s="38">
        <f t="shared" si="73"/>
        <v>4</v>
      </c>
      <c r="Z551" s="38">
        <v>0</v>
      </c>
      <c r="AA551" s="38">
        <v>0</v>
      </c>
      <c r="AB551" s="38">
        <v>28.575000000000003</v>
      </c>
      <c r="AC551" s="38">
        <v>1.1824600000000001</v>
      </c>
      <c r="AD551" s="39">
        <v>467.82</v>
      </c>
      <c r="AE551" s="38">
        <v>92.48</v>
      </c>
      <c r="AF551" s="38">
        <f>(AD551+AE551*0.5)/(3.5*I551*1000)*100</f>
        <v>0.54055531895876374</v>
      </c>
      <c r="AG551" s="38">
        <f t="shared" si="74"/>
        <v>0.5</v>
      </c>
      <c r="AH551" s="38">
        <v>280</v>
      </c>
      <c r="AI551" s="38">
        <v>0.29443156306356039</v>
      </c>
      <c r="AJ551" s="55">
        <v>245</v>
      </c>
      <c r="AK551" s="55">
        <v>0.25762761768061537</v>
      </c>
      <c r="AL551" s="55">
        <v>0</v>
      </c>
      <c r="AM551" s="55">
        <f>AL551/(3.5*I551*1000)*100</f>
        <v>0</v>
      </c>
      <c r="AN551" s="1"/>
      <c r="AO551" s="12"/>
      <c r="AP551" s="12"/>
      <c r="AQ551" s="1"/>
      <c r="AR551" s="1"/>
      <c r="AS551" s="178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</row>
    <row r="552" spans="1:88" s="22" customFormat="1">
      <c r="A552" s="1">
        <v>1325</v>
      </c>
      <c r="B552" s="74" t="s">
        <v>1851</v>
      </c>
      <c r="C552" s="34">
        <v>444</v>
      </c>
      <c r="D552" s="75">
        <v>3209</v>
      </c>
      <c r="E552" s="69">
        <v>101</v>
      </c>
      <c r="F552" s="34" t="s">
        <v>1869</v>
      </c>
      <c r="G552" s="20">
        <v>0</v>
      </c>
      <c r="H552" s="20">
        <v>4000</v>
      </c>
      <c r="I552" s="21">
        <v>4</v>
      </c>
      <c r="J552" s="8">
        <v>2</v>
      </c>
      <c r="K552" s="34" t="s">
        <v>238</v>
      </c>
      <c r="L552" s="18">
        <v>42214</v>
      </c>
      <c r="M552" s="37" t="s">
        <v>191</v>
      </c>
      <c r="N552" s="38">
        <v>2.5</v>
      </c>
      <c r="O552" s="38">
        <v>0.8</v>
      </c>
      <c r="P552" s="38">
        <v>0.52500000000000002</v>
      </c>
      <c r="Q552" s="38">
        <v>7.4999999999999997E-2</v>
      </c>
      <c r="R552" s="38">
        <v>2.42442</v>
      </c>
      <c r="S552" s="38">
        <f t="shared" si="72"/>
        <v>2.5</v>
      </c>
      <c r="T552" s="38">
        <v>3.7749999999999999</v>
      </c>
      <c r="U552" s="38">
        <v>0.1</v>
      </c>
      <c r="V552" s="38">
        <v>2.5000000000000001E-2</v>
      </c>
      <c r="W552" s="38">
        <v>0</v>
      </c>
      <c r="X552" s="38">
        <v>3.4839099999999998</v>
      </c>
      <c r="Y552" s="38">
        <f t="shared" si="73"/>
        <v>3.5</v>
      </c>
      <c r="Z552" s="38">
        <v>0</v>
      </c>
      <c r="AA552" s="38">
        <v>0</v>
      </c>
      <c r="AB552" s="38">
        <v>3.9</v>
      </c>
      <c r="AC552" s="38">
        <v>1.0246299999999999</v>
      </c>
      <c r="AD552" s="39">
        <v>63.57</v>
      </c>
      <c r="AE552" s="38">
        <v>24.134</v>
      </c>
      <c r="AF552" s="38">
        <v>0.54026428571428575</v>
      </c>
      <c r="AG552" s="38">
        <f t="shared" si="74"/>
        <v>0.5</v>
      </c>
      <c r="AH552" s="38">
        <v>1.98</v>
      </c>
      <c r="AI552" s="38">
        <v>1.4142857142857143E-2</v>
      </c>
      <c r="AJ552" s="38">
        <v>0</v>
      </c>
      <c r="AK552" s="38">
        <v>0</v>
      </c>
      <c r="AL552" s="38">
        <v>0</v>
      </c>
      <c r="AM552" s="38">
        <v>0</v>
      </c>
      <c r="AN552" s="1"/>
      <c r="AO552" s="1"/>
      <c r="AP552" s="1"/>
      <c r="AQ552" s="1"/>
      <c r="AR552" s="1"/>
      <c r="AS552" s="178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</row>
    <row r="553" spans="1:88" s="22" customFormat="1">
      <c r="A553" s="1">
        <v>1007</v>
      </c>
      <c r="B553" s="9" t="s">
        <v>1394</v>
      </c>
      <c r="C553" s="9">
        <v>617</v>
      </c>
      <c r="D553" s="8">
        <v>226</v>
      </c>
      <c r="E553" s="9">
        <v>202</v>
      </c>
      <c r="F553" s="9" t="s">
        <v>1407</v>
      </c>
      <c r="G553" s="20">
        <v>91010</v>
      </c>
      <c r="H553" s="20">
        <v>108098</v>
      </c>
      <c r="I553" s="35">
        <v>17.088000000000001</v>
      </c>
      <c r="J553" s="9">
        <v>6</v>
      </c>
      <c r="K553" s="9" t="s">
        <v>237</v>
      </c>
      <c r="L553" s="18">
        <v>42129</v>
      </c>
      <c r="M553" s="37" t="s">
        <v>191</v>
      </c>
      <c r="N553" s="11">
        <v>11.83</v>
      </c>
      <c r="O553" s="11">
        <v>3.65</v>
      </c>
      <c r="P553" s="11">
        <v>1.075</v>
      </c>
      <c r="Q553" s="11">
        <v>0.57499999999999996</v>
      </c>
      <c r="R553" s="11">
        <v>2.6045600000000002</v>
      </c>
      <c r="S553" s="38">
        <f t="shared" si="72"/>
        <v>2.5</v>
      </c>
      <c r="T553" s="11">
        <v>14.875</v>
      </c>
      <c r="U553" s="11">
        <v>1.575</v>
      </c>
      <c r="V553" s="11">
        <v>0.375</v>
      </c>
      <c r="W553" s="11">
        <v>0.3</v>
      </c>
      <c r="X553" s="11">
        <v>6.0237100000000003</v>
      </c>
      <c r="Y553" s="38">
        <f t="shared" si="73"/>
        <v>6</v>
      </c>
      <c r="Z553" s="11">
        <v>0</v>
      </c>
      <c r="AA553" s="11">
        <v>0</v>
      </c>
      <c r="AB553" s="11">
        <f>SUM(N553:Q553)</f>
        <v>17.13</v>
      </c>
      <c r="AC553" s="11">
        <v>1.09419</v>
      </c>
      <c r="AD553" s="164">
        <v>288.08</v>
      </c>
      <c r="AE553" s="11">
        <v>66.88</v>
      </c>
      <c r="AF553" s="11">
        <f>(AD553+AE553*0.5)/(3.5*I553*1000)*100</f>
        <v>0.53758694489031567</v>
      </c>
      <c r="AG553" s="38">
        <f t="shared" si="74"/>
        <v>0.5</v>
      </c>
      <c r="AH553" s="11">
        <v>1646.55</v>
      </c>
      <c r="AI553" s="38">
        <f>AH553/(3.5*I553*1000)*100</f>
        <v>2.7530597913322632</v>
      </c>
      <c r="AJ553" s="11">
        <v>257.31</v>
      </c>
      <c r="AK553" s="38">
        <f>AJ553/(3.5*I553*1000)*100</f>
        <v>0.43022672552166924</v>
      </c>
      <c r="AL553" s="11">
        <v>0.25</v>
      </c>
      <c r="AM553" s="38">
        <f>AL553/(3.5*I553*1000)*100</f>
        <v>4.1800428036383087E-4</v>
      </c>
      <c r="AN553" s="25"/>
      <c r="AO553" s="25">
        <f>AE553*0.5</f>
        <v>33.44</v>
      </c>
      <c r="AP553" s="25">
        <f>(AD553+AH553+AJ553+AL553+AO553)*I553</f>
        <v>38031.565440000006</v>
      </c>
      <c r="AQ553" s="25"/>
      <c r="AR553" s="25"/>
      <c r="AS553" s="49">
        <f>SUM(N553:Q553)</f>
        <v>17.13</v>
      </c>
      <c r="AT553" s="25">
        <f>SUM(T553:W553)</f>
        <v>17.125</v>
      </c>
      <c r="AU553" s="41"/>
      <c r="AV553" s="41"/>
      <c r="AW553" s="41"/>
    </row>
    <row r="554" spans="1:88" s="22" customFormat="1">
      <c r="A554" s="1">
        <v>15</v>
      </c>
      <c r="B554" s="4" t="s">
        <v>8</v>
      </c>
      <c r="C554" s="14">
        <v>521</v>
      </c>
      <c r="D554" s="19">
        <v>1088</v>
      </c>
      <c r="E554" s="16">
        <v>100</v>
      </c>
      <c r="F554" s="14" t="s">
        <v>225</v>
      </c>
      <c r="G554" s="20">
        <v>0</v>
      </c>
      <c r="H554" s="20">
        <v>7400</v>
      </c>
      <c r="I554" s="21">
        <v>7.4</v>
      </c>
      <c r="J554" s="8">
        <v>2</v>
      </c>
      <c r="K554" s="9" t="s">
        <v>238</v>
      </c>
      <c r="L554" s="18">
        <v>42231</v>
      </c>
      <c r="M554" s="37" t="s">
        <v>191</v>
      </c>
      <c r="N554" s="11">
        <v>0.95</v>
      </c>
      <c r="O554" s="11">
        <v>2.2999999999999998</v>
      </c>
      <c r="P554" s="11">
        <v>2.125</v>
      </c>
      <c r="Q554" s="11">
        <v>2.0750000000000002</v>
      </c>
      <c r="R554" s="11">
        <v>4.3620000000000001</v>
      </c>
      <c r="S554" s="38">
        <f t="shared" si="72"/>
        <v>4.5</v>
      </c>
      <c r="T554" s="11">
        <v>3.95</v>
      </c>
      <c r="U554" s="11">
        <v>1.575</v>
      </c>
      <c r="V554" s="11">
        <v>1.125</v>
      </c>
      <c r="W554" s="11">
        <v>0.5</v>
      </c>
      <c r="X554" s="11">
        <v>10.103</v>
      </c>
      <c r="Y554" s="38">
        <f t="shared" si="73"/>
        <v>10</v>
      </c>
      <c r="Z554" s="11">
        <v>0</v>
      </c>
      <c r="AA554" s="11">
        <v>0</v>
      </c>
      <c r="AB554" s="11">
        <v>7.45</v>
      </c>
      <c r="AC554" s="11">
        <v>1.3720000000000001</v>
      </c>
      <c r="AD554" s="164">
        <v>125.3</v>
      </c>
      <c r="AE554" s="11">
        <v>27.61</v>
      </c>
      <c r="AF554" s="11">
        <f>(AD554+AE554*0.5)/(3.5*I554*1000)*100</f>
        <v>0.53708494208494195</v>
      </c>
      <c r="AG554" s="38">
        <f t="shared" si="74"/>
        <v>0.5</v>
      </c>
      <c r="AH554" s="11">
        <v>36.840000000000003</v>
      </c>
      <c r="AI554" s="11">
        <f>AH554/(3.5*I554*1000)*100</f>
        <v>0.14223938223938223</v>
      </c>
      <c r="AJ554" s="11">
        <v>52.23</v>
      </c>
      <c r="AK554" s="11">
        <f>AJ554/(3.5*I554*1000)*100</f>
        <v>0.20166023166023161</v>
      </c>
      <c r="AL554" s="11">
        <v>16.510000000000002</v>
      </c>
      <c r="AM554" s="11">
        <f>AL554/(3.5*I554*1000)*100</f>
        <v>6.3745173745173744E-2</v>
      </c>
      <c r="AQ554" s="12">
        <f>N554+O554+P554+Q554</f>
        <v>7.45</v>
      </c>
      <c r="AR554" s="12">
        <f>T554+U554+V554+W554</f>
        <v>7.15</v>
      </c>
      <c r="AS554" s="270">
        <f>Z554+AA554+AB554</f>
        <v>7.45</v>
      </c>
      <c r="AU554" s="22">
        <v>1.0067567567567568</v>
      </c>
      <c r="AV554" s="22">
        <v>0.96621621621621623</v>
      </c>
      <c r="AW554" s="22">
        <v>1.0067567567567568</v>
      </c>
    </row>
    <row r="555" spans="1:88" s="22" customFormat="1">
      <c r="A555" s="1">
        <v>1306</v>
      </c>
      <c r="B555" s="74" t="s">
        <v>1851</v>
      </c>
      <c r="C555" s="34">
        <v>444</v>
      </c>
      <c r="D555" s="75">
        <v>323</v>
      </c>
      <c r="E555" s="69">
        <v>201</v>
      </c>
      <c r="F555" s="34" t="s">
        <v>1852</v>
      </c>
      <c r="G555" s="20">
        <v>18592</v>
      </c>
      <c r="H555" s="20">
        <v>32360</v>
      </c>
      <c r="I555" s="21">
        <v>13.768000000000001</v>
      </c>
      <c r="J555" s="8">
        <v>4</v>
      </c>
      <c r="K555" s="34" t="s">
        <v>237</v>
      </c>
      <c r="L555" s="10">
        <v>42209</v>
      </c>
      <c r="M555" s="37" t="s">
        <v>191</v>
      </c>
      <c r="N555" s="38">
        <v>13.65</v>
      </c>
      <c r="O555" s="38">
        <v>0.25</v>
      </c>
      <c r="P555" s="38">
        <v>0.05</v>
      </c>
      <c r="Q555" s="38">
        <v>0</v>
      </c>
      <c r="R555" s="38">
        <v>1.6421600000000001</v>
      </c>
      <c r="S555" s="38">
        <f t="shared" si="72"/>
        <v>1.5</v>
      </c>
      <c r="T555" s="38">
        <v>13.625</v>
      </c>
      <c r="U555" s="38">
        <v>0.35</v>
      </c>
      <c r="V555" s="38">
        <v>0</v>
      </c>
      <c r="W555" s="38">
        <v>0</v>
      </c>
      <c r="X555" s="38">
        <v>2.149</v>
      </c>
      <c r="Y555" s="38">
        <f t="shared" si="73"/>
        <v>2</v>
      </c>
      <c r="Z555" s="38">
        <v>0</v>
      </c>
      <c r="AA555" s="38">
        <v>0</v>
      </c>
      <c r="AB555" s="38">
        <v>13.950000000000001</v>
      </c>
      <c r="AC555" s="38">
        <v>0.96257400000000004</v>
      </c>
      <c r="AD555" s="39">
        <v>234.74</v>
      </c>
      <c r="AE555" s="38">
        <v>47.57</v>
      </c>
      <c r="AF555" s="38">
        <v>0.53649248775628799</v>
      </c>
      <c r="AG555" s="38">
        <f t="shared" si="74"/>
        <v>0.5</v>
      </c>
      <c r="AH555" s="38">
        <v>28.51</v>
      </c>
      <c r="AI555" s="38">
        <v>5.9164107246617421E-2</v>
      </c>
      <c r="AJ555" s="38">
        <v>2.04</v>
      </c>
      <c r="AK555" s="38">
        <v>4.2334191084917403E-3</v>
      </c>
      <c r="AL555" s="38">
        <v>0</v>
      </c>
      <c r="AM555" s="38">
        <v>0</v>
      </c>
      <c r="AN555" s="1"/>
      <c r="AO555" s="1"/>
      <c r="AP555" s="1"/>
      <c r="AQ555" s="1"/>
      <c r="AR555" s="1"/>
      <c r="AS555" s="178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</row>
    <row r="556" spans="1:88" s="22" customFormat="1" ht="21" customHeight="1">
      <c r="A556" s="1">
        <v>2101</v>
      </c>
      <c r="B556" s="34" t="s">
        <v>2732</v>
      </c>
      <c r="C556" s="34">
        <v>323</v>
      </c>
      <c r="D556" s="75">
        <v>4236</v>
      </c>
      <c r="E556" s="8">
        <v>100</v>
      </c>
      <c r="F556" s="9" t="s">
        <v>2750</v>
      </c>
      <c r="G556" s="20">
        <v>0</v>
      </c>
      <c r="H556" s="20">
        <v>37728</v>
      </c>
      <c r="I556" s="21">
        <v>37.728000000000002</v>
      </c>
      <c r="J556" s="9">
        <v>2</v>
      </c>
      <c r="K556" s="34" t="s">
        <v>238</v>
      </c>
      <c r="L556" s="18">
        <v>42101</v>
      </c>
      <c r="M556" s="37" t="s">
        <v>191</v>
      </c>
      <c r="N556" s="38">
        <v>21.28</v>
      </c>
      <c r="O556" s="38">
        <v>10.88</v>
      </c>
      <c r="P556" s="38">
        <v>3.8</v>
      </c>
      <c r="Q556" s="38">
        <v>1.76</v>
      </c>
      <c r="R556" s="38">
        <v>2.65387</v>
      </c>
      <c r="S556" s="38">
        <f t="shared" si="72"/>
        <v>2.5</v>
      </c>
      <c r="T556" s="38">
        <v>35.56</v>
      </c>
      <c r="U556" s="38">
        <v>1.56</v>
      </c>
      <c r="V556" s="38">
        <v>0.38</v>
      </c>
      <c r="W556" s="38">
        <v>0.23</v>
      </c>
      <c r="X556" s="38">
        <v>4.3244699999999998</v>
      </c>
      <c r="Y556" s="38">
        <f t="shared" si="73"/>
        <v>4.5</v>
      </c>
      <c r="Z556" s="38">
        <v>0</v>
      </c>
      <c r="AA556" s="38">
        <v>0</v>
      </c>
      <c r="AB556" s="38">
        <v>37.729999999999997</v>
      </c>
      <c r="AC556" s="38">
        <v>1.2700100000000001</v>
      </c>
      <c r="AD556" s="39">
        <v>692.33</v>
      </c>
      <c r="AE556" s="38">
        <v>26.49</v>
      </c>
      <c r="AF556" s="38">
        <f>(AD556+AE556*0.5)/(3.5*I556*1000)*100</f>
        <v>0.53433221252877738</v>
      </c>
      <c r="AG556" s="38">
        <f t="shared" si="74"/>
        <v>0.5</v>
      </c>
      <c r="AH556" s="38">
        <v>83.74</v>
      </c>
      <c r="AI556" s="38">
        <f>AH556/(3.5*I556*1000)*100</f>
        <v>6.3416333454501386E-2</v>
      </c>
      <c r="AJ556" s="38">
        <v>5.61</v>
      </c>
      <c r="AK556" s="38">
        <v>4.2484551072337331E-3</v>
      </c>
      <c r="AL556" s="38">
        <v>1.244</v>
      </c>
      <c r="AM556" s="38">
        <f>AL556/(3.5*I556*1000)*100</f>
        <v>9.4208166727250699E-4</v>
      </c>
      <c r="AN556" s="25"/>
      <c r="AO556" s="25"/>
      <c r="AQ556" s="41">
        <f>SUM(N556:Q556)</f>
        <v>37.72</v>
      </c>
      <c r="AR556" s="41">
        <f>SUM(T556:W556)</f>
        <v>37.730000000000004</v>
      </c>
      <c r="AS556" s="270">
        <f>SUM(Z556:AB556)</f>
        <v>37.729999999999997</v>
      </c>
      <c r="AT556" s="1"/>
      <c r="AU556" s="1">
        <f>I556/AQ556</f>
        <v>1.0002120890774127</v>
      </c>
      <c r="AV556" s="1">
        <f>I556/AR556</f>
        <v>0.99994699178372637</v>
      </c>
      <c r="AW556" s="1">
        <f>I556/AS556</f>
        <v>0.99994699178372659</v>
      </c>
    </row>
    <row r="557" spans="1:88" s="22" customFormat="1">
      <c r="A557" s="1">
        <v>1394</v>
      </c>
      <c r="B557" s="34" t="s">
        <v>1940</v>
      </c>
      <c r="C557" s="34">
        <v>446</v>
      </c>
      <c r="D557" s="75">
        <v>3211</v>
      </c>
      <c r="E557" s="69">
        <v>100</v>
      </c>
      <c r="F557" s="34" t="s">
        <v>1948</v>
      </c>
      <c r="G557" s="20" t="s">
        <v>1950</v>
      </c>
      <c r="H557" s="20" t="s">
        <v>1949</v>
      </c>
      <c r="I557" s="21">
        <v>32.265000000000001</v>
      </c>
      <c r="J557" s="8">
        <v>2</v>
      </c>
      <c r="K557" s="34" t="s">
        <v>12</v>
      </c>
      <c r="L557" s="10">
        <v>42219</v>
      </c>
      <c r="M557" s="37" t="s">
        <v>191</v>
      </c>
      <c r="N557" s="38">
        <v>16.100000000000001</v>
      </c>
      <c r="O557" s="38">
        <v>9.74</v>
      </c>
      <c r="P557" s="38">
        <v>5.05</v>
      </c>
      <c r="Q557" s="38">
        <v>1.38</v>
      </c>
      <c r="R557" s="38">
        <v>2.7164700000000002</v>
      </c>
      <c r="S557" s="38">
        <f t="shared" si="72"/>
        <v>2.5</v>
      </c>
      <c r="T557" s="38">
        <v>30.04</v>
      </c>
      <c r="U557" s="38">
        <v>1.48</v>
      </c>
      <c r="V557" s="38">
        <v>0.41</v>
      </c>
      <c r="W557" s="38">
        <v>0.34</v>
      </c>
      <c r="X557" s="38">
        <v>4.3281999999999998</v>
      </c>
      <c r="Y557" s="38">
        <f t="shared" si="73"/>
        <v>4.5</v>
      </c>
      <c r="Z557" s="38">
        <v>0</v>
      </c>
      <c r="AA557" s="38">
        <v>0</v>
      </c>
      <c r="AB557" s="11">
        <v>32.270000000000003</v>
      </c>
      <c r="AC557" s="38">
        <v>1.30779</v>
      </c>
      <c r="AD557" s="39">
        <v>694.21799999999996</v>
      </c>
      <c r="AE557" s="38">
        <v>120.24</v>
      </c>
      <c r="AF557" s="38">
        <v>0.52822200592407931</v>
      </c>
      <c r="AG557" s="38">
        <f t="shared" si="74"/>
        <v>0.5</v>
      </c>
      <c r="AH557" s="38">
        <v>34.64</v>
      </c>
      <c r="AI557" s="38">
        <v>3.0674547829359539E-2</v>
      </c>
      <c r="AJ557" s="38">
        <v>0</v>
      </c>
      <c r="AK557" s="38">
        <v>0</v>
      </c>
      <c r="AL557" s="38">
        <v>0</v>
      </c>
      <c r="AM557" s="38">
        <v>0</v>
      </c>
      <c r="AN557" s="12"/>
      <c r="AO557" s="1"/>
      <c r="AP557" s="12">
        <f>SUM(N557:Q557)</f>
        <v>32.270000000000003</v>
      </c>
      <c r="AQ557" s="12">
        <f>SUM(T557:W557)</f>
        <v>32.270000000000003</v>
      </c>
      <c r="AR557" s="12">
        <f>SUM(Z557:AB557)</f>
        <v>32.270000000000003</v>
      </c>
      <c r="AS557" s="178"/>
      <c r="AT557" s="1">
        <f>I557/AP557</f>
        <v>0.99984505732878826</v>
      </c>
      <c r="AU557" s="1">
        <f>I557/AQ557</f>
        <v>0.99984505732878826</v>
      </c>
      <c r="AV557" s="1">
        <f>I557/AR557</f>
        <v>0.99984505732878826</v>
      </c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</row>
    <row r="558" spans="1:88" s="22" customFormat="1">
      <c r="A558" s="1">
        <v>695</v>
      </c>
      <c r="B558" s="34" t="s">
        <v>1084</v>
      </c>
      <c r="C558" s="34">
        <v>624</v>
      </c>
      <c r="D558" s="34">
        <v>2410</v>
      </c>
      <c r="E558" s="34">
        <v>100</v>
      </c>
      <c r="F558" s="9" t="s">
        <v>1105</v>
      </c>
      <c r="G558" s="58">
        <v>0</v>
      </c>
      <c r="H558" s="20">
        <v>23173</v>
      </c>
      <c r="I558" s="35">
        <v>23.172999999999998</v>
      </c>
      <c r="J558" s="127">
        <v>2</v>
      </c>
      <c r="K558" s="34" t="s">
        <v>238</v>
      </c>
      <c r="L558" s="10">
        <v>42171</v>
      </c>
      <c r="M558" s="37" t="s">
        <v>191</v>
      </c>
      <c r="N558" s="38">
        <v>10.324999999999999</v>
      </c>
      <c r="O558" s="38">
        <v>7.2249999999999996</v>
      </c>
      <c r="P558" s="38">
        <v>4.0250000000000004</v>
      </c>
      <c r="Q558" s="38">
        <v>1.625</v>
      </c>
      <c r="R558" s="38">
        <v>4.0359999999999996</v>
      </c>
      <c r="S558" s="38">
        <f t="shared" si="72"/>
        <v>4</v>
      </c>
      <c r="T558" s="38">
        <v>21.225000000000001</v>
      </c>
      <c r="U558" s="38">
        <v>1.425</v>
      </c>
      <c r="V558" s="38">
        <v>0.4</v>
      </c>
      <c r="W558" s="38">
        <v>0.15</v>
      </c>
      <c r="X558" s="38">
        <v>4.6884199999999998</v>
      </c>
      <c r="Y558" s="38">
        <f t="shared" si="73"/>
        <v>4.5</v>
      </c>
      <c r="Z558" s="38">
        <v>0</v>
      </c>
      <c r="AA558" s="38">
        <v>0</v>
      </c>
      <c r="AB558" s="38">
        <f>N558+O558+P558+Q558</f>
        <v>23.199999999999996</v>
      </c>
      <c r="AC558" s="38">
        <v>1.13737</v>
      </c>
      <c r="AD558" s="39">
        <v>388.26</v>
      </c>
      <c r="AE558" s="38">
        <v>72.67</v>
      </c>
      <c r="AF558" s="38">
        <v>0.52351000000000003</v>
      </c>
      <c r="AG558" s="38">
        <f t="shared" si="74"/>
        <v>0.5</v>
      </c>
      <c r="AH558" s="38">
        <v>295.31</v>
      </c>
      <c r="AI558" s="38">
        <v>0.36410999999999999</v>
      </c>
      <c r="AJ558" s="38">
        <v>1.96</v>
      </c>
      <c r="AK558" s="38">
        <v>2.4169999999999999E-3</v>
      </c>
      <c r="AL558" s="38">
        <v>97.97</v>
      </c>
      <c r="AM558" s="38">
        <v>0.12078999999999999</v>
      </c>
      <c r="AN558" s="25"/>
      <c r="AO558" s="25">
        <f>AE558*0.5</f>
        <v>36.335000000000001</v>
      </c>
      <c r="AP558" s="25">
        <f>(AD558+AH558+AJ558+AL558+AO558)*I558</f>
        <v>18998.036454999998</v>
      </c>
      <c r="AQ558" s="25">
        <f>SUM(N558:Q558)</f>
        <v>23.199999999999996</v>
      </c>
      <c r="AR558" s="25">
        <f>SUM(T558:W558)</f>
        <v>23.2</v>
      </c>
      <c r="AS558" s="48"/>
      <c r="AT558" s="41"/>
      <c r="AU558" s="41"/>
      <c r="AV558" s="41"/>
      <c r="AW558" s="41"/>
    </row>
    <row r="559" spans="1:88" s="22" customFormat="1">
      <c r="A559" s="1">
        <v>343</v>
      </c>
      <c r="B559" s="34" t="s">
        <v>470</v>
      </c>
      <c r="C559" s="34">
        <v>639</v>
      </c>
      <c r="D559" s="34">
        <v>2287</v>
      </c>
      <c r="E559" s="34">
        <v>100</v>
      </c>
      <c r="F559" s="34" t="s">
        <v>480</v>
      </c>
      <c r="G559" s="58">
        <v>0</v>
      </c>
      <c r="H559" s="58">
        <v>75700</v>
      </c>
      <c r="I559" s="35">
        <v>75.7</v>
      </c>
      <c r="J559" s="62">
        <v>2</v>
      </c>
      <c r="K559" s="34" t="s">
        <v>238</v>
      </c>
      <c r="L559" s="10">
        <v>42157</v>
      </c>
      <c r="M559" s="37" t="s">
        <v>191</v>
      </c>
      <c r="N559" s="38">
        <v>33.229999999999997</v>
      </c>
      <c r="O559" s="38">
        <v>20.94</v>
      </c>
      <c r="P559" s="38">
        <v>14.38</v>
      </c>
      <c r="Q559" s="38">
        <v>7</v>
      </c>
      <c r="R559" s="38">
        <v>3.1245099999999999</v>
      </c>
      <c r="S559" s="38">
        <f t="shared" si="72"/>
        <v>3</v>
      </c>
      <c r="T559" s="38">
        <v>71.11</v>
      </c>
      <c r="U559" s="38">
        <v>3.85</v>
      </c>
      <c r="V559" s="38">
        <v>0.5</v>
      </c>
      <c r="W559" s="38">
        <v>0.09</v>
      </c>
      <c r="X559" s="38">
        <v>4.4462700000000002</v>
      </c>
      <c r="Y559" s="38">
        <f t="shared" si="73"/>
        <v>4.5</v>
      </c>
      <c r="Z559" s="38">
        <v>0</v>
      </c>
      <c r="AA559" s="38">
        <v>0</v>
      </c>
      <c r="AB559" s="38">
        <f>N559+O559+P559+Q559</f>
        <v>75.55</v>
      </c>
      <c r="AC559" s="38">
        <v>1.2803100000000001</v>
      </c>
      <c r="AD559" s="39">
        <v>1301</v>
      </c>
      <c r="AE559" s="38">
        <v>129</v>
      </c>
      <c r="AF559" s="38">
        <f>(AD559+AE559*0.5)/(3.5*I559*1000)*100</f>
        <v>0.51538026042649554</v>
      </c>
      <c r="AG559" s="38">
        <f t="shared" si="74"/>
        <v>0.5</v>
      </c>
      <c r="AH559" s="38">
        <v>3305.43</v>
      </c>
      <c r="AI559" s="38">
        <f>AH559/(3.5*I559*1000)*100</f>
        <v>1.2475674655595395</v>
      </c>
      <c r="AJ559" s="38">
        <v>0</v>
      </c>
      <c r="AK559" s="38">
        <v>0</v>
      </c>
      <c r="AL559" s="38">
        <v>0</v>
      </c>
      <c r="AM559" s="38">
        <v>0</v>
      </c>
      <c r="AN559" s="25"/>
      <c r="AO559" s="25">
        <f>AE559*0.5</f>
        <v>64.5</v>
      </c>
      <c r="AP559" s="25">
        <f>(AD559+AH559+AJ559+AL559+AO559)*I559</f>
        <v>353589.40100000001</v>
      </c>
      <c r="AQ559" s="25"/>
      <c r="AR559" s="25"/>
      <c r="AS559" s="49">
        <f>SUM(N559:Q559)</f>
        <v>75.55</v>
      </c>
      <c r="AT559" s="25"/>
      <c r="AU559" s="41">
        <f>SUM(N559:Q559)</f>
        <v>75.55</v>
      </c>
      <c r="AV559" s="41">
        <f>SUM(T559:W559)</f>
        <v>75.55</v>
      </c>
      <c r="AW559" s="41">
        <f>SUM(Z559:AB559)</f>
        <v>75.55</v>
      </c>
      <c r="AY559" s="22">
        <f>I559/AU559</f>
        <v>1.0019854401058903</v>
      </c>
      <c r="AZ559" s="22">
        <f>I559/AV559</f>
        <v>1.0019854401058903</v>
      </c>
      <c r="BA559" s="22">
        <f>I559/AW559</f>
        <v>1.0019854401058903</v>
      </c>
    </row>
    <row r="560" spans="1:88" s="22" customFormat="1">
      <c r="A560" s="1">
        <v>335</v>
      </c>
      <c r="B560" s="34" t="s">
        <v>557</v>
      </c>
      <c r="C560" s="34">
        <v>646</v>
      </c>
      <c r="D560" s="34">
        <v>2264</v>
      </c>
      <c r="E560" s="34">
        <v>100</v>
      </c>
      <c r="F560" s="34" t="s">
        <v>568</v>
      </c>
      <c r="G560" s="58">
        <v>0</v>
      </c>
      <c r="H560" s="58">
        <v>2358</v>
      </c>
      <c r="I560" s="35">
        <v>2.3580000000000001</v>
      </c>
      <c r="J560" s="62">
        <v>2</v>
      </c>
      <c r="K560" s="34" t="s">
        <v>238</v>
      </c>
      <c r="L560" s="10">
        <v>42165</v>
      </c>
      <c r="M560" s="37" t="s">
        <v>191</v>
      </c>
      <c r="N560" s="38">
        <v>0.875</v>
      </c>
      <c r="O560" s="38">
        <v>1.175</v>
      </c>
      <c r="P560" s="38">
        <v>0.125</v>
      </c>
      <c r="Q560" s="38">
        <v>0.17499999999999999</v>
      </c>
      <c r="R560" s="38">
        <v>3.04766</v>
      </c>
      <c r="S560" s="38">
        <f t="shared" si="72"/>
        <v>3</v>
      </c>
      <c r="T560" s="38">
        <v>2.35</v>
      </c>
      <c r="U560" s="38">
        <v>0</v>
      </c>
      <c r="V560" s="38">
        <v>0</v>
      </c>
      <c r="W560" s="38">
        <v>0</v>
      </c>
      <c r="X560" s="38">
        <v>3.7852800000000002</v>
      </c>
      <c r="Y560" s="38">
        <f t="shared" si="73"/>
        <v>4</v>
      </c>
      <c r="Z560" s="38">
        <v>0</v>
      </c>
      <c r="AA560" s="38">
        <v>0</v>
      </c>
      <c r="AB560" s="38">
        <f>T560+U560+V560+W560</f>
        <v>2.35</v>
      </c>
      <c r="AC560" s="38">
        <v>1.2529300000000001</v>
      </c>
      <c r="AD560" s="39">
        <v>42.35</v>
      </c>
      <c r="AE560" s="38">
        <v>0</v>
      </c>
      <c r="AF560" s="38">
        <v>0.51315</v>
      </c>
      <c r="AG560" s="38">
        <f t="shared" si="74"/>
        <v>0.5</v>
      </c>
      <c r="AH560" s="38">
        <v>0</v>
      </c>
      <c r="AI560" s="38">
        <v>0</v>
      </c>
      <c r="AJ560" s="38">
        <v>0</v>
      </c>
      <c r="AK560" s="38">
        <v>0</v>
      </c>
      <c r="AL560" s="38">
        <v>0</v>
      </c>
      <c r="AM560" s="38">
        <v>0</v>
      </c>
      <c r="AN560" s="25"/>
      <c r="AO560" s="25">
        <f>AE560*0.5</f>
        <v>0</v>
      </c>
      <c r="AP560" s="25">
        <f>(AD560+AH560+AJ560+AL560+AO560)*I560</f>
        <v>99.861300000000014</v>
      </c>
      <c r="AQ560" s="25">
        <f>SUM(N560:Q560)</f>
        <v>2.3499999999999996</v>
      </c>
      <c r="AR560" s="25">
        <f>SUM(T560:W560)</f>
        <v>2.35</v>
      </c>
      <c r="AS560" s="48"/>
      <c r="AT560" s="41"/>
      <c r="AU560" s="41">
        <f>SUM(N560:Q560)</f>
        <v>2.3499999999999996</v>
      </c>
      <c r="AV560" s="41">
        <f>SUM(T560:W560)</f>
        <v>2.35</v>
      </c>
      <c r="AW560" s="41">
        <f>SUM(Z560:AB560)</f>
        <v>2.35</v>
      </c>
      <c r="AY560" s="22">
        <f>I560/AU560</f>
        <v>1.0034042553191491</v>
      </c>
      <c r="AZ560" s="22">
        <f>I560/AV560</f>
        <v>1.0034042553191489</v>
      </c>
      <c r="BA560" s="22">
        <f>I560/AW560</f>
        <v>1.0034042553191489</v>
      </c>
    </row>
    <row r="561" spans="1:88" s="22" customFormat="1" ht="22.5" customHeight="1">
      <c r="A561" s="1">
        <v>208</v>
      </c>
      <c r="B561" s="34" t="s">
        <v>383</v>
      </c>
      <c r="C561" s="34">
        <v>535</v>
      </c>
      <c r="D561" s="34">
        <v>1202</v>
      </c>
      <c r="E561" s="34">
        <v>100</v>
      </c>
      <c r="F561" s="34" t="s">
        <v>402</v>
      </c>
      <c r="G561" s="20">
        <v>33922</v>
      </c>
      <c r="H561" s="20">
        <v>0</v>
      </c>
      <c r="I561" s="35">
        <v>33.921999999999997</v>
      </c>
      <c r="J561" s="36">
        <v>2</v>
      </c>
      <c r="K561" s="34" t="s">
        <v>12</v>
      </c>
      <c r="L561" s="18">
        <v>42209</v>
      </c>
      <c r="M561" s="37" t="s">
        <v>191</v>
      </c>
      <c r="N561" s="38">
        <v>24.97</v>
      </c>
      <c r="O561" s="38">
        <v>6.62</v>
      </c>
      <c r="P561" s="38">
        <v>1.51</v>
      </c>
      <c r="Q561" s="38">
        <v>0.83</v>
      </c>
      <c r="R561" s="38">
        <v>2.2378499999999999</v>
      </c>
      <c r="S561" s="38">
        <f t="shared" si="72"/>
        <v>2</v>
      </c>
      <c r="T561" s="38">
        <v>32.25</v>
      </c>
      <c r="U561" s="38">
        <v>1.59</v>
      </c>
      <c r="V561" s="38">
        <v>0.08</v>
      </c>
      <c r="W561" s="38">
        <v>0.03</v>
      </c>
      <c r="X561" s="38">
        <v>4.9486800000000004</v>
      </c>
      <c r="Y561" s="38">
        <f t="shared" si="73"/>
        <v>5</v>
      </c>
      <c r="Z561" s="38">
        <v>0</v>
      </c>
      <c r="AA561" s="38">
        <v>0</v>
      </c>
      <c r="AB561" s="38">
        <v>33.93</v>
      </c>
      <c r="AC561" s="38">
        <v>1.2452700000000001</v>
      </c>
      <c r="AD561" s="39">
        <v>547</v>
      </c>
      <c r="AE561" s="38">
        <v>120.26</v>
      </c>
      <c r="AF561" s="38">
        <f>(AD561+AE561*0.5)/(3.5*I561*1000)*100</f>
        <v>0.51136641202085464</v>
      </c>
      <c r="AG561" s="38">
        <f t="shared" si="74"/>
        <v>0.5</v>
      </c>
      <c r="AH561" s="38">
        <v>57</v>
      </c>
      <c r="AI561" s="38">
        <f>AH561/(3.5*I561*1000)*100</f>
        <v>4.8009298643105616E-2</v>
      </c>
      <c r="AJ561" s="38">
        <v>0</v>
      </c>
      <c r="AK561" s="38">
        <f>AJ561/(3.5*I561*1000)*100</f>
        <v>0</v>
      </c>
      <c r="AL561" s="38">
        <v>9</v>
      </c>
      <c r="AM561" s="38">
        <f>AL561/(3.5*I561*1000)*100</f>
        <v>7.5804155752272019E-3</v>
      </c>
      <c r="AN561" s="25"/>
      <c r="AO561" s="25"/>
      <c r="AP561" s="25">
        <f>AE561*0.5</f>
        <v>60.13</v>
      </c>
      <c r="AQ561" s="25">
        <f>(AD561+AH561+AJ561+AL561+AP561)*I561</f>
        <v>22833.915859999997</v>
      </c>
      <c r="AR561" s="25"/>
      <c r="AS561" s="49"/>
      <c r="AT561" s="25"/>
      <c r="AU561" s="41">
        <f>SUM(N561:Q561)</f>
        <v>33.93</v>
      </c>
      <c r="AV561" s="41">
        <f>SUM(T561:W561)</f>
        <v>33.950000000000003</v>
      </c>
      <c r="AW561" s="41">
        <f>SUM(Z561:AB561)</f>
        <v>33.93</v>
      </c>
      <c r="AX561" s="41"/>
      <c r="AY561" s="22">
        <f>I561/AU561</f>
        <v>0.99976422045387559</v>
      </c>
      <c r="AZ561" s="22">
        <f>I561/AV561</f>
        <v>0.99917525773195859</v>
      </c>
      <c r="BA561" s="22">
        <f>I561/AW561</f>
        <v>0.99976422045387559</v>
      </c>
    </row>
    <row r="562" spans="1:88" s="22" customFormat="1" ht="21.75" customHeight="1">
      <c r="A562" s="1">
        <v>2136</v>
      </c>
      <c r="B562" s="34" t="s">
        <v>2754</v>
      </c>
      <c r="C562" s="34">
        <v>324</v>
      </c>
      <c r="D562" s="75">
        <v>4302</v>
      </c>
      <c r="E562" s="8">
        <v>100</v>
      </c>
      <c r="F562" s="9" t="s">
        <v>2777</v>
      </c>
      <c r="G562" s="20">
        <v>0</v>
      </c>
      <c r="H562" s="20">
        <v>4818</v>
      </c>
      <c r="I562" s="21">
        <v>4.8179999999999996</v>
      </c>
      <c r="J562" s="9">
        <v>2</v>
      </c>
      <c r="K562" s="34" t="s">
        <v>238</v>
      </c>
      <c r="L562" s="18">
        <v>42137</v>
      </c>
      <c r="M562" s="37" t="s">
        <v>191</v>
      </c>
      <c r="N562" s="38">
        <v>3.7</v>
      </c>
      <c r="O562" s="38">
        <v>0.65</v>
      </c>
      <c r="P562" s="38">
        <v>0.32500000000000001</v>
      </c>
      <c r="Q562" s="38">
        <v>0.125</v>
      </c>
      <c r="R562" s="38">
        <v>2.254</v>
      </c>
      <c r="S562" s="38">
        <f t="shared" si="72"/>
        <v>2.5</v>
      </c>
      <c r="T562" s="38">
        <v>3.7</v>
      </c>
      <c r="U562" s="38">
        <v>1.1000000000000001</v>
      </c>
      <c r="V562" s="38">
        <v>0</v>
      </c>
      <c r="W562" s="38">
        <v>0</v>
      </c>
      <c r="X562" s="38">
        <v>5.0376500000000002</v>
      </c>
      <c r="Y562" s="38">
        <f t="shared" si="73"/>
        <v>5</v>
      </c>
      <c r="Z562" s="38">
        <v>0</v>
      </c>
      <c r="AA562" s="38">
        <v>0</v>
      </c>
      <c r="AB562" s="38">
        <v>4.8000000000000007</v>
      </c>
      <c r="AC562" s="38">
        <v>1.4689399999999999</v>
      </c>
      <c r="AD562" s="39">
        <v>68.209999999999994</v>
      </c>
      <c r="AE562" s="38">
        <v>0</v>
      </c>
      <c r="AF562" s="38">
        <v>0.51070679844264744</v>
      </c>
      <c r="AG562" s="38">
        <f t="shared" si="74"/>
        <v>0.5</v>
      </c>
      <c r="AH562" s="38">
        <v>6.85</v>
      </c>
      <c r="AI562" s="38">
        <v>5.1287810721772985E-2</v>
      </c>
      <c r="AJ562" s="38">
        <v>0</v>
      </c>
      <c r="AK562" s="38">
        <v>0</v>
      </c>
      <c r="AL562" s="38">
        <v>5.66</v>
      </c>
      <c r="AM562" s="38">
        <v>3.3564608907074661E-2</v>
      </c>
      <c r="AN562" s="41"/>
      <c r="AO562" s="41"/>
      <c r="AP562" s="73"/>
      <c r="AQ562" s="73"/>
      <c r="AR562" s="73"/>
      <c r="AS562" s="178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</row>
    <row r="563" spans="1:88" s="22" customFormat="1">
      <c r="A563" s="1">
        <v>407</v>
      </c>
      <c r="B563" s="74" t="s">
        <v>655</v>
      </c>
      <c r="C563" s="34">
        <v>511</v>
      </c>
      <c r="D563" s="75">
        <v>1221</v>
      </c>
      <c r="E563" s="69">
        <v>200</v>
      </c>
      <c r="F563" s="34" t="s">
        <v>680</v>
      </c>
      <c r="G563" s="20" t="s">
        <v>681</v>
      </c>
      <c r="H563" s="20" t="s">
        <v>682</v>
      </c>
      <c r="I563" s="21">
        <v>5.0839999999999996</v>
      </c>
      <c r="J563" s="8" t="s">
        <v>12</v>
      </c>
      <c r="K563" s="34">
        <v>2</v>
      </c>
      <c r="L563" s="18">
        <v>42266</v>
      </c>
      <c r="M563" s="37" t="s">
        <v>191</v>
      </c>
      <c r="N563" s="38">
        <v>2.76</v>
      </c>
      <c r="O563" s="38">
        <v>1.69</v>
      </c>
      <c r="P563" s="38">
        <v>0.35</v>
      </c>
      <c r="Q563" s="38">
        <v>0.28000000000000003</v>
      </c>
      <c r="R563" s="38">
        <v>2.6965699999999999</v>
      </c>
      <c r="S563" s="38">
        <f t="shared" si="72"/>
        <v>2.5</v>
      </c>
      <c r="T563" s="38">
        <v>5.08</v>
      </c>
      <c r="U563" s="38">
        <v>0</v>
      </c>
      <c r="V563" s="38">
        <v>0</v>
      </c>
      <c r="W563" s="38">
        <v>0</v>
      </c>
      <c r="X563" s="38">
        <v>2.5491799999999998</v>
      </c>
      <c r="Y563" s="38">
        <f t="shared" si="73"/>
        <v>2.5</v>
      </c>
      <c r="Z563" s="38">
        <v>0</v>
      </c>
      <c r="AA563" s="38">
        <v>0</v>
      </c>
      <c r="AB563" s="38">
        <v>5.08</v>
      </c>
      <c r="AC563" s="38">
        <v>1.1852799999999999</v>
      </c>
      <c r="AD563" s="39">
        <v>83.62</v>
      </c>
      <c r="AE563" s="38">
        <v>14.326000000000001</v>
      </c>
      <c r="AF563" s="38">
        <v>0.510189</v>
      </c>
      <c r="AG563" s="38">
        <f t="shared" si="74"/>
        <v>0.5</v>
      </c>
      <c r="AH563" s="38">
        <v>64.150000000000006</v>
      </c>
      <c r="AI563" s="38">
        <v>0.36051499999999997</v>
      </c>
      <c r="AJ563" s="38">
        <v>0</v>
      </c>
      <c r="AK563" s="38">
        <v>0</v>
      </c>
      <c r="AL563" s="38">
        <v>0</v>
      </c>
      <c r="AM563" s="38">
        <v>0</v>
      </c>
      <c r="AN563" s="72"/>
      <c r="AO563" s="41"/>
      <c r="AP563" s="41"/>
      <c r="AQ563" s="41">
        <f>SUM(N563:Q563)</f>
        <v>5.0799999999999992</v>
      </c>
      <c r="AR563" s="41">
        <f>SUM(T563:W563)</f>
        <v>5.08</v>
      </c>
      <c r="AS563" s="49">
        <f>SUM(Z563:AB563)</f>
        <v>5.08</v>
      </c>
      <c r="AU563" s="22">
        <f>I563/AQ563</f>
        <v>1.0007874015748033</v>
      </c>
      <c r="AV563" s="22">
        <f>I563/AR563</f>
        <v>1.0007874015748031</v>
      </c>
      <c r="AW563" s="22">
        <f>I563/AS563</f>
        <v>1.0007874015748031</v>
      </c>
    </row>
    <row r="564" spans="1:88" s="22" customFormat="1">
      <c r="A564" s="1">
        <v>1395</v>
      </c>
      <c r="B564" s="34" t="s">
        <v>1940</v>
      </c>
      <c r="C564" s="34">
        <v>446</v>
      </c>
      <c r="D564" s="75">
        <v>3212</v>
      </c>
      <c r="E564" s="69">
        <v>100</v>
      </c>
      <c r="F564" s="34" t="s">
        <v>1951</v>
      </c>
      <c r="G564" s="20">
        <v>0</v>
      </c>
      <c r="H564" s="20">
        <v>19455</v>
      </c>
      <c r="I564" s="21">
        <v>19.454999999999998</v>
      </c>
      <c r="J564" s="8">
        <v>2</v>
      </c>
      <c r="K564" s="34" t="s">
        <v>238</v>
      </c>
      <c r="L564" s="10">
        <v>42219</v>
      </c>
      <c r="M564" s="37" t="s">
        <v>191</v>
      </c>
      <c r="N564" s="38">
        <v>7.13</v>
      </c>
      <c r="O564" s="38">
        <v>7.58</v>
      </c>
      <c r="P564" s="38">
        <v>3.67</v>
      </c>
      <c r="Q564" s="38">
        <v>1.07</v>
      </c>
      <c r="R564" s="38">
        <v>3.0243699999999998</v>
      </c>
      <c r="S564" s="38">
        <f t="shared" si="72"/>
        <v>3</v>
      </c>
      <c r="T564" s="38">
        <v>17.059999999999999</v>
      </c>
      <c r="U564" s="38">
        <v>1.87</v>
      </c>
      <c r="V564" s="38">
        <v>0.4</v>
      </c>
      <c r="W564" s="38">
        <v>0.12</v>
      </c>
      <c r="X564" s="38">
        <v>5.3093599999999999</v>
      </c>
      <c r="Y564" s="38">
        <f t="shared" si="73"/>
        <v>5.5</v>
      </c>
      <c r="Z564" s="38">
        <v>0</v>
      </c>
      <c r="AA564" s="38">
        <v>0</v>
      </c>
      <c r="AB564" s="11">
        <v>19.46</v>
      </c>
      <c r="AC564" s="38">
        <v>1.1961299999999999</v>
      </c>
      <c r="AD564" s="39">
        <v>325.20999999999998</v>
      </c>
      <c r="AE564" s="38">
        <v>44.3</v>
      </c>
      <c r="AF564" s="38">
        <v>0.51012960311341182</v>
      </c>
      <c r="AG564" s="38">
        <f t="shared" si="74"/>
        <v>0.5</v>
      </c>
      <c r="AH564" s="38">
        <v>87.04</v>
      </c>
      <c r="AI564" s="38">
        <v>0.12782611888240261</v>
      </c>
      <c r="AJ564" s="38">
        <v>2.21</v>
      </c>
      <c r="AK564" s="38">
        <v>3.245585049748504E-3</v>
      </c>
      <c r="AL564" s="38">
        <v>1.1200000000000001</v>
      </c>
      <c r="AM564" s="38">
        <v>1.6448213826779751E-3</v>
      </c>
      <c r="AN564" s="12"/>
      <c r="AO564" s="1"/>
      <c r="AP564" s="12">
        <f>SUM(N564:Q564)</f>
        <v>19.450000000000003</v>
      </c>
      <c r="AQ564" s="12">
        <f>SUM(T564:W564)</f>
        <v>19.45</v>
      </c>
      <c r="AR564" s="12">
        <f>SUM(Z564:AB564)</f>
        <v>19.46</v>
      </c>
      <c r="AS564" s="178"/>
      <c r="AT564" s="1">
        <f>I564/AP564</f>
        <v>1.00025706940874</v>
      </c>
      <c r="AU564" s="1">
        <f>I564/AQ564</f>
        <v>1.0002570694087403</v>
      </c>
      <c r="AV564" s="1">
        <f>I564/AR564</f>
        <v>0.99974306269270286</v>
      </c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</row>
    <row r="565" spans="1:88" s="22" customFormat="1">
      <c r="A565" s="1">
        <v>2208</v>
      </c>
      <c r="B565" s="34" t="s">
        <v>2853</v>
      </c>
      <c r="C565" s="34">
        <v>318</v>
      </c>
      <c r="D565" s="75">
        <v>404</v>
      </c>
      <c r="E565" s="8">
        <v>200</v>
      </c>
      <c r="F565" s="9" t="s">
        <v>2854</v>
      </c>
      <c r="G565" s="20">
        <v>30000</v>
      </c>
      <c r="H565" s="20">
        <v>49640</v>
      </c>
      <c r="I565" s="21">
        <v>19.64</v>
      </c>
      <c r="J565" s="8">
        <v>4</v>
      </c>
      <c r="K565" s="8" t="s">
        <v>238</v>
      </c>
      <c r="L565" s="18">
        <v>42150</v>
      </c>
      <c r="M565" s="37" t="s">
        <v>191</v>
      </c>
      <c r="N565" s="38">
        <v>13.125</v>
      </c>
      <c r="O565" s="38">
        <v>4.8250000000000002</v>
      </c>
      <c r="P565" s="38">
        <v>1.325</v>
      </c>
      <c r="Q565" s="38">
        <v>0.22500000000000001</v>
      </c>
      <c r="R565" s="38">
        <v>2.3111299999999999</v>
      </c>
      <c r="S565" s="38">
        <f t="shared" si="72"/>
        <v>2.5</v>
      </c>
      <c r="T565" s="38">
        <v>19.45</v>
      </c>
      <c r="U565" s="38">
        <v>0</v>
      </c>
      <c r="V565" s="38">
        <v>0</v>
      </c>
      <c r="W565" s="38">
        <v>0.05</v>
      </c>
      <c r="X565" s="38">
        <v>1.4054800000000001</v>
      </c>
      <c r="Y565" s="38">
        <f t="shared" si="73"/>
        <v>1.5</v>
      </c>
      <c r="Z565" s="38">
        <v>0</v>
      </c>
      <c r="AA565" s="38">
        <v>0</v>
      </c>
      <c r="AB565" s="38">
        <v>19.5</v>
      </c>
      <c r="AC565" s="38">
        <v>1.3361000000000001</v>
      </c>
      <c r="AD565" s="39">
        <v>315.5</v>
      </c>
      <c r="AE565" s="38">
        <v>70</v>
      </c>
      <c r="AF565" s="38">
        <v>0.50989234797788752</v>
      </c>
      <c r="AG565" s="38">
        <f t="shared" si="74"/>
        <v>0.5</v>
      </c>
      <c r="AH565" s="38">
        <v>0</v>
      </c>
      <c r="AI565" s="38">
        <v>0</v>
      </c>
      <c r="AJ565" s="38">
        <v>15.15</v>
      </c>
      <c r="AK565" s="38">
        <v>2.2039569391911547E-2</v>
      </c>
      <c r="AL565" s="38">
        <v>0</v>
      </c>
      <c r="AM565" s="38">
        <f>AL565/(3.5*I565*1000)*100</f>
        <v>0</v>
      </c>
      <c r="AO565" s="25"/>
      <c r="AP565" s="25"/>
      <c r="AS565" s="48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</row>
    <row r="566" spans="1:88" s="22" customFormat="1">
      <c r="A566" s="1">
        <v>2023</v>
      </c>
      <c r="B566" s="34" t="s">
        <v>2646</v>
      </c>
      <c r="C566" s="34">
        <v>325</v>
      </c>
      <c r="D566" s="75">
        <v>4260</v>
      </c>
      <c r="E566" s="8">
        <v>100</v>
      </c>
      <c r="F566" s="34" t="s">
        <v>2671</v>
      </c>
      <c r="G566" s="58">
        <v>13866</v>
      </c>
      <c r="H566" s="58">
        <v>0</v>
      </c>
      <c r="I566" s="21">
        <v>13.866</v>
      </c>
      <c r="J566" s="8">
        <v>2</v>
      </c>
      <c r="K566" s="8" t="s">
        <v>12</v>
      </c>
      <c r="L566" s="18">
        <v>42117</v>
      </c>
      <c r="M566" s="37" t="s">
        <v>191</v>
      </c>
      <c r="N566" s="38">
        <v>7.48</v>
      </c>
      <c r="O566" s="38">
        <v>4.66</v>
      </c>
      <c r="P566" s="38">
        <v>1.29</v>
      </c>
      <c r="Q566" s="38">
        <v>0.44</v>
      </c>
      <c r="R566" s="38">
        <v>2.6339299999999999</v>
      </c>
      <c r="S566" s="38">
        <f t="shared" si="72"/>
        <v>2.5</v>
      </c>
      <c r="T566" s="38">
        <v>12.99</v>
      </c>
      <c r="U566" s="38">
        <v>0.73</v>
      </c>
      <c r="V566" s="38">
        <v>0.14000000000000001</v>
      </c>
      <c r="W566" s="38">
        <v>0.01</v>
      </c>
      <c r="X566" s="38">
        <v>4.6040299999999998</v>
      </c>
      <c r="Y566" s="38">
        <f t="shared" si="73"/>
        <v>4.5</v>
      </c>
      <c r="Z566" s="38">
        <v>0</v>
      </c>
      <c r="AA566" s="38">
        <v>0</v>
      </c>
      <c r="AB566" s="38">
        <v>13.87</v>
      </c>
      <c r="AC566" s="38">
        <v>1.3533200000000001</v>
      </c>
      <c r="AD566" s="39">
        <v>246.65</v>
      </c>
      <c r="AE566" s="38">
        <v>0</v>
      </c>
      <c r="AF566" s="38">
        <f>(AD566+AE566*0.5)/(3.5*I566*1000)*100</f>
        <v>0.50823185180606212</v>
      </c>
      <c r="AG566" s="38">
        <f t="shared" si="74"/>
        <v>0.5</v>
      </c>
      <c r="AH566" s="38">
        <v>19</v>
      </c>
      <c r="AI566" s="38">
        <f>AH566/(3.5*I566*1000)*100</f>
        <v>3.9150233871133915E-2</v>
      </c>
      <c r="AJ566" s="38">
        <v>285.95999999999998</v>
      </c>
      <c r="AK566" s="38">
        <f>AJ566/(3.5*I566*1000)*100</f>
        <v>0.58923162514681338</v>
      </c>
      <c r="AL566" s="38">
        <v>0</v>
      </c>
      <c r="AM566" s="38">
        <f>AL566/(3.5*I566*1000)*100</f>
        <v>0</v>
      </c>
      <c r="AN566" s="12"/>
      <c r="AO566" s="12"/>
      <c r="AP566" s="1"/>
      <c r="AQ566" s="41">
        <f>SUM(N566:Q566)</f>
        <v>13.87</v>
      </c>
      <c r="AR566" s="41">
        <f>SUM(T566:W566)</f>
        <v>13.870000000000001</v>
      </c>
      <c r="AS566" s="270">
        <f>SUM(Z566:AB566)</f>
        <v>13.87</v>
      </c>
      <c r="AT566" s="1"/>
      <c r="AU566" s="1">
        <f>I566/AQ566</f>
        <v>0.99971160778658974</v>
      </c>
      <c r="AV566" s="1">
        <f>I566/AR566</f>
        <v>0.99971160778658963</v>
      </c>
      <c r="AW566" s="1">
        <f>I566/AS566</f>
        <v>0.99971160778658974</v>
      </c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</row>
    <row r="567" spans="1:88" s="22" customFormat="1" ht="21" customHeight="1">
      <c r="A567" s="1">
        <v>519</v>
      </c>
      <c r="B567" s="88" t="s">
        <v>871</v>
      </c>
      <c r="C567" s="88">
        <v>557</v>
      </c>
      <c r="D567" s="88">
        <v>1180</v>
      </c>
      <c r="E567" s="88">
        <v>200</v>
      </c>
      <c r="F567" s="88" t="s">
        <v>889</v>
      </c>
      <c r="G567" s="88" t="s">
        <v>890</v>
      </c>
      <c r="H567" s="88" t="s">
        <v>739</v>
      </c>
      <c r="I567" s="115">
        <v>0.88</v>
      </c>
      <c r="J567" s="88" t="s">
        <v>12</v>
      </c>
      <c r="K567" s="88">
        <v>2</v>
      </c>
      <c r="L567" s="116">
        <v>42271</v>
      </c>
      <c r="M567" s="37" t="s">
        <v>191</v>
      </c>
      <c r="N567" s="38">
        <v>0.84</v>
      </c>
      <c r="O567" s="38">
        <v>2.5000000000000001E-2</v>
      </c>
      <c r="P567" s="38">
        <v>0</v>
      </c>
      <c r="Q567" s="38">
        <v>0.03</v>
      </c>
      <c r="R567" s="38">
        <v>1.5246200000000001</v>
      </c>
      <c r="S567" s="38">
        <f t="shared" si="72"/>
        <v>1.5</v>
      </c>
      <c r="T567" s="38">
        <v>0.88</v>
      </c>
      <c r="U567" s="38">
        <v>0</v>
      </c>
      <c r="V567" s="38">
        <v>0</v>
      </c>
      <c r="W567" s="38">
        <v>0</v>
      </c>
      <c r="X567" s="38">
        <v>1.8481300000000001</v>
      </c>
      <c r="Y567" s="38">
        <f t="shared" si="73"/>
        <v>2</v>
      </c>
      <c r="Z567" s="117">
        <v>0</v>
      </c>
      <c r="AA567" s="117">
        <v>0</v>
      </c>
      <c r="AB567" s="117">
        <v>0.98000000000000009</v>
      </c>
      <c r="AC567" s="117">
        <v>1.1010500000000001</v>
      </c>
      <c r="AD567" s="254">
        <v>12.574999999999999</v>
      </c>
      <c r="AE567" s="117">
        <v>5.968</v>
      </c>
      <c r="AF567" s="117">
        <v>0.505162</v>
      </c>
      <c r="AG567" s="38">
        <f t="shared" si="74"/>
        <v>0.5</v>
      </c>
      <c r="AH567" s="117">
        <v>123.46</v>
      </c>
      <c r="AI567" s="117">
        <v>4.0084419999999996</v>
      </c>
      <c r="AJ567" s="117">
        <v>0</v>
      </c>
      <c r="AK567" s="117">
        <v>0</v>
      </c>
      <c r="AL567" s="117">
        <v>0</v>
      </c>
      <c r="AM567" s="117">
        <v>0</v>
      </c>
      <c r="AN567" s="25"/>
      <c r="AO567" s="25"/>
      <c r="AR567" s="1"/>
      <c r="AS567" s="178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</row>
    <row r="568" spans="1:88" s="22" customFormat="1" ht="23.25" customHeight="1">
      <c r="A568" s="1">
        <v>1540</v>
      </c>
      <c r="B568" s="34" t="s">
        <v>2104</v>
      </c>
      <c r="C568" s="34">
        <v>414</v>
      </c>
      <c r="D568" s="69">
        <v>3312</v>
      </c>
      <c r="E568" s="34">
        <v>200</v>
      </c>
      <c r="F568" s="34" t="s">
        <v>2116</v>
      </c>
      <c r="G568" s="81">
        <v>39206</v>
      </c>
      <c r="H568" s="81">
        <v>12348</v>
      </c>
      <c r="I568" s="121">
        <v>26.858000000000001</v>
      </c>
      <c r="J568" s="34">
        <v>6</v>
      </c>
      <c r="K568" s="34" t="s">
        <v>96</v>
      </c>
      <c r="L568" s="10">
        <v>42266</v>
      </c>
      <c r="M568" s="37" t="s">
        <v>191</v>
      </c>
      <c r="N568" s="38">
        <v>9.7750000000000004</v>
      </c>
      <c r="O568" s="38">
        <v>5.9249999999999998</v>
      </c>
      <c r="P568" s="38">
        <v>3.9750000000000001</v>
      </c>
      <c r="Q568" s="38">
        <v>3</v>
      </c>
      <c r="R568" s="38">
        <v>3.2040700000000002</v>
      </c>
      <c r="S568" s="38">
        <f t="shared" si="72"/>
        <v>3</v>
      </c>
      <c r="T568" s="38">
        <v>11.2</v>
      </c>
      <c r="U568" s="38">
        <v>4.3250000000000002</v>
      </c>
      <c r="V568" s="38">
        <v>2.6749999999999998</v>
      </c>
      <c r="W568" s="38">
        <v>4.4749999999999996</v>
      </c>
      <c r="X568" s="38">
        <v>12.420199999999999</v>
      </c>
      <c r="Y568" s="38">
        <f t="shared" si="73"/>
        <v>12.5</v>
      </c>
      <c r="Z568" s="38">
        <v>0</v>
      </c>
      <c r="AA568" s="38">
        <v>0</v>
      </c>
      <c r="AB568" s="38">
        <v>26.858000000000001</v>
      </c>
      <c r="AC568" s="38">
        <v>1.12547</v>
      </c>
      <c r="AD568" s="39">
        <v>314</v>
      </c>
      <c r="AE568" s="38">
        <v>320.25</v>
      </c>
      <c r="AF568" s="38">
        <f>(AD568+AE568*0.5)/(3.5*I568*1000)*100</f>
        <v>0.50437220088720569</v>
      </c>
      <c r="AG568" s="38">
        <f t="shared" si="74"/>
        <v>0.5</v>
      </c>
      <c r="AH568" s="38">
        <v>2333</v>
      </c>
      <c r="AI568" s="38">
        <f>AH568/(3.5*I568*1000)*100</f>
        <v>2.4818356860951249</v>
      </c>
      <c r="AJ568" s="38">
        <v>2685.21</v>
      </c>
      <c r="AK568" s="38">
        <f>AJ568/(3.5*I568*1000)*100</f>
        <v>2.8565152175994384</v>
      </c>
      <c r="AL568" s="38">
        <v>147</v>
      </c>
      <c r="AM568" s="38">
        <f>AL568/(3.5*I568*1000)*100</f>
        <v>0.15637798793655522</v>
      </c>
      <c r="AN568" s="25"/>
      <c r="AO568" s="25">
        <f>AE568*0.5</f>
        <v>160.125</v>
      </c>
      <c r="AP568" s="25">
        <f>(AD568+AH568+AJ568+AL568+AO568)*I568</f>
        <v>151461.25943000001</v>
      </c>
      <c r="AQ568" s="25"/>
      <c r="AR568" s="25">
        <f>SUM(N568:Q568)</f>
        <v>22.675000000000001</v>
      </c>
      <c r="AS568" s="49">
        <f>SUM(T568:W568)</f>
        <v>22.674999999999997</v>
      </c>
      <c r="AT568" s="25"/>
      <c r="AV568" s="41"/>
      <c r="AW568" s="41"/>
      <c r="AX568" s="41"/>
      <c r="AY568" s="41"/>
    </row>
    <row r="569" spans="1:88" s="22" customFormat="1" ht="23.25" customHeight="1">
      <c r="A569" s="1">
        <v>892</v>
      </c>
      <c r="B569" s="34" t="s">
        <v>1285</v>
      </c>
      <c r="C569" s="34">
        <v>634</v>
      </c>
      <c r="D569" s="159">
        <v>202</v>
      </c>
      <c r="E569" s="34">
        <v>702</v>
      </c>
      <c r="F569" s="34" t="s">
        <v>1286</v>
      </c>
      <c r="G569" s="58">
        <v>345000</v>
      </c>
      <c r="H569" s="58">
        <v>367000</v>
      </c>
      <c r="I569" s="35">
        <v>22</v>
      </c>
      <c r="J569" s="160">
        <v>2</v>
      </c>
      <c r="K569" s="34" t="s">
        <v>238</v>
      </c>
      <c r="L569" s="10">
        <v>42145</v>
      </c>
      <c r="M569" s="37" t="s">
        <v>191</v>
      </c>
      <c r="N569" s="38">
        <v>7.7249999999999996</v>
      </c>
      <c r="O569" s="38">
        <v>7.9749999999999996</v>
      </c>
      <c r="P569" s="38">
        <v>4.4000000000000004</v>
      </c>
      <c r="Q569" s="38">
        <v>2</v>
      </c>
      <c r="R569" s="38">
        <v>3.1817099999999998</v>
      </c>
      <c r="S569" s="38">
        <f t="shared" si="72"/>
        <v>3</v>
      </c>
      <c r="T569" s="38">
        <v>19.95</v>
      </c>
      <c r="U569" s="38">
        <v>1.55</v>
      </c>
      <c r="V569" s="38">
        <v>0.32500000000000001</v>
      </c>
      <c r="W569" s="38">
        <v>0.27500000000000002</v>
      </c>
      <c r="X569" s="38">
        <v>4.4657600000000004</v>
      </c>
      <c r="Y569" s="38">
        <f t="shared" si="73"/>
        <v>4.5</v>
      </c>
      <c r="Z569" s="38">
        <v>0</v>
      </c>
      <c r="AA569" s="38">
        <v>0</v>
      </c>
      <c r="AB569" s="38">
        <f>N569+O569+P569+Q569</f>
        <v>22.1</v>
      </c>
      <c r="AC569" s="38">
        <v>1.5657799999999999</v>
      </c>
      <c r="AD569" s="39">
        <v>252.84</v>
      </c>
      <c r="AE569" s="38">
        <v>270.57</v>
      </c>
      <c r="AF569" s="38">
        <v>0.50405999999999995</v>
      </c>
      <c r="AG569" s="38">
        <f t="shared" si="74"/>
        <v>0.5</v>
      </c>
      <c r="AH569" s="38">
        <v>7.79</v>
      </c>
      <c r="AI569" s="38">
        <v>1.0120000000000001E-2</v>
      </c>
      <c r="AJ569" s="38">
        <v>295.91000000000003</v>
      </c>
      <c r="AK569" s="38">
        <v>0.384299</v>
      </c>
      <c r="AL569" s="38">
        <v>0.2</v>
      </c>
      <c r="AM569" s="38">
        <v>2.5999999999999998E-4</v>
      </c>
      <c r="AN569" s="25"/>
      <c r="AO569" s="25">
        <f>AE569*0.5</f>
        <v>135.285</v>
      </c>
      <c r="AP569" s="25">
        <f>(AD569+AH569+AJ569+AL569+AO569)*I569</f>
        <v>15224.55</v>
      </c>
      <c r="AQ569" s="25">
        <f>SUM(N569:Q569)</f>
        <v>22.1</v>
      </c>
      <c r="AR569" s="25">
        <f>SUM(T569:W569)</f>
        <v>22.099999999999998</v>
      </c>
      <c r="AS569" s="48"/>
      <c r="AT569" s="41"/>
      <c r="AU569" s="41"/>
      <c r="AV569" s="41"/>
      <c r="AW569" s="41"/>
    </row>
    <row r="570" spans="1:88" s="22" customFormat="1">
      <c r="A570" s="1">
        <v>678</v>
      </c>
      <c r="B570" s="34" t="s">
        <v>1084</v>
      </c>
      <c r="C570" s="34">
        <v>624</v>
      </c>
      <c r="D570" s="34">
        <v>2023</v>
      </c>
      <c r="E570" s="34">
        <v>102</v>
      </c>
      <c r="F570" s="34" t="s">
        <v>1088</v>
      </c>
      <c r="G570" s="58">
        <v>36614</v>
      </c>
      <c r="H570" s="58">
        <v>61145</v>
      </c>
      <c r="I570" s="35">
        <v>24.530999999999999</v>
      </c>
      <c r="J570" s="127">
        <v>2</v>
      </c>
      <c r="K570" s="34" t="s">
        <v>238</v>
      </c>
      <c r="L570" s="10">
        <v>42170</v>
      </c>
      <c r="M570" s="37" t="s">
        <v>191</v>
      </c>
      <c r="N570" s="38">
        <v>9.7249999999999996</v>
      </c>
      <c r="O570" s="38">
        <v>7.55</v>
      </c>
      <c r="P570" s="38">
        <v>5.15</v>
      </c>
      <c r="Q570" s="38">
        <v>2</v>
      </c>
      <c r="R570" s="38">
        <v>2.9015200000000001</v>
      </c>
      <c r="S570" s="38">
        <f t="shared" si="72"/>
        <v>3</v>
      </c>
      <c r="T570" s="38">
        <v>22.975000000000001</v>
      </c>
      <c r="U570" s="38">
        <v>1.075</v>
      </c>
      <c r="V570" s="38">
        <v>0.22500000000000001</v>
      </c>
      <c r="W570" s="38">
        <v>0.15</v>
      </c>
      <c r="X570" s="38">
        <v>3.8749500000000001</v>
      </c>
      <c r="Y570" s="38">
        <f t="shared" si="73"/>
        <v>4</v>
      </c>
      <c r="Z570" s="38">
        <v>0</v>
      </c>
      <c r="AA570" s="38">
        <v>0</v>
      </c>
      <c r="AB570" s="38">
        <f>N570+O570+P570+Q570</f>
        <v>24.424999999999997</v>
      </c>
      <c r="AC570" s="38">
        <v>0.99146400000000001</v>
      </c>
      <c r="AD570" s="39">
        <v>329.77</v>
      </c>
      <c r="AE570" s="38">
        <v>204.33</v>
      </c>
      <c r="AF570" s="38">
        <v>0.50307999999999997</v>
      </c>
      <c r="AG570" s="38">
        <f t="shared" si="74"/>
        <v>0.5</v>
      </c>
      <c r="AH570" s="38">
        <v>263.85000000000002</v>
      </c>
      <c r="AI570" s="38">
        <v>0.30731000000000003</v>
      </c>
      <c r="AJ570" s="38">
        <v>387.52</v>
      </c>
      <c r="AK570" s="38">
        <v>0.451347</v>
      </c>
      <c r="AL570" s="38">
        <v>0</v>
      </c>
      <c r="AM570" s="38">
        <v>0</v>
      </c>
      <c r="AN570" s="25"/>
      <c r="AO570" s="25">
        <f>AE570*0.5</f>
        <v>102.16500000000001</v>
      </c>
      <c r="AP570" s="25">
        <f>(AD570+AH570+AJ570+AL570+AO570)*I570</f>
        <v>26574.554955</v>
      </c>
      <c r="AQ570" s="25">
        <f>SUM(N570:Q570)</f>
        <v>24.424999999999997</v>
      </c>
      <c r="AR570" s="25">
        <f>SUM(T570:W570)</f>
        <v>24.425000000000001</v>
      </c>
      <c r="AS570" s="48"/>
      <c r="AT570" s="41"/>
      <c r="AU570" s="41"/>
      <c r="AV570" s="41"/>
      <c r="AW570" s="41"/>
    </row>
    <row r="571" spans="1:88" s="22" customFormat="1">
      <c r="A571" s="1">
        <v>1132</v>
      </c>
      <c r="B571" s="74" t="s">
        <v>1513</v>
      </c>
      <c r="C571" s="34">
        <v>431</v>
      </c>
      <c r="D571" s="75">
        <v>3620</v>
      </c>
      <c r="E571" s="69">
        <v>100</v>
      </c>
      <c r="F571" s="34" t="s">
        <v>1575</v>
      </c>
      <c r="G571" s="58" t="s">
        <v>1576</v>
      </c>
      <c r="H571" s="58" t="s">
        <v>92</v>
      </c>
      <c r="I571" s="34">
        <v>0.61099999999999999</v>
      </c>
      <c r="J571" s="5">
        <v>2</v>
      </c>
      <c r="K571" s="5" t="s">
        <v>12</v>
      </c>
      <c r="L571" s="18">
        <v>42282</v>
      </c>
      <c r="M571" s="37" t="s">
        <v>191</v>
      </c>
      <c r="N571" s="38">
        <v>0.1</v>
      </c>
      <c r="O571" s="38">
        <v>0.25</v>
      </c>
      <c r="P571" s="38">
        <v>0.15</v>
      </c>
      <c r="Q571" s="38">
        <v>0.125</v>
      </c>
      <c r="R571" s="38">
        <v>4.0152000000000001</v>
      </c>
      <c r="S571" s="38">
        <f t="shared" si="72"/>
        <v>4</v>
      </c>
      <c r="T571" s="38">
        <v>0.625</v>
      </c>
      <c r="U571" s="38">
        <v>0</v>
      </c>
      <c r="V571" s="38">
        <v>0</v>
      </c>
      <c r="W571" s="38">
        <v>0</v>
      </c>
      <c r="X571" s="38">
        <v>2.6665199999999998</v>
      </c>
      <c r="Y571" s="38">
        <f t="shared" si="73"/>
        <v>2.5</v>
      </c>
      <c r="Z571" s="38">
        <v>0</v>
      </c>
      <c r="AA571" s="38">
        <v>0</v>
      </c>
      <c r="AB571" s="38">
        <v>0.625</v>
      </c>
      <c r="AC571" s="38">
        <v>1.07612</v>
      </c>
      <c r="AD571" s="39">
        <v>9.8000000000000007</v>
      </c>
      <c r="AE571" s="38">
        <v>1.85</v>
      </c>
      <c r="AF571" s="38">
        <f>(AD571+AE571*0.5)/(3.5*I571*1000)*100</f>
        <v>0.50151975683890593</v>
      </c>
      <c r="AG571" s="38">
        <f t="shared" si="74"/>
        <v>0.5</v>
      </c>
      <c r="AH571" s="38">
        <v>7.36</v>
      </c>
      <c r="AI571" s="38">
        <f>AH571/(3.5*I571*1000)*100</f>
        <v>0.34416647182604632</v>
      </c>
      <c r="AJ571" s="38">
        <v>60.5</v>
      </c>
      <c r="AK571" s="38">
        <f>AJ571/(3.5*I571*1000)*100</f>
        <v>2.829085807809212</v>
      </c>
      <c r="AL571" s="38">
        <v>0</v>
      </c>
      <c r="AM571" s="38">
        <f>AL571/(3.5*I571*1000)*100</f>
        <v>0</v>
      </c>
      <c r="AN571" s="41"/>
      <c r="AO571" s="114"/>
      <c r="AP571" s="73"/>
      <c r="AQ571" s="73"/>
      <c r="AS571" s="48"/>
    </row>
    <row r="572" spans="1:88" s="22" customFormat="1" ht="24" customHeight="1">
      <c r="A572" s="1">
        <v>1389</v>
      </c>
      <c r="B572" s="34" t="s">
        <v>1940</v>
      </c>
      <c r="C572" s="34">
        <v>446</v>
      </c>
      <c r="D572" s="75">
        <v>3183</v>
      </c>
      <c r="E572" s="69">
        <v>101</v>
      </c>
      <c r="F572" s="34" t="s">
        <v>1944</v>
      </c>
      <c r="G572" s="20">
        <v>0</v>
      </c>
      <c r="H572" s="20">
        <v>21963</v>
      </c>
      <c r="I572" s="21">
        <v>21.963000000000001</v>
      </c>
      <c r="J572" s="8">
        <v>2</v>
      </c>
      <c r="K572" s="34" t="s">
        <v>238</v>
      </c>
      <c r="L572" s="10">
        <v>42220</v>
      </c>
      <c r="M572" s="37" t="s">
        <v>191</v>
      </c>
      <c r="N572" s="38">
        <v>10.1</v>
      </c>
      <c r="O572" s="38">
        <v>6.82</v>
      </c>
      <c r="P572" s="38">
        <v>3.58</v>
      </c>
      <c r="Q572" s="38">
        <v>1.46</v>
      </c>
      <c r="R572" s="38">
        <v>2.89201</v>
      </c>
      <c r="S572" s="38">
        <f t="shared" si="72"/>
        <v>3</v>
      </c>
      <c r="T572" s="38">
        <v>21.74</v>
      </c>
      <c r="U572" s="38">
        <v>0.2</v>
      </c>
      <c r="V572" s="38">
        <v>0.02</v>
      </c>
      <c r="W572" s="38">
        <v>0</v>
      </c>
      <c r="X572" s="38">
        <v>2.8317100000000002</v>
      </c>
      <c r="Y572" s="38">
        <f t="shared" si="73"/>
        <v>3</v>
      </c>
      <c r="Z572" s="38">
        <v>0</v>
      </c>
      <c r="AA572" s="38">
        <v>0</v>
      </c>
      <c r="AB572" s="11">
        <v>21.96</v>
      </c>
      <c r="AC572" s="38">
        <v>0.97249799999999997</v>
      </c>
      <c r="AD572" s="39">
        <v>365.24</v>
      </c>
      <c r="AE572" s="38">
        <v>34.6</v>
      </c>
      <c r="AF572" s="38">
        <v>0.49764213840159754</v>
      </c>
      <c r="AG572" s="38">
        <f t="shared" si="74"/>
        <v>0.5</v>
      </c>
      <c r="AH572" s="38">
        <v>114.4</v>
      </c>
      <c r="AI572" s="38">
        <v>0.14882171964537763</v>
      </c>
      <c r="AJ572" s="38">
        <v>0</v>
      </c>
      <c r="AK572" s="38">
        <v>0</v>
      </c>
      <c r="AL572" s="38">
        <v>0.24</v>
      </c>
      <c r="AM572" s="38">
        <v>3.1221339785743557E-4</v>
      </c>
      <c r="AN572" s="12"/>
      <c r="AO572" s="1"/>
      <c r="AP572" s="12">
        <f>SUM(N572:Q572)</f>
        <v>21.96</v>
      </c>
      <c r="AQ572" s="12">
        <f>SUM(T572:W572)</f>
        <v>21.959999999999997</v>
      </c>
      <c r="AR572" s="12">
        <f>SUM(Z572:AB572)</f>
        <v>21.96</v>
      </c>
      <c r="AS572" s="178"/>
      <c r="AT572" s="1">
        <f>I572/AP572</f>
        <v>1.000136612021858</v>
      </c>
      <c r="AU572" s="1">
        <f>I572/AQ572</f>
        <v>1.000136612021858</v>
      </c>
      <c r="AV572" s="1">
        <f>I572/AR572</f>
        <v>1.000136612021858</v>
      </c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</row>
    <row r="573" spans="1:88" s="22" customFormat="1">
      <c r="A573" s="1">
        <v>595</v>
      </c>
      <c r="B573" s="34" t="s">
        <v>994</v>
      </c>
      <c r="C573" s="34">
        <v>554</v>
      </c>
      <c r="D573" s="34">
        <v>201</v>
      </c>
      <c r="E573" s="34">
        <v>403</v>
      </c>
      <c r="F573" s="9" t="s">
        <v>997</v>
      </c>
      <c r="G573" s="118">
        <v>308986</v>
      </c>
      <c r="H573" s="118">
        <v>322036</v>
      </c>
      <c r="I573" s="35">
        <v>13.05</v>
      </c>
      <c r="J573" s="71">
        <v>4</v>
      </c>
      <c r="K573" s="34" t="s">
        <v>237</v>
      </c>
      <c r="L573" s="10">
        <v>42182</v>
      </c>
      <c r="M573" s="37" t="s">
        <v>191</v>
      </c>
      <c r="N573" s="38">
        <v>9.85</v>
      </c>
      <c r="O573" s="38">
        <v>2.0299999999999998</v>
      </c>
      <c r="P573" s="38">
        <v>0.95</v>
      </c>
      <c r="Q573" s="38">
        <v>0.23</v>
      </c>
      <c r="R573" s="38">
        <v>2.5081000000000002</v>
      </c>
      <c r="S573" s="38">
        <f t="shared" si="72"/>
        <v>2.5</v>
      </c>
      <c r="T573" s="38">
        <v>11.79</v>
      </c>
      <c r="U573" s="38">
        <v>1.05</v>
      </c>
      <c r="V573" s="38">
        <v>0.13</v>
      </c>
      <c r="W573" s="38">
        <v>0.08</v>
      </c>
      <c r="X573" s="38">
        <v>5.0880000000000001</v>
      </c>
      <c r="Y573" s="38">
        <f t="shared" si="73"/>
        <v>5</v>
      </c>
      <c r="Z573" s="38">
        <v>0</v>
      </c>
      <c r="AA573" s="38">
        <v>0</v>
      </c>
      <c r="AB573" s="38">
        <v>13.05</v>
      </c>
      <c r="AC573" s="38">
        <v>1.091</v>
      </c>
      <c r="AD573" s="39">
        <v>183</v>
      </c>
      <c r="AE573" s="38">
        <v>72</v>
      </c>
      <c r="AF573" s="38">
        <v>0.49492063492063487</v>
      </c>
      <c r="AG573" s="38">
        <f t="shared" si="74"/>
        <v>0.5</v>
      </c>
      <c r="AH573" s="38">
        <v>0</v>
      </c>
      <c r="AI573" s="38">
        <v>0</v>
      </c>
      <c r="AJ573" s="38">
        <v>0</v>
      </c>
      <c r="AK573" s="38">
        <v>0</v>
      </c>
      <c r="AL573" s="38">
        <v>0</v>
      </c>
      <c r="AM573" s="38">
        <f>AL573/(3.5*I573*1000)*100</f>
        <v>0</v>
      </c>
      <c r="AN573" s="60"/>
      <c r="AO573" s="60">
        <f>AE573*0.5</f>
        <v>36</v>
      </c>
      <c r="AP573" s="60">
        <f>(AD573+AH573+AJ573+AL573+AO573)*I573</f>
        <v>2857.9500000000003</v>
      </c>
      <c r="AQ573" s="25">
        <f>SUM(N573:Q573)</f>
        <v>13.059999999999999</v>
      </c>
      <c r="AR573" s="25">
        <f>SUM(T573:W573)</f>
        <v>13.05</v>
      </c>
      <c r="AS573" s="51">
        <v>13.05</v>
      </c>
      <c r="AT573" s="40"/>
      <c r="AU573" s="41">
        <f>SUM(N573:Q573)</f>
        <v>13.059999999999999</v>
      </c>
      <c r="AV573" s="41">
        <f>SUM(T573:W573)</f>
        <v>13.05</v>
      </c>
      <c r="AW573" s="41">
        <f>SUM(Z573:AB573)</f>
        <v>13.05</v>
      </c>
      <c r="AY573" s="22">
        <f>I573/AU573</f>
        <v>0.99923430321592666</v>
      </c>
      <c r="AZ573" s="22">
        <f>I573/AV573</f>
        <v>1</v>
      </c>
      <c r="BA573" s="22">
        <f>I573/AW573</f>
        <v>1</v>
      </c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</row>
    <row r="574" spans="1:88" s="22" customFormat="1">
      <c r="A574" s="1">
        <v>199</v>
      </c>
      <c r="B574" s="34" t="s">
        <v>383</v>
      </c>
      <c r="C574" s="34">
        <v>535</v>
      </c>
      <c r="D574" s="34">
        <v>1091</v>
      </c>
      <c r="E574" s="34">
        <v>103</v>
      </c>
      <c r="F574" s="34" t="s">
        <v>392</v>
      </c>
      <c r="G574" s="20">
        <v>37000</v>
      </c>
      <c r="H574" s="20">
        <v>69827</v>
      </c>
      <c r="I574" s="35">
        <v>32.826999999999998</v>
      </c>
      <c r="J574" s="36">
        <v>2</v>
      </c>
      <c r="K574" s="34" t="s">
        <v>12</v>
      </c>
      <c r="L574" s="18">
        <v>42210</v>
      </c>
      <c r="M574" s="37" t="s">
        <v>191</v>
      </c>
      <c r="N574" s="38">
        <v>16.96</v>
      </c>
      <c r="O574" s="38">
        <v>8.64</v>
      </c>
      <c r="P574" s="38">
        <v>4.2</v>
      </c>
      <c r="Q574" s="38">
        <v>3.04</v>
      </c>
      <c r="R574" s="38">
        <v>3.0232199999999998</v>
      </c>
      <c r="S574" s="38">
        <f t="shared" si="72"/>
        <v>3</v>
      </c>
      <c r="T574" s="38">
        <v>29.77</v>
      </c>
      <c r="U574" s="38">
        <v>2.64</v>
      </c>
      <c r="V574" s="38">
        <v>0.38</v>
      </c>
      <c r="W574" s="38">
        <v>0.05</v>
      </c>
      <c r="X574" s="38">
        <v>4.9289199999999997</v>
      </c>
      <c r="Y574" s="38">
        <f t="shared" si="73"/>
        <v>5</v>
      </c>
      <c r="Z574" s="38">
        <v>0</v>
      </c>
      <c r="AA574" s="38">
        <v>0</v>
      </c>
      <c r="AB574" s="38">
        <v>32.83</v>
      </c>
      <c r="AC574" s="38">
        <v>1.3481399999999999</v>
      </c>
      <c r="AD574" s="39">
        <v>495</v>
      </c>
      <c r="AE574" s="38">
        <v>146.13999999999999</v>
      </c>
      <c r="AF574" s="38">
        <f>(AD574+AE574*0.5)/(3.5*I574*1000)*100</f>
        <v>0.49442749652942475</v>
      </c>
      <c r="AG574" s="38">
        <f t="shared" si="74"/>
        <v>0.5</v>
      </c>
      <c r="AH574" s="38">
        <v>27</v>
      </c>
      <c r="AI574" s="38">
        <f>AH574/(3.5*I574*1000)*100</f>
        <v>2.3499819399536097E-2</v>
      </c>
      <c r="AJ574" s="38">
        <v>585</v>
      </c>
      <c r="AK574" s="38">
        <f>AJ574/(3.5*I574*1000)*100</f>
        <v>0.50916275365661545</v>
      </c>
      <c r="AL574" s="38">
        <v>0</v>
      </c>
      <c r="AM574" s="38">
        <f>AL574/(3.5*I574*1000)*100</f>
        <v>0</v>
      </c>
      <c r="AN574" s="25"/>
      <c r="AO574" s="25"/>
      <c r="AP574" s="25">
        <f>AE574*0.5</f>
        <v>73.069999999999993</v>
      </c>
      <c r="AQ574" s="25">
        <f>(AD574+AH574+AJ574+AL574+AP574)*I574</f>
        <v>38738.157889999995</v>
      </c>
      <c r="AR574" s="25"/>
      <c r="AS574" s="49"/>
      <c r="AT574" s="25"/>
      <c r="AU574" s="41">
        <f>SUM(N574:Q574)</f>
        <v>32.840000000000003</v>
      </c>
      <c r="AV574" s="41">
        <f>SUM(T574:W574)</f>
        <v>32.839999999999996</v>
      </c>
      <c r="AW574" s="41">
        <f>SUM(Z574:AB574)</f>
        <v>32.83</v>
      </c>
      <c r="AX574" s="41"/>
      <c r="AY574" s="22">
        <f>I574/AU574</f>
        <v>0.99960414129110819</v>
      </c>
      <c r="AZ574" s="22">
        <f>I574/AV574</f>
        <v>0.99960414129110842</v>
      </c>
      <c r="BA574" s="22">
        <f>I574/AW574</f>
        <v>0.99990862016448367</v>
      </c>
    </row>
    <row r="575" spans="1:88" s="22" customFormat="1">
      <c r="A575" s="1">
        <v>1349</v>
      </c>
      <c r="B575" s="74" t="s">
        <v>1851</v>
      </c>
      <c r="C575" s="34">
        <v>444</v>
      </c>
      <c r="D575" s="75">
        <v>3580</v>
      </c>
      <c r="E575" s="69">
        <v>100</v>
      </c>
      <c r="F575" s="34" t="s">
        <v>1900</v>
      </c>
      <c r="G575" s="20">
        <v>0</v>
      </c>
      <c r="H575" s="20">
        <v>6600</v>
      </c>
      <c r="I575" s="21">
        <v>6.6</v>
      </c>
      <c r="J575" s="8">
        <v>2</v>
      </c>
      <c r="K575" s="34" t="s">
        <v>238</v>
      </c>
      <c r="L575" s="10">
        <v>42214</v>
      </c>
      <c r="M575" s="37" t="s">
        <v>191</v>
      </c>
      <c r="N575" s="38">
        <v>4.5999999999999996</v>
      </c>
      <c r="O575" s="38">
        <v>1.625</v>
      </c>
      <c r="P575" s="38">
        <v>0.42499999999999999</v>
      </c>
      <c r="Q575" s="38">
        <v>7.4999999999999997E-2</v>
      </c>
      <c r="R575" s="38">
        <v>2.3143899999999999</v>
      </c>
      <c r="S575" s="38">
        <f t="shared" si="72"/>
        <v>2.5</v>
      </c>
      <c r="T575" s="38">
        <v>6.625</v>
      </c>
      <c r="U575" s="38">
        <v>0.1</v>
      </c>
      <c r="V575" s="38">
        <v>0</v>
      </c>
      <c r="W575" s="38">
        <v>0</v>
      </c>
      <c r="X575" s="38">
        <v>2.7319</v>
      </c>
      <c r="Y575" s="38">
        <f t="shared" si="73"/>
        <v>2.5</v>
      </c>
      <c r="Z575" s="38">
        <v>0</v>
      </c>
      <c r="AA575" s="38">
        <v>0</v>
      </c>
      <c r="AB575" s="38">
        <v>6.7249999999999996</v>
      </c>
      <c r="AC575" s="38">
        <v>1.22051</v>
      </c>
      <c r="AD575" s="39">
        <v>87.563000000000002</v>
      </c>
      <c r="AE575" s="38">
        <v>53.2</v>
      </c>
      <c r="AF575" s="38">
        <v>0.49421212121212138</v>
      </c>
      <c r="AG575" s="38">
        <f t="shared" si="74"/>
        <v>0.5</v>
      </c>
      <c r="AH575" s="38">
        <v>175.43</v>
      </c>
      <c r="AI575" s="38">
        <v>0.75943722943722958</v>
      </c>
      <c r="AJ575" s="38">
        <v>0</v>
      </c>
      <c r="AK575" s="38">
        <v>0</v>
      </c>
      <c r="AL575" s="38">
        <v>0</v>
      </c>
      <c r="AM575" s="38">
        <v>0</v>
      </c>
      <c r="AN575" s="1"/>
      <c r="AO575" s="1"/>
      <c r="AP575" s="1"/>
      <c r="AQ575" s="1"/>
      <c r="AR575" s="1"/>
      <c r="AS575" s="178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</row>
    <row r="576" spans="1:88" s="22" customFormat="1" ht="21" customHeight="1">
      <c r="A576" s="1">
        <v>497</v>
      </c>
      <c r="B576" s="88" t="s">
        <v>821</v>
      </c>
      <c r="C576" s="88">
        <v>519</v>
      </c>
      <c r="D576" s="88">
        <v>1068</v>
      </c>
      <c r="E576" s="88">
        <v>102</v>
      </c>
      <c r="F576" s="88" t="s">
        <v>848</v>
      </c>
      <c r="G576" s="88" t="s">
        <v>849</v>
      </c>
      <c r="H576" s="88" t="s">
        <v>847</v>
      </c>
      <c r="I576" s="115">
        <v>5.3780000000000001</v>
      </c>
      <c r="J576" s="88" t="s">
        <v>12</v>
      </c>
      <c r="K576" s="34">
        <v>2</v>
      </c>
      <c r="L576" s="116">
        <v>42276</v>
      </c>
      <c r="M576" s="37" t="s">
        <v>191</v>
      </c>
      <c r="N576" s="117">
        <v>3.2</v>
      </c>
      <c r="O576" s="117">
        <v>1.0900000000000001</v>
      </c>
      <c r="P576" s="117">
        <v>0.69</v>
      </c>
      <c r="Q576" s="117">
        <v>0.4</v>
      </c>
      <c r="R576" s="117">
        <v>2.8090299999999999</v>
      </c>
      <c r="S576" s="38">
        <f t="shared" si="72"/>
        <v>3</v>
      </c>
      <c r="T576" s="117">
        <v>5.13</v>
      </c>
      <c r="U576" s="117">
        <v>0.1</v>
      </c>
      <c r="V576" s="117">
        <v>0.15</v>
      </c>
      <c r="W576" s="117">
        <v>0</v>
      </c>
      <c r="X576" s="117">
        <v>2.89771</v>
      </c>
      <c r="Y576" s="38">
        <f t="shared" si="73"/>
        <v>3</v>
      </c>
      <c r="Z576" s="117">
        <v>0</v>
      </c>
      <c r="AA576" s="117">
        <v>0</v>
      </c>
      <c r="AB576" s="117">
        <v>5.38</v>
      </c>
      <c r="AC576" s="117">
        <v>1.3153600000000001</v>
      </c>
      <c r="AD576" s="254">
        <v>88.114999999999995</v>
      </c>
      <c r="AE576" s="117">
        <v>9.25</v>
      </c>
      <c r="AF576" s="117">
        <v>0.49297000000000002</v>
      </c>
      <c r="AG576" s="38">
        <f t="shared" si="74"/>
        <v>0.5</v>
      </c>
      <c r="AH576" s="117">
        <v>127.69</v>
      </c>
      <c r="AI576" s="117">
        <v>0.67875099999999999</v>
      </c>
      <c r="AJ576" s="117">
        <v>0</v>
      </c>
      <c r="AK576" s="117">
        <v>0</v>
      </c>
      <c r="AL576" s="117">
        <v>0</v>
      </c>
      <c r="AM576" s="117">
        <v>0</v>
      </c>
      <c r="AN576" s="41"/>
      <c r="AO576" s="41"/>
      <c r="AP576" s="41"/>
      <c r="AQ576" s="41">
        <f>SUM(N576:Q576)</f>
        <v>5.3800000000000008</v>
      </c>
      <c r="AR576" s="41">
        <f>SUM(T576:W576)</f>
        <v>5.38</v>
      </c>
      <c r="AS576" s="49">
        <f>SUM(Z576:AB576)</f>
        <v>5.38</v>
      </c>
      <c r="AU576" s="22">
        <f>I576/AQ576</f>
        <v>0.99962825278810397</v>
      </c>
      <c r="AV576" s="22">
        <f>I576/AR576</f>
        <v>0.99962825278810408</v>
      </c>
      <c r="AW576" s="22">
        <f>I576/AS576</f>
        <v>0.99962825278810408</v>
      </c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</row>
    <row r="577" spans="1:88" s="22" customFormat="1" ht="22.5" customHeight="1">
      <c r="A577" s="1">
        <v>1713</v>
      </c>
      <c r="B577" s="34" t="s">
        <v>2308</v>
      </c>
      <c r="C577" s="34">
        <v>422</v>
      </c>
      <c r="D577" s="8">
        <v>361</v>
      </c>
      <c r="E577" s="34">
        <v>100</v>
      </c>
      <c r="F577" s="34" t="s">
        <v>2312</v>
      </c>
      <c r="G577" s="58">
        <v>0</v>
      </c>
      <c r="H577" s="58">
        <v>9000</v>
      </c>
      <c r="I577" s="35">
        <v>9</v>
      </c>
      <c r="J577" s="9">
        <v>10</v>
      </c>
      <c r="K577" s="34" t="s">
        <v>237</v>
      </c>
      <c r="L577" s="10">
        <v>42229</v>
      </c>
      <c r="M577" s="37" t="s">
        <v>191</v>
      </c>
      <c r="N577" s="38">
        <v>2.34</v>
      </c>
      <c r="O577" s="38">
        <v>2.99</v>
      </c>
      <c r="P577" s="38">
        <v>2.44</v>
      </c>
      <c r="Q577" s="38">
        <v>1.23</v>
      </c>
      <c r="R577" s="38">
        <v>2.6477599999999999</v>
      </c>
      <c r="S577" s="38">
        <f t="shared" si="72"/>
        <v>2.5</v>
      </c>
      <c r="T577" s="38">
        <v>8.48</v>
      </c>
      <c r="U577" s="38">
        <v>0.4</v>
      </c>
      <c r="V577" s="38">
        <v>0.1</v>
      </c>
      <c r="W577" s="38">
        <v>0.03</v>
      </c>
      <c r="X577" s="38">
        <v>6.2154199999999999</v>
      </c>
      <c r="Y577" s="38">
        <f t="shared" si="73"/>
        <v>6</v>
      </c>
      <c r="Z577" s="38">
        <v>0</v>
      </c>
      <c r="AA577" s="38">
        <v>0</v>
      </c>
      <c r="AB577" s="35">
        <v>9</v>
      </c>
      <c r="AC577" s="38">
        <v>1.3401099999999999</v>
      </c>
      <c r="AD577" s="39">
        <v>0</v>
      </c>
      <c r="AE577" s="38">
        <v>310.08</v>
      </c>
      <c r="AF577" s="38">
        <v>0.49219000000000002</v>
      </c>
      <c r="AG577" s="38">
        <f t="shared" si="74"/>
        <v>0.5</v>
      </c>
      <c r="AH577" s="38">
        <v>0</v>
      </c>
      <c r="AI577" s="38">
        <v>0</v>
      </c>
      <c r="AJ577" s="38">
        <v>0</v>
      </c>
      <c r="AK577" s="38">
        <v>0</v>
      </c>
      <c r="AL577" s="38">
        <v>0</v>
      </c>
      <c r="AM577" s="55">
        <v>0</v>
      </c>
      <c r="AO577" s="22">
        <f>AE577*0.5</f>
        <v>155.04</v>
      </c>
      <c r="AP577" s="41">
        <f>(AD577+AH577+AJ577+AL577+AO577)*I577</f>
        <v>1395.36</v>
      </c>
      <c r="AQ577" s="25">
        <f>SUM(N577:Q577)</f>
        <v>9</v>
      </c>
      <c r="AR577" s="25">
        <f>SUM(T577:W577)</f>
        <v>9.01</v>
      </c>
      <c r="AS577" s="51">
        <v>9</v>
      </c>
      <c r="AU577" s="25">
        <f>AS577-AQ577</f>
        <v>0</v>
      </c>
      <c r="AV577" s="41">
        <f>SUM(N577:Q577)</f>
        <v>9</v>
      </c>
      <c r="AW577" s="41">
        <f>SUM(T577:W577)</f>
        <v>9.01</v>
      </c>
      <c r="AX577" s="41">
        <f>SUM(Z577:AB577)</f>
        <v>9</v>
      </c>
      <c r="AZ577" s="22">
        <f>I577/AV577</f>
        <v>1</v>
      </c>
      <c r="BA577" s="22">
        <f>I577/AW577</f>
        <v>0.99889012208657046</v>
      </c>
      <c r="BB577" s="22">
        <f>I577/AX577</f>
        <v>1</v>
      </c>
    </row>
    <row r="578" spans="1:88" s="22" customFormat="1">
      <c r="A578" s="1">
        <v>444</v>
      </c>
      <c r="B578" s="74" t="s">
        <v>699</v>
      </c>
      <c r="C578" s="34">
        <v>513</v>
      </c>
      <c r="D578" s="75">
        <v>1305</v>
      </c>
      <c r="E578" s="69">
        <v>100</v>
      </c>
      <c r="F578" s="76" t="s">
        <v>754</v>
      </c>
      <c r="G578" s="58" t="s">
        <v>755</v>
      </c>
      <c r="H578" s="58" t="s">
        <v>92</v>
      </c>
      <c r="I578" s="55">
        <v>7.6929999999999996</v>
      </c>
      <c r="J578" s="5" t="s">
        <v>12</v>
      </c>
      <c r="K578" s="34">
        <v>2</v>
      </c>
      <c r="L578" s="18">
        <v>42263</v>
      </c>
      <c r="M578" s="37" t="s">
        <v>191</v>
      </c>
      <c r="N578" s="38">
        <v>5.3</v>
      </c>
      <c r="O578" s="38">
        <v>1.6</v>
      </c>
      <c r="P578" s="38">
        <v>0.65</v>
      </c>
      <c r="Q578" s="38">
        <v>0.15</v>
      </c>
      <c r="R578" s="38">
        <v>2.3639000000000001</v>
      </c>
      <c r="S578" s="38">
        <f t="shared" si="72"/>
        <v>2.5</v>
      </c>
      <c r="T578" s="38">
        <v>7.19</v>
      </c>
      <c r="U578" s="38">
        <v>0.25</v>
      </c>
      <c r="V578" s="38">
        <v>0.2</v>
      </c>
      <c r="W578" s="38">
        <v>0.05</v>
      </c>
      <c r="X578" s="38">
        <v>2.87141</v>
      </c>
      <c r="Y578" s="38">
        <f t="shared" si="73"/>
        <v>3</v>
      </c>
      <c r="Z578" s="38">
        <v>0</v>
      </c>
      <c r="AA578" s="38">
        <v>0</v>
      </c>
      <c r="AB578" s="38">
        <v>7.69</v>
      </c>
      <c r="AC578" s="38">
        <v>1.2987500000000001</v>
      </c>
      <c r="AD578" s="39">
        <v>123.12</v>
      </c>
      <c r="AE578" s="38">
        <v>18.649999999999999</v>
      </c>
      <c r="AF578" s="38">
        <f>(AD578+AE578*0.5)/(3.5*I578*1000)*100</f>
        <v>0.49189430094148667</v>
      </c>
      <c r="AG578" s="38">
        <f t="shared" si="74"/>
        <v>0.5</v>
      </c>
      <c r="AH578" s="38">
        <v>24.35</v>
      </c>
      <c r="AI578" s="38">
        <f>AH578/(3.5*I578*1000)*100</f>
        <v>9.0434718018235508E-2</v>
      </c>
      <c r="AJ578" s="38">
        <v>0</v>
      </c>
      <c r="AK578" s="38">
        <f>AJ578/(3.5*I578*1000)*100</f>
        <v>0</v>
      </c>
      <c r="AL578" s="38">
        <v>0</v>
      </c>
      <c r="AM578" s="38">
        <f>AL578/(3.5*I578*1000)*100</f>
        <v>0</v>
      </c>
      <c r="AN578" s="41"/>
      <c r="AO578" s="41"/>
      <c r="AP578" s="73"/>
      <c r="AQ578" s="41">
        <f>SUM(N578:Q578)</f>
        <v>7.7000000000000011</v>
      </c>
      <c r="AR578" s="41">
        <f>SUM(T578:W578)</f>
        <v>7.69</v>
      </c>
      <c r="AS578" s="49">
        <f>SUM(Z578:AB578)</f>
        <v>7.69</v>
      </c>
      <c r="AU578" s="22">
        <f>I578/AQ578</f>
        <v>0.99909090909090892</v>
      </c>
      <c r="AV578" s="22">
        <f>I578/AR578</f>
        <v>1.0003901170351104</v>
      </c>
      <c r="AW578" s="22">
        <f>I578/AS578</f>
        <v>1.0003901170351104</v>
      </c>
      <c r="AX578" s="73"/>
      <c r="AY578" s="73"/>
      <c r="AZ578" s="73"/>
      <c r="BA578" s="73"/>
      <c r="BB578" s="73"/>
      <c r="BC578" s="73"/>
      <c r="BD578" s="73"/>
      <c r="BE578" s="73"/>
      <c r="BF578" s="73"/>
      <c r="BG578" s="73"/>
      <c r="BH578" s="73"/>
      <c r="BI578" s="73"/>
      <c r="BJ578" s="73"/>
      <c r="BK578" s="73"/>
      <c r="BL578" s="73"/>
      <c r="BM578" s="73"/>
      <c r="BN578" s="73"/>
      <c r="BO578" s="73"/>
      <c r="BP578" s="73"/>
      <c r="BQ578" s="73"/>
      <c r="BR578" s="73"/>
      <c r="BS578" s="73"/>
      <c r="BT578" s="73"/>
      <c r="BU578" s="73"/>
      <c r="BV578" s="73"/>
      <c r="BW578" s="73"/>
      <c r="BX578" s="73"/>
      <c r="BY578" s="73"/>
      <c r="BZ578" s="73"/>
      <c r="CA578" s="73"/>
      <c r="CB578" s="73"/>
      <c r="CC578" s="73"/>
      <c r="CD578" s="73"/>
      <c r="CE578" s="73"/>
      <c r="CF578" s="73"/>
      <c r="CG578" s="73"/>
      <c r="CH578" s="73"/>
      <c r="CI578" s="73"/>
      <c r="CJ578" s="73"/>
    </row>
    <row r="579" spans="1:88" s="22" customFormat="1">
      <c r="A579" s="1">
        <v>2047</v>
      </c>
      <c r="B579" s="34" t="s">
        <v>2697</v>
      </c>
      <c r="C579" s="34">
        <v>328</v>
      </c>
      <c r="D579" s="75">
        <v>401</v>
      </c>
      <c r="E579" s="8">
        <v>401</v>
      </c>
      <c r="F579" s="34" t="s">
        <v>2698</v>
      </c>
      <c r="G579" s="58">
        <v>128042</v>
      </c>
      <c r="H579" s="58">
        <v>145542</v>
      </c>
      <c r="I579" s="21">
        <v>17.5</v>
      </c>
      <c r="J579" s="8">
        <v>2</v>
      </c>
      <c r="K579" s="8" t="s">
        <v>238</v>
      </c>
      <c r="L579" s="18">
        <v>42120</v>
      </c>
      <c r="M579" s="37" t="s">
        <v>191</v>
      </c>
      <c r="N579" s="38">
        <v>11.15</v>
      </c>
      <c r="O579" s="38">
        <v>3.125</v>
      </c>
      <c r="P579" s="38">
        <v>1.7250000000000001</v>
      </c>
      <c r="Q579" s="38">
        <v>1.4750000000000001</v>
      </c>
      <c r="R579" s="38">
        <v>2.5825</v>
      </c>
      <c r="S579" s="38">
        <f t="shared" ref="S579:S642" si="78">ROUND(R579/5,1)*5</f>
        <v>2.5</v>
      </c>
      <c r="T579" s="38">
        <v>16.074999999999999</v>
      </c>
      <c r="U579" s="38">
        <v>1.125</v>
      </c>
      <c r="V579" s="38">
        <v>0.22500000000000001</v>
      </c>
      <c r="W579" s="38">
        <v>0.05</v>
      </c>
      <c r="X579" s="38">
        <v>5.3313800000000002</v>
      </c>
      <c r="Y579" s="38">
        <f t="shared" ref="Y579:Y642" si="79">ROUND(X579/5,1)*5</f>
        <v>5.5</v>
      </c>
      <c r="Z579" s="38">
        <v>0</v>
      </c>
      <c r="AA579" s="38">
        <v>0</v>
      </c>
      <c r="AB579" s="38">
        <v>17.475000000000001</v>
      </c>
      <c r="AC579" s="38">
        <v>1.1455900000000001</v>
      </c>
      <c r="AD579" s="39">
        <v>196.02</v>
      </c>
      <c r="AE579" s="38">
        <v>209.49</v>
      </c>
      <c r="AF579" s="38">
        <v>0.49104489795918371</v>
      </c>
      <c r="AG579" s="38">
        <f t="shared" ref="AG579:AG642" si="80">ROUND(AF579,1)</f>
        <v>0.5</v>
      </c>
      <c r="AH579" s="38">
        <v>118.31</v>
      </c>
      <c r="AI579" s="38">
        <v>0.1931591836734694</v>
      </c>
      <c r="AJ579" s="38">
        <v>1.03</v>
      </c>
      <c r="AK579" s="38">
        <v>1.6816326530612244E-3</v>
      </c>
      <c r="AL579" s="38">
        <v>0</v>
      </c>
      <c r="AM579" s="38">
        <f>AL579/(3.5*I579*1000)*100</f>
        <v>0</v>
      </c>
      <c r="AN579" s="72"/>
      <c r="AO579" s="41"/>
      <c r="AP579" s="41"/>
      <c r="AQ579" s="73"/>
      <c r="AR579" s="73"/>
      <c r="AS579" s="178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</row>
    <row r="580" spans="1:88" s="22" customFormat="1">
      <c r="A580" s="1">
        <v>105</v>
      </c>
      <c r="B580" s="4" t="s">
        <v>78</v>
      </c>
      <c r="C580" s="14">
        <v>527</v>
      </c>
      <c r="D580" s="19">
        <v>107</v>
      </c>
      <c r="E580" s="16">
        <v>201</v>
      </c>
      <c r="F580" s="31" t="s">
        <v>210</v>
      </c>
      <c r="G580" s="20" t="s">
        <v>214</v>
      </c>
      <c r="H580" s="20" t="s">
        <v>211</v>
      </c>
      <c r="I580" s="21">
        <v>12.407</v>
      </c>
      <c r="J580" s="8">
        <v>2</v>
      </c>
      <c r="K580" s="9" t="s">
        <v>237</v>
      </c>
      <c r="L580" s="18">
        <v>42239</v>
      </c>
      <c r="M580" s="37" t="s">
        <v>191</v>
      </c>
      <c r="N580" s="11">
        <v>7.21</v>
      </c>
      <c r="O580" s="11">
        <v>3.41</v>
      </c>
      <c r="P580" s="11">
        <v>1.19</v>
      </c>
      <c r="Q580" s="11">
        <v>0.6</v>
      </c>
      <c r="R580" s="11">
        <v>2.6006200000000002</v>
      </c>
      <c r="S580" s="38">
        <f t="shared" si="78"/>
        <v>2.5</v>
      </c>
      <c r="T580" s="11">
        <v>11.71</v>
      </c>
      <c r="U580" s="11">
        <v>0.55000000000000004</v>
      </c>
      <c r="V580" s="11">
        <v>0.05</v>
      </c>
      <c r="W580" s="11">
        <v>0.1</v>
      </c>
      <c r="X580" s="11">
        <v>4.46075</v>
      </c>
      <c r="Y580" s="38">
        <f t="shared" si="79"/>
        <v>4.5</v>
      </c>
      <c r="Z580" s="11">
        <v>0</v>
      </c>
      <c r="AA580" s="11">
        <v>0</v>
      </c>
      <c r="AB580" s="11">
        <v>12.41</v>
      </c>
      <c r="AC580" s="11">
        <v>1.0210399999999999</v>
      </c>
      <c r="AD580" s="164">
        <v>168.31</v>
      </c>
      <c r="AE580" s="11">
        <v>89.6</v>
      </c>
      <c r="AF580" s="11">
        <f>(AD580+AE580*0.5)/(3.5*I580*1000)*100</f>
        <v>0.49075982452302275</v>
      </c>
      <c r="AG580" s="38">
        <f t="shared" si="80"/>
        <v>0.5</v>
      </c>
      <c r="AH580" s="11">
        <v>112.51</v>
      </c>
      <c r="AI580" s="11">
        <f>AH580/(3.5*I580*1000)*100</f>
        <v>0.25909336895070756</v>
      </c>
      <c r="AJ580" s="11">
        <v>18.5</v>
      </c>
      <c r="AK580" s="11">
        <f>AJ580/(3.5*I580*1000)*100</f>
        <v>4.2602678211608652E-2</v>
      </c>
      <c r="AL580" s="11">
        <v>3.6</v>
      </c>
      <c r="AM580" s="11">
        <f>AL580/(3.5*I580*1000)*100</f>
        <v>8.2902508952319535E-3</v>
      </c>
      <c r="AO580" s="25"/>
      <c r="AP580" s="25">
        <f>SUM(N580:Q580)</f>
        <v>12.41</v>
      </c>
      <c r="AQ580" s="25">
        <f>SUM(T580:W580)</f>
        <v>12.410000000000002</v>
      </c>
      <c r="AR580" s="25">
        <f>SUM(Z580:AB580)</f>
        <v>12.41</v>
      </c>
      <c r="AS580" s="48"/>
      <c r="AT580" s="22">
        <f>I580/AP580</f>
        <v>0.99975825946817087</v>
      </c>
      <c r="AU580" s="22">
        <f>I580/AQ580</f>
        <v>0.99975825946817065</v>
      </c>
      <c r="AV580" s="22">
        <f>I580/AR580</f>
        <v>0.99975825946817087</v>
      </c>
    </row>
    <row r="581" spans="1:88" s="22" customFormat="1" ht="24.75" customHeight="1">
      <c r="A581" s="1">
        <v>1917</v>
      </c>
      <c r="B581" s="34" t="s">
        <v>2559</v>
      </c>
      <c r="C581" s="34">
        <v>338</v>
      </c>
      <c r="D581" s="75">
        <v>4</v>
      </c>
      <c r="E581" s="8">
        <v>503</v>
      </c>
      <c r="F581" s="9" t="s">
        <v>2561</v>
      </c>
      <c r="G581" s="20" t="s">
        <v>2562</v>
      </c>
      <c r="H581" s="20" t="s">
        <v>2563</v>
      </c>
      <c r="I581" s="21">
        <v>17.893000000000001</v>
      </c>
      <c r="J581" s="8">
        <v>6</v>
      </c>
      <c r="K581" s="8" t="s">
        <v>1521</v>
      </c>
      <c r="L581" s="18">
        <v>42102</v>
      </c>
      <c r="M581" s="247" t="s">
        <v>191</v>
      </c>
      <c r="N581" s="38">
        <v>15.02</v>
      </c>
      <c r="O581" s="38">
        <v>1.66</v>
      </c>
      <c r="P581" s="38">
        <v>1.01</v>
      </c>
      <c r="Q581" s="38">
        <v>0.2</v>
      </c>
      <c r="R581" s="38">
        <v>1.9317200000000001</v>
      </c>
      <c r="S581" s="38">
        <f t="shared" si="78"/>
        <v>2</v>
      </c>
      <c r="T581" s="38">
        <v>17.87</v>
      </c>
      <c r="U581" s="38">
        <v>0</v>
      </c>
      <c r="V581" s="38">
        <v>0.02</v>
      </c>
      <c r="W581" s="38">
        <v>0</v>
      </c>
      <c r="X581" s="38">
        <v>2.9247700000000001</v>
      </c>
      <c r="Y581" s="38">
        <f t="shared" si="79"/>
        <v>3</v>
      </c>
      <c r="Z581" s="38">
        <v>0</v>
      </c>
      <c r="AA581" s="38">
        <v>0</v>
      </c>
      <c r="AB581" s="38">
        <v>17.89</v>
      </c>
      <c r="AC581" s="38">
        <v>1.41499</v>
      </c>
      <c r="AD581" s="39">
        <v>188.3</v>
      </c>
      <c r="AE581" s="38">
        <v>244.2</v>
      </c>
      <c r="AF581" s="38">
        <v>0.49057259810661741</v>
      </c>
      <c r="AG581" s="38">
        <f t="shared" si="80"/>
        <v>0.5</v>
      </c>
      <c r="AH581" s="38">
        <v>224.16</v>
      </c>
      <c r="AI581" s="38">
        <v>0.35427433502441802</v>
      </c>
      <c r="AJ581" s="38">
        <v>0</v>
      </c>
      <c r="AK581" s="38">
        <v>0</v>
      </c>
      <c r="AL581" s="38">
        <v>0</v>
      </c>
      <c r="AM581" s="38">
        <f>AL581/(3.5*I581*1000)*100</f>
        <v>0</v>
      </c>
      <c r="AN581" s="41"/>
      <c r="AO581" s="73"/>
      <c r="AP581" s="41"/>
      <c r="AQ581" s="41">
        <f>SUM(N581:Q581)</f>
        <v>17.89</v>
      </c>
      <c r="AR581" s="41">
        <f>SUM(T581:W581)</f>
        <v>17.89</v>
      </c>
      <c r="AS581" s="270">
        <f>SUM(Z581:AB581)</f>
        <v>17.89</v>
      </c>
      <c r="AT581" s="1"/>
      <c r="AU581" s="1">
        <f>I581/AQ581</f>
        <v>1.0001676914477362</v>
      </c>
      <c r="AV581" s="1">
        <f>I581/AR581</f>
        <v>1.0001676914477362</v>
      </c>
      <c r="AW581" s="1">
        <f>I581/AS581</f>
        <v>1.0001676914477362</v>
      </c>
      <c r="AX581" s="1">
        <f>AT581/I606</f>
        <v>0</v>
      </c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</row>
    <row r="582" spans="1:88" s="22" customFormat="1">
      <c r="A582" s="1">
        <v>1353</v>
      </c>
      <c r="B582" s="74" t="s">
        <v>1905</v>
      </c>
      <c r="C582" s="34">
        <v>445</v>
      </c>
      <c r="D582" s="75">
        <v>324</v>
      </c>
      <c r="E582" s="69">
        <v>201</v>
      </c>
      <c r="F582" s="9" t="s">
        <v>1906</v>
      </c>
      <c r="G582" s="20">
        <v>44000</v>
      </c>
      <c r="H582" s="20">
        <v>12300</v>
      </c>
      <c r="I582" s="21">
        <v>31.7</v>
      </c>
      <c r="J582" s="8">
        <v>4</v>
      </c>
      <c r="K582" s="34" t="s">
        <v>96</v>
      </c>
      <c r="L582" s="10">
        <v>42188</v>
      </c>
      <c r="M582" s="37" t="s">
        <v>191</v>
      </c>
      <c r="N582" s="38">
        <v>22.925000000000001</v>
      </c>
      <c r="O582" s="38">
        <v>5.05</v>
      </c>
      <c r="P582" s="38">
        <v>2.7</v>
      </c>
      <c r="Q582" s="38">
        <v>1.175</v>
      </c>
      <c r="R582" s="38">
        <v>2.3065600000000002</v>
      </c>
      <c r="S582" s="38">
        <f t="shared" si="78"/>
        <v>2.5</v>
      </c>
      <c r="T582" s="38">
        <v>24.5</v>
      </c>
      <c r="U582" s="38">
        <v>5.125</v>
      </c>
      <c r="V582" s="38">
        <v>1.675</v>
      </c>
      <c r="W582" s="38">
        <v>0.55000000000000004</v>
      </c>
      <c r="X582" s="38">
        <v>7.3005699999999996</v>
      </c>
      <c r="Y582" s="38">
        <f t="shared" si="79"/>
        <v>7.5</v>
      </c>
      <c r="Z582" s="38">
        <v>0</v>
      </c>
      <c r="AA582" s="38">
        <v>0</v>
      </c>
      <c r="AB582" s="38">
        <v>31.85</v>
      </c>
      <c r="AC582" s="38">
        <v>1.0762400000000001</v>
      </c>
      <c r="AD582" s="39">
        <v>531.6</v>
      </c>
      <c r="AE582" s="38">
        <v>24.5</v>
      </c>
      <c r="AF582" s="38">
        <v>0.49017575484452452</v>
      </c>
      <c r="AG582" s="38">
        <f t="shared" si="80"/>
        <v>0.5</v>
      </c>
      <c r="AH582" s="38">
        <v>165.4</v>
      </c>
      <c r="AI582" s="38">
        <v>0.14907616043262734</v>
      </c>
      <c r="AJ582" s="38">
        <v>0</v>
      </c>
      <c r="AK582" s="38">
        <v>0</v>
      </c>
      <c r="AL582" s="38">
        <v>0</v>
      </c>
      <c r="AM582" s="38">
        <v>0</v>
      </c>
      <c r="AN582" s="72"/>
      <c r="AO582" s="41"/>
      <c r="AP582" s="41"/>
      <c r="AQ582" s="41"/>
      <c r="AR582" s="41"/>
      <c r="AS582" s="48"/>
      <c r="AT582" s="73"/>
      <c r="AU582" s="73"/>
      <c r="AV582" s="73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</row>
    <row r="583" spans="1:88" s="22" customFormat="1">
      <c r="A583" s="1">
        <v>1785</v>
      </c>
      <c r="B583" s="34" t="s">
        <v>2382</v>
      </c>
      <c r="C583" s="34">
        <v>428</v>
      </c>
      <c r="D583" s="8">
        <v>331</v>
      </c>
      <c r="E583" s="34">
        <v>103</v>
      </c>
      <c r="F583" s="34" t="s">
        <v>2386</v>
      </c>
      <c r="G583" s="58">
        <v>47000</v>
      </c>
      <c r="H583" s="58">
        <v>68300</v>
      </c>
      <c r="I583" s="35">
        <v>21.3</v>
      </c>
      <c r="J583" s="9">
        <v>4</v>
      </c>
      <c r="K583" s="34" t="s">
        <v>237</v>
      </c>
      <c r="L583" s="10">
        <v>42230</v>
      </c>
      <c r="M583" s="37" t="s">
        <v>191</v>
      </c>
      <c r="N583" s="38">
        <v>10.53</v>
      </c>
      <c r="O583" s="38">
        <v>3.7</v>
      </c>
      <c r="P583" s="38">
        <v>3.3</v>
      </c>
      <c r="Q583" s="38">
        <v>3.85</v>
      </c>
      <c r="R583" s="38">
        <v>3.4026700000000001</v>
      </c>
      <c r="S583" s="38">
        <f t="shared" si="78"/>
        <v>3.5</v>
      </c>
      <c r="T583" s="38">
        <v>16.600000000000001</v>
      </c>
      <c r="U583" s="38">
        <v>3.85</v>
      </c>
      <c r="V583" s="38">
        <v>0.65</v>
      </c>
      <c r="W583" s="38">
        <v>0.27500000000000002</v>
      </c>
      <c r="X583" s="38">
        <v>8.0891500000000001</v>
      </c>
      <c r="Y583" s="38">
        <f t="shared" si="79"/>
        <v>8</v>
      </c>
      <c r="Z583" s="38">
        <v>0</v>
      </c>
      <c r="AA583" s="38">
        <v>0</v>
      </c>
      <c r="AB583" s="38">
        <f>SUM(N583:Q583)</f>
        <v>21.380000000000003</v>
      </c>
      <c r="AC583" s="38">
        <v>1.3475299999999999</v>
      </c>
      <c r="AD583" s="39">
        <v>364.98</v>
      </c>
      <c r="AE583" s="38">
        <v>0</v>
      </c>
      <c r="AF583" s="38">
        <f>(AD583+AE583*0.5)/(3.5*I583*1000)*100</f>
        <v>0.48957746478873237</v>
      </c>
      <c r="AG583" s="38">
        <f t="shared" si="80"/>
        <v>0.5</v>
      </c>
      <c r="AH583" s="38">
        <v>0</v>
      </c>
      <c r="AI583" s="38">
        <f>AH583/(3.5*I583*1000)*100</f>
        <v>0</v>
      </c>
      <c r="AJ583" s="38">
        <v>0</v>
      </c>
      <c r="AK583" s="38">
        <f>AJ583/(3.5*I583*1000)*100</f>
        <v>0</v>
      </c>
      <c r="AL583" s="38">
        <v>0</v>
      </c>
      <c r="AM583" s="38">
        <f>AL583/(3.5*I583*1000)*100</f>
        <v>0</v>
      </c>
      <c r="AN583" s="25"/>
      <c r="AO583" s="25">
        <f>AE583*0.5</f>
        <v>0</v>
      </c>
      <c r="AP583" s="25">
        <f>(AD583+AH583+AJ583+AL583+AO583)*I583</f>
        <v>7774.0740000000005</v>
      </c>
      <c r="AQ583" s="136">
        <f>SUM(N583:Q583)</f>
        <v>21.380000000000003</v>
      </c>
      <c r="AR583" s="12">
        <f>SUM(T583:W583)</f>
        <v>21.375</v>
      </c>
      <c r="AS583" s="48"/>
      <c r="AT583" s="41"/>
      <c r="AU583" s="41"/>
      <c r="AV583" s="41"/>
      <c r="AW583" s="41"/>
    </row>
    <row r="584" spans="1:88" s="22" customFormat="1" ht="24" customHeight="1">
      <c r="A584" s="1">
        <v>1274</v>
      </c>
      <c r="B584" s="34" t="s">
        <v>1775</v>
      </c>
      <c r="C584" s="88">
        <v>438</v>
      </c>
      <c r="D584" s="88">
        <v>3600</v>
      </c>
      <c r="E584" s="88">
        <v>100</v>
      </c>
      <c r="F584" s="88" t="s">
        <v>1816</v>
      </c>
      <c r="G584" s="88" t="s">
        <v>92</v>
      </c>
      <c r="H584" s="88" t="s">
        <v>1817</v>
      </c>
      <c r="I584" s="115">
        <v>5.1340000000000003</v>
      </c>
      <c r="J584" s="88">
        <v>2</v>
      </c>
      <c r="K584" s="181" t="s">
        <v>238</v>
      </c>
      <c r="L584" s="116">
        <v>42282</v>
      </c>
      <c r="M584" s="37" t="s">
        <v>191</v>
      </c>
      <c r="N584" s="117">
        <v>2.8250000000000002</v>
      </c>
      <c r="O584" s="117">
        <v>1.175</v>
      </c>
      <c r="P584" s="117">
        <v>0.82499999999999996</v>
      </c>
      <c r="Q584" s="117">
        <v>0.35</v>
      </c>
      <c r="R584" s="117">
        <v>2.83691</v>
      </c>
      <c r="S584" s="38">
        <f t="shared" si="78"/>
        <v>3</v>
      </c>
      <c r="T584" s="117">
        <v>5.1749999999999998</v>
      </c>
      <c r="U584" s="38">
        <v>0</v>
      </c>
      <c r="V584" s="38">
        <v>0</v>
      </c>
      <c r="W584" s="38">
        <v>0</v>
      </c>
      <c r="X584" s="38">
        <v>2.3360500000000002</v>
      </c>
      <c r="Y584" s="38">
        <f t="shared" si="79"/>
        <v>2.5</v>
      </c>
      <c r="Z584" s="38">
        <v>0</v>
      </c>
      <c r="AA584" s="38">
        <v>0</v>
      </c>
      <c r="AB584" s="55">
        <v>5.1340000000000003</v>
      </c>
      <c r="AC584" s="38">
        <v>1.2459499999999999</v>
      </c>
      <c r="AD584" s="39">
        <v>63.48</v>
      </c>
      <c r="AE584" s="38">
        <v>48.2</v>
      </c>
      <c r="AF584" s="117">
        <f>(AD584+AE584*0.5)/(3.5*I584*1000)*100</f>
        <v>0.48739495798319321</v>
      </c>
      <c r="AG584" s="38">
        <f t="shared" si="80"/>
        <v>0.5</v>
      </c>
      <c r="AH584" s="117">
        <v>14.2</v>
      </c>
      <c r="AI584" s="117">
        <f>AH584/(3.5*I584*1000)*100</f>
        <v>7.9024987478435074E-2</v>
      </c>
      <c r="AJ584" s="117">
        <v>0</v>
      </c>
      <c r="AK584" s="117">
        <v>0</v>
      </c>
      <c r="AL584" s="117">
        <v>0</v>
      </c>
      <c r="AM584" s="117">
        <v>0</v>
      </c>
      <c r="AN584" s="12"/>
      <c r="AO584" s="1"/>
      <c r="AP584" s="1"/>
      <c r="AQ584" s="1"/>
      <c r="AR584" s="1"/>
      <c r="AS584" s="178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</row>
    <row r="585" spans="1:88" s="22" customFormat="1" ht="20.25" customHeight="1">
      <c r="A585" s="1">
        <v>1190</v>
      </c>
      <c r="B585" s="34" t="s">
        <v>1639</v>
      </c>
      <c r="C585" s="34">
        <v>433</v>
      </c>
      <c r="D585" s="34">
        <v>3285</v>
      </c>
      <c r="E585" s="34">
        <v>100</v>
      </c>
      <c r="F585" s="34" t="s">
        <v>1670</v>
      </c>
      <c r="G585" s="58" t="s">
        <v>92</v>
      </c>
      <c r="H585" s="58" t="s">
        <v>279</v>
      </c>
      <c r="I585" s="55">
        <v>10</v>
      </c>
      <c r="J585" s="34">
        <v>2</v>
      </c>
      <c r="K585" s="181" t="s">
        <v>238</v>
      </c>
      <c r="L585" s="10">
        <v>42282</v>
      </c>
      <c r="M585" s="37" t="s">
        <v>191</v>
      </c>
      <c r="N585" s="38">
        <v>5.4</v>
      </c>
      <c r="O585" s="38">
        <v>2.8</v>
      </c>
      <c r="P585" s="38">
        <v>1.5</v>
      </c>
      <c r="Q585" s="38">
        <v>0.3</v>
      </c>
      <c r="R585" s="38">
        <v>2.6733500000000001</v>
      </c>
      <c r="S585" s="38">
        <f t="shared" si="78"/>
        <v>2.5</v>
      </c>
      <c r="T585" s="38">
        <v>9.65</v>
      </c>
      <c r="U585" s="38">
        <v>0.27500000000000002</v>
      </c>
      <c r="V585" s="38">
        <v>7.4999999999999997E-2</v>
      </c>
      <c r="W585" s="38">
        <v>0</v>
      </c>
      <c r="X585" s="38">
        <v>3.74424</v>
      </c>
      <c r="Y585" s="38">
        <f t="shared" si="79"/>
        <v>3.5</v>
      </c>
      <c r="Z585" s="38">
        <v>0</v>
      </c>
      <c r="AA585" s="38">
        <v>0</v>
      </c>
      <c r="AB585" s="38">
        <v>10</v>
      </c>
      <c r="AC585" s="38">
        <v>1.25376</v>
      </c>
      <c r="AD585" s="39">
        <v>167.249</v>
      </c>
      <c r="AE585" s="38">
        <v>6.32</v>
      </c>
      <c r="AF585" s="38">
        <f>(AD585+AE585*0.5)/(3.5*I585*1000)*100</f>
        <v>0.48688285714285717</v>
      </c>
      <c r="AG585" s="38">
        <f t="shared" si="80"/>
        <v>0.5</v>
      </c>
      <c r="AH585" s="38">
        <v>203.15</v>
      </c>
      <c r="AI585" s="38">
        <f>AH585/(3.5*I585*1000)*100</f>
        <v>0.5804285714285714</v>
      </c>
      <c r="AJ585" s="38">
        <v>6.3</v>
      </c>
      <c r="AK585" s="38">
        <f>AJ585/(3.5*I585*1000)*100</f>
        <v>1.7999999999999999E-2</v>
      </c>
      <c r="AL585" s="38">
        <v>0</v>
      </c>
      <c r="AM585" s="38">
        <f>AJ585/(3.5*I585*1000)*100</f>
        <v>1.7999999999999999E-2</v>
      </c>
      <c r="AN585" s="25"/>
      <c r="AS585" s="48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</row>
    <row r="586" spans="1:88" s="22" customFormat="1" ht="21.75" customHeight="1">
      <c r="A586" s="1">
        <v>2212</v>
      </c>
      <c r="B586" s="34" t="s">
        <v>2853</v>
      </c>
      <c r="C586" s="34">
        <v>318</v>
      </c>
      <c r="D586" s="75">
        <v>406</v>
      </c>
      <c r="E586" s="8">
        <v>103</v>
      </c>
      <c r="F586" s="9" t="s">
        <v>2856</v>
      </c>
      <c r="G586" s="20" t="s">
        <v>2857</v>
      </c>
      <c r="H586" s="20">
        <v>92974</v>
      </c>
      <c r="I586" s="21">
        <v>6.9160000000000004</v>
      </c>
      <c r="J586" s="8">
        <v>2</v>
      </c>
      <c r="K586" s="8" t="s">
        <v>96</v>
      </c>
      <c r="L586" s="18">
        <v>42149</v>
      </c>
      <c r="M586" s="37" t="s">
        <v>191</v>
      </c>
      <c r="N586" s="38">
        <v>3.6749999999999998</v>
      </c>
      <c r="O586" s="38">
        <v>2.3250000000000002</v>
      </c>
      <c r="P586" s="38">
        <v>0.67500000000000004</v>
      </c>
      <c r="Q586" s="38">
        <v>0.15</v>
      </c>
      <c r="R586" s="38">
        <v>2.62147</v>
      </c>
      <c r="S586" s="38">
        <f t="shared" si="78"/>
        <v>2.5</v>
      </c>
      <c r="T586" s="38">
        <v>6.5</v>
      </c>
      <c r="U586" s="38">
        <v>0.3</v>
      </c>
      <c r="V586" s="38">
        <v>2.5000000000000001E-2</v>
      </c>
      <c r="W586" s="38">
        <v>0</v>
      </c>
      <c r="X586" s="38">
        <v>4.9848400000000002</v>
      </c>
      <c r="Y586" s="38">
        <f t="shared" si="79"/>
        <v>5</v>
      </c>
      <c r="Z586" s="38">
        <v>0</v>
      </c>
      <c r="AA586" s="38">
        <v>0</v>
      </c>
      <c r="AB586" s="38">
        <v>6.8250000000000002</v>
      </c>
      <c r="AC586" s="38">
        <v>1.4700599999999999</v>
      </c>
      <c r="AD586" s="39">
        <v>117.57</v>
      </c>
      <c r="AE586" s="38">
        <v>0</v>
      </c>
      <c r="AF586" s="38">
        <v>0.48570602330000817</v>
      </c>
      <c r="AG586" s="38">
        <f t="shared" si="80"/>
        <v>0.5</v>
      </c>
      <c r="AH586" s="38">
        <v>0</v>
      </c>
      <c r="AI586" s="38">
        <v>0</v>
      </c>
      <c r="AJ586" s="38">
        <v>0</v>
      </c>
      <c r="AK586" s="38">
        <v>0</v>
      </c>
      <c r="AL586" s="38">
        <v>0</v>
      </c>
      <c r="AM586" s="38">
        <f>AL586/(3.5*I586*1000)*100</f>
        <v>0</v>
      </c>
      <c r="AO586" s="25"/>
      <c r="AP586" s="25"/>
      <c r="AS586" s="48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</row>
    <row r="587" spans="1:88" s="22" customFormat="1" ht="19.5" customHeight="1">
      <c r="A587" s="1">
        <v>1267</v>
      </c>
      <c r="B587" s="34" t="s">
        <v>1775</v>
      </c>
      <c r="C587" s="88">
        <v>438</v>
      </c>
      <c r="D587" s="88">
        <v>3327</v>
      </c>
      <c r="E587" s="88">
        <v>200</v>
      </c>
      <c r="F587" s="88" t="s">
        <v>1803</v>
      </c>
      <c r="G587" s="88" t="s">
        <v>1502</v>
      </c>
      <c r="H587" s="88" t="s">
        <v>595</v>
      </c>
      <c r="I587" s="115">
        <v>18.722999999999999</v>
      </c>
      <c r="J587" s="88">
        <v>2</v>
      </c>
      <c r="K587" s="181" t="s">
        <v>238</v>
      </c>
      <c r="L587" s="116">
        <v>42282</v>
      </c>
      <c r="M587" s="37" t="s">
        <v>191</v>
      </c>
      <c r="N587" s="117">
        <v>7.9749999999999996</v>
      </c>
      <c r="O587" s="117">
        <v>6.625</v>
      </c>
      <c r="P587" s="117">
        <v>3.2</v>
      </c>
      <c r="Q587" s="117">
        <v>0.875</v>
      </c>
      <c r="R587" s="117">
        <v>2.8899300000000001</v>
      </c>
      <c r="S587" s="38">
        <f t="shared" si="78"/>
        <v>3</v>
      </c>
      <c r="T587" s="117">
        <v>18.399999999999999</v>
      </c>
      <c r="U587" s="117">
        <v>0.27500000000000002</v>
      </c>
      <c r="V587" s="117">
        <v>0</v>
      </c>
      <c r="W587" s="117">
        <v>0</v>
      </c>
      <c r="X587" s="117">
        <v>2.5248900000000001</v>
      </c>
      <c r="Y587" s="38">
        <f t="shared" si="79"/>
        <v>2.5</v>
      </c>
      <c r="Z587" s="117">
        <v>0</v>
      </c>
      <c r="AA587" s="117">
        <v>0</v>
      </c>
      <c r="AB587" s="115">
        <v>18.722999999999999</v>
      </c>
      <c r="AC587" s="117">
        <v>1.1171199999999999</v>
      </c>
      <c r="AD587" s="254">
        <v>230.5</v>
      </c>
      <c r="AE587" s="117">
        <v>174.2</v>
      </c>
      <c r="AF587" s="117">
        <f>(AD587+AE587*0.5)/(3.5*I587*1000)*100</f>
        <v>0.4846598148953542</v>
      </c>
      <c r="AG587" s="38">
        <f t="shared" si="80"/>
        <v>0.5</v>
      </c>
      <c r="AH587" s="117">
        <v>112.20099999999999</v>
      </c>
      <c r="AI587" s="117">
        <f>AH587/(3.5*I587*1000)*100</f>
        <v>0.17121950847315373</v>
      </c>
      <c r="AJ587" s="117">
        <v>0</v>
      </c>
      <c r="AK587" s="117">
        <v>0</v>
      </c>
      <c r="AL587" s="117">
        <v>0</v>
      </c>
      <c r="AM587" s="117">
        <v>0</v>
      </c>
      <c r="AN587" s="12"/>
      <c r="AO587" s="1"/>
      <c r="AP587" s="1"/>
      <c r="AQ587" s="1"/>
      <c r="AR587" s="1"/>
      <c r="AS587" s="178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</row>
    <row r="588" spans="1:88" s="22" customFormat="1" ht="22.5" customHeight="1">
      <c r="A588" s="1">
        <v>1009</v>
      </c>
      <c r="B588" s="9" t="s">
        <v>1394</v>
      </c>
      <c r="C588" s="9">
        <v>617</v>
      </c>
      <c r="D588" s="8">
        <v>226</v>
      </c>
      <c r="E588" s="9">
        <v>204</v>
      </c>
      <c r="F588" s="9" t="s">
        <v>1408</v>
      </c>
      <c r="G588" s="20" t="s">
        <v>1409</v>
      </c>
      <c r="H588" s="20" t="s">
        <v>1410</v>
      </c>
      <c r="I588" s="35">
        <v>20.736999999999998</v>
      </c>
      <c r="J588" s="9">
        <v>4</v>
      </c>
      <c r="K588" s="9" t="s">
        <v>96</v>
      </c>
      <c r="L588" s="18">
        <v>42131</v>
      </c>
      <c r="M588" s="37" t="s">
        <v>191</v>
      </c>
      <c r="N588" s="11">
        <v>10.707000000000001</v>
      </c>
      <c r="O588" s="11">
        <v>5.8369999999999997</v>
      </c>
      <c r="P588" s="11">
        <v>2.7050000000000001</v>
      </c>
      <c r="Q588" s="11">
        <v>1.488</v>
      </c>
      <c r="R588" s="11">
        <v>2.81473</v>
      </c>
      <c r="S588" s="38">
        <f t="shared" si="78"/>
        <v>3</v>
      </c>
      <c r="T588" s="11">
        <v>14.651</v>
      </c>
      <c r="U588" s="11">
        <v>3.8730000000000002</v>
      </c>
      <c r="V588" s="11">
        <v>2.1890000000000001</v>
      </c>
      <c r="W588" s="11">
        <v>2.4E-2</v>
      </c>
      <c r="X588" s="11">
        <v>7.0326599999999999</v>
      </c>
      <c r="Y588" s="38">
        <f t="shared" si="79"/>
        <v>7</v>
      </c>
      <c r="Z588" s="11">
        <v>0</v>
      </c>
      <c r="AA588" s="11">
        <v>0</v>
      </c>
      <c r="AB588" s="11">
        <f>SUM(N588:Q588)</f>
        <v>20.737000000000002</v>
      </c>
      <c r="AC588" s="11">
        <v>1.25545</v>
      </c>
      <c r="AD588" s="164">
        <v>349.16</v>
      </c>
      <c r="AE588" s="11">
        <v>0</v>
      </c>
      <c r="AF588" s="11">
        <f>(AD588+AE588*0.5)/(3.5*I588*1000)*100</f>
        <v>0.48107247914355983</v>
      </c>
      <c r="AG588" s="38">
        <f t="shared" si="80"/>
        <v>0.5</v>
      </c>
      <c r="AH588" s="11">
        <v>135.01</v>
      </c>
      <c r="AI588" s="38">
        <f>AH588/(3.5*I588*1000)*100</f>
        <v>0.18601671270813383</v>
      </c>
      <c r="AJ588" s="11">
        <v>0</v>
      </c>
      <c r="AK588" s="38">
        <f>AJ588/(3.5*I588*1000)*100</f>
        <v>0</v>
      </c>
      <c r="AL588" s="11">
        <v>0</v>
      </c>
      <c r="AM588" s="38">
        <f>AL588/(3.5*I588*1000)*100</f>
        <v>0</v>
      </c>
      <c r="AN588" s="25"/>
      <c r="AO588" s="25">
        <f>AE588*0.5</f>
        <v>0</v>
      </c>
      <c r="AP588" s="25">
        <f>(AD588+AH588+AJ588+AL588+AO588)*I588</f>
        <v>10040.23329</v>
      </c>
      <c r="AQ588" s="25"/>
      <c r="AR588" s="25"/>
      <c r="AS588" s="49">
        <f>SUM(N588:Q588)</f>
        <v>20.737000000000002</v>
      </c>
      <c r="AT588" s="25">
        <f>SUM(T588:W588)</f>
        <v>20.737000000000002</v>
      </c>
      <c r="AU588" s="41"/>
      <c r="AV588" s="41"/>
      <c r="AW588" s="41"/>
    </row>
    <row r="589" spans="1:88" s="22" customFormat="1">
      <c r="A589" s="1">
        <v>1463</v>
      </c>
      <c r="B589" s="34" t="s">
        <v>1987</v>
      </c>
      <c r="C589" s="34">
        <v>448</v>
      </c>
      <c r="D589" s="75">
        <v>3454</v>
      </c>
      <c r="E589" s="69">
        <v>301</v>
      </c>
      <c r="F589" s="34" t="s">
        <v>2011</v>
      </c>
      <c r="G589" s="20">
        <v>62493</v>
      </c>
      <c r="H589" s="20">
        <v>49736</v>
      </c>
      <c r="I589" s="21">
        <v>12.757</v>
      </c>
      <c r="J589" s="8">
        <v>2</v>
      </c>
      <c r="K589" s="34" t="s">
        <v>12</v>
      </c>
      <c r="L589" s="10">
        <v>42182</v>
      </c>
      <c r="M589" s="37" t="s">
        <v>191</v>
      </c>
      <c r="N589" s="38">
        <v>7.95</v>
      </c>
      <c r="O589" s="38">
        <v>2.7250000000000001</v>
      </c>
      <c r="P589" s="38">
        <v>1.125</v>
      </c>
      <c r="Q589" s="38">
        <v>0.2</v>
      </c>
      <c r="R589" s="38">
        <v>2.4543300000000001</v>
      </c>
      <c r="S589" s="38">
        <f t="shared" si="78"/>
        <v>2.5</v>
      </c>
      <c r="T589" s="38">
        <v>11.3</v>
      </c>
      <c r="U589" s="38">
        <v>0.6</v>
      </c>
      <c r="V589" s="38">
        <v>7.4999999999999997E-2</v>
      </c>
      <c r="W589" s="38">
        <v>2.5000000000000001E-2</v>
      </c>
      <c r="X589" s="38">
        <v>4.6188799999999999</v>
      </c>
      <c r="Y589" s="38">
        <f t="shared" si="79"/>
        <v>4.5</v>
      </c>
      <c r="Z589" s="38">
        <v>0</v>
      </c>
      <c r="AA589" s="38">
        <v>0</v>
      </c>
      <c r="AB589" s="38">
        <v>12</v>
      </c>
      <c r="AC589" s="38">
        <v>0.99347300000000005</v>
      </c>
      <c r="AD589" s="39">
        <v>33</v>
      </c>
      <c r="AE589" s="38">
        <v>363</v>
      </c>
      <c r="AF589" s="38">
        <f>(AD589+AE589*0.5)/(3.5*I589*1000)*100</f>
        <v>0.48040851521293643</v>
      </c>
      <c r="AG589" s="38">
        <f t="shared" si="80"/>
        <v>0.5</v>
      </c>
      <c r="AH589" s="38">
        <v>8</v>
      </c>
      <c r="AI589" s="38">
        <f>AH589/(3.5*I589*1000)*100</f>
        <v>1.7917333900715576E-2</v>
      </c>
      <c r="AJ589" s="38">
        <v>78</v>
      </c>
      <c r="AK589" s="38">
        <f>AJ589/(3.5*I589*1000)*100</f>
        <v>0.17469400553197686</v>
      </c>
      <c r="AL589" s="38">
        <v>0</v>
      </c>
      <c r="AM589" s="38">
        <f>AL589/(3.5*I589*1000)*100</f>
        <v>0</v>
      </c>
      <c r="AN589" s="72"/>
      <c r="AO589" s="41"/>
      <c r="AP589" s="41"/>
      <c r="AQ589" s="73"/>
      <c r="AR589" s="73"/>
      <c r="AS589" s="48"/>
      <c r="AT589" s="73"/>
      <c r="AU589" s="73"/>
      <c r="AV589" s="73"/>
    </row>
    <row r="590" spans="1:88" s="22" customFormat="1" ht="24" customHeight="1">
      <c r="A590" s="1">
        <v>596</v>
      </c>
      <c r="B590" s="34" t="s">
        <v>994</v>
      </c>
      <c r="C590" s="34">
        <v>554</v>
      </c>
      <c r="D590" s="34">
        <v>201</v>
      </c>
      <c r="E590" s="34">
        <v>403</v>
      </c>
      <c r="F590" s="9" t="s">
        <v>997</v>
      </c>
      <c r="G590" s="118" t="s">
        <v>998</v>
      </c>
      <c r="H590" s="118" t="s">
        <v>999</v>
      </c>
      <c r="I590" s="35">
        <v>13.05</v>
      </c>
      <c r="J590" s="71">
        <v>4</v>
      </c>
      <c r="K590" s="34" t="s">
        <v>96</v>
      </c>
      <c r="L590" s="10">
        <v>42182</v>
      </c>
      <c r="M590" s="37" t="s">
        <v>191</v>
      </c>
      <c r="N590" s="38">
        <v>9.85</v>
      </c>
      <c r="O590" s="38">
        <v>2.0499999999999998</v>
      </c>
      <c r="P590" s="38">
        <v>0.93</v>
      </c>
      <c r="Q590" s="38">
        <v>0.23</v>
      </c>
      <c r="R590" s="38">
        <v>2.5788000000000002</v>
      </c>
      <c r="S590" s="38">
        <f t="shared" si="78"/>
        <v>2.5</v>
      </c>
      <c r="T590" s="38">
        <v>11.27</v>
      </c>
      <c r="U590" s="38">
        <v>1.33</v>
      </c>
      <c r="V590" s="38">
        <v>0.4</v>
      </c>
      <c r="W590" s="38">
        <v>0.05</v>
      </c>
      <c r="X590" s="38">
        <v>5.0882199999999997</v>
      </c>
      <c r="Y590" s="38">
        <f t="shared" si="79"/>
        <v>5</v>
      </c>
      <c r="Z590" s="38">
        <v>0</v>
      </c>
      <c r="AA590" s="38">
        <v>0</v>
      </c>
      <c r="AB590" s="38">
        <v>13.05</v>
      </c>
      <c r="AC590" s="38">
        <v>1.09114</v>
      </c>
      <c r="AD590" s="39">
        <v>183</v>
      </c>
      <c r="AE590" s="38">
        <v>72</v>
      </c>
      <c r="AF590" s="38">
        <v>0.48007300000000003</v>
      </c>
      <c r="AG590" s="38">
        <f t="shared" si="80"/>
        <v>0.5</v>
      </c>
      <c r="AH590" s="38">
        <v>0</v>
      </c>
      <c r="AI590" s="38">
        <v>0</v>
      </c>
      <c r="AJ590" s="38">
        <v>0</v>
      </c>
      <c r="AK590" s="38">
        <v>0</v>
      </c>
      <c r="AL590" s="38">
        <v>0</v>
      </c>
      <c r="AM590" s="38">
        <v>0</v>
      </c>
      <c r="AN590" s="60"/>
      <c r="AO590" s="60">
        <f>AE590*0.5</f>
        <v>36</v>
      </c>
      <c r="AP590" s="60">
        <f>(AD590+AH590+AJ590+AL590+AO590)*I590</f>
        <v>2857.9500000000003</v>
      </c>
      <c r="AQ590" s="25">
        <f>SUM(N590:Q590)</f>
        <v>13.059999999999999</v>
      </c>
      <c r="AR590" s="25">
        <f>SUM(T590:W590)</f>
        <v>13.05</v>
      </c>
      <c r="AS590" s="51">
        <v>13.05</v>
      </c>
      <c r="AT590" s="40"/>
      <c r="AU590" s="41">
        <f>SUM(N590:Q590)</f>
        <v>13.059999999999999</v>
      </c>
      <c r="AV590" s="41">
        <f>SUM(T590:W590)</f>
        <v>13.05</v>
      </c>
      <c r="AW590" s="41">
        <f>SUM(Z590:AB590)</f>
        <v>13.05</v>
      </c>
      <c r="AY590" s="22">
        <f>I590/AU590</f>
        <v>0.99923430321592666</v>
      </c>
      <c r="AZ590" s="22">
        <f>I590/AV590</f>
        <v>1</v>
      </c>
      <c r="BA590" s="22">
        <f>I590/AW590</f>
        <v>1</v>
      </c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</row>
    <row r="591" spans="1:88" s="22" customFormat="1">
      <c r="A591" s="1">
        <v>1342</v>
      </c>
      <c r="B591" s="74" t="s">
        <v>1851</v>
      </c>
      <c r="C591" s="34">
        <v>444</v>
      </c>
      <c r="D591" s="75">
        <v>3548</v>
      </c>
      <c r="E591" s="69">
        <v>100</v>
      </c>
      <c r="F591" s="34" t="s">
        <v>1889</v>
      </c>
      <c r="G591" s="53" t="s">
        <v>92</v>
      </c>
      <c r="H591" s="53" t="s">
        <v>1890</v>
      </c>
      <c r="I591" s="5">
        <v>2.032</v>
      </c>
      <c r="J591" s="8">
        <v>2</v>
      </c>
      <c r="K591" s="34" t="s">
        <v>238</v>
      </c>
      <c r="L591" s="10">
        <v>42214</v>
      </c>
      <c r="M591" s="37" t="s">
        <v>191</v>
      </c>
      <c r="N591" s="38">
        <v>2.0249999999999999</v>
      </c>
      <c r="O591" s="38">
        <v>0</v>
      </c>
      <c r="P591" s="38">
        <v>0</v>
      </c>
      <c r="Q591" s="38">
        <v>0</v>
      </c>
      <c r="R591" s="38">
        <v>1.2101200000000001</v>
      </c>
      <c r="S591" s="38">
        <f t="shared" si="78"/>
        <v>1</v>
      </c>
      <c r="T591" s="38">
        <v>1.9</v>
      </c>
      <c r="U591" s="38">
        <v>0.125</v>
      </c>
      <c r="V591" s="38">
        <v>0</v>
      </c>
      <c r="W591" s="38">
        <v>0</v>
      </c>
      <c r="X591" s="38">
        <v>2.5893999999999999</v>
      </c>
      <c r="Y591" s="38">
        <f t="shared" si="79"/>
        <v>2.5</v>
      </c>
      <c r="Z591" s="38">
        <v>0</v>
      </c>
      <c r="AA591" s="38">
        <v>0</v>
      </c>
      <c r="AB591" s="38">
        <v>2.0249999999999999</v>
      </c>
      <c r="AC591" s="38">
        <v>0.85699999999999998</v>
      </c>
      <c r="AD591" s="39">
        <v>12.4</v>
      </c>
      <c r="AE591" s="38">
        <v>43.174999999999997</v>
      </c>
      <c r="AF591" s="38">
        <v>0.47788948256467939</v>
      </c>
      <c r="AG591" s="38">
        <f t="shared" si="80"/>
        <v>0.5</v>
      </c>
      <c r="AH591" s="38">
        <v>44.2</v>
      </c>
      <c r="AI591" s="38">
        <v>0.62148481439820025</v>
      </c>
      <c r="AJ591" s="38">
        <v>0</v>
      </c>
      <c r="AK591" s="38">
        <v>0</v>
      </c>
      <c r="AL591" s="38">
        <v>0</v>
      </c>
      <c r="AM591" s="38">
        <v>0</v>
      </c>
      <c r="AN591" s="1"/>
      <c r="AO591" s="1"/>
      <c r="AP591" s="1"/>
      <c r="AQ591" s="1"/>
      <c r="AR591" s="1"/>
      <c r="AS591" s="178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</row>
    <row r="592" spans="1:88" s="22" customFormat="1" ht="20.25" customHeight="1">
      <c r="A592" s="1">
        <v>1379</v>
      </c>
      <c r="B592" s="74" t="s">
        <v>1905</v>
      </c>
      <c r="C592" s="34">
        <v>445</v>
      </c>
      <c r="D592" s="75">
        <v>3443</v>
      </c>
      <c r="E592" s="69">
        <v>102</v>
      </c>
      <c r="F592" s="184" t="s">
        <v>1930</v>
      </c>
      <c r="G592" s="20">
        <v>42897</v>
      </c>
      <c r="H592" s="20">
        <v>26665</v>
      </c>
      <c r="I592" s="21">
        <v>16.231999999999999</v>
      </c>
      <c r="J592" s="8">
        <v>2</v>
      </c>
      <c r="K592" s="34" t="s">
        <v>238</v>
      </c>
      <c r="L592" s="10">
        <v>42188</v>
      </c>
      <c r="M592" s="37" t="s">
        <v>191</v>
      </c>
      <c r="N592" s="38">
        <v>8.7173999999999996</v>
      </c>
      <c r="O592" s="38">
        <v>5.03505</v>
      </c>
      <c r="P592" s="38">
        <v>2.1042000000000001</v>
      </c>
      <c r="Q592" s="38">
        <v>0.37575000000000003</v>
      </c>
      <c r="R592" s="38">
        <v>2.57077</v>
      </c>
      <c r="S592" s="38">
        <f t="shared" si="78"/>
        <v>2.5</v>
      </c>
      <c r="T592" s="38">
        <v>16.00695</v>
      </c>
      <c r="U592" s="38">
        <v>0.20040000000000002</v>
      </c>
      <c r="V592" s="38">
        <v>2.5050000000000003E-2</v>
      </c>
      <c r="W592" s="38">
        <v>0</v>
      </c>
      <c r="X592" s="38">
        <v>2.5774400000000002</v>
      </c>
      <c r="Y592" s="38">
        <f t="shared" si="79"/>
        <v>2.5</v>
      </c>
      <c r="Z592" s="38">
        <v>0</v>
      </c>
      <c r="AA592" s="38">
        <v>0</v>
      </c>
      <c r="AB592" s="38">
        <v>16.232399999999998</v>
      </c>
      <c r="AC592" s="38">
        <v>1.10615</v>
      </c>
      <c r="AD592" s="39">
        <v>254.434</v>
      </c>
      <c r="AE592" s="38">
        <v>32.5</v>
      </c>
      <c r="AF592" s="38">
        <v>0.47645567837780745</v>
      </c>
      <c r="AG592" s="38">
        <f t="shared" si="80"/>
        <v>0.5</v>
      </c>
      <c r="AH592" s="38">
        <v>23.77</v>
      </c>
      <c r="AI592" s="38">
        <v>4.1839752165035556E-2</v>
      </c>
      <c r="AJ592" s="38">
        <v>0</v>
      </c>
      <c r="AK592" s="38">
        <v>0</v>
      </c>
      <c r="AL592" s="38">
        <v>0</v>
      </c>
      <c r="AM592" s="38">
        <v>0</v>
      </c>
      <c r="AN592" s="72"/>
      <c r="AO592" s="41"/>
      <c r="AP592" s="41"/>
      <c r="AQ592" s="41"/>
      <c r="AR592" s="41"/>
      <c r="AS592" s="48"/>
      <c r="AT592" s="73"/>
      <c r="AU592" s="73"/>
      <c r="AV592" s="73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</row>
    <row r="593" spans="1:88" ht="19.5" customHeight="1">
      <c r="A593" s="1">
        <v>196</v>
      </c>
      <c r="B593" s="34" t="s">
        <v>383</v>
      </c>
      <c r="C593" s="34">
        <v>535</v>
      </c>
      <c r="D593" s="34">
        <v>1021</v>
      </c>
      <c r="E593" s="34">
        <v>103</v>
      </c>
      <c r="F593" s="34" t="s">
        <v>387</v>
      </c>
      <c r="G593" s="20">
        <v>68274</v>
      </c>
      <c r="H593" s="20">
        <v>87538</v>
      </c>
      <c r="I593" s="35">
        <v>19.263999999999999</v>
      </c>
      <c r="J593" s="36">
        <v>2</v>
      </c>
      <c r="K593" s="34" t="s">
        <v>238</v>
      </c>
      <c r="L593" s="18">
        <v>42209</v>
      </c>
      <c r="M593" s="37" t="s">
        <v>191</v>
      </c>
      <c r="N593" s="38">
        <v>14.35</v>
      </c>
      <c r="O593" s="38">
        <v>2.37</v>
      </c>
      <c r="P593" s="38">
        <v>1.24</v>
      </c>
      <c r="Q593" s="38">
        <v>1.31</v>
      </c>
      <c r="R593" s="38">
        <v>2.4314</v>
      </c>
      <c r="S593" s="38">
        <f t="shared" si="78"/>
        <v>2.5</v>
      </c>
      <c r="T593" s="38">
        <v>18.38</v>
      </c>
      <c r="U593" s="38">
        <v>0.4</v>
      </c>
      <c r="V593" s="38">
        <v>0.15</v>
      </c>
      <c r="W593" s="38">
        <v>0.33</v>
      </c>
      <c r="X593" s="38">
        <v>5.4576200000000004</v>
      </c>
      <c r="Y593" s="38">
        <f t="shared" si="79"/>
        <v>5.5</v>
      </c>
      <c r="Z593" s="38">
        <v>0</v>
      </c>
      <c r="AA593" s="38">
        <v>0</v>
      </c>
      <c r="AB593" s="38">
        <v>19.260000000000002</v>
      </c>
      <c r="AC593" s="38">
        <v>1.1589100000000001</v>
      </c>
      <c r="AD593" s="39">
        <v>296</v>
      </c>
      <c r="AE593" s="38">
        <v>47.74</v>
      </c>
      <c r="AF593" s="38">
        <f>(AD593+AE593*0.5)/(3.5*I593*1000)*100</f>
        <v>0.4744156383483627</v>
      </c>
      <c r="AG593" s="38">
        <f t="shared" si="80"/>
        <v>0.5</v>
      </c>
      <c r="AH593" s="38">
        <v>311</v>
      </c>
      <c r="AI593" s="38">
        <f>AH593/(3.5*I593*1000)*100</f>
        <v>0.46126008542952074</v>
      </c>
      <c r="AJ593" s="38">
        <v>0</v>
      </c>
      <c r="AK593" s="38">
        <f>AJ593/(3.5*I593*1000)*100</f>
        <v>0</v>
      </c>
      <c r="AL593" s="38">
        <v>1</v>
      </c>
      <c r="AM593" s="38">
        <f>AL593/(3.5*I593*1000)*100</f>
        <v>1.4831514000949221E-3</v>
      </c>
      <c r="AN593" s="25"/>
      <c r="AO593" s="25"/>
      <c r="AP593" s="25">
        <f>AE593*0.5</f>
        <v>23.87</v>
      </c>
      <c r="AQ593" s="25">
        <f>(AD593+AH593+AJ593+AL593+AP593)*I593</f>
        <v>12172.34368</v>
      </c>
      <c r="AR593" s="25"/>
      <c r="AS593" s="49"/>
      <c r="AT593" s="25"/>
      <c r="AU593" s="41">
        <f>SUM(N593:Q593)</f>
        <v>19.269999999999996</v>
      </c>
      <c r="AV593" s="41">
        <f>SUM(T593:W593)</f>
        <v>19.259999999999994</v>
      </c>
      <c r="AW593" s="41">
        <f>SUM(Z593:AB593)</f>
        <v>19.260000000000002</v>
      </c>
      <c r="AX593" s="41"/>
      <c r="AY593" s="22">
        <f>I593/AU593</f>
        <v>0.99968863518422435</v>
      </c>
      <c r="AZ593" s="22">
        <f>I593/AV593</f>
        <v>1.0002076843198342</v>
      </c>
      <c r="BA593" s="22">
        <f>I593/AW593</f>
        <v>1.0002076843198338</v>
      </c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</row>
    <row r="594" spans="1:88" s="61" customFormat="1" ht="22.5" customHeight="1">
      <c r="A594" s="1">
        <v>1037</v>
      </c>
      <c r="B594" s="9" t="s">
        <v>1394</v>
      </c>
      <c r="C594" s="9">
        <v>617</v>
      </c>
      <c r="D594" s="8">
        <v>2208</v>
      </c>
      <c r="E594" s="9">
        <v>103</v>
      </c>
      <c r="F594" s="9" t="s">
        <v>1436</v>
      </c>
      <c r="G594" s="175">
        <v>46496</v>
      </c>
      <c r="H594" s="175">
        <v>42016</v>
      </c>
      <c r="I594" s="35">
        <v>4.4800000000000004</v>
      </c>
      <c r="J594" s="9">
        <v>4</v>
      </c>
      <c r="K594" s="9" t="s">
        <v>96</v>
      </c>
      <c r="L594" s="18">
        <v>42132</v>
      </c>
      <c r="M594" s="37" t="s">
        <v>191</v>
      </c>
      <c r="N594" s="11">
        <v>2.6749999999999998</v>
      </c>
      <c r="O594" s="11">
        <v>1.175</v>
      </c>
      <c r="P594" s="11">
        <v>0.57499999999999996</v>
      </c>
      <c r="Q594" s="11">
        <v>0.22500000000000001</v>
      </c>
      <c r="R594" s="11">
        <v>2.6781299999999999</v>
      </c>
      <c r="S594" s="38">
        <f t="shared" si="78"/>
        <v>2.5</v>
      </c>
      <c r="T594" s="11">
        <v>3.2749999999999999</v>
      </c>
      <c r="U594" s="11">
        <v>0.95</v>
      </c>
      <c r="V594" s="11">
        <v>0.375</v>
      </c>
      <c r="W594" s="11">
        <v>0.05</v>
      </c>
      <c r="X594" s="11">
        <v>6.5145</v>
      </c>
      <c r="Y594" s="38">
        <f t="shared" si="79"/>
        <v>6.5</v>
      </c>
      <c r="Z594" s="11">
        <v>0</v>
      </c>
      <c r="AA594" s="11">
        <v>0</v>
      </c>
      <c r="AB594" s="11">
        <f>SUM(N594:Q594)</f>
        <v>4.6499999999999995</v>
      </c>
      <c r="AC594" s="11">
        <v>1.41543</v>
      </c>
      <c r="AD594" s="164">
        <v>70.91</v>
      </c>
      <c r="AE594" s="11">
        <v>6.71</v>
      </c>
      <c r="AF594" s="11">
        <f>(AD594+AE594*0.5)/(3.5*I594*1000)*100</f>
        <v>0.47362882653061217</v>
      </c>
      <c r="AG594" s="38">
        <f t="shared" si="80"/>
        <v>0.5</v>
      </c>
      <c r="AH594" s="11">
        <v>24.56</v>
      </c>
      <c r="AI594" s="38">
        <f>AH594/(3.5*I594*1000)*100</f>
        <v>0.15663265306122448</v>
      </c>
      <c r="AJ594" s="11">
        <v>218.2</v>
      </c>
      <c r="AK594" s="38">
        <f>AJ594/(3.5*I594*1000)*100</f>
        <v>1.391581632653061</v>
      </c>
      <c r="AL594" s="11">
        <v>0</v>
      </c>
      <c r="AM594" s="38">
        <f>AL594/(3.5*I594*1000)*100</f>
        <v>0</v>
      </c>
      <c r="AN594" s="25"/>
      <c r="AO594" s="25">
        <f>AE594*0.5</f>
        <v>3.355</v>
      </c>
      <c r="AP594" s="25">
        <f>(AD594+AH594+AJ594+AL594+AO594)*I594</f>
        <v>1420.2719999999999</v>
      </c>
      <c r="AQ594" s="25"/>
      <c r="AR594" s="25"/>
      <c r="AS594" s="49">
        <f>SUM(N594:Q594)</f>
        <v>4.6499999999999995</v>
      </c>
      <c r="AT594" s="25">
        <f>SUM(T594:W594)</f>
        <v>4.6499999999999995</v>
      </c>
      <c r="AU594" s="41"/>
      <c r="AV594" s="41"/>
      <c r="AW594" s="41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</row>
    <row r="595" spans="1:88" s="61" customFormat="1" ht="22.5" customHeight="1">
      <c r="A595" s="1">
        <v>615</v>
      </c>
      <c r="B595" s="34" t="s">
        <v>1017</v>
      </c>
      <c r="C595" s="34">
        <v>555</v>
      </c>
      <c r="D595" s="34">
        <v>1268</v>
      </c>
      <c r="E595" s="34">
        <v>100</v>
      </c>
      <c r="F595" s="9" t="s">
        <v>1018</v>
      </c>
      <c r="G595" s="118">
        <v>0</v>
      </c>
      <c r="H595" s="118">
        <v>40200</v>
      </c>
      <c r="I595" s="35">
        <v>40.200000000000003</v>
      </c>
      <c r="J595" s="78">
        <v>2</v>
      </c>
      <c r="K595" s="34" t="s">
        <v>238</v>
      </c>
      <c r="L595" s="10">
        <v>42187</v>
      </c>
      <c r="M595" s="37" t="s">
        <v>191</v>
      </c>
      <c r="N595" s="38">
        <v>6.1749999999999998</v>
      </c>
      <c r="O595" s="38">
        <v>15.475</v>
      </c>
      <c r="P595" s="38">
        <v>12.9</v>
      </c>
      <c r="Q595" s="38">
        <v>5.5250000000000004</v>
      </c>
      <c r="R595" s="38">
        <v>3.5410699999999999</v>
      </c>
      <c r="S595" s="38">
        <f t="shared" si="78"/>
        <v>3.5</v>
      </c>
      <c r="T595" s="38">
        <v>37.1</v>
      </c>
      <c r="U595" s="38">
        <v>2.125</v>
      </c>
      <c r="V595" s="38">
        <v>0.5</v>
      </c>
      <c r="W595" s="38">
        <v>0.35</v>
      </c>
      <c r="X595" s="38">
        <v>5.2569699999999999</v>
      </c>
      <c r="Y595" s="38">
        <f t="shared" si="79"/>
        <v>5.5</v>
      </c>
      <c r="Z595" s="38">
        <v>0.05</v>
      </c>
      <c r="AA595" s="38">
        <v>0.05</v>
      </c>
      <c r="AB595" s="38">
        <v>40</v>
      </c>
      <c r="AC595" s="38">
        <v>1.4414499999999999</v>
      </c>
      <c r="AD595" s="39">
        <v>646</v>
      </c>
      <c r="AE595" s="38">
        <v>38.83</v>
      </c>
      <c r="AF595" s="38">
        <f>(AD595+AE595*0.5)/(3.5*I595*1000)*100</f>
        <v>0.47293176972281437</v>
      </c>
      <c r="AG595" s="38">
        <f t="shared" si="80"/>
        <v>0.5</v>
      </c>
      <c r="AH595" s="38">
        <v>4</v>
      </c>
      <c r="AI595" s="38">
        <f>AH595/(3.5*I595*1000)*100</f>
        <v>2.8429282160625439E-3</v>
      </c>
      <c r="AJ595" s="38">
        <v>102</v>
      </c>
      <c r="AK595" s="38">
        <f>AJ595/(3.5*I595*1000)*100</f>
        <v>7.2494669509594864E-2</v>
      </c>
      <c r="AL595" s="38">
        <v>2</v>
      </c>
      <c r="AM595" s="38">
        <f>AL595/(3.5*I595*1000)*100</f>
        <v>1.421464108031272E-3</v>
      </c>
      <c r="AN595" s="25"/>
      <c r="AO595" s="25">
        <f>AE595*0.5</f>
        <v>19.414999999999999</v>
      </c>
      <c r="AP595" s="25">
        <f>(AD595+AH595+AJ595+AL595+AO595)*I595</f>
        <v>31091.282999999999</v>
      </c>
      <c r="AQ595" s="25">
        <f>SUM(N595:Q595)</f>
        <v>40.074999999999996</v>
      </c>
      <c r="AR595" s="25">
        <f>SUM(T595:W595)</f>
        <v>40.075000000000003</v>
      </c>
      <c r="AS595" s="48"/>
      <c r="AT595" s="41"/>
      <c r="AU595" s="41"/>
      <c r="AV595" s="41"/>
      <c r="AW595" s="41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  <c r="CI595" s="22"/>
      <c r="CJ595" s="22"/>
    </row>
    <row r="596" spans="1:88" s="61" customFormat="1" ht="22.5" customHeight="1">
      <c r="A596" s="1">
        <v>54</v>
      </c>
      <c r="B596" s="4" t="s">
        <v>37</v>
      </c>
      <c r="C596" s="14">
        <v>523</v>
      </c>
      <c r="D596" s="19">
        <v>1264</v>
      </c>
      <c r="E596" s="16">
        <v>100</v>
      </c>
      <c r="F596" s="14" t="s">
        <v>128</v>
      </c>
      <c r="G596" s="20">
        <v>0</v>
      </c>
      <c r="H596" s="20">
        <v>20717</v>
      </c>
      <c r="I596" s="8">
        <v>20.716999999999999</v>
      </c>
      <c r="J596" s="8">
        <v>2</v>
      </c>
      <c r="K596" s="9" t="s">
        <v>238</v>
      </c>
      <c r="L596" s="18">
        <v>42223</v>
      </c>
      <c r="M596" s="37" t="s">
        <v>191</v>
      </c>
      <c r="N596" s="26">
        <v>2.5499999999999998</v>
      </c>
      <c r="O596" s="26">
        <v>5.7750000000000004</v>
      </c>
      <c r="P596" s="26">
        <v>7.75</v>
      </c>
      <c r="Q596" s="26">
        <v>4.625</v>
      </c>
      <c r="R596" s="26">
        <v>4.26</v>
      </c>
      <c r="S596" s="38">
        <f t="shared" si="78"/>
        <v>4.5</v>
      </c>
      <c r="T596" s="26">
        <v>19.2</v>
      </c>
      <c r="U596" s="26">
        <v>0.375</v>
      </c>
      <c r="V596" s="26">
        <v>0.125</v>
      </c>
      <c r="W596" s="26">
        <v>0</v>
      </c>
      <c r="X596" s="26">
        <v>4.3419999999999996</v>
      </c>
      <c r="Y596" s="38">
        <f t="shared" si="79"/>
        <v>4.5</v>
      </c>
      <c r="Z596" s="26">
        <v>0</v>
      </c>
      <c r="AA596" s="26">
        <v>0</v>
      </c>
      <c r="AB596" s="26">
        <f>SUM(N596:Q596)</f>
        <v>20.7</v>
      </c>
      <c r="AC596" s="26">
        <v>1.387</v>
      </c>
      <c r="AD596" s="258">
        <v>314.12</v>
      </c>
      <c r="AE596" s="26">
        <v>56.2</v>
      </c>
      <c r="AF596" s="26">
        <f>(AD596+AE596*0.5)/(3.5*I596*1000)*100</f>
        <v>0.47196574241995881</v>
      </c>
      <c r="AG596" s="38">
        <f t="shared" si="80"/>
        <v>0.5</v>
      </c>
      <c r="AH596" s="26">
        <v>412.3</v>
      </c>
      <c r="AI596" s="26">
        <f>AH596/(3.5*I596*1000)*100</f>
        <v>0.56861514698074045</v>
      </c>
      <c r="AJ596" s="26">
        <v>121.2</v>
      </c>
      <c r="AK596" s="26">
        <f>AJ596/(3.5*I596*1000)*100</f>
        <v>0.16715051131231082</v>
      </c>
      <c r="AL596" s="26">
        <v>30.8</v>
      </c>
      <c r="AM596" s="26">
        <f>AL596/(3.5*I596*1000)*100</f>
        <v>4.2477192643722551E-2</v>
      </c>
      <c r="AN596" s="22"/>
      <c r="AO596" s="25"/>
      <c r="AP596" s="25"/>
      <c r="AQ596" s="22"/>
      <c r="AR596" s="22"/>
      <c r="AS596" s="48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  <c r="CI596" s="22"/>
      <c r="CJ596" s="22"/>
    </row>
    <row r="597" spans="1:88" s="61" customFormat="1" ht="22.5" customHeight="1">
      <c r="A597" s="1">
        <v>2130</v>
      </c>
      <c r="B597" s="34" t="s">
        <v>2754</v>
      </c>
      <c r="C597" s="34">
        <v>324</v>
      </c>
      <c r="D597" s="75">
        <v>4090</v>
      </c>
      <c r="E597" s="8">
        <v>200</v>
      </c>
      <c r="F597" s="9" t="s">
        <v>2771</v>
      </c>
      <c r="G597" s="20">
        <v>13963</v>
      </c>
      <c r="H597" s="20">
        <v>43466</v>
      </c>
      <c r="I597" s="21">
        <v>29.503</v>
      </c>
      <c r="J597" s="9">
        <v>2</v>
      </c>
      <c r="K597" s="34" t="s">
        <v>238</v>
      </c>
      <c r="L597" s="18">
        <v>42140</v>
      </c>
      <c r="M597" s="37" t="s">
        <v>191</v>
      </c>
      <c r="N597" s="38">
        <v>15.675000000000001</v>
      </c>
      <c r="O597" s="38">
        <v>8.85</v>
      </c>
      <c r="P597" s="38">
        <v>3.55</v>
      </c>
      <c r="Q597" s="38">
        <v>1.175</v>
      </c>
      <c r="R597" s="38">
        <v>2.6731600000000002</v>
      </c>
      <c r="S597" s="38">
        <f t="shared" si="78"/>
        <v>2.5</v>
      </c>
      <c r="T597" s="38">
        <v>28.725000000000001</v>
      </c>
      <c r="U597" s="38">
        <v>0.47499999999999998</v>
      </c>
      <c r="V597" s="38">
        <v>2.5000000000000001E-2</v>
      </c>
      <c r="W597" s="38">
        <v>2.5000000000000001E-2</v>
      </c>
      <c r="X597" s="38">
        <v>3.2500200000000001</v>
      </c>
      <c r="Y597" s="38">
        <f t="shared" si="79"/>
        <v>3.5</v>
      </c>
      <c r="Z597" s="38">
        <v>0</v>
      </c>
      <c r="AA597" s="38">
        <v>0</v>
      </c>
      <c r="AB597" s="38">
        <v>29.25</v>
      </c>
      <c r="AC597" s="38">
        <v>1.2929999999999999</v>
      </c>
      <c r="AD597" s="39">
        <v>485</v>
      </c>
      <c r="AE597" s="38">
        <v>0</v>
      </c>
      <c r="AF597" s="38">
        <v>0.46968589150740114</v>
      </c>
      <c r="AG597" s="38">
        <f t="shared" si="80"/>
        <v>0.5</v>
      </c>
      <c r="AH597" s="38">
        <v>0</v>
      </c>
      <c r="AI597" s="38">
        <v>0</v>
      </c>
      <c r="AJ597" s="38">
        <v>0</v>
      </c>
      <c r="AK597" s="38">
        <v>0</v>
      </c>
      <c r="AL597" s="38">
        <v>0</v>
      </c>
      <c r="AM597" s="38">
        <v>0</v>
      </c>
      <c r="AN597" s="41"/>
      <c r="AO597" s="41"/>
      <c r="AP597" s="73"/>
      <c r="AQ597" s="73"/>
      <c r="AR597" s="73"/>
      <c r="AS597" s="178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</row>
    <row r="598" spans="1:88" s="61" customFormat="1" ht="22.5" customHeight="1">
      <c r="A598" s="1">
        <v>2083</v>
      </c>
      <c r="B598" s="34" t="s">
        <v>2715</v>
      </c>
      <c r="C598" s="34">
        <v>329</v>
      </c>
      <c r="D598" s="75">
        <v>4246</v>
      </c>
      <c r="E598" s="8">
        <v>100</v>
      </c>
      <c r="F598" s="34" t="s">
        <v>2729</v>
      </c>
      <c r="G598" s="58">
        <v>30420</v>
      </c>
      <c r="H598" s="58">
        <v>0</v>
      </c>
      <c r="I598" s="21">
        <v>30.42</v>
      </c>
      <c r="J598" s="8">
        <v>2</v>
      </c>
      <c r="K598" s="8" t="s">
        <v>12</v>
      </c>
      <c r="L598" s="18">
        <v>42121</v>
      </c>
      <c r="M598" s="37" t="s">
        <v>191</v>
      </c>
      <c r="N598" s="38">
        <v>9.9749999999999996</v>
      </c>
      <c r="O598" s="38">
        <v>12.324999999999999</v>
      </c>
      <c r="P598" s="38">
        <v>5.9</v>
      </c>
      <c r="Q598" s="38">
        <v>2.0750000000000002</v>
      </c>
      <c r="R598" s="38">
        <v>3.0924399999999999</v>
      </c>
      <c r="S598" s="38">
        <f t="shared" si="78"/>
        <v>3</v>
      </c>
      <c r="T598" s="38">
        <v>28.85</v>
      </c>
      <c r="U598" s="38">
        <v>1.325</v>
      </c>
      <c r="V598" s="38">
        <v>7.4999999999999997E-2</v>
      </c>
      <c r="W598" s="38">
        <v>2.5000000000000001E-2</v>
      </c>
      <c r="X598" s="38">
        <v>3.90741</v>
      </c>
      <c r="Y598" s="38">
        <f t="shared" si="79"/>
        <v>4</v>
      </c>
      <c r="Z598" s="38">
        <v>0</v>
      </c>
      <c r="AA598" s="38">
        <v>0</v>
      </c>
      <c r="AB598" s="38">
        <v>30.274999999999995</v>
      </c>
      <c r="AC598" s="38">
        <v>1.3655600000000001</v>
      </c>
      <c r="AD598" s="39">
        <v>214.84</v>
      </c>
      <c r="AE598" s="38">
        <v>565.19000000000005</v>
      </c>
      <c r="AF598" s="38">
        <v>0.4672067248990327</v>
      </c>
      <c r="AG598" s="38">
        <f t="shared" si="80"/>
        <v>0.5</v>
      </c>
      <c r="AH598" s="38">
        <v>11.49</v>
      </c>
      <c r="AI598" s="38">
        <v>1.079177233023387E-2</v>
      </c>
      <c r="AJ598" s="38">
        <v>14.72</v>
      </c>
      <c r="AK598" s="38">
        <v>1.3825490748567672E-2</v>
      </c>
      <c r="AL598" s="38">
        <v>0</v>
      </c>
      <c r="AM598" s="38">
        <f>AL598/(3.5*I598*1000)*100</f>
        <v>0</v>
      </c>
      <c r="AN598" s="12"/>
      <c r="AO598" s="12"/>
      <c r="AP598" s="1"/>
      <c r="AQ598" s="1"/>
      <c r="AR598" s="1"/>
      <c r="AS598" s="178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</row>
    <row r="599" spans="1:88" s="61" customFormat="1" ht="22.5" customHeight="1">
      <c r="A599" s="1">
        <v>529</v>
      </c>
      <c r="B599" s="88" t="s">
        <v>871</v>
      </c>
      <c r="C599" s="88">
        <v>557</v>
      </c>
      <c r="D599" s="88">
        <v>1324</v>
      </c>
      <c r="E599" s="88">
        <v>200</v>
      </c>
      <c r="F599" s="88" t="s">
        <v>909</v>
      </c>
      <c r="G599" s="88" t="s">
        <v>910</v>
      </c>
      <c r="H599" s="88" t="s">
        <v>193</v>
      </c>
      <c r="I599" s="115">
        <v>9.1419999999999995</v>
      </c>
      <c r="J599" s="88" t="s">
        <v>12</v>
      </c>
      <c r="K599" s="88">
        <v>2</v>
      </c>
      <c r="L599" s="116">
        <v>42270</v>
      </c>
      <c r="M599" s="37" t="s">
        <v>191</v>
      </c>
      <c r="N599" s="117">
        <v>6.1</v>
      </c>
      <c r="O599" s="117">
        <v>1.925</v>
      </c>
      <c r="P599" s="117">
        <v>0.95</v>
      </c>
      <c r="Q599" s="117">
        <v>0.23</v>
      </c>
      <c r="R599" s="117">
        <v>2.41147</v>
      </c>
      <c r="S599" s="38">
        <f t="shared" si="78"/>
        <v>2.5</v>
      </c>
      <c r="T599" s="117">
        <v>8.9499999999999993</v>
      </c>
      <c r="U599" s="117">
        <v>0.15</v>
      </c>
      <c r="V599" s="117">
        <v>0.1</v>
      </c>
      <c r="W599" s="117">
        <v>0</v>
      </c>
      <c r="X599" s="117">
        <v>2.7751600000000001</v>
      </c>
      <c r="Y599" s="38">
        <f t="shared" si="79"/>
        <v>3</v>
      </c>
      <c r="Z599" s="117">
        <v>0</v>
      </c>
      <c r="AA599" s="117">
        <v>0</v>
      </c>
      <c r="AB599" s="117">
        <v>9.2050000000000001</v>
      </c>
      <c r="AC599" s="117">
        <v>1.1980999999999999</v>
      </c>
      <c r="AD599" s="254">
        <v>146.26</v>
      </c>
      <c r="AE599" s="117">
        <v>6.24</v>
      </c>
      <c r="AF599" s="117">
        <v>0.46685599999999999</v>
      </c>
      <c r="AG599" s="38">
        <f t="shared" si="80"/>
        <v>0.5</v>
      </c>
      <c r="AH599" s="117">
        <v>53.11</v>
      </c>
      <c r="AI599" s="117">
        <v>0.16598399999999999</v>
      </c>
      <c r="AJ599" s="117">
        <v>0</v>
      </c>
      <c r="AK599" s="117">
        <v>0</v>
      </c>
      <c r="AL599" s="117">
        <v>0</v>
      </c>
      <c r="AM599" s="117">
        <v>0</v>
      </c>
      <c r="AN599" s="25"/>
      <c r="AO599" s="25"/>
      <c r="AP599" s="22"/>
      <c r="AQ599" s="22"/>
      <c r="AR599" s="1"/>
      <c r="AS599" s="178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</row>
    <row r="600" spans="1:88" s="61" customFormat="1" ht="22.5" customHeight="1">
      <c r="A600" s="1">
        <v>586</v>
      </c>
      <c r="B600" s="34" t="s">
        <v>976</v>
      </c>
      <c r="C600" s="34">
        <v>552</v>
      </c>
      <c r="D600" s="34">
        <v>2275</v>
      </c>
      <c r="E600" s="34">
        <v>202</v>
      </c>
      <c r="F600" s="9" t="s">
        <v>987</v>
      </c>
      <c r="G600" s="118">
        <v>30075</v>
      </c>
      <c r="H600" s="118">
        <v>73271</v>
      </c>
      <c r="I600" s="35">
        <v>43.195999999999998</v>
      </c>
      <c r="J600" s="71">
        <v>2</v>
      </c>
      <c r="K600" s="34" t="s">
        <v>238</v>
      </c>
      <c r="L600" s="10">
        <v>42195</v>
      </c>
      <c r="M600" s="37" t="s">
        <v>191</v>
      </c>
      <c r="N600" s="38">
        <v>29.175000000000001</v>
      </c>
      <c r="O600" s="38">
        <v>7.125</v>
      </c>
      <c r="P600" s="38">
        <v>4.1749999999999998</v>
      </c>
      <c r="Q600" s="38">
        <v>2.65</v>
      </c>
      <c r="R600" s="38">
        <v>2.7759999999999998</v>
      </c>
      <c r="S600" s="38">
        <f t="shared" si="78"/>
        <v>3</v>
      </c>
      <c r="T600" s="38">
        <v>41.325000000000003</v>
      </c>
      <c r="U600" s="38">
        <v>1.3</v>
      </c>
      <c r="V600" s="38">
        <v>0.3</v>
      </c>
      <c r="W600" s="38">
        <v>0.2</v>
      </c>
      <c r="X600" s="38">
        <v>4.6349999999999998</v>
      </c>
      <c r="Y600" s="38">
        <f t="shared" si="79"/>
        <v>4.5</v>
      </c>
      <c r="Z600" s="38">
        <v>0</v>
      </c>
      <c r="AA600" s="38">
        <v>0</v>
      </c>
      <c r="AB600" s="38">
        <f>N600+O600+P600+Q600</f>
        <v>43.124999999999993</v>
      </c>
      <c r="AC600" s="38">
        <v>1.1830000000000001</v>
      </c>
      <c r="AD600" s="39">
        <v>495</v>
      </c>
      <c r="AE600" s="38">
        <v>417.8</v>
      </c>
      <c r="AF600" s="38">
        <f>(AD600+AE600*0.5)/(3.5*I600*1000)*100</f>
        <v>0.46558543780508788</v>
      </c>
      <c r="AG600" s="38">
        <f t="shared" si="80"/>
        <v>0.5</v>
      </c>
      <c r="AH600" s="38">
        <v>16</v>
      </c>
      <c r="AI600" s="38">
        <f>AH600/(3.5*I600*1000)*100</f>
        <v>1.0582990488537301E-2</v>
      </c>
      <c r="AJ600" s="38">
        <v>217</v>
      </c>
      <c r="AK600" s="38">
        <f>AJ600/(3.5*I600*1000)*100</f>
        <v>0.14353180850078712</v>
      </c>
      <c r="AL600" s="38">
        <v>49</v>
      </c>
      <c r="AM600" s="38">
        <f>AL600/(3.5*I600*1000)*100</f>
        <v>3.2410408371145484E-2</v>
      </c>
      <c r="AN600" s="25"/>
      <c r="AO600" s="25">
        <f>AE600*0.5</f>
        <v>208.9</v>
      </c>
      <c r="AP600" s="25">
        <f>(AD600+AH600+AJ600+AL600+AO600)*I600</f>
        <v>42586.936399999999</v>
      </c>
      <c r="AQ600" s="25">
        <f>SUM(N600:Q600)</f>
        <v>43.124999999999993</v>
      </c>
      <c r="AR600" s="25">
        <f>SUM(T600:W600)</f>
        <v>43.125</v>
      </c>
      <c r="AS600" s="51">
        <v>43.195999999999998</v>
      </c>
      <c r="AT600" s="41"/>
      <c r="AU600" s="41"/>
      <c r="AV600" s="41"/>
      <c r="AW600" s="41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</row>
    <row r="601" spans="1:88" s="61" customFormat="1" ht="22.5" customHeight="1">
      <c r="A601" s="1">
        <v>1983</v>
      </c>
      <c r="B601" s="34" t="s">
        <v>2615</v>
      </c>
      <c r="C601" s="34">
        <v>322</v>
      </c>
      <c r="D601" s="75">
        <v>4046</v>
      </c>
      <c r="E601" s="8">
        <v>102</v>
      </c>
      <c r="F601" s="34" t="s">
        <v>2623</v>
      </c>
      <c r="G601" s="58">
        <v>34027</v>
      </c>
      <c r="H601" s="58">
        <v>30029</v>
      </c>
      <c r="I601" s="21">
        <v>3.9980000000000002</v>
      </c>
      <c r="J601" s="8">
        <v>2</v>
      </c>
      <c r="K601" s="8" t="s">
        <v>96</v>
      </c>
      <c r="L601" s="18">
        <v>42130</v>
      </c>
      <c r="M601" s="37" t="s">
        <v>191</v>
      </c>
      <c r="N601" s="38">
        <v>2.0499999999999998</v>
      </c>
      <c r="O601" s="38">
        <v>1.0249999999999999</v>
      </c>
      <c r="P601" s="38">
        <v>0.55000000000000004</v>
      </c>
      <c r="Q601" s="38">
        <v>0.4</v>
      </c>
      <c r="R601" s="38">
        <v>2.8586999999999998</v>
      </c>
      <c r="S601" s="38">
        <f t="shared" si="78"/>
        <v>3</v>
      </c>
      <c r="T601" s="38">
        <v>3.5750000000000002</v>
      </c>
      <c r="U601" s="38">
        <v>0.4</v>
      </c>
      <c r="V601" s="38">
        <v>2.5000000000000001E-2</v>
      </c>
      <c r="W601" s="38">
        <v>2.5000000000000001E-2</v>
      </c>
      <c r="X601" s="38">
        <v>5.0881100000000004</v>
      </c>
      <c r="Y601" s="38">
        <f t="shared" si="79"/>
        <v>5</v>
      </c>
      <c r="Z601" s="38">
        <v>0</v>
      </c>
      <c r="AA601" s="38">
        <v>0</v>
      </c>
      <c r="AB601" s="38">
        <v>4.0250000000000004</v>
      </c>
      <c r="AC601" s="38">
        <v>1.2885800000000001</v>
      </c>
      <c r="AD601" s="39">
        <v>64.040000000000006</v>
      </c>
      <c r="AE601" s="38">
        <v>2</v>
      </c>
      <c r="AF601" s="38">
        <v>0.46480383048667195</v>
      </c>
      <c r="AG601" s="38">
        <f t="shared" si="80"/>
        <v>0.5</v>
      </c>
      <c r="AH601" s="38">
        <v>0</v>
      </c>
      <c r="AI601" s="38">
        <v>0</v>
      </c>
      <c r="AJ601" s="38">
        <v>0</v>
      </c>
      <c r="AK601" s="38">
        <v>0</v>
      </c>
      <c r="AL601" s="38">
        <v>0</v>
      </c>
      <c r="AM601" s="38">
        <f>AL601/(3.5*I601*1000)*100</f>
        <v>0</v>
      </c>
      <c r="AN601" s="72"/>
      <c r="AO601" s="41"/>
      <c r="AP601" s="41"/>
      <c r="AQ601" s="73"/>
      <c r="AR601" s="73"/>
      <c r="AS601" s="48"/>
      <c r="AT601" s="73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</row>
    <row r="602" spans="1:88" s="61" customFormat="1" ht="22.5" customHeight="1">
      <c r="A602" s="1">
        <v>1694</v>
      </c>
      <c r="B602" s="34" t="s">
        <v>2279</v>
      </c>
      <c r="C602" s="34">
        <v>421</v>
      </c>
      <c r="D602" s="8">
        <v>3304</v>
      </c>
      <c r="E602" s="34">
        <v>100</v>
      </c>
      <c r="F602" s="34" t="s">
        <v>2294</v>
      </c>
      <c r="G602" s="58">
        <v>0</v>
      </c>
      <c r="H602" s="58">
        <v>20279</v>
      </c>
      <c r="I602" s="35">
        <v>20.279</v>
      </c>
      <c r="J602" s="9">
        <v>2</v>
      </c>
      <c r="K602" s="34" t="s">
        <v>238</v>
      </c>
      <c r="L602" s="10">
        <v>42226</v>
      </c>
      <c r="M602" s="37" t="s">
        <v>191</v>
      </c>
      <c r="N602" s="38">
        <v>9.75</v>
      </c>
      <c r="O602" s="38">
        <v>4.2750000000000004</v>
      </c>
      <c r="P602" s="38">
        <v>2.625</v>
      </c>
      <c r="Q602" s="38">
        <v>3.55</v>
      </c>
      <c r="R602" s="38">
        <v>3.4141300000000001</v>
      </c>
      <c r="S602" s="38">
        <f t="shared" si="78"/>
        <v>3.5</v>
      </c>
      <c r="T602" s="38">
        <v>9.0250000000000004</v>
      </c>
      <c r="U602" s="38">
        <v>4.0750000000000002</v>
      </c>
      <c r="V602" s="38">
        <v>2.2250000000000001</v>
      </c>
      <c r="W602" s="38">
        <v>4.875</v>
      </c>
      <c r="X602" s="38">
        <v>19.878399999999999</v>
      </c>
      <c r="Y602" s="38">
        <f t="shared" si="79"/>
        <v>20</v>
      </c>
      <c r="Z602" s="38">
        <v>0</v>
      </c>
      <c r="AA602" s="38">
        <v>0</v>
      </c>
      <c r="AB602" s="38">
        <v>20.279</v>
      </c>
      <c r="AC602" s="38">
        <v>1.20906</v>
      </c>
      <c r="AD602" s="39">
        <v>328.8</v>
      </c>
      <c r="AE602" s="38">
        <v>0</v>
      </c>
      <c r="AF602" s="38">
        <f>(AD602+AE602*0.5)/(3.5*I602*1000)*100</f>
        <v>0.46325192141060773</v>
      </c>
      <c r="AG602" s="38">
        <f t="shared" si="80"/>
        <v>0.5</v>
      </c>
      <c r="AH602" s="38">
        <v>149.02000000000001</v>
      </c>
      <c r="AI602" s="38">
        <f>AH602/(3.5*I602*1000)*100</f>
        <v>0.20995681669284905</v>
      </c>
      <c r="AJ602" s="38">
        <v>135</v>
      </c>
      <c r="AK602" s="38">
        <f>AJ602/(3.5*I602*1000)*100</f>
        <v>0.19020379984924587</v>
      </c>
      <c r="AL602" s="38">
        <v>1.55</v>
      </c>
      <c r="AM602" s="38">
        <f>AL602/(3.5*I602*1000)*100</f>
        <v>2.1838214056765265E-3</v>
      </c>
      <c r="AN602" s="25"/>
      <c r="AO602" s="25">
        <f>AE602*0.5</f>
        <v>0</v>
      </c>
      <c r="AP602" s="25">
        <f>(AD602+AH602+AJ602+AL602+AO602)*I602</f>
        <v>12458.809230000001</v>
      </c>
      <c r="AQ602" s="25">
        <f>SUM(N602:Q602)</f>
        <v>20.2</v>
      </c>
      <c r="AR602" s="25">
        <f>SUM(T602:W602)</f>
        <v>20.200000000000003</v>
      </c>
      <c r="AS602" s="48"/>
      <c r="AT602" s="41"/>
      <c r="AU602" s="41"/>
      <c r="AV602" s="41"/>
      <c r="AW602" s="41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</row>
    <row r="603" spans="1:88" s="61" customFormat="1" ht="22.5" customHeight="1">
      <c r="A603" s="1">
        <v>1077</v>
      </c>
      <c r="B603" s="34" t="s">
        <v>1467</v>
      </c>
      <c r="C603" s="34">
        <v>619</v>
      </c>
      <c r="D603" s="8">
        <v>3367</v>
      </c>
      <c r="E603" s="34">
        <v>100</v>
      </c>
      <c r="F603" s="34" t="s">
        <v>1485</v>
      </c>
      <c r="G603" s="58">
        <v>0</v>
      </c>
      <c r="H603" s="58">
        <v>655</v>
      </c>
      <c r="I603" s="35">
        <v>0.65500000000000003</v>
      </c>
      <c r="J603" s="9">
        <v>2</v>
      </c>
      <c r="K603" s="34" t="s">
        <v>238</v>
      </c>
      <c r="L603" s="10">
        <v>42095</v>
      </c>
      <c r="M603" s="37" t="s">
        <v>191</v>
      </c>
      <c r="N603" s="38">
        <v>0.24</v>
      </c>
      <c r="O603" s="38">
        <v>0.24</v>
      </c>
      <c r="P603" s="38">
        <v>0.05</v>
      </c>
      <c r="Q603" s="38">
        <v>0.13</v>
      </c>
      <c r="R603" s="38">
        <v>3.2711100000000002</v>
      </c>
      <c r="S603" s="38">
        <f t="shared" si="78"/>
        <v>3.5</v>
      </c>
      <c r="T603" s="38">
        <v>0.66</v>
      </c>
      <c r="U603" s="38">
        <v>0</v>
      </c>
      <c r="V603" s="38">
        <v>0</v>
      </c>
      <c r="W603" s="38">
        <v>0</v>
      </c>
      <c r="X603" s="38">
        <v>2.4794100000000001</v>
      </c>
      <c r="Y603" s="38">
        <f t="shared" si="79"/>
        <v>2.5</v>
      </c>
      <c r="Z603" s="117">
        <v>0</v>
      </c>
      <c r="AA603" s="117">
        <v>0</v>
      </c>
      <c r="AB603" s="117">
        <v>0.66</v>
      </c>
      <c r="AC603" s="38">
        <v>1.1019300000000001</v>
      </c>
      <c r="AD603" s="39">
        <v>10.62</v>
      </c>
      <c r="AE603" s="38">
        <v>0</v>
      </c>
      <c r="AF603" s="11">
        <f>(AD603+AE603*0.5)/(3.5*I603*1000)*100</f>
        <v>0.46324972737186476</v>
      </c>
      <c r="AG603" s="38">
        <f t="shared" si="80"/>
        <v>0.5</v>
      </c>
      <c r="AH603" s="38">
        <v>0</v>
      </c>
      <c r="AI603" s="38">
        <f>AH603/(3.5*I603*1000)*100</f>
        <v>0</v>
      </c>
      <c r="AJ603" s="38">
        <v>0</v>
      </c>
      <c r="AK603" s="38">
        <f>AJ603/(3.5*I603*1000)*100</f>
        <v>0</v>
      </c>
      <c r="AL603" s="38">
        <v>0</v>
      </c>
      <c r="AM603" s="38">
        <f>AL603/(3.5*I603*1000)*100</f>
        <v>0</v>
      </c>
      <c r="AN603" s="25"/>
      <c r="AO603" s="25"/>
      <c r="AP603" s="12">
        <f>AE603*0.5</f>
        <v>0</v>
      </c>
      <c r="AQ603" s="12">
        <f>(AD603+AH603+AJ603+AL603+AP603)*I603</f>
        <v>6.9561000000000002</v>
      </c>
      <c r="AR603" s="25"/>
      <c r="AS603" s="49">
        <f>SUM(N603:Q603)</f>
        <v>0.66</v>
      </c>
      <c r="AT603" s="22">
        <f>SUM(T603:W603)</f>
        <v>0.66</v>
      </c>
      <c r="AU603" s="268">
        <v>0.65500000000000003</v>
      </c>
      <c r="AV603" s="41">
        <f>SUM(N603:Q603)</f>
        <v>0.66</v>
      </c>
      <c r="AW603" s="41">
        <f>SUM(T603:W603)</f>
        <v>0.66</v>
      </c>
      <c r="AX603" s="41">
        <f>SUM(Z603:AB603)</f>
        <v>0.66</v>
      </c>
      <c r="AY603" s="22"/>
      <c r="AZ603" s="22">
        <f>I603/AV603</f>
        <v>0.99242424242424243</v>
      </c>
      <c r="BA603" s="22">
        <f>I603/AW603</f>
        <v>0.99242424242424243</v>
      </c>
      <c r="BB603" s="22">
        <f>I603/AX603</f>
        <v>0.99242424242424243</v>
      </c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</row>
    <row r="604" spans="1:88" s="61" customFormat="1" ht="22.5" customHeight="1">
      <c r="A604" s="1">
        <v>24</v>
      </c>
      <c r="B604" s="4" t="s">
        <v>21</v>
      </c>
      <c r="C604" s="14">
        <v>522</v>
      </c>
      <c r="D604" s="19">
        <v>107</v>
      </c>
      <c r="E604" s="16">
        <v>100</v>
      </c>
      <c r="F604" s="16" t="s">
        <v>169</v>
      </c>
      <c r="G604" s="20" t="s">
        <v>214</v>
      </c>
      <c r="H604" s="20">
        <v>17915</v>
      </c>
      <c r="I604" s="21">
        <v>13.891999999999999</v>
      </c>
      <c r="J604" s="8">
        <v>4</v>
      </c>
      <c r="K604" s="9" t="s">
        <v>96</v>
      </c>
      <c r="L604" s="24">
        <v>42234</v>
      </c>
      <c r="M604" s="37" t="s">
        <v>191</v>
      </c>
      <c r="N604" s="11">
        <v>4.4749999999999996</v>
      </c>
      <c r="O604" s="11">
        <v>3.5750000000000002</v>
      </c>
      <c r="P604" s="11">
        <v>3.95</v>
      </c>
      <c r="Q604" s="11">
        <v>1.8</v>
      </c>
      <c r="R604" s="11">
        <v>4.1368099999999997</v>
      </c>
      <c r="S604" s="38">
        <f t="shared" si="78"/>
        <v>4</v>
      </c>
      <c r="T604" s="11">
        <v>11.3</v>
      </c>
      <c r="U604" s="11">
        <v>2.5</v>
      </c>
      <c r="V604" s="11">
        <v>0</v>
      </c>
      <c r="W604" s="11">
        <v>0</v>
      </c>
      <c r="X604" s="11">
        <v>2.617</v>
      </c>
      <c r="Y604" s="38">
        <f t="shared" si="79"/>
        <v>2.5</v>
      </c>
      <c r="Z604" s="11">
        <v>0</v>
      </c>
      <c r="AA604" s="11">
        <v>0</v>
      </c>
      <c r="AB604" s="11">
        <f>SUM(N604:Q604)</f>
        <v>13.8</v>
      </c>
      <c r="AC604" s="11">
        <v>1.1890000000000001</v>
      </c>
      <c r="AD604" s="164">
        <v>214.3</v>
      </c>
      <c r="AE604" s="11">
        <v>18.899999999999999</v>
      </c>
      <c r="AF604" s="11">
        <f>(AD604+AE604*0.5)/(3.5*I604*1000)*100</f>
        <v>0.46018263337583809</v>
      </c>
      <c r="AG604" s="38">
        <f t="shared" si="80"/>
        <v>0.5</v>
      </c>
      <c r="AH604" s="11">
        <v>59.6</v>
      </c>
      <c r="AI604" s="11">
        <f>AH604/(3.5*I604*1000)*100</f>
        <v>0.1225782567562009</v>
      </c>
      <c r="AJ604" s="11">
        <v>153.19999999999999</v>
      </c>
      <c r="AK604" s="11">
        <f>AJ604/(3.5*I604*1000)*100</f>
        <v>0.31508370696392574</v>
      </c>
      <c r="AL604" s="11">
        <v>2.1</v>
      </c>
      <c r="AM604" s="11">
        <f>AL604/(3.5*I604*1000)*100</f>
        <v>4.319032536711777E-3</v>
      </c>
      <c r="AN604" s="22"/>
      <c r="AO604" s="25"/>
      <c r="AP604" s="25"/>
      <c r="AQ604" s="22"/>
      <c r="AR604" s="22"/>
      <c r="AS604" s="48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</row>
    <row r="605" spans="1:88" s="61" customFormat="1" ht="22.5" customHeight="1">
      <c r="A605" s="1">
        <v>878</v>
      </c>
      <c r="B605" s="34" t="s">
        <v>1259</v>
      </c>
      <c r="C605" s="34">
        <v>631</v>
      </c>
      <c r="D605" s="148">
        <v>2415</v>
      </c>
      <c r="E605" s="34">
        <v>102</v>
      </c>
      <c r="F605" s="34" t="s">
        <v>1270</v>
      </c>
      <c r="G605" s="58">
        <v>14070</v>
      </c>
      <c r="H605" s="58">
        <v>35191</v>
      </c>
      <c r="I605" s="35">
        <v>21.120999999999999</v>
      </c>
      <c r="J605" s="160">
        <v>2</v>
      </c>
      <c r="K605" s="34" t="s">
        <v>238</v>
      </c>
      <c r="L605" s="10">
        <v>42139</v>
      </c>
      <c r="M605" s="37" t="s">
        <v>191</v>
      </c>
      <c r="N605" s="38">
        <v>12.775</v>
      </c>
      <c r="O605" s="38">
        <v>4.4000000000000004</v>
      </c>
      <c r="P605" s="38">
        <v>2.0750000000000002</v>
      </c>
      <c r="Q605" s="38">
        <v>1.75</v>
      </c>
      <c r="R605" s="38">
        <v>2.6529500000000001</v>
      </c>
      <c r="S605" s="38">
        <f t="shared" si="78"/>
        <v>2.5</v>
      </c>
      <c r="T605" s="38">
        <v>20.524999999999999</v>
      </c>
      <c r="U605" s="38">
        <v>0.3</v>
      </c>
      <c r="V605" s="38">
        <v>0.1</v>
      </c>
      <c r="W605" s="38">
        <v>7.4999999999999997E-2</v>
      </c>
      <c r="X605" s="38">
        <v>3.2151299999999998</v>
      </c>
      <c r="Y605" s="38">
        <f t="shared" si="79"/>
        <v>3</v>
      </c>
      <c r="Z605" s="38">
        <v>0</v>
      </c>
      <c r="AA605" s="38">
        <v>2.5000000000000001E-2</v>
      </c>
      <c r="AB605" s="38">
        <v>20.975000000000001</v>
      </c>
      <c r="AC605" s="38">
        <v>1.59931</v>
      </c>
      <c r="AD605" s="39">
        <v>0</v>
      </c>
      <c r="AE605" s="38">
        <v>680.11</v>
      </c>
      <c r="AF605" s="38">
        <v>0.46000999999999997</v>
      </c>
      <c r="AG605" s="38">
        <f t="shared" si="80"/>
        <v>0.5</v>
      </c>
      <c r="AH605" s="38">
        <v>0.87</v>
      </c>
      <c r="AI605" s="38">
        <v>1.1800000000000001E-3</v>
      </c>
      <c r="AJ605" s="38">
        <v>0</v>
      </c>
      <c r="AK605" s="38">
        <v>0</v>
      </c>
      <c r="AL605" s="38">
        <v>0</v>
      </c>
      <c r="AM605" s="38">
        <v>0</v>
      </c>
      <c r="AN605" s="25"/>
      <c r="AO605" s="25">
        <f>AE605*0.5</f>
        <v>340.05500000000001</v>
      </c>
      <c r="AP605" s="25">
        <f>(AD605+AH605+AJ605+AL605+AO605)*I605</f>
        <v>7200.6769249999998</v>
      </c>
      <c r="AQ605" s="25"/>
      <c r="AR605" s="25"/>
      <c r="AS605" s="49">
        <f>SUM(N605:Q605)</f>
        <v>21</v>
      </c>
      <c r="AT605" s="25">
        <f>SUM(T605:W605)</f>
        <v>21</v>
      </c>
      <c r="AU605" s="25"/>
      <c r="AV605" s="22"/>
      <c r="AW605" s="41"/>
      <c r="AX605" s="41"/>
      <c r="AY605" s="41"/>
      <c r="AZ605" s="41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</row>
    <row r="606" spans="1:88" s="61" customFormat="1" ht="22.5" customHeight="1">
      <c r="A606" s="1">
        <v>194</v>
      </c>
      <c r="B606" s="34" t="s">
        <v>383</v>
      </c>
      <c r="C606" s="34">
        <v>535</v>
      </c>
      <c r="D606" s="34">
        <v>1021</v>
      </c>
      <c r="E606" s="34">
        <v>101</v>
      </c>
      <c r="F606" s="34" t="s">
        <v>385</v>
      </c>
      <c r="G606" s="20">
        <v>12000</v>
      </c>
      <c r="H606" s="20">
        <v>27750</v>
      </c>
      <c r="I606" s="35">
        <v>15.75</v>
      </c>
      <c r="J606" s="36">
        <v>2</v>
      </c>
      <c r="K606" s="34" t="s">
        <v>238</v>
      </c>
      <c r="L606" s="18">
        <v>42209</v>
      </c>
      <c r="M606" s="37" t="s">
        <v>191</v>
      </c>
      <c r="N606" s="38">
        <v>4.38</v>
      </c>
      <c r="O606" s="38">
        <v>6.2</v>
      </c>
      <c r="P606" s="38">
        <v>3.5</v>
      </c>
      <c r="Q606" s="38">
        <v>1.67</v>
      </c>
      <c r="R606" s="38">
        <v>1.4750000000000001</v>
      </c>
      <c r="S606" s="38">
        <f t="shared" si="78"/>
        <v>1.5</v>
      </c>
      <c r="T606" s="38">
        <v>13.18</v>
      </c>
      <c r="U606" s="38">
        <v>2.0499999999999998</v>
      </c>
      <c r="V606" s="38">
        <v>0.53</v>
      </c>
      <c r="W606" s="38">
        <v>0</v>
      </c>
      <c r="X606" s="38">
        <v>6.82</v>
      </c>
      <c r="Y606" s="38">
        <f t="shared" si="79"/>
        <v>7</v>
      </c>
      <c r="Z606" s="38">
        <v>0</v>
      </c>
      <c r="AA606" s="38">
        <v>0</v>
      </c>
      <c r="AB606" s="38">
        <v>15.75</v>
      </c>
      <c r="AC606" s="38">
        <v>1.32</v>
      </c>
      <c r="AD606" s="39">
        <v>219</v>
      </c>
      <c r="AE606" s="38">
        <v>67.75</v>
      </c>
      <c r="AF606" s="38">
        <f>(AD606+AE606*0.5)/(3.5*I606*1000)*100</f>
        <v>0.45873015873015871</v>
      </c>
      <c r="AG606" s="38">
        <f t="shared" si="80"/>
        <v>0.5</v>
      </c>
      <c r="AH606" s="38">
        <v>1232</v>
      </c>
      <c r="AI606" s="38">
        <f>AH606/(3.5*I606*1000)*100</f>
        <v>2.234920634920635</v>
      </c>
      <c r="AJ606" s="38">
        <v>0</v>
      </c>
      <c r="AK606" s="38">
        <f>AJ606/(3.5*I606*1000)*100</f>
        <v>0</v>
      </c>
      <c r="AL606" s="38">
        <v>81</v>
      </c>
      <c r="AM606" s="38">
        <f>AL606/(3.5*I606*1000)*100</f>
        <v>0.14693877551020407</v>
      </c>
      <c r="AN606" s="25"/>
      <c r="AO606" s="25"/>
      <c r="AP606" s="25"/>
      <c r="AQ606" s="25"/>
      <c r="AR606" s="25"/>
      <c r="AS606" s="49"/>
      <c r="AT606" s="25"/>
      <c r="AU606" s="41">
        <f>SUM(N606:Q606)</f>
        <v>15.75</v>
      </c>
      <c r="AV606" s="41">
        <f>SUM(T606:W606)</f>
        <v>15.76</v>
      </c>
      <c r="AW606" s="41">
        <f>SUM(Z606:AB606)</f>
        <v>15.75</v>
      </c>
      <c r="AX606" s="41"/>
      <c r="AY606" s="22">
        <f>I606/AU606</f>
        <v>1</v>
      </c>
      <c r="AZ606" s="22">
        <f>I606/AV606</f>
        <v>0.99936548223350252</v>
      </c>
      <c r="BA606" s="22">
        <f>I606/AW606</f>
        <v>1</v>
      </c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</row>
    <row r="607" spans="1:88" s="61" customFormat="1" ht="22.5" customHeight="1">
      <c r="A607" s="1">
        <v>2080</v>
      </c>
      <c r="B607" s="34" t="s">
        <v>2715</v>
      </c>
      <c r="C607" s="34">
        <v>329</v>
      </c>
      <c r="D607" s="75">
        <v>4219</v>
      </c>
      <c r="E607" s="8">
        <v>100</v>
      </c>
      <c r="F607" s="34" t="s">
        <v>2726</v>
      </c>
      <c r="G607" s="58">
        <v>22150</v>
      </c>
      <c r="H607" s="58">
        <v>0</v>
      </c>
      <c r="I607" s="21">
        <v>22.15</v>
      </c>
      <c r="J607" s="8">
        <v>2</v>
      </c>
      <c r="K607" s="8" t="s">
        <v>12</v>
      </c>
      <c r="L607" s="18">
        <v>42121</v>
      </c>
      <c r="M607" s="37" t="s">
        <v>191</v>
      </c>
      <c r="N607" s="38">
        <v>13.275</v>
      </c>
      <c r="O607" s="38">
        <v>6.1</v>
      </c>
      <c r="P607" s="38">
        <v>1.95</v>
      </c>
      <c r="Q607" s="38">
        <v>0.75</v>
      </c>
      <c r="R607" s="38">
        <v>2.53776</v>
      </c>
      <c r="S607" s="38">
        <f t="shared" si="78"/>
        <v>2.5</v>
      </c>
      <c r="T607" s="38">
        <v>20.574999999999999</v>
      </c>
      <c r="U607" s="38">
        <v>1.1499999999999999</v>
      </c>
      <c r="V607" s="38">
        <v>0.27500000000000002</v>
      </c>
      <c r="W607" s="38">
        <v>7.4999999999999997E-2</v>
      </c>
      <c r="X607" s="38">
        <v>4.4371499999999999</v>
      </c>
      <c r="Y607" s="38">
        <f t="shared" si="79"/>
        <v>4.5</v>
      </c>
      <c r="Z607" s="38">
        <v>0</v>
      </c>
      <c r="AA607" s="38">
        <v>0</v>
      </c>
      <c r="AB607" s="38">
        <v>22.074999999999999</v>
      </c>
      <c r="AC607" s="38">
        <v>1.3254999999999999</v>
      </c>
      <c r="AD607" s="39">
        <v>89.66</v>
      </c>
      <c r="AE607" s="38">
        <v>531.28</v>
      </c>
      <c r="AF607" s="38">
        <v>0.45830377297645924</v>
      </c>
      <c r="AG607" s="38">
        <f t="shared" si="80"/>
        <v>0.5</v>
      </c>
      <c r="AH607" s="38">
        <v>0.99</v>
      </c>
      <c r="AI607" s="38">
        <v>1.2770074169622706E-3</v>
      </c>
      <c r="AJ607" s="38">
        <v>0</v>
      </c>
      <c r="AK607" s="38">
        <v>0</v>
      </c>
      <c r="AL607" s="38">
        <v>0</v>
      </c>
      <c r="AM607" s="38">
        <f>AL607/(3.5*I607*1000)*100</f>
        <v>0</v>
      </c>
      <c r="AN607" s="12"/>
      <c r="AO607" s="12"/>
      <c r="AP607" s="1"/>
      <c r="AQ607" s="1"/>
      <c r="AR607" s="1"/>
      <c r="AS607" s="178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</row>
    <row r="608" spans="1:88" s="61" customFormat="1" ht="22.5" customHeight="1">
      <c r="A608" s="1">
        <v>852</v>
      </c>
      <c r="B608" s="34" t="s">
        <v>1231</v>
      </c>
      <c r="C608" s="34">
        <v>615</v>
      </c>
      <c r="D608" s="34">
        <v>2081</v>
      </c>
      <c r="E608" s="34">
        <v>100</v>
      </c>
      <c r="F608" s="34" t="s">
        <v>1246</v>
      </c>
      <c r="G608" s="58">
        <v>0</v>
      </c>
      <c r="H608" s="58">
        <v>66231</v>
      </c>
      <c r="I608" s="35">
        <v>66.230999999999995</v>
      </c>
      <c r="J608" s="9">
        <v>2</v>
      </c>
      <c r="K608" s="34" t="s">
        <v>238</v>
      </c>
      <c r="L608" s="10">
        <v>42135</v>
      </c>
      <c r="M608" s="37" t="s">
        <v>191</v>
      </c>
      <c r="N608" s="38">
        <v>45.7</v>
      </c>
      <c r="O608" s="38">
        <v>14.725</v>
      </c>
      <c r="P608" s="38">
        <v>4.45</v>
      </c>
      <c r="Q608" s="38">
        <v>1.05</v>
      </c>
      <c r="R608" s="38">
        <v>2.343</v>
      </c>
      <c r="S608" s="38">
        <f t="shared" si="78"/>
        <v>2.5</v>
      </c>
      <c r="T608" s="38">
        <v>62.05</v>
      </c>
      <c r="U608" s="38">
        <v>3.35</v>
      </c>
      <c r="V608" s="38">
        <v>0.47499999999999998</v>
      </c>
      <c r="W608" s="38">
        <v>0.05</v>
      </c>
      <c r="X608" s="38">
        <v>5.1959999999999997</v>
      </c>
      <c r="Y608" s="38">
        <f t="shared" si="79"/>
        <v>5</v>
      </c>
      <c r="Z608" s="38">
        <v>0</v>
      </c>
      <c r="AA608" s="38">
        <v>0</v>
      </c>
      <c r="AB608" s="38">
        <f>N608+O608+P608+Q608</f>
        <v>65.924999999999997</v>
      </c>
      <c r="AC608" s="38">
        <v>1.3</v>
      </c>
      <c r="AD608" s="39">
        <v>1002.27</v>
      </c>
      <c r="AE608" s="38">
        <v>117.75</v>
      </c>
      <c r="AF608" s="38">
        <v>0.45777000000000001</v>
      </c>
      <c r="AG608" s="38">
        <f t="shared" si="80"/>
        <v>0.5</v>
      </c>
      <c r="AH608" s="38">
        <v>1178.07</v>
      </c>
      <c r="AI608" s="38">
        <v>0.50821000000000005</v>
      </c>
      <c r="AJ608" s="38">
        <v>263.95</v>
      </c>
      <c r="AK608" s="38">
        <v>0.11386599999999999</v>
      </c>
      <c r="AL608" s="38">
        <v>159.53</v>
      </c>
      <c r="AM608" s="38">
        <v>6.8820000000000006E-2</v>
      </c>
      <c r="AN608" s="25"/>
      <c r="AO608" s="25">
        <f>AE608*0.5</f>
        <v>58.875</v>
      </c>
      <c r="AP608" s="25">
        <f>(AD608+AH608+AJ608+AL608+AO608)*I608</f>
        <v>176352.95254500001</v>
      </c>
      <c r="AQ608" s="25">
        <f>SUM(N608:Q608)</f>
        <v>65.924999999999997</v>
      </c>
      <c r="AR608" s="25">
        <f>SUM(T608:W608)</f>
        <v>65.924999999999983</v>
      </c>
      <c r="AS608" s="51">
        <v>66.230999999999995</v>
      </c>
      <c r="AT608" s="41"/>
      <c r="AU608" s="41"/>
      <c r="AV608" s="41"/>
      <c r="AW608" s="41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</row>
    <row r="609" spans="1:88" s="61" customFormat="1" ht="22.5" customHeight="1">
      <c r="A609" s="1">
        <v>962</v>
      </c>
      <c r="B609" s="9" t="s">
        <v>1359</v>
      </c>
      <c r="C609" s="9">
        <v>612</v>
      </c>
      <c r="D609" s="161">
        <v>201</v>
      </c>
      <c r="E609" s="9">
        <v>102</v>
      </c>
      <c r="F609" s="9" t="s">
        <v>1361</v>
      </c>
      <c r="G609" s="20">
        <v>31910</v>
      </c>
      <c r="H609" s="20">
        <v>41010</v>
      </c>
      <c r="I609" s="35">
        <v>9.1</v>
      </c>
      <c r="J609" s="71">
        <v>2</v>
      </c>
      <c r="K609" s="9" t="s">
        <v>238</v>
      </c>
      <c r="L609" s="18">
        <v>42117</v>
      </c>
      <c r="M609" s="37" t="s">
        <v>191</v>
      </c>
      <c r="N609" s="11">
        <v>4.9000000000000004</v>
      </c>
      <c r="O609" s="11">
        <v>1.9750000000000001</v>
      </c>
      <c r="P609" s="11">
        <v>1.25</v>
      </c>
      <c r="Q609" s="11">
        <v>1.05</v>
      </c>
      <c r="R609" s="11">
        <v>3.3483200000000002</v>
      </c>
      <c r="S609" s="38">
        <f t="shared" si="78"/>
        <v>3.5</v>
      </c>
      <c r="T609" s="11">
        <v>7.55</v>
      </c>
      <c r="U609" s="11">
        <v>1.1000000000000001</v>
      </c>
      <c r="V609" s="11">
        <v>0.4</v>
      </c>
      <c r="W609" s="11">
        <v>0.125</v>
      </c>
      <c r="X609" s="11">
        <v>5.1043700000000003</v>
      </c>
      <c r="Y609" s="38">
        <f t="shared" si="79"/>
        <v>5</v>
      </c>
      <c r="Z609" s="11">
        <v>0</v>
      </c>
      <c r="AA609" s="11">
        <v>0</v>
      </c>
      <c r="AB609" s="11">
        <f>SUM(N609:Q609)</f>
        <v>9.1750000000000007</v>
      </c>
      <c r="AC609" s="11">
        <v>1.1684300000000001</v>
      </c>
      <c r="AD609" s="164">
        <v>146.58000000000001</v>
      </c>
      <c r="AE609" s="11">
        <v>0</v>
      </c>
      <c r="AF609" s="11">
        <v>0.45566000000000001</v>
      </c>
      <c r="AG609" s="38">
        <f t="shared" si="80"/>
        <v>0.5</v>
      </c>
      <c r="AH609" s="11">
        <v>249</v>
      </c>
      <c r="AI609" s="11">
        <v>0.77405000000000002</v>
      </c>
      <c r="AJ609" s="11">
        <v>0</v>
      </c>
      <c r="AK609" s="11">
        <v>0</v>
      </c>
      <c r="AL609" s="11">
        <v>184</v>
      </c>
      <c r="AM609" s="11">
        <v>0.57199</v>
      </c>
      <c r="AN609" s="72"/>
      <c r="AO609" s="72"/>
      <c r="AP609" s="72">
        <f>AE609*0.5</f>
        <v>0</v>
      </c>
      <c r="AQ609" s="25">
        <f>(AD608+AH608+AJ608+AL608+AP609)*I608</f>
        <v>172453.60242000001</v>
      </c>
      <c r="AR609" s="25"/>
      <c r="AS609" s="49"/>
      <c r="AT609" s="25"/>
      <c r="AU609" s="25">
        <f>SUM(N609:Q609)</f>
        <v>9.1750000000000007</v>
      </c>
      <c r="AV609" s="41">
        <f>SUM(T609:W609)</f>
        <v>9.1750000000000007</v>
      </c>
      <c r="AW609" s="41"/>
      <c r="AX609" s="41"/>
      <c r="AY609" s="41"/>
      <c r="AZ609" s="22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</row>
    <row r="610" spans="1:88" s="61" customFormat="1" ht="22.5" customHeight="1">
      <c r="A610" s="1">
        <v>1346</v>
      </c>
      <c r="B610" s="74" t="s">
        <v>1851</v>
      </c>
      <c r="C610" s="34">
        <v>444</v>
      </c>
      <c r="D610" s="75">
        <v>3569</v>
      </c>
      <c r="E610" s="69">
        <v>100</v>
      </c>
      <c r="F610" s="9" t="s">
        <v>1896</v>
      </c>
      <c r="G610" s="20">
        <v>0</v>
      </c>
      <c r="H610" s="20">
        <v>2762</v>
      </c>
      <c r="I610" s="21">
        <v>2.762</v>
      </c>
      <c r="J610" s="8">
        <v>2</v>
      </c>
      <c r="K610" s="34" t="s">
        <v>238</v>
      </c>
      <c r="L610" s="10">
        <v>42211</v>
      </c>
      <c r="M610" s="37" t="s">
        <v>191</v>
      </c>
      <c r="N610" s="38">
        <v>1.7749999999999999</v>
      </c>
      <c r="O610" s="38">
        <v>0.42499999999999999</v>
      </c>
      <c r="P610" s="38">
        <v>0.32500000000000001</v>
      </c>
      <c r="Q610" s="38">
        <v>0.3</v>
      </c>
      <c r="R610" s="38">
        <v>3.14324</v>
      </c>
      <c r="S610" s="38">
        <f t="shared" si="78"/>
        <v>3</v>
      </c>
      <c r="T610" s="38">
        <v>2.8</v>
      </c>
      <c r="U610" s="38">
        <v>2.5000000000000001E-2</v>
      </c>
      <c r="V610" s="38">
        <v>0</v>
      </c>
      <c r="W610" s="38">
        <v>0</v>
      </c>
      <c r="X610" s="38">
        <v>1.5171699999999999</v>
      </c>
      <c r="Y610" s="38">
        <f t="shared" si="79"/>
        <v>1.5</v>
      </c>
      <c r="Z610" s="38">
        <v>0</v>
      </c>
      <c r="AA610" s="38">
        <v>0</v>
      </c>
      <c r="AB610" s="38">
        <v>2.8249999999999997</v>
      </c>
      <c r="AC610" s="38">
        <v>1.2600800000000001</v>
      </c>
      <c r="AD610" s="39">
        <v>36</v>
      </c>
      <c r="AE610" s="38">
        <v>16</v>
      </c>
      <c r="AF610" s="38">
        <v>0.45515671873383673</v>
      </c>
      <c r="AG610" s="38">
        <f t="shared" si="80"/>
        <v>0.5</v>
      </c>
      <c r="AH610" s="38">
        <v>45</v>
      </c>
      <c r="AI610" s="38">
        <v>0.46550118961415121</v>
      </c>
      <c r="AJ610" s="38">
        <v>6</v>
      </c>
      <c r="AK610" s="38">
        <v>6.2066825281886825E-2</v>
      </c>
      <c r="AL610" s="38">
        <v>0</v>
      </c>
      <c r="AM610" s="38">
        <v>0</v>
      </c>
      <c r="AN610" s="1"/>
      <c r="AO610" s="1"/>
      <c r="AP610" s="1"/>
      <c r="AQ610" s="1"/>
      <c r="AR610" s="1"/>
      <c r="AS610" s="178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</row>
    <row r="611" spans="1:88" s="61" customFormat="1" ht="22.5" customHeight="1">
      <c r="A611" s="1">
        <v>576</v>
      </c>
      <c r="B611" s="34" t="s">
        <v>976</v>
      </c>
      <c r="C611" s="34">
        <v>552</v>
      </c>
      <c r="D611" s="34">
        <v>225</v>
      </c>
      <c r="E611" s="34">
        <v>300</v>
      </c>
      <c r="F611" s="9" t="s">
        <v>978</v>
      </c>
      <c r="G611" s="118">
        <v>93190</v>
      </c>
      <c r="H611" s="118">
        <v>160582</v>
      </c>
      <c r="I611" s="35">
        <v>67.391999999999996</v>
      </c>
      <c r="J611" s="71">
        <v>2</v>
      </c>
      <c r="K611" s="34" t="s">
        <v>238</v>
      </c>
      <c r="L611" s="10">
        <v>42195</v>
      </c>
      <c r="M611" s="37" t="s">
        <v>191</v>
      </c>
      <c r="N611" s="38">
        <v>35.299999999999997</v>
      </c>
      <c r="O611" s="38">
        <v>15.4</v>
      </c>
      <c r="P611" s="38">
        <v>9.65</v>
      </c>
      <c r="Q611" s="38">
        <v>6.5</v>
      </c>
      <c r="R611" s="38">
        <v>3.2978399999999999</v>
      </c>
      <c r="S611" s="38">
        <f t="shared" si="78"/>
        <v>3.5</v>
      </c>
      <c r="T611" s="38">
        <v>51.35</v>
      </c>
      <c r="U611" s="38">
        <v>11.15</v>
      </c>
      <c r="V611" s="38">
        <v>2.875</v>
      </c>
      <c r="W611" s="38">
        <v>1.4750000000000001</v>
      </c>
      <c r="X611" s="38">
        <v>6.6079999999999997</v>
      </c>
      <c r="Y611" s="38">
        <f t="shared" si="79"/>
        <v>6.5</v>
      </c>
      <c r="Z611" s="38">
        <v>0</v>
      </c>
      <c r="AA611" s="38">
        <v>0.05</v>
      </c>
      <c r="AB611" s="38">
        <v>66.8</v>
      </c>
      <c r="AC611" s="38">
        <v>1.282</v>
      </c>
      <c r="AD611" s="39">
        <v>1070</v>
      </c>
      <c r="AE611" s="38">
        <v>0</v>
      </c>
      <c r="AF611" s="38">
        <f>(AD611+AE611*0.5)/(3.5*I611*1000)*100</f>
        <v>0.45363587030253694</v>
      </c>
      <c r="AG611" s="38">
        <f t="shared" si="80"/>
        <v>0.5</v>
      </c>
      <c r="AH611" s="38">
        <v>0</v>
      </c>
      <c r="AI611" s="38">
        <f>AH611/(3.5*I611*1000)*100</f>
        <v>0</v>
      </c>
      <c r="AJ611" s="38">
        <v>806</v>
      </c>
      <c r="AK611" s="38">
        <f>AJ611/(3.5*I611*1000)*100</f>
        <v>0.34171075837742504</v>
      </c>
      <c r="AL611" s="38">
        <v>0</v>
      </c>
      <c r="AM611" s="38">
        <f>AL611/(3.5*I611*1000)*100</f>
        <v>0</v>
      </c>
      <c r="AN611" s="25"/>
      <c r="AO611" s="25">
        <f>AE611*0.5</f>
        <v>0</v>
      </c>
      <c r="AP611" s="25">
        <f>(AD611+AH611+AJ611+AL611+AO611)*I611</f>
        <v>126427.39199999999</v>
      </c>
      <c r="AQ611" s="25">
        <f>SUM(N611:Q611)</f>
        <v>66.849999999999994</v>
      </c>
      <c r="AR611" s="25">
        <f>SUM(T611:W611)</f>
        <v>66.849999999999994</v>
      </c>
      <c r="AS611" s="51">
        <v>67.391999999999996</v>
      </c>
      <c r="AT611" s="41"/>
      <c r="AU611" s="41"/>
      <c r="AV611" s="41"/>
      <c r="AW611" s="41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</row>
    <row r="612" spans="1:88" s="61" customFormat="1" ht="22.5" customHeight="1">
      <c r="A612" s="1">
        <v>2006</v>
      </c>
      <c r="B612" s="34" t="s">
        <v>2646</v>
      </c>
      <c r="C612" s="34">
        <v>325</v>
      </c>
      <c r="D612" s="75">
        <v>420</v>
      </c>
      <c r="E612" s="8">
        <v>101</v>
      </c>
      <c r="F612" s="34" t="s">
        <v>2647</v>
      </c>
      <c r="G612" s="58" t="s">
        <v>2536</v>
      </c>
      <c r="H612" s="58" t="s">
        <v>92</v>
      </c>
      <c r="I612" s="21">
        <v>28.629000000000001</v>
      </c>
      <c r="J612" s="8">
        <v>4</v>
      </c>
      <c r="K612" s="8" t="s">
        <v>96</v>
      </c>
      <c r="L612" s="18">
        <v>42117</v>
      </c>
      <c r="M612" s="37" t="s">
        <v>191</v>
      </c>
      <c r="N612" s="38">
        <v>15.36</v>
      </c>
      <c r="O612" s="38">
        <v>7.09</v>
      </c>
      <c r="P612" s="38">
        <v>4.01</v>
      </c>
      <c r="Q612" s="38">
        <v>2.17</v>
      </c>
      <c r="R612" s="38">
        <v>2.8662800000000002</v>
      </c>
      <c r="S612" s="38">
        <f t="shared" si="78"/>
        <v>3</v>
      </c>
      <c r="T612" s="38">
        <v>27.59</v>
      </c>
      <c r="U612" s="38">
        <v>0.67</v>
      </c>
      <c r="V612" s="38">
        <v>0.23</v>
      </c>
      <c r="W612" s="38">
        <v>0.13</v>
      </c>
      <c r="X612" s="38">
        <v>3.8871099999999998</v>
      </c>
      <c r="Y612" s="38">
        <f t="shared" si="79"/>
        <v>4</v>
      </c>
      <c r="Z612" s="38">
        <v>0</v>
      </c>
      <c r="AA612" s="38">
        <v>0</v>
      </c>
      <c r="AB612" s="38">
        <v>28.63</v>
      </c>
      <c r="AC612" s="38">
        <v>1.3281499999999999</v>
      </c>
      <c r="AD612" s="39">
        <v>454.12</v>
      </c>
      <c r="AE612" s="38">
        <v>0</v>
      </c>
      <c r="AF612" s="38">
        <f>(AD612+AE612*0.5)/(3.5*I612*1000)*100</f>
        <v>0.45320678832153199</v>
      </c>
      <c r="AG612" s="38">
        <f t="shared" si="80"/>
        <v>0.5</v>
      </c>
      <c r="AH612" s="38">
        <v>9</v>
      </c>
      <c r="AI612" s="38">
        <f>AH612/(3.5*I612*1000)*100</f>
        <v>8.9819014685408888E-3</v>
      </c>
      <c r="AJ612" s="38">
        <v>7.03</v>
      </c>
      <c r="AK612" s="38">
        <f>AJ612/(3.5*I612*1000)*100</f>
        <v>7.0158630359824937E-3</v>
      </c>
      <c r="AL612" s="38">
        <v>0</v>
      </c>
      <c r="AM612" s="38">
        <f>AL612/(3.5*I612*1000)*100</f>
        <v>0</v>
      </c>
      <c r="AN612" s="12"/>
      <c r="AO612" s="12"/>
      <c r="AP612" s="1"/>
      <c r="AQ612" s="41">
        <f>SUM(N612:Q612)</f>
        <v>28.630000000000003</v>
      </c>
      <c r="AR612" s="41">
        <f>SUM(T612:W612)</f>
        <v>28.62</v>
      </c>
      <c r="AS612" s="270">
        <f>SUM(Z612:AB612)</f>
        <v>28.63</v>
      </c>
      <c r="AT612" s="1"/>
      <c r="AU612" s="1">
        <f>I612/AQ612</f>
        <v>0.99996507160321335</v>
      </c>
      <c r="AV612" s="1">
        <f>I612/AR612</f>
        <v>1.000314465408805</v>
      </c>
      <c r="AW612" s="1">
        <f>I612/AS612</f>
        <v>0.99996507160321346</v>
      </c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</row>
    <row r="613" spans="1:88" s="61" customFormat="1" ht="22.5" customHeight="1">
      <c r="A613" s="1">
        <v>400</v>
      </c>
      <c r="B613" s="74" t="s">
        <v>655</v>
      </c>
      <c r="C613" s="34">
        <v>511</v>
      </c>
      <c r="D613" s="75">
        <v>1055</v>
      </c>
      <c r="E613" s="69">
        <v>100</v>
      </c>
      <c r="F613" s="34" t="s">
        <v>666</v>
      </c>
      <c r="G613" s="20" t="s">
        <v>667</v>
      </c>
      <c r="H613" s="20" t="s">
        <v>668</v>
      </c>
      <c r="I613" s="21">
        <v>10.273</v>
      </c>
      <c r="J613" s="8" t="s">
        <v>12</v>
      </c>
      <c r="K613" s="34">
        <v>2</v>
      </c>
      <c r="L613" s="18">
        <v>42265</v>
      </c>
      <c r="M613" s="37" t="s">
        <v>191</v>
      </c>
      <c r="N613" s="38">
        <v>5.45</v>
      </c>
      <c r="O613" s="38">
        <v>2.64</v>
      </c>
      <c r="P613" s="38">
        <v>1.21</v>
      </c>
      <c r="Q613" s="38">
        <v>0.98</v>
      </c>
      <c r="R613" s="38">
        <v>2.8769200000000001</v>
      </c>
      <c r="S613" s="38">
        <f t="shared" si="78"/>
        <v>3</v>
      </c>
      <c r="T613" s="38">
        <v>9.4700000000000006</v>
      </c>
      <c r="U613" s="38">
        <v>0.6</v>
      </c>
      <c r="V613" s="38">
        <v>0.2</v>
      </c>
      <c r="W613" s="38">
        <v>0</v>
      </c>
      <c r="X613" s="38">
        <v>4.9271099999999999</v>
      </c>
      <c r="Y613" s="38">
        <f t="shared" si="79"/>
        <v>5</v>
      </c>
      <c r="Z613" s="38">
        <v>0</v>
      </c>
      <c r="AA613" s="38">
        <v>0</v>
      </c>
      <c r="AB613" s="38">
        <v>10.27</v>
      </c>
      <c r="AC613" s="38">
        <v>1.1020300000000001</v>
      </c>
      <c r="AD613" s="39">
        <v>162.32</v>
      </c>
      <c r="AE613" s="38">
        <v>0.36499999999999999</v>
      </c>
      <c r="AF613" s="38">
        <v>0.45195400000000002</v>
      </c>
      <c r="AG613" s="38">
        <f t="shared" si="80"/>
        <v>0.5</v>
      </c>
      <c r="AH613" s="38">
        <v>62.36</v>
      </c>
      <c r="AI613" s="38">
        <v>0.17343700000000001</v>
      </c>
      <c r="AJ613" s="38">
        <v>0.98</v>
      </c>
      <c r="AK613" s="38">
        <v>2.7260000000000001E-3</v>
      </c>
      <c r="AL613" s="38">
        <v>1.1200000000000001</v>
      </c>
      <c r="AM613" s="38">
        <v>3.1150000000000001E-3</v>
      </c>
      <c r="AN613" s="72"/>
      <c r="AO613" s="41"/>
      <c r="AP613" s="41"/>
      <c r="AQ613" s="41">
        <f>SUM(N613:Q613)</f>
        <v>10.280000000000001</v>
      </c>
      <c r="AR613" s="41">
        <f>SUM(T613:W613)</f>
        <v>10.27</v>
      </c>
      <c r="AS613" s="49">
        <f>SUM(Z613:AB613)</f>
        <v>10.27</v>
      </c>
      <c r="AT613" s="22"/>
      <c r="AU613" s="22">
        <f>I613/AQ613</f>
        <v>0.99931906614785981</v>
      </c>
      <c r="AV613" s="22">
        <f>I613/AR613</f>
        <v>1.0002921129503408</v>
      </c>
      <c r="AW613" s="22">
        <f>I613/AS613</f>
        <v>1.0002921129503408</v>
      </c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</row>
    <row r="614" spans="1:88" s="61" customFormat="1" ht="22.5" customHeight="1">
      <c r="A614" s="1">
        <v>898</v>
      </c>
      <c r="B614" s="34" t="s">
        <v>1285</v>
      </c>
      <c r="C614" s="34">
        <v>634</v>
      </c>
      <c r="D614" s="162">
        <v>2134</v>
      </c>
      <c r="E614" s="34">
        <v>102</v>
      </c>
      <c r="F614" s="34" t="s">
        <v>1292</v>
      </c>
      <c r="G614" s="58">
        <v>43218</v>
      </c>
      <c r="H614" s="58">
        <v>24821</v>
      </c>
      <c r="I614" s="35">
        <v>18.396999999999998</v>
      </c>
      <c r="J614" s="9">
        <v>2</v>
      </c>
      <c r="K614" s="34" t="s">
        <v>12</v>
      </c>
      <c r="L614" s="10">
        <v>42146</v>
      </c>
      <c r="M614" s="37" t="s">
        <v>191</v>
      </c>
      <c r="N614" s="38">
        <v>10.199999999999999</v>
      </c>
      <c r="O614" s="38">
        <v>5.75</v>
      </c>
      <c r="P614" s="38">
        <v>1.8</v>
      </c>
      <c r="Q614" s="38">
        <v>1.1499999999999999</v>
      </c>
      <c r="R614" s="38">
        <v>2.7115999999999998</v>
      </c>
      <c r="S614" s="38">
        <f t="shared" si="78"/>
        <v>2.5</v>
      </c>
      <c r="T614" s="38">
        <v>17.524999999999999</v>
      </c>
      <c r="U614" s="38">
        <v>1.2250000000000001</v>
      </c>
      <c r="V614" s="38">
        <v>0.125</v>
      </c>
      <c r="W614" s="38">
        <v>2.5000000000000001E-2</v>
      </c>
      <c r="X614" s="38">
        <v>4.4269999999999996</v>
      </c>
      <c r="Y614" s="38">
        <f t="shared" si="79"/>
        <v>4.5</v>
      </c>
      <c r="Z614" s="38">
        <v>0</v>
      </c>
      <c r="AA614" s="38">
        <v>0</v>
      </c>
      <c r="AB614" s="38">
        <f>N614+O614+P614+Q614</f>
        <v>18.899999999999999</v>
      </c>
      <c r="AC614" s="38">
        <v>1.526</v>
      </c>
      <c r="AD614" s="39">
        <v>175.76</v>
      </c>
      <c r="AE614" s="38">
        <v>229.57</v>
      </c>
      <c r="AF614" s="38">
        <v>0.45123000000000002</v>
      </c>
      <c r="AG614" s="38">
        <f t="shared" si="80"/>
        <v>0.5</v>
      </c>
      <c r="AH614" s="38">
        <v>0</v>
      </c>
      <c r="AI614" s="38">
        <v>0</v>
      </c>
      <c r="AJ614" s="38">
        <v>828.08</v>
      </c>
      <c r="AK614" s="38">
        <v>1.2860480000000001</v>
      </c>
      <c r="AL614" s="38">
        <v>0</v>
      </c>
      <c r="AM614" s="38">
        <v>0</v>
      </c>
      <c r="AN614" s="25"/>
      <c r="AO614" s="25">
        <f>AE614*0.5</f>
        <v>114.785</v>
      </c>
      <c r="AP614" s="25">
        <f>(AD614+AH614+AJ614+AL614+AO614)*I614</f>
        <v>20579.344125</v>
      </c>
      <c r="AQ614" s="25">
        <f>SUM(N614:Q614)</f>
        <v>18.899999999999999</v>
      </c>
      <c r="AR614" s="25">
        <f>SUM(T614:W614)</f>
        <v>18.899999999999999</v>
      </c>
      <c r="AS614" s="48"/>
      <c r="AT614" s="41"/>
      <c r="AU614" s="41"/>
      <c r="AV614" s="41"/>
      <c r="AW614" s="41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</row>
    <row r="615" spans="1:88" s="61" customFormat="1" ht="22.5" customHeight="1">
      <c r="A615" s="1">
        <v>1761</v>
      </c>
      <c r="B615" s="34" t="s">
        <v>2348</v>
      </c>
      <c r="C615" s="34">
        <v>425</v>
      </c>
      <c r="D615" s="8">
        <v>3388</v>
      </c>
      <c r="E615" s="34">
        <v>100</v>
      </c>
      <c r="F615" s="34" t="s">
        <v>2361</v>
      </c>
      <c r="G615" s="58" t="s">
        <v>2362</v>
      </c>
      <c r="H615" s="58" t="s">
        <v>92</v>
      </c>
      <c r="I615" s="35">
        <v>14.638999999999999</v>
      </c>
      <c r="J615" s="9">
        <v>2</v>
      </c>
      <c r="K615" s="34" t="s">
        <v>12</v>
      </c>
      <c r="L615" s="10">
        <v>42236</v>
      </c>
      <c r="M615" s="37" t="s">
        <v>191</v>
      </c>
      <c r="N615" s="38">
        <v>8.8000000000000007</v>
      </c>
      <c r="O615" s="38">
        <v>4.5</v>
      </c>
      <c r="P615" s="38">
        <v>1</v>
      </c>
      <c r="Q615" s="38">
        <v>0.375</v>
      </c>
      <c r="R615" s="38">
        <v>2.8109999999999999</v>
      </c>
      <c r="S615" s="38">
        <f t="shared" si="78"/>
        <v>3</v>
      </c>
      <c r="T615" s="38">
        <v>14.05</v>
      </c>
      <c r="U615" s="38">
        <v>0.3</v>
      </c>
      <c r="V615" s="38">
        <v>0.2</v>
      </c>
      <c r="W615" s="38">
        <v>0.125</v>
      </c>
      <c r="X615" s="38">
        <v>3.9670000000000001</v>
      </c>
      <c r="Y615" s="38">
        <f t="shared" si="79"/>
        <v>4</v>
      </c>
      <c r="Z615" s="38">
        <v>0</v>
      </c>
      <c r="AA615" s="38">
        <v>0</v>
      </c>
      <c r="AB615" s="38">
        <f>SUM(T615:W615)</f>
        <v>14.675000000000001</v>
      </c>
      <c r="AC615" s="38">
        <v>1.151</v>
      </c>
      <c r="AD615" s="39">
        <v>0</v>
      </c>
      <c r="AE615" s="38">
        <v>460.16</v>
      </c>
      <c r="AF615" s="38">
        <f>(AD615+AE615*0.5)/(3.5*I615*1000)*100</f>
        <v>0.44905487299093427</v>
      </c>
      <c r="AG615" s="38">
        <f t="shared" si="80"/>
        <v>0.4</v>
      </c>
      <c r="AH615" s="38">
        <v>6.48</v>
      </c>
      <c r="AI615" s="38">
        <f>AH615/(3.5*I615*1000)*100</f>
        <v>1.2647233905516576E-2</v>
      </c>
      <c r="AJ615" s="38">
        <v>0</v>
      </c>
      <c r="AK615" s="38">
        <f>AJ615/(3.5*I615*1000)*100</f>
        <v>0</v>
      </c>
      <c r="AL615" s="38">
        <v>3.88</v>
      </c>
      <c r="AM615" s="55">
        <f>AL615/(3.5*I615*1000)*100</f>
        <v>7.5727264742907882E-3</v>
      </c>
      <c r="AN615" s="25"/>
      <c r="AO615" s="25">
        <f>AE615*0.5</f>
        <v>230.08</v>
      </c>
      <c r="AP615" s="25">
        <f>(AD615+AH615+AJ615+AL615+AO615)*I615</f>
        <v>3519.80116</v>
      </c>
      <c r="AQ615" s="25"/>
      <c r="AR615" s="25"/>
      <c r="AS615" s="48"/>
      <c r="AT615" s="41"/>
      <c r="AU615" s="41"/>
      <c r="AV615" s="41"/>
      <c r="AW615" s="41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</row>
    <row r="616" spans="1:88" s="22" customFormat="1">
      <c r="A616" s="1">
        <v>1416</v>
      </c>
      <c r="B616" s="34" t="s">
        <v>1957</v>
      </c>
      <c r="C616" s="34">
        <v>447</v>
      </c>
      <c r="D616" s="75">
        <v>3221</v>
      </c>
      <c r="E616" s="69">
        <v>100</v>
      </c>
      <c r="F616" s="184" t="s">
        <v>1970</v>
      </c>
      <c r="G616" s="77">
        <v>0</v>
      </c>
      <c r="H616" s="20">
        <v>15303</v>
      </c>
      <c r="I616" s="21">
        <v>15.303000000000001</v>
      </c>
      <c r="J616" s="8">
        <v>2</v>
      </c>
      <c r="K616" s="34" t="s">
        <v>238</v>
      </c>
      <c r="L616" s="10">
        <v>42216</v>
      </c>
      <c r="M616" s="37" t="s">
        <v>191</v>
      </c>
      <c r="N616" s="38">
        <v>8.3000000000000007</v>
      </c>
      <c r="O616" s="38">
        <v>5</v>
      </c>
      <c r="P616" s="38">
        <v>1.8</v>
      </c>
      <c r="Q616" s="38">
        <v>0.27500000000000002</v>
      </c>
      <c r="R616" s="38">
        <v>2.5861000000000001</v>
      </c>
      <c r="S616" s="38">
        <f t="shared" si="78"/>
        <v>2.5</v>
      </c>
      <c r="T616" s="38">
        <v>15.05</v>
      </c>
      <c r="U616" s="38">
        <v>0.3</v>
      </c>
      <c r="V616" s="38">
        <v>2.5000000000000001E-2</v>
      </c>
      <c r="W616" s="38">
        <v>0</v>
      </c>
      <c r="X616" s="38">
        <v>3.2035999999999998</v>
      </c>
      <c r="Y616" s="38">
        <f t="shared" si="79"/>
        <v>3</v>
      </c>
      <c r="Z616" s="38">
        <v>0</v>
      </c>
      <c r="AA616" s="38">
        <v>0</v>
      </c>
      <c r="AB616" s="38">
        <v>15.375000000000002</v>
      </c>
      <c r="AC616" s="38">
        <v>1.1780600000000001</v>
      </c>
      <c r="AD616" s="39">
        <v>238</v>
      </c>
      <c r="AE616" s="38">
        <v>5</v>
      </c>
      <c r="AF616" s="38">
        <v>0.44902493441995489</v>
      </c>
      <c r="AG616" s="38">
        <f t="shared" si="80"/>
        <v>0.4</v>
      </c>
      <c r="AH616" s="38">
        <v>0</v>
      </c>
      <c r="AI616" s="38">
        <f>AH616/(3.5*I616*1000)*100</f>
        <v>0</v>
      </c>
      <c r="AJ616" s="38">
        <v>0</v>
      </c>
      <c r="AK616" s="38">
        <f>AJ616/(3.5*I616*1000)*100</f>
        <v>0</v>
      </c>
      <c r="AL616" s="38">
        <v>0</v>
      </c>
      <c r="AM616" s="38">
        <f>AL616/(3.5*I616*1000)*100</f>
        <v>0</v>
      </c>
      <c r="AN616" s="41"/>
    </row>
    <row r="617" spans="1:88" s="22" customFormat="1">
      <c r="A617" s="1">
        <v>662</v>
      </c>
      <c r="B617" s="34" t="s">
        <v>1062</v>
      </c>
      <c r="C617" s="34">
        <v>623</v>
      </c>
      <c r="D617" s="34">
        <v>2021</v>
      </c>
      <c r="E617" s="34">
        <v>102</v>
      </c>
      <c r="F617" s="9" t="s">
        <v>1071</v>
      </c>
      <c r="G617" s="20">
        <v>20000</v>
      </c>
      <c r="H617" s="20">
        <v>42573</v>
      </c>
      <c r="I617" s="35">
        <v>22.573</v>
      </c>
      <c r="J617" s="34">
        <v>2</v>
      </c>
      <c r="K617" s="34" t="s">
        <v>238</v>
      </c>
      <c r="L617" s="10">
        <v>42167</v>
      </c>
      <c r="M617" s="37" t="s">
        <v>191</v>
      </c>
      <c r="N617" s="38">
        <v>14.18</v>
      </c>
      <c r="O617" s="38">
        <v>4.54</v>
      </c>
      <c r="P617" s="38">
        <v>2.4900000000000002</v>
      </c>
      <c r="Q617" s="38">
        <v>1.38</v>
      </c>
      <c r="R617" s="38">
        <v>2.95601</v>
      </c>
      <c r="S617" s="38">
        <f t="shared" si="78"/>
        <v>3</v>
      </c>
      <c r="T617" s="38">
        <v>21.04</v>
      </c>
      <c r="U617" s="38">
        <v>1.1499999999999999</v>
      </c>
      <c r="V617" s="38">
        <v>0.33</v>
      </c>
      <c r="W617" s="38">
        <v>0.05</v>
      </c>
      <c r="X617" s="38">
        <v>5.9853399999999999</v>
      </c>
      <c r="Y617" s="38">
        <f t="shared" si="79"/>
        <v>6</v>
      </c>
      <c r="Z617" s="38">
        <v>0</v>
      </c>
      <c r="AA617" s="38">
        <v>0</v>
      </c>
      <c r="AB617" s="38">
        <v>22.58</v>
      </c>
      <c r="AC617" s="38">
        <v>1.1610199999999999</v>
      </c>
      <c r="AD617" s="39">
        <v>345.24</v>
      </c>
      <c r="AE617" s="38">
        <v>17.71</v>
      </c>
      <c r="AF617" s="38">
        <v>0.44818999999999998</v>
      </c>
      <c r="AG617" s="38">
        <f t="shared" si="80"/>
        <v>0.4</v>
      </c>
      <c r="AH617" s="38">
        <v>0</v>
      </c>
      <c r="AI617" s="38">
        <v>0</v>
      </c>
      <c r="AJ617" s="38">
        <v>164.42</v>
      </c>
      <c r="AK617" s="38">
        <v>0.20811199999999999</v>
      </c>
      <c r="AL617" s="38">
        <v>1.81</v>
      </c>
      <c r="AM617" s="38">
        <v>2.2899999999999999E-3</v>
      </c>
      <c r="AN617" s="25"/>
      <c r="AO617" s="1">
        <f>AE617*0.5</f>
        <v>8.8550000000000004</v>
      </c>
      <c r="AP617" s="25">
        <f>(AD617+AH617+AJ617+AL617+AO617)*I617</f>
        <v>11745.296224999998</v>
      </c>
      <c r="AQ617" s="25">
        <f>SUM(N617:Q617)</f>
        <v>22.59</v>
      </c>
      <c r="AR617" s="25">
        <f>SUM(T617:W617)</f>
        <v>22.569999999999997</v>
      </c>
      <c r="AT617" s="41"/>
      <c r="AU617" s="41">
        <f>SUM(N617:Q617)</f>
        <v>22.59</v>
      </c>
      <c r="AV617" s="41">
        <f>SUM(T617:W617)</f>
        <v>22.569999999999997</v>
      </c>
      <c r="AW617" s="41">
        <f>SUM(Z617:AB617)</f>
        <v>22.58</v>
      </c>
      <c r="AY617" s="22">
        <f>I617/AU617</f>
        <v>0.99924745462594067</v>
      </c>
      <c r="AZ617" s="22">
        <f>I617/AV617</f>
        <v>1.000132919805051</v>
      </c>
      <c r="BA617" s="22">
        <f>I617/AW617</f>
        <v>0.99968999114260415</v>
      </c>
    </row>
    <row r="618" spans="1:88" s="22" customFormat="1">
      <c r="A618" s="1">
        <v>1019</v>
      </c>
      <c r="B618" s="9" t="s">
        <v>1394</v>
      </c>
      <c r="C618" s="9">
        <v>617</v>
      </c>
      <c r="D618" s="8">
        <v>2073</v>
      </c>
      <c r="E618" s="9">
        <v>101</v>
      </c>
      <c r="F618" s="9" t="s">
        <v>1419</v>
      </c>
      <c r="G618" s="20">
        <v>0</v>
      </c>
      <c r="H618" s="20">
        <v>8475</v>
      </c>
      <c r="I618" s="35">
        <v>8.4749999999999996</v>
      </c>
      <c r="J618" s="9">
        <v>2</v>
      </c>
      <c r="K618" s="9" t="s">
        <v>238</v>
      </c>
      <c r="L618" s="18">
        <v>42130</v>
      </c>
      <c r="M618" s="37" t="s">
        <v>191</v>
      </c>
      <c r="N618" s="11">
        <v>5.875</v>
      </c>
      <c r="O618" s="11">
        <v>1.675</v>
      </c>
      <c r="P618" s="11">
        <v>0.72499999999999998</v>
      </c>
      <c r="Q618" s="11">
        <v>0.2</v>
      </c>
      <c r="R618" s="11">
        <v>2.8340000000000001</v>
      </c>
      <c r="S618" s="38">
        <f t="shared" si="78"/>
        <v>3</v>
      </c>
      <c r="T618" s="11">
        <v>8.3000000000000007</v>
      </c>
      <c r="U618" s="11">
        <v>0.15</v>
      </c>
      <c r="V618" s="11">
        <v>2.5000000000000001E-2</v>
      </c>
      <c r="W618" s="11">
        <v>0</v>
      </c>
      <c r="X618" s="11">
        <v>5.2741899999999999</v>
      </c>
      <c r="Y618" s="38">
        <f t="shared" si="79"/>
        <v>5.5</v>
      </c>
      <c r="Z618" s="11">
        <v>0</v>
      </c>
      <c r="AA618" s="11">
        <v>0</v>
      </c>
      <c r="AB618" s="11">
        <f>SUM(N618:Q618)</f>
        <v>8.4749999999999996</v>
      </c>
      <c r="AC618" s="11">
        <v>1.3855200000000001</v>
      </c>
      <c r="AD618" s="164">
        <v>0</v>
      </c>
      <c r="AE618" s="11">
        <v>263.3</v>
      </c>
      <c r="AF618" s="11">
        <f>(AD618+AE618*0.5)/(3.5*I618*1000)*100</f>
        <v>0.44382638010956599</v>
      </c>
      <c r="AG618" s="38">
        <f t="shared" si="80"/>
        <v>0.4</v>
      </c>
      <c r="AH618" s="11">
        <v>0</v>
      </c>
      <c r="AI618" s="38">
        <f t="shared" ref="AI618:AI624" si="81">AH618/(3.5*I618*1000)*100</f>
        <v>0</v>
      </c>
      <c r="AJ618" s="11">
        <v>111.97</v>
      </c>
      <c r="AK618" s="38">
        <f t="shared" ref="AK618:AK624" si="82">AJ618/(3.5*I618*1000)*100</f>
        <v>0.37747998314370002</v>
      </c>
      <c r="AL618" s="11">
        <v>0</v>
      </c>
      <c r="AM618" s="38">
        <f t="shared" ref="AM618:AM624" si="83">AL618/(3.5*I618*1000)*100</f>
        <v>0</v>
      </c>
      <c r="AN618" s="25"/>
      <c r="AO618" s="25">
        <f>AE618*0.5</f>
        <v>131.65</v>
      </c>
      <c r="AP618" s="25">
        <f>(AD618+AH618+AJ618+AL618+AO618)*I618</f>
        <v>2064.6794999999997</v>
      </c>
      <c r="AQ618" s="25"/>
      <c r="AR618" s="25"/>
      <c r="AS618" s="25">
        <f>SUM(N618:Q618)</f>
        <v>8.4749999999999996</v>
      </c>
      <c r="AT618" s="25">
        <f>SUM(T618:W618)</f>
        <v>8.4750000000000014</v>
      </c>
      <c r="AU618" s="41"/>
      <c r="AV618" s="41"/>
      <c r="AW618" s="41"/>
    </row>
    <row r="619" spans="1:88" s="22" customFormat="1">
      <c r="A619" s="1">
        <v>1420</v>
      </c>
      <c r="B619" s="34" t="s">
        <v>1957</v>
      </c>
      <c r="C619" s="34">
        <v>447</v>
      </c>
      <c r="D619" s="75">
        <v>3282</v>
      </c>
      <c r="E619" s="69">
        <v>101</v>
      </c>
      <c r="F619" s="184" t="s">
        <v>1972</v>
      </c>
      <c r="G619" s="20">
        <v>0</v>
      </c>
      <c r="H619" s="20">
        <v>22000</v>
      </c>
      <c r="I619" s="21">
        <v>22</v>
      </c>
      <c r="J619" s="8">
        <v>2</v>
      </c>
      <c r="K619" s="34" t="s">
        <v>238</v>
      </c>
      <c r="L619" s="10">
        <v>42215</v>
      </c>
      <c r="M619" s="37" t="s">
        <v>191</v>
      </c>
      <c r="N619" s="38">
        <v>21.574999999999999</v>
      </c>
      <c r="O619" s="38">
        <v>0.47499999999999998</v>
      </c>
      <c r="P619" s="38">
        <v>0</v>
      </c>
      <c r="Q619" s="38">
        <v>0</v>
      </c>
      <c r="R619" s="38">
        <v>1.76813</v>
      </c>
      <c r="S619" s="38">
        <f t="shared" si="78"/>
        <v>2</v>
      </c>
      <c r="T619" s="38">
        <v>22.05</v>
      </c>
      <c r="U619" s="38">
        <v>0</v>
      </c>
      <c r="V619" s="38">
        <v>0</v>
      </c>
      <c r="W619" s="38">
        <v>0</v>
      </c>
      <c r="X619" s="38">
        <v>1.03237</v>
      </c>
      <c r="Y619" s="38">
        <f t="shared" si="79"/>
        <v>1</v>
      </c>
      <c r="Z619" s="38">
        <v>0</v>
      </c>
      <c r="AA619" s="38">
        <v>0</v>
      </c>
      <c r="AB619" s="38">
        <v>22.05</v>
      </c>
      <c r="AC619" s="38">
        <v>1.04664</v>
      </c>
      <c r="AD619" s="39">
        <v>323.32</v>
      </c>
      <c r="AE619" s="38">
        <v>34.234999999999999</v>
      </c>
      <c r="AF619" s="38">
        <v>0.4421266233766234</v>
      </c>
      <c r="AG619" s="38">
        <f t="shared" si="80"/>
        <v>0.4</v>
      </c>
      <c r="AH619" s="38">
        <v>154.24</v>
      </c>
      <c r="AI619" s="38">
        <f t="shared" si="81"/>
        <v>0.2003116883116883</v>
      </c>
      <c r="AJ619" s="38">
        <v>0</v>
      </c>
      <c r="AK619" s="38">
        <f t="shared" si="82"/>
        <v>0</v>
      </c>
      <c r="AL619" s="38">
        <v>0</v>
      </c>
      <c r="AM619" s="38">
        <f t="shared" si="83"/>
        <v>0</v>
      </c>
      <c r="AN619" s="41"/>
    </row>
    <row r="620" spans="1:88" s="22" customFormat="1">
      <c r="A620" s="1">
        <v>33</v>
      </c>
      <c r="B620" s="4" t="s">
        <v>21</v>
      </c>
      <c r="C620" s="14">
        <v>522</v>
      </c>
      <c r="D620" s="19">
        <v>1096</v>
      </c>
      <c r="E620" s="16">
        <v>100</v>
      </c>
      <c r="F620" s="16" t="s">
        <v>28</v>
      </c>
      <c r="G620" s="20">
        <v>29543</v>
      </c>
      <c r="H620" s="20">
        <v>0</v>
      </c>
      <c r="I620" s="21">
        <v>29.542999999999999</v>
      </c>
      <c r="J620" s="8">
        <v>4</v>
      </c>
      <c r="K620" s="9" t="s">
        <v>237</v>
      </c>
      <c r="L620" s="24">
        <v>42235</v>
      </c>
      <c r="M620" s="37" t="s">
        <v>191</v>
      </c>
      <c r="N620" s="11">
        <v>7.05</v>
      </c>
      <c r="O620" s="11">
        <v>9</v>
      </c>
      <c r="P620" s="11">
        <v>7.9</v>
      </c>
      <c r="Q620" s="11">
        <v>5.375</v>
      </c>
      <c r="R620" s="11">
        <v>3.6836700000000002</v>
      </c>
      <c r="S620" s="38">
        <f t="shared" si="78"/>
        <v>3.5</v>
      </c>
      <c r="T620" s="11">
        <v>29</v>
      </c>
      <c r="U620" s="11">
        <v>0.27500000000000002</v>
      </c>
      <c r="V620" s="11">
        <v>2.5000000000000001E-2</v>
      </c>
      <c r="W620" s="11">
        <v>2.5000000000000001E-2</v>
      </c>
      <c r="X620" s="11">
        <v>2.59178</v>
      </c>
      <c r="Y620" s="38">
        <f t="shared" si="79"/>
        <v>2.5</v>
      </c>
      <c r="Z620" s="11">
        <v>0</v>
      </c>
      <c r="AA620" s="11">
        <v>0</v>
      </c>
      <c r="AB620" s="11">
        <f>SUM(N620:Q620)</f>
        <v>29.325000000000003</v>
      </c>
      <c r="AC620" s="11">
        <v>1.2541500000000001</v>
      </c>
      <c r="AD620" s="164">
        <v>423.03</v>
      </c>
      <c r="AE620" s="11">
        <v>67.930000000000007</v>
      </c>
      <c r="AF620" s="11">
        <f t="shared" ref="AF620:AF625" si="84">(AD620+AE620*0.5)/(3.5*I620*1000)*100</f>
        <v>0.44196594794029037</v>
      </c>
      <c r="AG620" s="38">
        <f t="shared" si="80"/>
        <v>0.4</v>
      </c>
      <c r="AH620" s="11">
        <v>0</v>
      </c>
      <c r="AI620" s="11">
        <f t="shared" si="81"/>
        <v>0</v>
      </c>
      <c r="AJ620" s="11">
        <v>500</v>
      </c>
      <c r="AK620" s="11">
        <f t="shared" si="82"/>
        <v>0.48355665591559033</v>
      </c>
      <c r="AL620" s="11">
        <v>0</v>
      </c>
      <c r="AM620" s="11">
        <f t="shared" si="83"/>
        <v>0</v>
      </c>
      <c r="AO620" s="25"/>
      <c r="AP620" s="25"/>
    </row>
    <row r="621" spans="1:88" s="22" customFormat="1">
      <c r="A621" s="1">
        <v>1115</v>
      </c>
      <c r="B621" s="9" t="s">
        <v>1513</v>
      </c>
      <c r="C621" s="34">
        <v>431</v>
      </c>
      <c r="D621" s="75">
        <v>3024</v>
      </c>
      <c r="E621" s="69">
        <v>100</v>
      </c>
      <c r="F621" s="34" t="s">
        <v>1547</v>
      </c>
      <c r="G621" s="20" t="s">
        <v>1548</v>
      </c>
      <c r="H621" s="20" t="s">
        <v>92</v>
      </c>
      <c r="I621" s="21">
        <v>5.4020000000000001</v>
      </c>
      <c r="J621" s="5">
        <v>2</v>
      </c>
      <c r="K621" s="5" t="s">
        <v>12</v>
      </c>
      <c r="L621" s="18">
        <v>42282</v>
      </c>
      <c r="M621" s="37" t="s">
        <v>191</v>
      </c>
      <c r="N621" s="38">
        <v>7.7</v>
      </c>
      <c r="O621" s="38">
        <v>3.5750000000000002</v>
      </c>
      <c r="P621" s="38">
        <v>2.0249999999999999</v>
      </c>
      <c r="Q621" s="38">
        <v>1.1000000000000001</v>
      </c>
      <c r="R621" s="38">
        <v>2.77135</v>
      </c>
      <c r="S621" s="38">
        <f t="shared" si="78"/>
        <v>3</v>
      </c>
      <c r="T621" s="38">
        <v>13.425000000000001</v>
      </c>
      <c r="U621" s="38">
        <v>0.6</v>
      </c>
      <c r="V621" s="38">
        <v>0.3</v>
      </c>
      <c r="W621" s="38">
        <v>7.4999999999999997E-2</v>
      </c>
      <c r="X621" s="38">
        <v>3.41736</v>
      </c>
      <c r="Y621" s="38">
        <f t="shared" si="79"/>
        <v>3.5</v>
      </c>
      <c r="Z621" s="38">
        <v>0</v>
      </c>
      <c r="AA621" s="38">
        <v>0</v>
      </c>
      <c r="AB621" s="38">
        <v>5.4020000000000001</v>
      </c>
      <c r="AC621" s="38">
        <v>1.2704899999999999</v>
      </c>
      <c r="AD621" s="39">
        <v>78.94</v>
      </c>
      <c r="AE621" s="38">
        <v>9.1</v>
      </c>
      <c r="AF621" s="38">
        <f t="shared" si="84"/>
        <v>0.44158248267837308</v>
      </c>
      <c r="AG621" s="38">
        <f t="shared" si="80"/>
        <v>0.4</v>
      </c>
      <c r="AH621" s="38">
        <v>32.520000000000003</v>
      </c>
      <c r="AI621" s="38">
        <f t="shared" si="81"/>
        <v>0.17199978843814462</v>
      </c>
      <c r="AJ621" s="38">
        <v>0</v>
      </c>
      <c r="AK621" s="38">
        <f t="shared" si="82"/>
        <v>0</v>
      </c>
      <c r="AL621" s="38">
        <v>0</v>
      </c>
      <c r="AM621" s="38">
        <f t="shared" si="83"/>
        <v>0</v>
      </c>
      <c r="AN621" s="41"/>
      <c r="AO621" s="72"/>
      <c r="AP621" s="73"/>
      <c r="AQ621" s="73"/>
    </row>
    <row r="622" spans="1:88" s="22" customFormat="1">
      <c r="A622" s="1">
        <v>1449</v>
      </c>
      <c r="B622" s="34" t="s">
        <v>1987</v>
      </c>
      <c r="C622" s="34">
        <v>448</v>
      </c>
      <c r="D622" s="75">
        <v>347</v>
      </c>
      <c r="E622" s="69">
        <v>300</v>
      </c>
      <c r="F622" s="34" t="s">
        <v>1998</v>
      </c>
      <c r="G622" s="20">
        <v>66246</v>
      </c>
      <c r="H622" s="20">
        <v>49141</v>
      </c>
      <c r="I622" s="21">
        <v>17.105</v>
      </c>
      <c r="J622" s="8">
        <v>2</v>
      </c>
      <c r="K622" s="34" t="s">
        <v>96</v>
      </c>
      <c r="L622" s="10">
        <v>42182</v>
      </c>
      <c r="M622" s="37" t="s">
        <v>191</v>
      </c>
      <c r="N622" s="38">
        <v>11.25</v>
      </c>
      <c r="O622" s="38">
        <v>3.6</v>
      </c>
      <c r="P622" s="38">
        <v>1.675</v>
      </c>
      <c r="Q622" s="38">
        <v>0.55000000000000004</v>
      </c>
      <c r="R622" s="38">
        <v>2.4009999999999998</v>
      </c>
      <c r="S622" s="38">
        <f t="shared" si="78"/>
        <v>2.5</v>
      </c>
      <c r="T622" s="38">
        <v>16.850000000000001</v>
      </c>
      <c r="U622" s="38">
        <v>0.17499999999999999</v>
      </c>
      <c r="V622" s="38">
        <v>0</v>
      </c>
      <c r="W622" s="38">
        <v>0.05</v>
      </c>
      <c r="X622" s="38">
        <v>2.74</v>
      </c>
      <c r="Y622" s="38">
        <f t="shared" si="79"/>
        <v>2.5</v>
      </c>
      <c r="Z622" s="38">
        <v>0</v>
      </c>
      <c r="AA622" s="38">
        <v>0</v>
      </c>
      <c r="AB622" s="38">
        <v>17.074999999999999</v>
      </c>
      <c r="AC622" s="38">
        <v>1.0880000000000001</v>
      </c>
      <c r="AD622" s="39">
        <v>239.21</v>
      </c>
      <c r="AE622" s="38">
        <v>49.65</v>
      </c>
      <c r="AF622" s="38">
        <f t="shared" si="84"/>
        <v>0.4410322796174887</v>
      </c>
      <c r="AG622" s="38">
        <f t="shared" si="80"/>
        <v>0.4</v>
      </c>
      <c r="AH622" s="38">
        <v>134.36000000000001</v>
      </c>
      <c r="AI622" s="38">
        <f t="shared" si="81"/>
        <v>0.2244289472585293</v>
      </c>
      <c r="AJ622" s="38">
        <v>0</v>
      </c>
      <c r="AK622" s="38">
        <f t="shared" si="82"/>
        <v>0</v>
      </c>
      <c r="AL622" s="38">
        <v>0</v>
      </c>
      <c r="AM622" s="38">
        <f t="shared" si="83"/>
        <v>0</v>
      </c>
      <c r="AN622" s="72"/>
      <c r="AO622" s="41"/>
      <c r="AP622" s="41"/>
      <c r="AQ622" s="73"/>
      <c r="AR622" s="73"/>
      <c r="AS622" s="73"/>
      <c r="AT622" s="73"/>
      <c r="AU622" s="73"/>
      <c r="AV622" s="73"/>
    </row>
    <row r="623" spans="1:88" s="22" customFormat="1">
      <c r="A623" s="1">
        <v>1095</v>
      </c>
      <c r="B623" s="9" t="s">
        <v>1513</v>
      </c>
      <c r="C623" s="34">
        <v>431</v>
      </c>
      <c r="D623" s="75">
        <v>205</v>
      </c>
      <c r="E623" s="69">
        <v>101</v>
      </c>
      <c r="F623" s="34" t="s">
        <v>1514</v>
      </c>
      <c r="G623" s="20" t="s">
        <v>1515</v>
      </c>
      <c r="H623" s="20" t="s">
        <v>92</v>
      </c>
      <c r="I623" s="21">
        <v>9.8000000000000007</v>
      </c>
      <c r="J623" s="8">
        <v>4</v>
      </c>
      <c r="K623" s="181" t="s">
        <v>96</v>
      </c>
      <c r="L623" s="18">
        <v>42282</v>
      </c>
      <c r="M623" s="37" t="s">
        <v>191</v>
      </c>
      <c r="N623" s="38">
        <v>4.375</v>
      </c>
      <c r="O623" s="38">
        <v>3.0750000000000002</v>
      </c>
      <c r="P623" s="38">
        <v>2.125</v>
      </c>
      <c r="Q623" s="38">
        <v>1.175</v>
      </c>
      <c r="R623" s="38">
        <v>3.2397399999999998</v>
      </c>
      <c r="S623" s="38">
        <f t="shared" si="78"/>
        <v>3</v>
      </c>
      <c r="T623" s="38">
        <v>9.25</v>
      </c>
      <c r="U623" s="38">
        <v>1.175</v>
      </c>
      <c r="V623" s="38">
        <v>0.27500000000000002</v>
      </c>
      <c r="W623" s="38">
        <v>0.05</v>
      </c>
      <c r="X623" s="38">
        <v>5.7717000000000001</v>
      </c>
      <c r="Y623" s="38">
        <f t="shared" si="79"/>
        <v>6</v>
      </c>
      <c r="Z623" s="38">
        <v>0</v>
      </c>
      <c r="AA623" s="38">
        <v>0</v>
      </c>
      <c r="AB623" s="38">
        <v>10.75</v>
      </c>
      <c r="AC623" s="38">
        <v>1.3637900000000001</v>
      </c>
      <c r="AD623" s="39">
        <v>148.65</v>
      </c>
      <c r="AE623" s="38">
        <v>2.68</v>
      </c>
      <c r="AF623" s="38">
        <f t="shared" si="84"/>
        <v>0.43728862973760929</v>
      </c>
      <c r="AG623" s="38">
        <f t="shared" si="80"/>
        <v>0.4</v>
      </c>
      <c r="AH623" s="38">
        <v>89.67</v>
      </c>
      <c r="AI623" s="38">
        <f t="shared" si="81"/>
        <v>0.2614285714285714</v>
      </c>
      <c r="AJ623" s="38">
        <v>0</v>
      </c>
      <c r="AK623" s="38">
        <f t="shared" si="82"/>
        <v>0</v>
      </c>
      <c r="AL623" s="38">
        <v>0</v>
      </c>
      <c r="AM623" s="38">
        <f t="shared" si="83"/>
        <v>0</v>
      </c>
      <c r="AN623" s="41"/>
      <c r="AO623" s="72"/>
      <c r="AP623" s="73"/>
      <c r="AQ623" s="73"/>
    </row>
    <row r="624" spans="1:88" s="22" customFormat="1">
      <c r="A624" s="1">
        <v>1664</v>
      </c>
      <c r="B624" s="34" t="s">
        <v>2251</v>
      </c>
      <c r="C624" s="34">
        <v>418</v>
      </c>
      <c r="D624" s="69">
        <v>3900</v>
      </c>
      <c r="E624" s="34">
        <v>201</v>
      </c>
      <c r="F624" s="34" t="s">
        <v>2267</v>
      </c>
      <c r="G624" s="58" t="s">
        <v>2268</v>
      </c>
      <c r="H624" s="58" t="s">
        <v>2269</v>
      </c>
      <c r="I624" s="35">
        <v>0.48</v>
      </c>
      <c r="J624" s="34">
        <v>2</v>
      </c>
      <c r="K624" s="34" t="s">
        <v>238</v>
      </c>
      <c r="L624" s="10">
        <v>42245</v>
      </c>
      <c r="M624" s="37" t="s">
        <v>191</v>
      </c>
      <c r="N624" s="55">
        <v>0</v>
      </c>
      <c r="O624" s="55">
        <v>0.25</v>
      </c>
      <c r="P624" s="55">
        <v>0.2</v>
      </c>
      <c r="Q624" s="55">
        <v>0.05</v>
      </c>
      <c r="R624" s="55">
        <v>3.63083</v>
      </c>
      <c r="S624" s="38">
        <f t="shared" si="78"/>
        <v>3.5</v>
      </c>
      <c r="T624" s="38">
        <v>0.42499999999999999</v>
      </c>
      <c r="U624" s="38">
        <v>7.4999999999999997E-2</v>
      </c>
      <c r="V624" s="38">
        <v>0</v>
      </c>
      <c r="W624" s="38">
        <v>0</v>
      </c>
      <c r="X624" s="38">
        <v>5.5709</v>
      </c>
      <c r="Y624" s="38">
        <f t="shared" si="79"/>
        <v>5.5</v>
      </c>
      <c r="Z624" s="38">
        <v>0</v>
      </c>
      <c r="AA624" s="38">
        <v>0</v>
      </c>
      <c r="AB624" s="38">
        <f>SUM(N624:Q624)</f>
        <v>0.5</v>
      </c>
      <c r="AC624" s="38">
        <v>1.4671000000000001</v>
      </c>
      <c r="AD624" s="39">
        <v>0</v>
      </c>
      <c r="AE624" s="38">
        <v>14.65</v>
      </c>
      <c r="AF624" s="38">
        <f t="shared" si="84"/>
        <v>0.43601190476190477</v>
      </c>
      <c r="AG624" s="38">
        <f t="shared" si="80"/>
        <v>0.4</v>
      </c>
      <c r="AH624" s="38">
        <v>0</v>
      </c>
      <c r="AI624" s="38">
        <f t="shared" si="81"/>
        <v>0</v>
      </c>
      <c r="AJ624" s="38">
        <v>0</v>
      </c>
      <c r="AK624" s="38">
        <f t="shared" si="82"/>
        <v>0</v>
      </c>
      <c r="AL624" s="38">
        <v>0</v>
      </c>
      <c r="AM624" s="38">
        <f t="shared" si="83"/>
        <v>0</v>
      </c>
      <c r="AN624" s="25"/>
      <c r="AO624" s="25">
        <f>AE624*0.5</f>
        <v>7.3250000000000002</v>
      </c>
      <c r="AP624" s="25">
        <f>(AD624+AH624+AJ624+AL624+AO624)*I624</f>
        <v>3.516</v>
      </c>
      <c r="AQ624" s="25">
        <f>(AD624+AH624+AJ624+AL624)*I624</f>
        <v>0</v>
      </c>
      <c r="AR624" s="25">
        <f>SUM(N624:Q624)</f>
        <v>0.5</v>
      </c>
      <c r="AS624" s="25">
        <f>SUM(T624:W624)</f>
        <v>0.5</v>
      </c>
      <c r="AU624" s="41"/>
      <c r="AV624" s="41"/>
      <c r="AW624" s="41"/>
      <c r="AX624" s="41"/>
    </row>
    <row r="625" spans="1:88" s="22" customFormat="1">
      <c r="A625" s="1">
        <v>1194</v>
      </c>
      <c r="B625" s="34" t="s">
        <v>1674</v>
      </c>
      <c r="C625" s="34">
        <v>435</v>
      </c>
      <c r="D625" s="34">
        <v>205</v>
      </c>
      <c r="E625" s="34">
        <v>201</v>
      </c>
      <c r="F625" s="34" t="s">
        <v>1675</v>
      </c>
      <c r="G625" s="34" t="s">
        <v>1519</v>
      </c>
      <c r="H625" s="34" t="s">
        <v>1676</v>
      </c>
      <c r="I625" s="55">
        <v>10.227</v>
      </c>
      <c r="J625" s="34">
        <v>4</v>
      </c>
      <c r="K625" s="181" t="s">
        <v>238</v>
      </c>
      <c r="L625" s="10">
        <v>42282</v>
      </c>
      <c r="M625" s="37" t="s">
        <v>191</v>
      </c>
      <c r="N625" s="38">
        <v>5.2750000000000004</v>
      </c>
      <c r="O625" s="38">
        <v>3.3250000000000002</v>
      </c>
      <c r="P625" s="38">
        <v>1.55</v>
      </c>
      <c r="Q625" s="38">
        <v>0.42499999999999999</v>
      </c>
      <c r="R625" s="38">
        <v>2.8003100000000001</v>
      </c>
      <c r="S625" s="38">
        <f t="shared" si="78"/>
        <v>3</v>
      </c>
      <c r="T625" s="38">
        <v>9.9499999999999993</v>
      </c>
      <c r="U625" s="38">
        <v>0.47499999999999998</v>
      </c>
      <c r="V625" s="38">
        <v>0.125</v>
      </c>
      <c r="W625" s="38">
        <v>2.5000000000000001E-2</v>
      </c>
      <c r="X625" s="38">
        <v>5.0437099999999999</v>
      </c>
      <c r="Y625" s="38">
        <f t="shared" si="79"/>
        <v>5</v>
      </c>
      <c r="Z625" s="38">
        <v>0</v>
      </c>
      <c r="AA625" s="38">
        <v>0</v>
      </c>
      <c r="AB625" s="55">
        <v>10.227</v>
      </c>
      <c r="AC625" s="38">
        <v>1.35673</v>
      </c>
      <c r="AD625" s="39">
        <v>152.02000000000001</v>
      </c>
      <c r="AE625" s="38">
        <v>5.2309999999999999</v>
      </c>
      <c r="AF625" s="38">
        <f t="shared" si="84"/>
        <v>0.43200910754445515</v>
      </c>
      <c r="AG625" s="38">
        <f t="shared" si="80"/>
        <v>0.4</v>
      </c>
      <c r="AH625" s="38">
        <v>15.25</v>
      </c>
      <c r="AI625" s="38">
        <v>4.2604000000000003E-2</v>
      </c>
      <c r="AJ625" s="38">
        <v>0</v>
      </c>
      <c r="AK625" s="38">
        <v>0</v>
      </c>
      <c r="AL625" s="38">
        <v>2.98</v>
      </c>
      <c r="AM625" s="38">
        <v>8.3250000000000008E-3</v>
      </c>
      <c r="AN625" s="12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</row>
    <row r="626" spans="1:88" s="22" customFormat="1">
      <c r="A626" s="1">
        <v>2228</v>
      </c>
      <c r="B626" s="34" t="s">
        <v>2853</v>
      </c>
      <c r="C626" s="34">
        <v>318</v>
      </c>
      <c r="D626" s="75">
        <v>4312</v>
      </c>
      <c r="E626" s="8">
        <v>100</v>
      </c>
      <c r="F626" s="9" t="s">
        <v>2875</v>
      </c>
      <c r="G626" s="20">
        <v>0</v>
      </c>
      <c r="H626" s="20">
        <v>501</v>
      </c>
      <c r="I626" s="21">
        <v>0.501</v>
      </c>
      <c r="J626" s="8">
        <v>2</v>
      </c>
      <c r="K626" s="8" t="s">
        <v>238</v>
      </c>
      <c r="L626" s="18">
        <v>42150</v>
      </c>
      <c r="M626" s="37" t="s">
        <v>191</v>
      </c>
      <c r="N626" s="38">
        <v>0.5</v>
      </c>
      <c r="O626" s="38">
        <v>0</v>
      </c>
      <c r="P626" s="38">
        <v>0</v>
      </c>
      <c r="Q626" s="38">
        <v>0</v>
      </c>
      <c r="R626" s="38">
        <v>2.2341299999999999</v>
      </c>
      <c r="S626" s="38">
        <f t="shared" si="78"/>
        <v>2</v>
      </c>
      <c r="T626" s="38">
        <v>0.5</v>
      </c>
      <c r="U626" s="38">
        <v>0</v>
      </c>
      <c r="V626" s="38">
        <v>0</v>
      </c>
      <c r="W626" s="38">
        <v>0</v>
      </c>
      <c r="X626" s="38">
        <v>1.2437100000000001</v>
      </c>
      <c r="Y626" s="38">
        <f t="shared" si="79"/>
        <v>1</v>
      </c>
      <c r="Z626" s="38">
        <v>0</v>
      </c>
      <c r="AA626" s="38">
        <v>0</v>
      </c>
      <c r="AB626" s="38">
        <v>0.5</v>
      </c>
      <c r="AC626" s="38">
        <v>1.1346700000000001</v>
      </c>
      <c r="AD626" s="39">
        <v>7.57</v>
      </c>
      <c r="AE626" s="38">
        <v>0</v>
      </c>
      <c r="AF626" s="38">
        <v>0.43170801254633595</v>
      </c>
      <c r="AG626" s="38">
        <f t="shared" si="80"/>
        <v>0.4</v>
      </c>
      <c r="AH626" s="38">
        <v>0</v>
      </c>
      <c r="AI626" s="38">
        <v>0</v>
      </c>
      <c r="AJ626" s="38">
        <v>0</v>
      </c>
      <c r="AK626" s="38">
        <v>0</v>
      </c>
      <c r="AL626" s="38">
        <v>0</v>
      </c>
      <c r="AM626" s="38">
        <f>AL626/(3.5*I626*1000)*100</f>
        <v>0</v>
      </c>
      <c r="AO626" s="25"/>
      <c r="AP626" s="25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</row>
    <row r="627" spans="1:88" s="22" customFormat="1">
      <c r="A627" s="1">
        <v>432</v>
      </c>
      <c r="B627" s="74" t="s">
        <v>699</v>
      </c>
      <c r="C627" s="34">
        <v>513</v>
      </c>
      <c r="D627" s="75">
        <v>1113</v>
      </c>
      <c r="E627" s="69">
        <v>101</v>
      </c>
      <c r="F627" s="76" t="s">
        <v>730</v>
      </c>
      <c r="G627" s="58" t="s">
        <v>92</v>
      </c>
      <c r="H627" s="58" t="s">
        <v>731</v>
      </c>
      <c r="I627" s="55">
        <v>4.5</v>
      </c>
      <c r="J627" s="5" t="s">
        <v>238</v>
      </c>
      <c r="K627" s="34">
        <v>2</v>
      </c>
      <c r="L627" s="18">
        <v>42263</v>
      </c>
      <c r="M627" s="37" t="s">
        <v>191</v>
      </c>
      <c r="N627" s="38">
        <v>2.25</v>
      </c>
      <c r="O627" s="38">
        <v>1.45</v>
      </c>
      <c r="P627" s="38">
        <v>0.52</v>
      </c>
      <c r="Q627" s="38">
        <v>0.28000000000000003</v>
      </c>
      <c r="R627" s="38">
        <v>2.7396699999999998</v>
      </c>
      <c r="S627" s="38">
        <f t="shared" si="78"/>
        <v>2.5</v>
      </c>
      <c r="T627" s="38">
        <v>4.5</v>
      </c>
      <c r="U627" s="38">
        <v>0</v>
      </c>
      <c r="V627" s="38">
        <v>0</v>
      </c>
      <c r="W627" s="38">
        <v>0</v>
      </c>
      <c r="X627" s="38">
        <v>1.7930200000000001</v>
      </c>
      <c r="Y627" s="38">
        <f t="shared" si="79"/>
        <v>2</v>
      </c>
      <c r="Z627" s="38">
        <v>0</v>
      </c>
      <c r="AA627" s="38">
        <v>0</v>
      </c>
      <c r="AB627" s="38">
        <v>4.5</v>
      </c>
      <c r="AC627" s="38">
        <v>1.29294</v>
      </c>
      <c r="AD627" s="39">
        <v>54.65</v>
      </c>
      <c r="AE627" s="38">
        <v>26.35</v>
      </c>
      <c r="AF627" s="38">
        <f>(AD627+AE627*0.5)/(3.5*I627*1000)*100</f>
        <v>0.4306349206349207</v>
      </c>
      <c r="AG627" s="38">
        <f t="shared" si="80"/>
        <v>0.4</v>
      </c>
      <c r="AH627" s="38">
        <v>38.253999999999998</v>
      </c>
      <c r="AI627" s="38">
        <f>AH627/(3.5*I627*1000)*100</f>
        <v>0.24288253968253967</v>
      </c>
      <c r="AJ627" s="38">
        <v>0</v>
      </c>
      <c r="AK627" s="38">
        <f>AJ627/(3.5*I627*1000)*100</f>
        <v>0</v>
      </c>
      <c r="AL627" s="38">
        <v>0</v>
      </c>
      <c r="AM627" s="38">
        <f>AL627/(3.5*I627*1000)*100</f>
        <v>0</v>
      </c>
      <c r="AN627" s="41"/>
      <c r="AO627" s="41"/>
      <c r="AP627" s="73"/>
      <c r="AQ627" s="41">
        <f>SUM(N627:Q627)</f>
        <v>4.5000000000000009</v>
      </c>
      <c r="AR627" s="41">
        <f>SUM(T627:W627)</f>
        <v>4.5</v>
      </c>
      <c r="AS627" s="41">
        <f>SUM(Z627:AB627)</f>
        <v>4.5</v>
      </c>
      <c r="AU627" s="22">
        <f>I627/AQ627</f>
        <v>0.99999999999999978</v>
      </c>
      <c r="AV627" s="22">
        <f>I627/AR627</f>
        <v>1</v>
      </c>
      <c r="AW627" s="22">
        <f>I627/AS627</f>
        <v>1</v>
      </c>
      <c r="AX627" s="73"/>
      <c r="AY627" s="73"/>
      <c r="AZ627" s="73"/>
      <c r="BA627" s="73"/>
      <c r="BB627" s="73"/>
      <c r="BC627" s="73"/>
      <c r="BD627" s="73"/>
      <c r="BE627" s="73"/>
      <c r="BF627" s="73"/>
      <c r="BG627" s="73"/>
      <c r="BH627" s="73"/>
      <c r="BI627" s="73"/>
      <c r="BJ627" s="73"/>
      <c r="BK627" s="73"/>
      <c r="BL627" s="73"/>
      <c r="BM627" s="73"/>
      <c r="BN627" s="73"/>
      <c r="BO627" s="73"/>
      <c r="BP627" s="73"/>
      <c r="BQ627" s="73"/>
      <c r="BR627" s="73"/>
      <c r="BS627" s="73"/>
      <c r="BT627" s="73"/>
      <c r="BU627" s="73"/>
      <c r="BV627" s="73"/>
      <c r="BW627" s="73"/>
      <c r="BX627" s="73"/>
      <c r="BY627" s="73"/>
      <c r="BZ627" s="73"/>
      <c r="CA627" s="73"/>
      <c r="CB627" s="73"/>
      <c r="CC627" s="73"/>
      <c r="CD627" s="73"/>
      <c r="CE627" s="73"/>
      <c r="CF627" s="73"/>
      <c r="CG627" s="73"/>
      <c r="CH627" s="73"/>
      <c r="CI627" s="73"/>
      <c r="CJ627" s="73"/>
    </row>
    <row r="628" spans="1:88" s="22" customFormat="1">
      <c r="A628" s="1">
        <v>2229</v>
      </c>
      <c r="B628" s="34" t="s">
        <v>2876</v>
      </c>
      <c r="C628" s="34">
        <v>319</v>
      </c>
      <c r="D628" s="75">
        <v>430</v>
      </c>
      <c r="E628" s="8">
        <v>201</v>
      </c>
      <c r="F628" s="9" t="s">
        <v>2877</v>
      </c>
      <c r="G628" s="20">
        <v>7206</v>
      </c>
      <c r="H628" s="20">
        <v>42939</v>
      </c>
      <c r="I628" s="21">
        <v>35.732999999999997</v>
      </c>
      <c r="J628" s="8">
        <v>4</v>
      </c>
      <c r="K628" s="8" t="s">
        <v>237</v>
      </c>
      <c r="L628" s="18">
        <v>42149</v>
      </c>
      <c r="M628" s="37" t="s">
        <v>191</v>
      </c>
      <c r="N628" s="38">
        <v>22.824999999999999</v>
      </c>
      <c r="O628" s="38">
        <v>6.875</v>
      </c>
      <c r="P628" s="38">
        <v>3.9750000000000001</v>
      </c>
      <c r="Q628" s="38">
        <v>2.15</v>
      </c>
      <c r="R628" s="38">
        <v>2.5170599999999999</v>
      </c>
      <c r="S628" s="38">
        <f t="shared" si="78"/>
        <v>2.5</v>
      </c>
      <c r="T628" s="38">
        <v>33.15</v>
      </c>
      <c r="U628" s="38">
        <v>1.7</v>
      </c>
      <c r="V628" s="38">
        <v>0.57499999999999996</v>
      </c>
      <c r="W628" s="38">
        <v>0.4</v>
      </c>
      <c r="X628" s="38">
        <v>4.6136600000000003</v>
      </c>
      <c r="Y628" s="38">
        <f t="shared" si="79"/>
        <v>4.5</v>
      </c>
      <c r="Z628" s="38">
        <v>0</v>
      </c>
      <c r="AA628" s="38">
        <v>0</v>
      </c>
      <c r="AB628" s="38">
        <v>35.824999999999996</v>
      </c>
      <c r="AC628" s="38">
        <v>1.47085</v>
      </c>
      <c r="AD628" s="39">
        <v>526.91999999999996</v>
      </c>
      <c r="AE628" s="38">
        <v>23.1</v>
      </c>
      <c r="AF628" s="38">
        <v>0.43055039159480429</v>
      </c>
      <c r="AG628" s="38">
        <f t="shared" si="80"/>
        <v>0.4</v>
      </c>
      <c r="AH628" s="38">
        <v>0</v>
      </c>
      <c r="AI628" s="38">
        <v>0</v>
      </c>
      <c r="AJ628" s="38">
        <v>0</v>
      </c>
      <c r="AK628" s="38">
        <v>0</v>
      </c>
      <c r="AL628" s="38">
        <v>0</v>
      </c>
      <c r="AM628" s="38">
        <f>AL628/(3.5*I628*1000)*100</f>
        <v>0</v>
      </c>
      <c r="AN628" s="12"/>
      <c r="AO628" s="12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</row>
    <row r="629" spans="1:88" s="22" customFormat="1">
      <c r="A629" s="1">
        <v>35</v>
      </c>
      <c r="B629" s="4" t="s">
        <v>21</v>
      </c>
      <c r="C629" s="14">
        <v>522</v>
      </c>
      <c r="D629" s="19">
        <v>1189</v>
      </c>
      <c r="E629" s="16">
        <v>100</v>
      </c>
      <c r="F629" s="16" t="s">
        <v>30</v>
      </c>
      <c r="G629" s="20" t="s">
        <v>92</v>
      </c>
      <c r="H629" s="20" t="s">
        <v>144</v>
      </c>
      <c r="I629" s="21">
        <v>5.0410000000000004</v>
      </c>
      <c r="J629" s="8">
        <v>2</v>
      </c>
      <c r="K629" s="9" t="s">
        <v>238</v>
      </c>
      <c r="L629" s="24">
        <v>42234</v>
      </c>
      <c r="M629" s="37" t="s">
        <v>191</v>
      </c>
      <c r="N629" s="11">
        <v>1.675</v>
      </c>
      <c r="O629" s="11">
        <v>1.875</v>
      </c>
      <c r="P629" s="11">
        <v>0.8</v>
      </c>
      <c r="Q629" s="11">
        <v>0.625</v>
      </c>
      <c r="R629" s="11">
        <v>3.2647699999999999</v>
      </c>
      <c r="S629" s="38">
        <f t="shared" si="78"/>
        <v>3.5</v>
      </c>
      <c r="T629" s="11">
        <v>4.875</v>
      </c>
      <c r="U629" s="11">
        <v>0.1</v>
      </c>
      <c r="V629" s="11">
        <v>0</v>
      </c>
      <c r="W629" s="11">
        <v>0</v>
      </c>
      <c r="X629" s="11">
        <v>3.1454499999999999</v>
      </c>
      <c r="Y629" s="38">
        <f t="shared" si="79"/>
        <v>3</v>
      </c>
      <c r="Z629" s="11">
        <v>0</v>
      </c>
      <c r="AA629" s="11">
        <v>0</v>
      </c>
      <c r="AB629" s="11">
        <f>SUM(N629:Q629)</f>
        <v>4.9749999999999996</v>
      </c>
      <c r="AC629" s="11">
        <v>1.01955</v>
      </c>
      <c r="AD629" s="164">
        <v>75.63</v>
      </c>
      <c r="AE629" s="11">
        <v>0</v>
      </c>
      <c r="AF629" s="11">
        <f>(AD629+AE629*0.5)/(3.5*I629*1000)*100</f>
        <v>0.4286564457165527</v>
      </c>
      <c r="AG629" s="38">
        <f t="shared" si="80"/>
        <v>0.4</v>
      </c>
      <c r="AH629" s="11">
        <v>32.5</v>
      </c>
      <c r="AI629" s="11">
        <f>AH629/(3.5*I629*1000)*100</f>
        <v>0.18420381443591119</v>
      </c>
      <c r="AJ629" s="11">
        <v>0</v>
      </c>
      <c r="AK629" s="11">
        <f>AJ629/(3.5*I629*1000)*100</f>
        <v>0</v>
      </c>
      <c r="AL629" s="11">
        <v>0</v>
      </c>
      <c r="AM629" s="11">
        <f>AL629/(3.5*I629*1000)*100</f>
        <v>0</v>
      </c>
      <c r="AO629" s="25"/>
      <c r="AP629" s="25"/>
    </row>
    <row r="630" spans="1:88" s="22" customFormat="1">
      <c r="A630" s="1">
        <v>1944</v>
      </c>
      <c r="B630" s="34" t="s">
        <v>2586</v>
      </c>
      <c r="C630" s="34">
        <v>321</v>
      </c>
      <c r="D630" s="75">
        <v>403</v>
      </c>
      <c r="E630" s="8">
        <v>100</v>
      </c>
      <c r="F630" s="34" t="s">
        <v>2589</v>
      </c>
      <c r="G630" s="58">
        <v>14276</v>
      </c>
      <c r="H630" s="58">
        <v>250</v>
      </c>
      <c r="I630" s="21">
        <v>14.026</v>
      </c>
      <c r="J630" s="8">
        <v>4</v>
      </c>
      <c r="K630" s="8" t="s">
        <v>96</v>
      </c>
      <c r="L630" s="18">
        <v>42124</v>
      </c>
      <c r="M630" s="37" t="s">
        <v>191</v>
      </c>
      <c r="N630" s="38">
        <v>9.15</v>
      </c>
      <c r="O630" s="38">
        <v>1.85</v>
      </c>
      <c r="P630" s="38">
        <v>1.625</v>
      </c>
      <c r="Q630" s="38">
        <v>1.4</v>
      </c>
      <c r="R630" s="38">
        <v>2.5811799999999998</v>
      </c>
      <c r="S630" s="38">
        <f t="shared" si="78"/>
        <v>2.5</v>
      </c>
      <c r="T630" s="38">
        <v>10.475</v>
      </c>
      <c r="U630" s="38">
        <v>2</v>
      </c>
      <c r="V630" s="38">
        <v>0.92500000000000004</v>
      </c>
      <c r="W630" s="38">
        <v>0.625</v>
      </c>
      <c r="X630" s="38">
        <v>7.3011799999999996</v>
      </c>
      <c r="Y630" s="38">
        <f t="shared" si="79"/>
        <v>7.5</v>
      </c>
      <c r="Z630" s="38">
        <v>0</v>
      </c>
      <c r="AA630" s="38">
        <v>0</v>
      </c>
      <c r="AB630" s="38">
        <v>14.025</v>
      </c>
      <c r="AC630" s="38">
        <v>1.1765300000000001</v>
      </c>
      <c r="AD630" s="39">
        <v>197.93</v>
      </c>
      <c r="AE630" s="38">
        <v>21.75</v>
      </c>
      <c r="AF630" s="38">
        <v>0.42534273084679469</v>
      </c>
      <c r="AG630" s="38">
        <f t="shared" si="80"/>
        <v>0.4</v>
      </c>
      <c r="AH630" s="38">
        <v>339.17</v>
      </c>
      <c r="AI630" s="38">
        <f>AH630/(3.5*I630*1000)*100</f>
        <v>0.69090057240634739</v>
      </c>
      <c r="AJ630" s="38">
        <v>441.9</v>
      </c>
      <c r="AK630" s="38">
        <v>0.90016499969444497</v>
      </c>
      <c r="AL630" s="38">
        <v>0</v>
      </c>
      <c r="AM630" s="38">
        <f>AL630/(3.5*I630*1000)*100</f>
        <v>0</v>
      </c>
      <c r="AN630" s="73"/>
      <c r="AO630" s="72"/>
      <c r="AP630" s="41"/>
      <c r="AQ630" s="41"/>
      <c r="AR630" s="73"/>
      <c r="AS630" s="73"/>
      <c r="AT630" s="73"/>
      <c r="AU630" s="73"/>
      <c r="AV630" s="73"/>
      <c r="AW630" s="73"/>
      <c r="AX630" s="73"/>
      <c r="AY630" s="73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</row>
    <row r="631" spans="1:88" s="22" customFormat="1">
      <c r="A631" s="1">
        <v>1286</v>
      </c>
      <c r="B631" s="74" t="s">
        <v>1820</v>
      </c>
      <c r="C631" s="34">
        <v>441</v>
      </c>
      <c r="D631" s="75">
        <v>3318</v>
      </c>
      <c r="E631" s="69">
        <v>100</v>
      </c>
      <c r="F631" s="34" t="s">
        <v>1831</v>
      </c>
      <c r="G631" s="58">
        <v>2000</v>
      </c>
      <c r="H631" s="58">
        <v>16000</v>
      </c>
      <c r="I631" s="55">
        <v>14</v>
      </c>
      <c r="J631" s="34">
        <v>2</v>
      </c>
      <c r="K631" s="34" t="s">
        <v>238</v>
      </c>
      <c r="L631" s="10">
        <v>42187</v>
      </c>
      <c r="M631" s="37" t="s">
        <v>191</v>
      </c>
      <c r="N631" s="38">
        <v>9.9250000000000007</v>
      </c>
      <c r="O631" s="38">
        <v>2.8</v>
      </c>
      <c r="P631" s="38">
        <v>1.175</v>
      </c>
      <c r="Q631" s="38">
        <v>0.32500000000000001</v>
      </c>
      <c r="R631" s="38">
        <v>2.2596500000000002</v>
      </c>
      <c r="S631" s="38">
        <f t="shared" si="78"/>
        <v>2.5</v>
      </c>
      <c r="T631" s="38">
        <v>13.85</v>
      </c>
      <c r="U631" s="38">
        <v>0.27500000000000002</v>
      </c>
      <c r="V631" s="38">
        <v>7.4999999999999997E-2</v>
      </c>
      <c r="W631" s="38">
        <v>2.5000000000000001E-2</v>
      </c>
      <c r="X631" s="38">
        <v>3.1927300000000001</v>
      </c>
      <c r="Y631" s="38">
        <f t="shared" si="79"/>
        <v>3</v>
      </c>
      <c r="Z631" s="38">
        <v>0</v>
      </c>
      <c r="AA631" s="38">
        <v>0</v>
      </c>
      <c r="AB631" s="38">
        <v>14.225000000000001</v>
      </c>
      <c r="AC631" s="38">
        <v>1.0860300000000001</v>
      </c>
      <c r="AD631" s="39">
        <v>196.6</v>
      </c>
      <c r="AE631" s="38">
        <v>23.6</v>
      </c>
      <c r="AF631" s="38">
        <v>0.42530612244897997</v>
      </c>
      <c r="AG631" s="38">
        <f t="shared" si="80"/>
        <v>0.4</v>
      </c>
      <c r="AH631" s="38">
        <v>223.8</v>
      </c>
      <c r="AI631" s="38">
        <v>1.1136064143729469E-2</v>
      </c>
      <c r="AJ631" s="38">
        <v>0</v>
      </c>
      <c r="AK631" s="38">
        <v>0</v>
      </c>
      <c r="AL631" s="38">
        <v>0</v>
      </c>
      <c r="AM631" s="38">
        <v>0</v>
      </c>
      <c r="AN631" s="40"/>
      <c r="AO631" s="12"/>
    </row>
    <row r="632" spans="1:88" s="22" customFormat="1">
      <c r="A632" s="1">
        <v>136</v>
      </c>
      <c r="B632" s="4" t="s">
        <v>38</v>
      </c>
      <c r="C632" s="14">
        <v>528</v>
      </c>
      <c r="D632" s="19">
        <v>1361</v>
      </c>
      <c r="E632" s="16">
        <v>100</v>
      </c>
      <c r="F632" s="14" t="s">
        <v>43</v>
      </c>
      <c r="G632" s="20" t="s">
        <v>92</v>
      </c>
      <c r="H632" s="20" t="s">
        <v>187</v>
      </c>
      <c r="I632" s="21">
        <v>1.095</v>
      </c>
      <c r="J632" s="8">
        <v>2</v>
      </c>
      <c r="K632" s="33" t="s">
        <v>238</v>
      </c>
      <c r="L632" s="18">
        <v>42224</v>
      </c>
      <c r="M632" s="37" t="s">
        <v>191</v>
      </c>
      <c r="N632" s="11">
        <v>0.7</v>
      </c>
      <c r="O632" s="11">
        <v>0.125</v>
      </c>
      <c r="P632" s="11">
        <v>0.1</v>
      </c>
      <c r="Q632" s="11">
        <v>0.17499999999999999</v>
      </c>
      <c r="R632" s="11">
        <v>3.01227</v>
      </c>
      <c r="S632" s="38">
        <f t="shared" si="78"/>
        <v>3</v>
      </c>
      <c r="T632" s="11">
        <v>1.1000000000000001</v>
      </c>
      <c r="U632" s="11">
        <v>0</v>
      </c>
      <c r="V632" s="11">
        <v>0</v>
      </c>
      <c r="W632" s="11">
        <v>0</v>
      </c>
      <c r="X632" s="11">
        <v>2.4245199999999998</v>
      </c>
      <c r="Y632" s="38">
        <f t="shared" si="79"/>
        <v>2.5</v>
      </c>
      <c r="Z632" s="11">
        <v>0</v>
      </c>
      <c r="AA632" s="11">
        <v>0</v>
      </c>
      <c r="AB632" s="11">
        <v>1.0999999999999999</v>
      </c>
      <c r="AC632" s="11">
        <v>1.12927</v>
      </c>
      <c r="AD632" s="164">
        <v>16.2</v>
      </c>
      <c r="AE632" s="164">
        <v>0</v>
      </c>
      <c r="AF632" s="11">
        <f>(AD632+AE632*0.5)/(3.5*I632*1000)*100</f>
        <v>0.4227005870841487</v>
      </c>
      <c r="AG632" s="38">
        <f t="shared" si="80"/>
        <v>0.4</v>
      </c>
      <c r="AH632" s="164">
        <v>0</v>
      </c>
      <c r="AI632" s="11">
        <f>AH632/(3.5*I632*1000)*100</f>
        <v>0</v>
      </c>
      <c r="AJ632" s="164">
        <v>0</v>
      </c>
      <c r="AK632" s="11">
        <f>AJ632/(3.5*I632*1000)*100</f>
        <v>0</v>
      </c>
      <c r="AL632" s="164">
        <v>0</v>
      </c>
      <c r="AM632" s="11">
        <f>AL632/(3.5*I632*1000)*100</f>
        <v>0</v>
      </c>
    </row>
    <row r="633" spans="1:88" s="22" customFormat="1">
      <c r="A633" s="1">
        <v>1900</v>
      </c>
      <c r="B633" s="34" t="s">
        <v>2528</v>
      </c>
      <c r="C633" s="34">
        <v>336</v>
      </c>
      <c r="D633" s="75">
        <v>3297</v>
      </c>
      <c r="E633" s="8">
        <v>100</v>
      </c>
      <c r="F633" s="9" t="s">
        <v>2541</v>
      </c>
      <c r="G633" s="20" t="s">
        <v>2542</v>
      </c>
      <c r="H633" s="20" t="s">
        <v>92</v>
      </c>
      <c r="I633" s="21">
        <v>8.4220000000000006</v>
      </c>
      <c r="J633" s="8">
        <v>2</v>
      </c>
      <c r="K633" s="8" t="s">
        <v>12</v>
      </c>
      <c r="L633" s="18">
        <v>42089</v>
      </c>
      <c r="M633" s="247" t="s">
        <v>191</v>
      </c>
      <c r="N633" s="26">
        <v>6.04</v>
      </c>
      <c r="O633" s="26">
        <v>1.62</v>
      </c>
      <c r="P633" s="26">
        <v>0.57999999999999996</v>
      </c>
      <c r="Q633" s="26">
        <v>0.19</v>
      </c>
      <c r="R633" s="26">
        <v>2.2141700000000002</v>
      </c>
      <c r="S633" s="38">
        <f t="shared" si="78"/>
        <v>2</v>
      </c>
      <c r="T633" s="26">
        <v>7.13</v>
      </c>
      <c r="U633" s="26">
        <v>0.6</v>
      </c>
      <c r="V633" s="26">
        <v>0.44</v>
      </c>
      <c r="W633" s="26">
        <v>0.25</v>
      </c>
      <c r="X633" s="26">
        <v>5.9909800000000004</v>
      </c>
      <c r="Y633" s="38">
        <f t="shared" si="79"/>
        <v>6</v>
      </c>
      <c r="Z633" s="11">
        <v>0</v>
      </c>
      <c r="AA633" s="11">
        <v>0</v>
      </c>
      <c r="AB633" s="11">
        <v>8.42</v>
      </c>
      <c r="AC633" s="11">
        <v>1.1006199999999999</v>
      </c>
      <c r="AD633" s="164">
        <v>110.88</v>
      </c>
      <c r="AE633" s="11">
        <v>27.41</v>
      </c>
      <c r="AF633" s="38">
        <f>(AD633+AE633*0.5)/(3.5*I633*1000)*100</f>
        <v>0.42265155884248734</v>
      </c>
      <c r="AG633" s="38">
        <f t="shared" si="80"/>
        <v>0.4</v>
      </c>
      <c r="AH633" s="38">
        <v>49.073</v>
      </c>
      <c r="AI633" s="38">
        <f>AH633/(3.5*I633*1000)*100</f>
        <v>0.16647894968958848</v>
      </c>
      <c r="AJ633" s="38">
        <v>0</v>
      </c>
      <c r="AK633" s="38">
        <f>AJ633/(3.5*I633*1000)*100</f>
        <v>0</v>
      </c>
      <c r="AL633" s="46">
        <v>0</v>
      </c>
      <c r="AM633" s="38">
        <f>AL633/(3.5*I633*1000)*100</f>
        <v>0</v>
      </c>
      <c r="AN633" s="1"/>
      <c r="AO633" s="1"/>
      <c r="AQ633" s="41">
        <f>SUM(N633:Q633)</f>
        <v>8.43</v>
      </c>
      <c r="AR633" s="41">
        <f>SUM(T633:W633)</f>
        <v>8.42</v>
      </c>
      <c r="AS633" s="12">
        <f>SUM(Z633:AB633)</f>
        <v>8.42</v>
      </c>
      <c r="AT633" s="1"/>
      <c r="AU633" s="1">
        <f>I633/AQ633</f>
        <v>0.99905100830367743</v>
      </c>
      <c r="AV633" s="1">
        <f>I633/AR633</f>
        <v>1.0002375296912114</v>
      </c>
      <c r="AW633" s="1">
        <f>I633/AS633</f>
        <v>1.0002375296912114</v>
      </c>
    </row>
    <row r="634" spans="1:88">
      <c r="A634" s="1">
        <v>857</v>
      </c>
      <c r="B634" s="34" t="s">
        <v>1231</v>
      </c>
      <c r="C634" s="34">
        <v>615</v>
      </c>
      <c r="D634" s="34">
        <v>2288</v>
      </c>
      <c r="E634" s="34">
        <v>100</v>
      </c>
      <c r="F634" s="34" t="s">
        <v>1251</v>
      </c>
      <c r="G634" s="58">
        <v>0</v>
      </c>
      <c r="H634" s="58">
        <v>9798</v>
      </c>
      <c r="I634" s="35">
        <v>9.798</v>
      </c>
      <c r="J634" s="9">
        <v>2</v>
      </c>
      <c r="K634" s="34" t="s">
        <v>238</v>
      </c>
      <c r="L634" s="10">
        <v>42134</v>
      </c>
      <c r="M634" s="37" t="s">
        <v>191</v>
      </c>
      <c r="N634" s="38">
        <v>6.35</v>
      </c>
      <c r="O634" s="38">
        <v>2.7250000000000001</v>
      </c>
      <c r="P634" s="38">
        <v>0.375</v>
      </c>
      <c r="Q634" s="38">
        <v>0.32500000000000001</v>
      </c>
      <c r="R634" s="38">
        <v>2.45248</v>
      </c>
      <c r="S634" s="38">
        <f t="shared" si="78"/>
        <v>2.5</v>
      </c>
      <c r="T634" s="38">
        <v>9.5500000000000007</v>
      </c>
      <c r="U634" s="38">
        <v>0.15</v>
      </c>
      <c r="V634" s="38">
        <v>0.05</v>
      </c>
      <c r="W634" s="38">
        <v>2.5000000000000001E-2</v>
      </c>
      <c r="X634" s="38">
        <v>3.6051899999999999</v>
      </c>
      <c r="Y634" s="38">
        <f t="shared" si="79"/>
        <v>3.5</v>
      </c>
      <c r="Z634" s="38">
        <v>0</v>
      </c>
      <c r="AA634" s="38">
        <v>0</v>
      </c>
      <c r="AB634" s="38">
        <f>N634+O634+P634+Q634</f>
        <v>9.7749999999999986</v>
      </c>
      <c r="AC634" s="38">
        <v>1.7704599999999999</v>
      </c>
      <c r="AD634" s="39">
        <v>11.93</v>
      </c>
      <c r="AE634" s="38">
        <v>265.79000000000002</v>
      </c>
      <c r="AF634" s="38">
        <v>0.42231999999999997</v>
      </c>
      <c r="AG634" s="38">
        <f t="shared" si="80"/>
        <v>0.4</v>
      </c>
      <c r="AH634" s="38">
        <v>90.96</v>
      </c>
      <c r="AI634" s="38">
        <v>0.26523999999999998</v>
      </c>
      <c r="AJ634" s="38">
        <v>0</v>
      </c>
      <c r="AK634" s="38">
        <v>0</v>
      </c>
      <c r="AL634" s="38">
        <v>7.0000000000000007E-2</v>
      </c>
      <c r="AM634" s="38">
        <v>2.0000000000000001E-4</v>
      </c>
      <c r="AN634" s="25"/>
      <c r="AO634" s="25">
        <f>AE634*0.5</f>
        <v>132.89500000000001</v>
      </c>
      <c r="AP634" s="25">
        <f>(AD634+AH634+AJ634+AL634+AO634)*I634</f>
        <v>2310.9072900000001</v>
      </c>
      <c r="AQ634" s="25">
        <f>SUM(N634:Q634)</f>
        <v>9.7749999999999986</v>
      </c>
      <c r="AR634" s="25">
        <f>SUM(T634:W634)</f>
        <v>9.7750000000000021</v>
      </c>
      <c r="AS634" s="268">
        <v>9.798</v>
      </c>
      <c r="AT634" s="41"/>
      <c r="AU634" s="41"/>
      <c r="AV634" s="41"/>
      <c r="AW634" s="41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  <c r="CI634" s="22"/>
      <c r="CJ634" s="22"/>
    </row>
    <row r="635" spans="1:88" s="22" customFormat="1">
      <c r="A635" s="1">
        <v>673</v>
      </c>
      <c r="B635" s="34" t="s">
        <v>1062</v>
      </c>
      <c r="C635" s="34">
        <v>623</v>
      </c>
      <c r="D635" s="34">
        <v>2411</v>
      </c>
      <c r="E635" s="34">
        <v>100</v>
      </c>
      <c r="F635" s="9" t="s">
        <v>1082</v>
      </c>
      <c r="G635" s="20">
        <v>0</v>
      </c>
      <c r="H635" s="20">
        <v>6300</v>
      </c>
      <c r="I635" s="35">
        <v>6.3</v>
      </c>
      <c r="J635" s="34">
        <v>2</v>
      </c>
      <c r="K635" s="34" t="s">
        <v>238</v>
      </c>
      <c r="L635" s="10">
        <v>42136</v>
      </c>
      <c r="M635" s="37" t="s">
        <v>191</v>
      </c>
      <c r="N635" s="38">
        <v>3.19</v>
      </c>
      <c r="O635" s="38">
        <v>2.16</v>
      </c>
      <c r="P635" s="38">
        <v>0.65</v>
      </c>
      <c r="Q635" s="38">
        <v>0.3</v>
      </c>
      <c r="R635" s="38">
        <v>2.81454</v>
      </c>
      <c r="S635" s="38">
        <f t="shared" si="78"/>
        <v>3</v>
      </c>
      <c r="T635" s="38">
        <v>4.8499999999999996</v>
      </c>
      <c r="U635" s="38">
        <v>0.95</v>
      </c>
      <c r="V635" s="38">
        <v>0.33</v>
      </c>
      <c r="W635" s="38">
        <v>0.18</v>
      </c>
      <c r="X635" s="38">
        <v>7.5772500000000003</v>
      </c>
      <c r="Y635" s="38">
        <f t="shared" si="79"/>
        <v>7.5</v>
      </c>
      <c r="Z635" s="38">
        <v>0</v>
      </c>
      <c r="AA635" s="38">
        <v>0</v>
      </c>
      <c r="AB635" s="38">
        <v>6.31</v>
      </c>
      <c r="AC635" s="38">
        <v>1.1236999999999999</v>
      </c>
      <c r="AD635" s="39">
        <v>5.22</v>
      </c>
      <c r="AE635" s="38">
        <v>174.7</v>
      </c>
      <c r="AF635" s="38">
        <v>0.41982000000000003</v>
      </c>
      <c r="AG635" s="38">
        <f t="shared" si="80"/>
        <v>0.4</v>
      </c>
      <c r="AH635" s="38">
        <v>0</v>
      </c>
      <c r="AI635" s="38">
        <v>0</v>
      </c>
      <c r="AJ635" s="38">
        <v>40.06</v>
      </c>
      <c r="AK635" s="38">
        <v>0.18167800000000001</v>
      </c>
      <c r="AL635" s="38">
        <v>0</v>
      </c>
      <c r="AM635" s="38">
        <v>0</v>
      </c>
      <c r="AN635" s="25"/>
      <c r="AO635" s="1">
        <f>AE635*0.5</f>
        <v>87.35</v>
      </c>
      <c r="AP635" s="25">
        <f>(AD635+AH635+AJ635+AL635+AO635)*I635</f>
        <v>835.56899999999996</v>
      </c>
      <c r="AQ635" s="25">
        <f>SUM(N635:Q635)</f>
        <v>6.3</v>
      </c>
      <c r="AR635" s="25">
        <f>SUM(T635:W635)</f>
        <v>6.31</v>
      </c>
      <c r="AT635" s="41"/>
      <c r="AU635" s="41">
        <f>SUM(N635:Q635)</f>
        <v>6.3</v>
      </c>
      <c r="AV635" s="41">
        <f>SUM(T635:W635)</f>
        <v>6.31</v>
      </c>
      <c r="AW635" s="41">
        <f>SUM(Z635:AB635)</f>
        <v>6.31</v>
      </c>
      <c r="AY635" s="22">
        <f>I635/AU635</f>
        <v>1</v>
      </c>
      <c r="AZ635" s="22">
        <f>I635/AV635</f>
        <v>0.99841521394611732</v>
      </c>
      <c r="BA635" s="22">
        <f>I635/AW635</f>
        <v>0.99841521394611732</v>
      </c>
    </row>
    <row r="636" spans="1:88" s="22" customFormat="1">
      <c r="A636" s="1">
        <v>1619</v>
      </c>
      <c r="B636" s="9" t="s">
        <v>2182</v>
      </c>
      <c r="C636" s="9">
        <v>417</v>
      </c>
      <c r="D636" s="8">
        <v>303</v>
      </c>
      <c r="E636" s="9">
        <v>100</v>
      </c>
      <c r="F636" s="9" t="s">
        <v>2187</v>
      </c>
      <c r="G636" s="20" t="s">
        <v>2188</v>
      </c>
      <c r="H636" s="20" t="s">
        <v>2189</v>
      </c>
      <c r="I636" s="35">
        <v>1.67</v>
      </c>
      <c r="J636" s="9">
        <v>8</v>
      </c>
      <c r="K636" s="9" t="s">
        <v>237</v>
      </c>
      <c r="L636" s="18">
        <v>42241</v>
      </c>
      <c r="M636" s="37" t="s">
        <v>191</v>
      </c>
      <c r="N636" s="11">
        <v>0.32500000000000001</v>
      </c>
      <c r="O636" s="11">
        <v>0.5</v>
      </c>
      <c r="P636" s="11">
        <v>0.25</v>
      </c>
      <c r="Q636" s="11">
        <v>0.625</v>
      </c>
      <c r="R636" s="11">
        <v>4.7888200000000003</v>
      </c>
      <c r="S636" s="38">
        <f t="shared" si="78"/>
        <v>5</v>
      </c>
      <c r="T636" s="11">
        <v>1.2</v>
      </c>
      <c r="U636" s="11">
        <v>0.42499999999999999</v>
      </c>
      <c r="V636" s="11">
        <v>7.4999999999999997E-2</v>
      </c>
      <c r="W636" s="11">
        <v>0</v>
      </c>
      <c r="X636" s="11">
        <v>8.4756300000000007</v>
      </c>
      <c r="Y636" s="38">
        <f t="shared" si="79"/>
        <v>8.5</v>
      </c>
      <c r="Z636" s="11">
        <v>0</v>
      </c>
      <c r="AA636" s="11">
        <v>0</v>
      </c>
      <c r="AB636" s="11">
        <f>SUM(N636:Q636)</f>
        <v>1.7</v>
      </c>
      <c r="AC636" s="11">
        <v>1.0065299999999999</v>
      </c>
      <c r="AD636" s="164">
        <v>24.36</v>
      </c>
      <c r="AE636" s="11">
        <v>0</v>
      </c>
      <c r="AF636" s="11">
        <f>(AD636+AE636*0.5)/(3.5*I636*1000)*100</f>
        <v>0.41676646706586828</v>
      </c>
      <c r="AG636" s="38">
        <f t="shared" si="80"/>
        <v>0.4</v>
      </c>
      <c r="AH636" s="11">
        <v>0</v>
      </c>
      <c r="AI636" s="11">
        <f>AH636/(3.5*I636*1000)*100</f>
        <v>0</v>
      </c>
      <c r="AJ636" s="11">
        <v>0</v>
      </c>
      <c r="AK636" s="38">
        <f>AJ636/(3.5*I636*1000)*100</f>
        <v>0</v>
      </c>
      <c r="AL636" s="11">
        <v>0</v>
      </c>
      <c r="AM636" s="38">
        <f>AL636/(3.5*I636*1000)*100</f>
        <v>0</v>
      </c>
      <c r="AN636" s="25">
        <f>IF(G636=G637,1,0)</f>
        <v>0</v>
      </c>
      <c r="AO636" s="25">
        <f>AE636*0.5</f>
        <v>0</v>
      </c>
      <c r="AP636" s="25">
        <f>(AD636+AH636+AJ636+AL636+AO636)*I636</f>
        <v>40.681199999999997</v>
      </c>
      <c r="AQ636" s="25">
        <f>(AD636+AH636+AJ636+AL636)*I636</f>
        <v>40.681199999999997</v>
      </c>
      <c r="AR636" s="25">
        <f>SUM(N636:Q636)</f>
        <v>1.7</v>
      </c>
      <c r="AS636" s="25">
        <f>SUM(T636:W636)</f>
        <v>1.7</v>
      </c>
      <c r="AU636" s="41"/>
      <c r="AV636" s="275">
        <v>1.67</v>
      </c>
      <c r="AW636" s="41"/>
      <c r="AX636" s="41"/>
    </row>
    <row r="637" spans="1:88" s="22" customFormat="1">
      <c r="A637" s="1">
        <v>1266</v>
      </c>
      <c r="B637" s="34" t="s">
        <v>1775</v>
      </c>
      <c r="C637" s="88">
        <v>438</v>
      </c>
      <c r="D637" s="88">
        <v>3212</v>
      </c>
      <c r="E637" s="88">
        <v>200</v>
      </c>
      <c r="F637" s="88" t="s">
        <v>1800</v>
      </c>
      <c r="G637" s="88" t="s">
        <v>1801</v>
      </c>
      <c r="H637" s="88" t="s">
        <v>1802</v>
      </c>
      <c r="I637" s="115">
        <v>5.2089999999999996</v>
      </c>
      <c r="J637" s="88">
        <v>2</v>
      </c>
      <c r="K637" s="181" t="s">
        <v>238</v>
      </c>
      <c r="L637" s="116">
        <v>42282</v>
      </c>
      <c r="M637" s="37" t="s">
        <v>191</v>
      </c>
      <c r="N637" s="117">
        <v>3.75</v>
      </c>
      <c r="O637" s="117">
        <v>1.425</v>
      </c>
      <c r="P637" s="117">
        <v>0.125</v>
      </c>
      <c r="Q637" s="117">
        <v>0</v>
      </c>
      <c r="R637" s="117">
        <v>2.23651</v>
      </c>
      <c r="S637" s="38">
        <f t="shared" si="78"/>
        <v>2</v>
      </c>
      <c r="T637" s="117">
        <v>4.9249999999999998</v>
      </c>
      <c r="U637" s="117">
        <v>0.15</v>
      </c>
      <c r="V637" s="117">
        <v>0.2</v>
      </c>
      <c r="W637" s="117">
        <v>2.5000000000000001E-2</v>
      </c>
      <c r="X637" s="117">
        <v>4.1627299999999998</v>
      </c>
      <c r="Y637" s="38">
        <f t="shared" si="79"/>
        <v>4</v>
      </c>
      <c r="Z637" s="117">
        <v>0</v>
      </c>
      <c r="AA637" s="117">
        <v>0</v>
      </c>
      <c r="AB637" s="115">
        <v>5.2089999999999996</v>
      </c>
      <c r="AC637" s="117">
        <v>1.1645799999999999</v>
      </c>
      <c r="AD637" s="254">
        <v>67.998000000000005</v>
      </c>
      <c r="AE637" s="117">
        <v>15.2</v>
      </c>
      <c r="AF637" s="117">
        <f>(AD637+AE637*0.5)/(3.5*I637*1000)*100</f>
        <v>0.41465595260949462</v>
      </c>
      <c r="AG637" s="38">
        <f t="shared" si="80"/>
        <v>0.4</v>
      </c>
      <c r="AH637" s="117">
        <v>18.225000000000001</v>
      </c>
      <c r="AI637" s="117">
        <f>AH637/(3.5*I637*1000)*100</f>
        <v>9.9964347420673047E-2</v>
      </c>
      <c r="AJ637" s="117">
        <v>0</v>
      </c>
      <c r="AK637" s="117">
        <v>0</v>
      </c>
      <c r="AL637" s="117">
        <v>1.8</v>
      </c>
      <c r="AM637" s="117">
        <v>9.8729999999999998E-3</v>
      </c>
      <c r="AN637" s="12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</row>
    <row r="638" spans="1:88" s="22" customFormat="1">
      <c r="A638" s="1">
        <v>2224</v>
      </c>
      <c r="B638" s="34" t="s">
        <v>2853</v>
      </c>
      <c r="C638" s="34">
        <v>318</v>
      </c>
      <c r="D638" s="75">
        <v>4137</v>
      </c>
      <c r="E638" s="8">
        <v>100</v>
      </c>
      <c r="F638" s="9" t="s">
        <v>2870</v>
      </c>
      <c r="G638" s="20" t="s">
        <v>92</v>
      </c>
      <c r="H638" s="20" t="s">
        <v>2871</v>
      </c>
      <c r="I638" s="21">
        <v>18.7</v>
      </c>
      <c r="J638" s="8">
        <v>2</v>
      </c>
      <c r="K638" s="8" t="s">
        <v>238</v>
      </c>
      <c r="L638" s="18">
        <v>42144</v>
      </c>
      <c r="M638" s="37" t="s">
        <v>191</v>
      </c>
      <c r="N638" s="38">
        <v>10.9</v>
      </c>
      <c r="O638" s="38">
        <v>4.4000000000000004</v>
      </c>
      <c r="P638" s="38">
        <v>2.2250000000000001</v>
      </c>
      <c r="Q638" s="38">
        <v>1.1499999999999999</v>
      </c>
      <c r="R638" s="38">
        <v>2.6566800000000002</v>
      </c>
      <c r="S638" s="38">
        <f t="shared" si="78"/>
        <v>2.5</v>
      </c>
      <c r="T638" s="38">
        <v>17.125</v>
      </c>
      <c r="U638" s="38">
        <v>1.1000000000000001</v>
      </c>
      <c r="V638" s="38">
        <v>0.35</v>
      </c>
      <c r="W638" s="38">
        <v>0.1</v>
      </c>
      <c r="X638" s="38">
        <v>4.7457900000000004</v>
      </c>
      <c r="Y638" s="38">
        <f t="shared" si="79"/>
        <v>4.5</v>
      </c>
      <c r="Z638" s="38">
        <v>0</v>
      </c>
      <c r="AA638" s="38">
        <v>0</v>
      </c>
      <c r="AB638" s="38">
        <v>18.675000000000001</v>
      </c>
      <c r="AC638" s="38">
        <v>1.1893199999999999</v>
      </c>
      <c r="AD638" s="39">
        <v>170.76</v>
      </c>
      <c r="AE638" s="38">
        <v>0</v>
      </c>
      <c r="AF638" s="38">
        <v>0.41236371618819967</v>
      </c>
      <c r="AG638" s="38">
        <f t="shared" si="80"/>
        <v>0.4</v>
      </c>
      <c r="AH638" s="38">
        <v>0</v>
      </c>
      <c r="AI638" s="38">
        <v>0</v>
      </c>
      <c r="AJ638" s="38">
        <v>0</v>
      </c>
      <c r="AK638" s="38">
        <v>0</v>
      </c>
      <c r="AL638" s="38">
        <v>0</v>
      </c>
      <c r="AM638" s="38">
        <f>AL638/(3.5*I638*1000)*100</f>
        <v>0</v>
      </c>
      <c r="AO638" s="25"/>
      <c r="AP638" s="25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</row>
    <row r="639" spans="1:88" s="22" customFormat="1">
      <c r="A639" s="1">
        <v>2225</v>
      </c>
      <c r="B639" s="34" t="s">
        <v>2853</v>
      </c>
      <c r="C639" s="34">
        <v>318</v>
      </c>
      <c r="D639" s="75">
        <v>4137</v>
      </c>
      <c r="E639" s="8">
        <v>100</v>
      </c>
      <c r="F639" s="9" t="s">
        <v>2870</v>
      </c>
      <c r="G639" s="20" t="s">
        <v>499</v>
      </c>
      <c r="H639" s="20" t="s">
        <v>2872</v>
      </c>
      <c r="I639" s="21">
        <v>2.9279999999999999</v>
      </c>
      <c r="J639" s="8">
        <v>2</v>
      </c>
      <c r="K639" s="8" t="s">
        <v>238</v>
      </c>
      <c r="L639" s="18">
        <v>42145</v>
      </c>
      <c r="M639" s="37" t="s">
        <v>191</v>
      </c>
      <c r="N639" s="38">
        <v>1.25</v>
      </c>
      <c r="O639" s="38">
        <v>0.32500000000000001</v>
      </c>
      <c r="P639" s="38">
        <v>0.1</v>
      </c>
      <c r="Q639" s="38">
        <v>0.1</v>
      </c>
      <c r="R639" s="38">
        <v>2.3997199999999999</v>
      </c>
      <c r="S639" s="38">
        <f t="shared" si="78"/>
        <v>2.5</v>
      </c>
      <c r="T639" s="38">
        <v>0.9</v>
      </c>
      <c r="U639" s="38">
        <v>0.7</v>
      </c>
      <c r="V639" s="38">
        <v>0.17499999999999999</v>
      </c>
      <c r="W639" s="38">
        <v>0</v>
      </c>
      <c r="X639" s="38">
        <v>9.9932300000000005</v>
      </c>
      <c r="Y639" s="38">
        <f t="shared" si="79"/>
        <v>10</v>
      </c>
      <c r="Z639" s="38">
        <v>0</v>
      </c>
      <c r="AA639" s="38">
        <v>0</v>
      </c>
      <c r="AB639" s="38">
        <v>1.7750000000000001</v>
      </c>
      <c r="AC639" s="38">
        <v>1.1758999999999999</v>
      </c>
      <c r="AD639" s="39">
        <v>167.37</v>
      </c>
      <c r="AE639" s="38">
        <v>0</v>
      </c>
      <c r="AF639" s="38">
        <v>0.41236371618819967</v>
      </c>
      <c r="AG639" s="38">
        <f t="shared" si="80"/>
        <v>0.4</v>
      </c>
      <c r="AH639" s="38">
        <v>0</v>
      </c>
      <c r="AI639" s="38">
        <v>0</v>
      </c>
      <c r="AJ639" s="38">
        <v>0</v>
      </c>
      <c r="AK639" s="38">
        <v>0</v>
      </c>
      <c r="AL639" s="38">
        <v>0</v>
      </c>
      <c r="AM639" s="38">
        <f>AL639/(3.5*I639*1000)*100</f>
        <v>0</v>
      </c>
      <c r="AO639" s="25"/>
      <c r="AP639" s="25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</row>
    <row r="640" spans="1:88" s="22" customFormat="1">
      <c r="A640" s="1">
        <v>410</v>
      </c>
      <c r="B640" s="74" t="s">
        <v>655</v>
      </c>
      <c r="C640" s="34">
        <v>511</v>
      </c>
      <c r="D640" s="75">
        <v>1281</v>
      </c>
      <c r="E640" s="69">
        <v>100</v>
      </c>
      <c r="F640" s="34" t="s">
        <v>687</v>
      </c>
      <c r="G640" s="20" t="s">
        <v>92</v>
      </c>
      <c r="H640" s="20" t="s">
        <v>688</v>
      </c>
      <c r="I640" s="21">
        <v>15.042999999999999</v>
      </c>
      <c r="J640" s="8" t="s">
        <v>238</v>
      </c>
      <c r="K640" s="34">
        <v>2</v>
      </c>
      <c r="L640" s="18">
        <v>42267</v>
      </c>
      <c r="M640" s="37" t="s">
        <v>191</v>
      </c>
      <c r="N640" s="38">
        <v>11.19</v>
      </c>
      <c r="O640" s="38">
        <v>2.78</v>
      </c>
      <c r="P640" s="38">
        <v>0.98</v>
      </c>
      <c r="Q640" s="38">
        <v>0.1</v>
      </c>
      <c r="R640" s="38">
        <v>2.1255700000000002</v>
      </c>
      <c r="S640" s="38">
        <f t="shared" si="78"/>
        <v>2</v>
      </c>
      <c r="T640" s="38">
        <v>14.44</v>
      </c>
      <c r="U640" s="38">
        <v>0.53</v>
      </c>
      <c r="V640" s="38">
        <v>0.08</v>
      </c>
      <c r="W640" s="38">
        <v>0</v>
      </c>
      <c r="X640" s="38">
        <v>3.8845900000000002</v>
      </c>
      <c r="Y640" s="38">
        <f t="shared" si="79"/>
        <v>4</v>
      </c>
      <c r="Z640" s="38">
        <v>0</v>
      </c>
      <c r="AA640" s="38">
        <v>0</v>
      </c>
      <c r="AB640" s="38">
        <v>15.04</v>
      </c>
      <c r="AC640" s="38">
        <v>1.1581699999999999</v>
      </c>
      <c r="AD640" s="39">
        <v>185.49</v>
      </c>
      <c r="AE640" s="38">
        <v>63.158999999999999</v>
      </c>
      <c r="AF640" s="38">
        <v>0.41228399999999998</v>
      </c>
      <c r="AG640" s="38">
        <f t="shared" si="80"/>
        <v>0.4</v>
      </c>
      <c r="AH640" s="38">
        <v>98.57</v>
      </c>
      <c r="AI640" s="38">
        <v>0.18721599999999999</v>
      </c>
      <c r="AJ640" s="38">
        <v>0.59</v>
      </c>
      <c r="AK640" s="38">
        <v>1.121E-3</v>
      </c>
      <c r="AL640" s="38">
        <v>0</v>
      </c>
      <c r="AM640" s="38">
        <v>0</v>
      </c>
      <c r="AN640" s="72"/>
      <c r="AO640" s="41"/>
      <c r="AP640" s="41"/>
      <c r="AQ640" s="41">
        <f>SUM(N640:Q640)</f>
        <v>15.049999999999999</v>
      </c>
      <c r="AR640" s="41">
        <f>SUM(T640:W640)</f>
        <v>15.049999999999999</v>
      </c>
      <c r="AS640" s="41">
        <f>SUM(Z640:AB640)</f>
        <v>15.04</v>
      </c>
      <c r="AU640" s="22">
        <f>I640/AQ640</f>
        <v>0.99953488372093025</v>
      </c>
      <c r="AV640" s="22">
        <f>I640/AR640</f>
        <v>0.99953488372093025</v>
      </c>
      <c r="AW640" s="22">
        <f>I640/AS640</f>
        <v>1.0001994680851063</v>
      </c>
    </row>
    <row r="641" spans="1:88" s="22" customFormat="1">
      <c r="A641" s="1">
        <v>829</v>
      </c>
      <c r="B641" s="34" t="s">
        <v>1204</v>
      </c>
      <c r="C641" s="34">
        <v>647</v>
      </c>
      <c r="D641" s="8">
        <v>2336</v>
      </c>
      <c r="E641" s="34">
        <v>100</v>
      </c>
      <c r="F641" s="34" t="s">
        <v>1221</v>
      </c>
      <c r="G641" s="58">
        <v>0</v>
      </c>
      <c r="H641" s="58">
        <v>44919</v>
      </c>
      <c r="I641" s="35">
        <v>44.918999999999997</v>
      </c>
      <c r="J641" s="9">
        <v>2</v>
      </c>
      <c r="K641" s="34" t="s">
        <v>238</v>
      </c>
      <c r="L641" s="10">
        <v>42154</v>
      </c>
      <c r="M641" s="37" t="s">
        <v>191</v>
      </c>
      <c r="N641" s="38">
        <v>31.125</v>
      </c>
      <c r="O641" s="38">
        <v>8.8249999999999993</v>
      </c>
      <c r="P641" s="38">
        <v>3.125</v>
      </c>
      <c r="Q641" s="38">
        <v>1.4</v>
      </c>
      <c r="R641" s="38">
        <v>2.2749000000000001</v>
      </c>
      <c r="S641" s="38">
        <f t="shared" si="78"/>
        <v>2.5</v>
      </c>
      <c r="T641" s="38">
        <v>41.375</v>
      </c>
      <c r="U641" s="38">
        <v>2.5249999999999999</v>
      </c>
      <c r="V641" s="38">
        <v>0.32500000000000001</v>
      </c>
      <c r="W641" s="38">
        <v>0.25</v>
      </c>
      <c r="X641" s="11">
        <v>3.0255999999999998</v>
      </c>
      <c r="Y641" s="38">
        <f t="shared" si="79"/>
        <v>3</v>
      </c>
      <c r="Z641" s="38">
        <v>0</v>
      </c>
      <c r="AA641" s="38">
        <v>0</v>
      </c>
      <c r="AB641" s="38">
        <f>N641+O641+P641+Q641</f>
        <v>44.475000000000001</v>
      </c>
      <c r="AC641" s="11">
        <v>1.1200000000000001</v>
      </c>
      <c r="AD641" s="39">
        <v>415</v>
      </c>
      <c r="AE641" s="38">
        <v>466</v>
      </c>
      <c r="AF641" s="38">
        <f>(AD641+AE641*0.5)/(3.5*I641*1000)*100</f>
        <v>0.41217047828949255</v>
      </c>
      <c r="AG641" s="38">
        <f t="shared" si="80"/>
        <v>0.4</v>
      </c>
      <c r="AH641" s="38">
        <v>73</v>
      </c>
      <c r="AI641" s="38">
        <f>AH641/(3.5*I641*1000)*100</f>
        <v>4.6432785362859497E-2</v>
      </c>
      <c r="AJ641" s="38">
        <v>1342</v>
      </c>
      <c r="AK641" s="38">
        <v>0.85360000000000003</v>
      </c>
      <c r="AL641" s="38">
        <v>2</v>
      </c>
      <c r="AM641" s="38">
        <v>1.2700000000000001E-3</v>
      </c>
      <c r="AN641" s="25"/>
      <c r="AO641" s="25">
        <f>AE641*0.5</f>
        <v>233</v>
      </c>
      <c r="AP641" s="25">
        <f>(AD641+AH641+AJ641+AL641+AO641)*I641</f>
        <v>92757.735000000001</v>
      </c>
      <c r="AQ641" s="136">
        <f>SUM(N641:Q641)</f>
        <v>44.475000000000001</v>
      </c>
      <c r="AR641" s="136">
        <f>SUM(T641:W641)</f>
        <v>44.475000000000001</v>
      </c>
      <c r="AS641" s="268">
        <v>44.918999999999997</v>
      </c>
      <c r="AT641" s="41"/>
      <c r="AU641" s="41"/>
      <c r="AV641" s="41"/>
      <c r="AW641" s="41"/>
    </row>
    <row r="642" spans="1:88">
      <c r="A642" s="1">
        <v>1455</v>
      </c>
      <c r="B642" s="34" t="s">
        <v>1987</v>
      </c>
      <c r="C642" s="34">
        <v>448</v>
      </c>
      <c r="D642" s="75">
        <v>3195</v>
      </c>
      <c r="E642" s="69">
        <v>201</v>
      </c>
      <c r="F642" s="34" t="s">
        <v>2004</v>
      </c>
      <c r="G642" s="20">
        <v>25300</v>
      </c>
      <c r="H642" s="20">
        <v>8450</v>
      </c>
      <c r="I642" s="21">
        <v>16.850000000000001</v>
      </c>
      <c r="J642" s="8">
        <v>2</v>
      </c>
      <c r="K642" s="34" t="s">
        <v>96</v>
      </c>
      <c r="L642" s="10">
        <v>42183</v>
      </c>
      <c r="M642" s="37" t="s">
        <v>191</v>
      </c>
      <c r="N642" s="38">
        <v>8.9749999999999996</v>
      </c>
      <c r="O642" s="38">
        <v>5.5750000000000002</v>
      </c>
      <c r="P642" s="38">
        <v>1.925</v>
      </c>
      <c r="Q642" s="38">
        <v>0.35</v>
      </c>
      <c r="R642" s="38">
        <v>2.60568</v>
      </c>
      <c r="S642" s="38">
        <f t="shared" si="78"/>
        <v>2.5</v>
      </c>
      <c r="T642" s="38">
        <v>13.75</v>
      </c>
      <c r="U642" s="38">
        <v>2.2250000000000001</v>
      </c>
      <c r="V642" s="38">
        <v>0.75</v>
      </c>
      <c r="W642" s="38">
        <v>0.1</v>
      </c>
      <c r="X642" s="38">
        <v>6.8644299999999996</v>
      </c>
      <c r="Y642" s="38">
        <f t="shared" si="79"/>
        <v>7</v>
      </c>
      <c r="Z642" s="38">
        <v>0</v>
      </c>
      <c r="AA642" s="38">
        <v>0</v>
      </c>
      <c r="AB642" s="38">
        <v>16.825000000000003</v>
      </c>
      <c r="AC642" s="38">
        <v>0.96484199999999998</v>
      </c>
      <c r="AD642" s="39">
        <v>161</v>
      </c>
      <c r="AE642" s="38">
        <v>162</v>
      </c>
      <c r="AF642" s="38">
        <f>(AD642+AE642*0.5)/(3.5*I642*1000)*100</f>
        <v>0.41034336583298003</v>
      </c>
      <c r="AG642" s="38">
        <f t="shared" si="80"/>
        <v>0.4</v>
      </c>
      <c r="AH642" s="38">
        <v>149</v>
      </c>
      <c r="AI642" s="38">
        <f>AH642/(3.5*I642*1000)*100</f>
        <v>0.25264942772361165</v>
      </c>
      <c r="AJ642" s="38">
        <v>979</v>
      </c>
      <c r="AK642" s="38">
        <f>AJ642/(3.5*I642*1000)*100</f>
        <v>1.6600254345061465</v>
      </c>
      <c r="AL642" s="46">
        <v>0</v>
      </c>
      <c r="AM642" s="38">
        <f>AL642/(3.5*I642*1000)*100</f>
        <v>0</v>
      </c>
      <c r="AN642" s="72"/>
      <c r="AO642" s="41"/>
      <c r="AP642" s="41"/>
      <c r="AQ642" s="73"/>
      <c r="AR642" s="73"/>
      <c r="AS642" s="73"/>
      <c r="AT642" s="73"/>
      <c r="AU642" s="73"/>
      <c r="AV642" s="73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</row>
    <row r="643" spans="1:88" s="22" customFormat="1">
      <c r="A643" s="1">
        <v>479</v>
      </c>
      <c r="B643" s="88" t="s">
        <v>821</v>
      </c>
      <c r="C643" s="88">
        <v>519</v>
      </c>
      <c r="D643" s="88">
        <v>111</v>
      </c>
      <c r="E643" s="88">
        <v>100</v>
      </c>
      <c r="F643" s="88" t="s">
        <v>822</v>
      </c>
      <c r="G643" s="88" t="s">
        <v>823</v>
      </c>
      <c r="H643" s="88" t="s">
        <v>92</v>
      </c>
      <c r="I643" s="115">
        <v>12.574999999999999</v>
      </c>
      <c r="J643" s="88" t="s">
        <v>12</v>
      </c>
      <c r="K643" s="34">
        <v>2</v>
      </c>
      <c r="L643" s="116">
        <v>42275</v>
      </c>
      <c r="M643" s="37" t="s">
        <v>191</v>
      </c>
      <c r="N643" s="117">
        <v>4.33</v>
      </c>
      <c r="O643" s="117">
        <v>4.01</v>
      </c>
      <c r="P643" s="117">
        <v>2.92</v>
      </c>
      <c r="Q643" s="117">
        <v>1.31</v>
      </c>
      <c r="R643" s="117">
        <v>3.21658</v>
      </c>
      <c r="S643" s="38">
        <f t="shared" ref="S643:S706" si="85">ROUND(R643/5,1)*5</f>
        <v>3</v>
      </c>
      <c r="T643" s="117">
        <v>11.33</v>
      </c>
      <c r="U643" s="117">
        <v>0.9</v>
      </c>
      <c r="V643" s="117">
        <v>0.22</v>
      </c>
      <c r="W643" s="117">
        <v>0.12</v>
      </c>
      <c r="X643" s="117">
        <v>4.8945800000000004</v>
      </c>
      <c r="Y643" s="38">
        <f t="shared" ref="Y643:Y706" si="86">ROUND(X643/5,1)*5</f>
        <v>5</v>
      </c>
      <c r="Z643" s="117">
        <v>0</v>
      </c>
      <c r="AA643" s="254">
        <v>0</v>
      </c>
      <c r="AB643" s="117">
        <v>12.58</v>
      </c>
      <c r="AC643" s="117">
        <v>1.23247</v>
      </c>
      <c r="AD643" s="117">
        <v>46.24</v>
      </c>
      <c r="AE643" s="117">
        <v>8.68</v>
      </c>
      <c r="AF643" s="117">
        <v>0.407082</v>
      </c>
      <c r="AG643" s="38">
        <f t="shared" ref="AG643:AG706" si="87">ROUND(AF643,1)</f>
        <v>0.4</v>
      </c>
      <c r="AH643" s="117">
        <v>93.24</v>
      </c>
      <c r="AI643" s="117">
        <v>0.75042299999999995</v>
      </c>
      <c r="AJ643" s="117">
        <v>0</v>
      </c>
      <c r="AK643" s="117">
        <v>0</v>
      </c>
      <c r="AL643" s="117">
        <v>0</v>
      </c>
      <c r="AM643" s="117">
        <v>0</v>
      </c>
      <c r="AN643" s="41"/>
      <c r="AO643" s="41"/>
      <c r="AP643" s="41"/>
      <c r="AQ643" s="41">
        <f>SUM(N643:Q643)</f>
        <v>12.57</v>
      </c>
      <c r="AR643" s="41">
        <f>SUM(T643:W643)</f>
        <v>12.57</v>
      </c>
      <c r="AS643" s="41">
        <f>SUM(Z643:AB643)</f>
        <v>12.58</v>
      </c>
      <c r="AU643" s="22">
        <f>I643/AQ643</f>
        <v>1.0003977724741446</v>
      </c>
      <c r="AV643" s="22">
        <f>I643/AR643</f>
        <v>1.0003977724741446</v>
      </c>
      <c r="AW643" s="22">
        <f>I643/AS643</f>
        <v>0.99960254372019075</v>
      </c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</row>
    <row r="644" spans="1:88" s="22" customFormat="1">
      <c r="A644" s="1">
        <v>480</v>
      </c>
      <c r="B644" s="88" t="s">
        <v>821</v>
      </c>
      <c r="C644" s="88">
        <v>519</v>
      </c>
      <c r="D644" s="88">
        <v>113</v>
      </c>
      <c r="E644" s="88">
        <v>201</v>
      </c>
      <c r="F644" s="88" t="s">
        <v>824</v>
      </c>
      <c r="G644" s="88" t="s">
        <v>825</v>
      </c>
      <c r="H644" s="88" t="s">
        <v>826</v>
      </c>
      <c r="I644" s="115">
        <v>3.55</v>
      </c>
      <c r="J644" s="88" t="s">
        <v>238</v>
      </c>
      <c r="K644" s="34">
        <v>2</v>
      </c>
      <c r="L644" s="116">
        <v>42276</v>
      </c>
      <c r="M644" s="37" t="s">
        <v>191</v>
      </c>
      <c r="N644" s="117">
        <v>2.4300000000000002</v>
      </c>
      <c r="O644" s="117">
        <v>0.59</v>
      </c>
      <c r="P644" s="117">
        <v>0.39</v>
      </c>
      <c r="Q644" s="117">
        <v>0.14000000000000001</v>
      </c>
      <c r="R644" s="117">
        <v>2.5498099999999999</v>
      </c>
      <c r="S644" s="38">
        <f t="shared" si="85"/>
        <v>2.5</v>
      </c>
      <c r="T644" s="117">
        <v>3.37</v>
      </c>
      <c r="U644" s="117">
        <v>7.0000000000000007E-2</v>
      </c>
      <c r="V644" s="117">
        <v>0.09</v>
      </c>
      <c r="W644" s="117">
        <v>0.02</v>
      </c>
      <c r="X644" s="117">
        <v>3.6150199999999999</v>
      </c>
      <c r="Y644" s="38">
        <f t="shared" si="86"/>
        <v>3.5</v>
      </c>
      <c r="Z644" s="117">
        <v>0</v>
      </c>
      <c r="AA644" s="254">
        <v>0</v>
      </c>
      <c r="AB644" s="117">
        <v>3.55</v>
      </c>
      <c r="AC644" s="117">
        <v>1.1351100000000001</v>
      </c>
      <c r="AD644" s="117">
        <v>46.24</v>
      </c>
      <c r="AE644" s="117">
        <v>8.68</v>
      </c>
      <c r="AF644" s="117">
        <v>0.407082</v>
      </c>
      <c r="AG644" s="38">
        <f t="shared" si="87"/>
        <v>0.4</v>
      </c>
      <c r="AH644" s="117">
        <v>93.24</v>
      </c>
      <c r="AI644" s="117">
        <v>0.75042299999999995</v>
      </c>
      <c r="AJ644" s="117">
        <v>0</v>
      </c>
      <c r="AK644" s="117">
        <v>0</v>
      </c>
      <c r="AL644" s="117">
        <v>0</v>
      </c>
      <c r="AM644" s="117">
        <v>0</v>
      </c>
      <c r="AN644" s="41"/>
      <c r="AO644" s="41"/>
      <c r="AP644" s="41"/>
      <c r="AQ644" s="41">
        <f>SUM(N644:Q644)</f>
        <v>3.5500000000000003</v>
      </c>
      <c r="AR644" s="41">
        <f>SUM(T644:W644)</f>
        <v>3.55</v>
      </c>
      <c r="AS644" s="41">
        <f>SUM(Z644:AB644)</f>
        <v>3.55</v>
      </c>
      <c r="AU644" s="22">
        <f>I644/AQ644</f>
        <v>0.99999999999999989</v>
      </c>
      <c r="AV644" s="22">
        <f>I644/AR644</f>
        <v>1</v>
      </c>
      <c r="AW644" s="22">
        <f>I644/AS644</f>
        <v>1</v>
      </c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</row>
    <row r="645" spans="1:88" s="22" customFormat="1">
      <c r="A645" s="1">
        <v>28</v>
      </c>
      <c r="B645" s="4" t="s">
        <v>21</v>
      </c>
      <c r="C645" s="14">
        <v>522</v>
      </c>
      <c r="D645" s="19">
        <v>1001</v>
      </c>
      <c r="E645" s="16">
        <v>100</v>
      </c>
      <c r="F645" s="16" t="s">
        <v>25</v>
      </c>
      <c r="G645" s="20">
        <v>0</v>
      </c>
      <c r="H645" s="20">
        <v>34140</v>
      </c>
      <c r="I645" s="21">
        <v>34.14</v>
      </c>
      <c r="J645" s="8">
        <v>2</v>
      </c>
      <c r="K645" s="9" t="s">
        <v>238</v>
      </c>
      <c r="L645" s="24">
        <v>42235</v>
      </c>
      <c r="M645" s="37" t="s">
        <v>191</v>
      </c>
      <c r="N645" s="11">
        <v>23.375</v>
      </c>
      <c r="O645" s="11">
        <v>6.9249999999999998</v>
      </c>
      <c r="P645" s="11">
        <v>2.4249999999999998</v>
      </c>
      <c r="Q645" s="11">
        <v>1.4750000000000001</v>
      </c>
      <c r="R645" s="11">
        <v>2.4268399999999999</v>
      </c>
      <c r="S645" s="38">
        <f t="shared" si="85"/>
        <v>2.5</v>
      </c>
      <c r="T645" s="11">
        <v>33.424999999999997</v>
      </c>
      <c r="U645" s="11">
        <v>0.57499999999999996</v>
      </c>
      <c r="V645" s="11">
        <v>0.17499999999999999</v>
      </c>
      <c r="W645" s="11">
        <v>2.5000000000000001E-2</v>
      </c>
      <c r="X645" s="11">
        <v>2.9876100000000001</v>
      </c>
      <c r="Y645" s="38">
        <f t="shared" si="86"/>
        <v>3</v>
      </c>
      <c r="Z645" s="11">
        <v>0</v>
      </c>
      <c r="AA645" s="164">
        <v>0</v>
      </c>
      <c r="AB645" s="11">
        <f>SUM(N645:Q645)</f>
        <v>34.200000000000003</v>
      </c>
      <c r="AC645" s="11">
        <v>1.0712299999999999</v>
      </c>
      <c r="AD645" s="11">
        <v>275.92</v>
      </c>
      <c r="AE645" s="11">
        <v>419.91</v>
      </c>
      <c r="AF645" s="11">
        <f>(AD645+AE645*0.5)/(3.5*I645*1000)*100</f>
        <v>0.4066239852707339</v>
      </c>
      <c r="AG645" s="38">
        <f t="shared" si="87"/>
        <v>0.4</v>
      </c>
      <c r="AH645" s="11">
        <v>0</v>
      </c>
      <c r="AI645" s="11">
        <f>AH645/(3.5*I645*1000)*100</f>
        <v>0</v>
      </c>
      <c r="AJ645" s="11">
        <v>4</v>
      </c>
      <c r="AK645" s="11">
        <f>AJ645/(3.5*I645*1000)*100</f>
        <v>3.3475604653109042E-3</v>
      </c>
      <c r="AL645" s="11">
        <v>0</v>
      </c>
      <c r="AM645" s="11">
        <f>AL645/(3.5*I645*1000)*100</f>
        <v>0</v>
      </c>
      <c r="AO645" s="25"/>
      <c r="AP645" s="25"/>
    </row>
    <row r="646" spans="1:88" s="22" customFormat="1">
      <c r="A646" s="1">
        <v>1448</v>
      </c>
      <c r="B646" s="34" t="s">
        <v>1987</v>
      </c>
      <c r="C646" s="34">
        <v>448</v>
      </c>
      <c r="D646" s="75">
        <v>347</v>
      </c>
      <c r="E646" s="69">
        <v>300</v>
      </c>
      <c r="F646" s="34" t="s">
        <v>1998</v>
      </c>
      <c r="G646" s="20" t="s">
        <v>1999</v>
      </c>
      <c r="H646" s="20" t="s">
        <v>2000</v>
      </c>
      <c r="I646" s="21">
        <v>17.105</v>
      </c>
      <c r="J646" s="8">
        <v>2</v>
      </c>
      <c r="K646" s="34" t="s">
        <v>96</v>
      </c>
      <c r="L646" s="10">
        <v>42181</v>
      </c>
      <c r="M646" s="37" t="s">
        <v>191</v>
      </c>
      <c r="N646" s="38">
        <v>11.25</v>
      </c>
      <c r="O646" s="38">
        <v>3.8</v>
      </c>
      <c r="P646" s="38">
        <v>2.3250000000000002</v>
      </c>
      <c r="Q646" s="38">
        <v>1.3</v>
      </c>
      <c r="R646" s="38">
        <v>2.6736399999999998</v>
      </c>
      <c r="S646" s="38">
        <f t="shared" si="85"/>
        <v>2.5</v>
      </c>
      <c r="T646" s="38">
        <v>17.725000000000001</v>
      </c>
      <c r="U646" s="38">
        <v>0.55000000000000004</v>
      </c>
      <c r="V646" s="38">
        <v>0.27500000000000002</v>
      </c>
      <c r="W646" s="38">
        <v>0.125</v>
      </c>
      <c r="X646" s="38">
        <v>3.5123600000000001</v>
      </c>
      <c r="Y646" s="38">
        <f t="shared" si="86"/>
        <v>3.5</v>
      </c>
      <c r="Z646" s="38">
        <v>0</v>
      </c>
      <c r="AA646" s="39">
        <v>0</v>
      </c>
      <c r="AB646" s="38">
        <v>18.675000000000001</v>
      </c>
      <c r="AC646" s="38">
        <v>1.1303000000000001</v>
      </c>
      <c r="AD646" s="38">
        <v>231.24</v>
      </c>
      <c r="AE646" s="38">
        <v>21.57</v>
      </c>
      <c r="AF646" s="38">
        <f>(AD646+AE646*0.5)/(3.5*I646*1000)*100</f>
        <v>0.40426775796550718</v>
      </c>
      <c r="AG646" s="38">
        <f t="shared" si="87"/>
        <v>0.4</v>
      </c>
      <c r="AH646" s="38">
        <v>98.254000000000005</v>
      </c>
      <c r="AI646" s="38">
        <f>AH646/(3.5*I646*1000)*100</f>
        <v>0.16411909633774585</v>
      </c>
      <c r="AJ646" s="38">
        <v>0</v>
      </c>
      <c r="AK646" s="38">
        <f>AJ646/(3.5*I646*1000)*100</f>
        <v>0</v>
      </c>
      <c r="AL646" s="38">
        <v>0</v>
      </c>
      <c r="AM646" s="38">
        <f>AL646/(3.5*I646*1000)*100</f>
        <v>0</v>
      </c>
      <c r="AN646" s="72"/>
      <c r="AO646" s="41"/>
      <c r="AP646" s="41"/>
      <c r="AQ646" s="73"/>
      <c r="AR646" s="73"/>
      <c r="AS646" s="73"/>
      <c r="AT646" s="73"/>
      <c r="AU646" s="73"/>
      <c r="AV646" s="73"/>
    </row>
    <row r="647" spans="1:88" s="22" customFormat="1">
      <c r="A647" s="1">
        <v>2038</v>
      </c>
      <c r="B647" s="34" t="s">
        <v>2678</v>
      </c>
      <c r="C647" s="34">
        <v>326</v>
      </c>
      <c r="D647" s="75">
        <v>4151</v>
      </c>
      <c r="E647" s="8">
        <v>202</v>
      </c>
      <c r="F647" s="34" t="s">
        <v>2688</v>
      </c>
      <c r="G647" s="58">
        <v>28172</v>
      </c>
      <c r="H647" s="58">
        <v>49493</v>
      </c>
      <c r="I647" s="21">
        <v>21.321000000000002</v>
      </c>
      <c r="J647" s="8">
        <v>2</v>
      </c>
      <c r="K647" s="8" t="s">
        <v>238</v>
      </c>
      <c r="L647" s="18">
        <v>42126</v>
      </c>
      <c r="M647" s="37" t="s">
        <v>191</v>
      </c>
      <c r="N647" s="38">
        <v>10.175000000000001</v>
      </c>
      <c r="O647" s="38">
        <v>5.8</v>
      </c>
      <c r="P647" s="38">
        <v>2.7250000000000001</v>
      </c>
      <c r="Q647" s="38">
        <v>1.2</v>
      </c>
      <c r="R647" s="38">
        <v>2.7698</v>
      </c>
      <c r="S647" s="38">
        <f t="shared" si="85"/>
        <v>3</v>
      </c>
      <c r="T647" s="38">
        <v>18.774999999999999</v>
      </c>
      <c r="U647" s="38">
        <v>0.75</v>
      </c>
      <c r="V647" s="38">
        <v>0.25</v>
      </c>
      <c r="W647" s="38">
        <v>0.125</v>
      </c>
      <c r="X647" s="38">
        <v>3.5293100000000002</v>
      </c>
      <c r="Y647" s="38">
        <f t="shared" si="86"/>
        <v>3.5</v>
      </c>
      <c r="Z647" s="38">
        <v>0</v>
      </c>
      <c r="AA647" s="39">
        <v>0</v>
      </c>
      <c r="AB647" s="38">
        <v>19.900000000000002</v>
      </c>
      <c r="AC647" s="38">
        <v>1.17126</v>
      </c>
      <c r="AD647" s="38">
        <v>289.01</v>
      </c>
      <c r="AE647" s="38">
        <v>22.64</v>
      </c>
      <c r="AF647" s="38">
        <f>(AD647+AE647*0.5)/(3.5*I647*1000)*100</f>
        <v>0.40246035096182831</v>
      </c>
      <c r="AG647" s="38">
        <f t="shared" si="87"/>
        <v>0.4</v>
      </c>
      <c r="AH647" s="38">
        <v>2.68</v>
      </c>
      <c r="AI647" s="38">
        <v>3.5913619704248663E-3</v>
      </c>
      <c r="AJ647" s="55">
        <v>0</v>
      </c>
      <c r="AK647" s="55">
        <v>0</v>
      </c>
      <c r="AL647" s="55">
        <v>2.68</v>
      </c>
      <c r="AM647" s="55">
        <f>AL647/(3.5*I647*1000)*100</f>
        <v>3.5913619704248663E-3</v>
      </c>
      <c r="AN647" s="1"/>
      <c r="AO647" s="12"/>
      <c r="AP647" s="12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</row>
    <row r="648" spans="1:88" s="22" customFormat="1">
      <c r="A648" s="1">
        <v>1423</v>
      </c>
      <c r="B648" s="34" t="s">
        <v>1957</v>
      </c>
      <c r="C648" s="34">
        <v>447</v>
      </c>
      <c r="D648" s="75">
        <v>3438</v>
      </c>
      <c r="E648" s="69">
        <v>101</v>
      </c>
      <c r="F648" s="184" t="s">
        <v>1975</v>
      </c>
      <c r="G648" s="20">
        <v>19730</v>
      </c>
      <c r="H648" s="20">
        <v>0</v>
      </c>
      <c r="I648" s="21">
        <v>19.73</v>
      </c>
      <c r="J648" s="8">
        <v>2</v>
      </c>
      <c r="K648" s="34" t="s">
        <v>1521</v>
      </c>
      <c r="L648" s="10">
        <v>42216</v>
      </c>
      <c r="M648" s="37" t="s">
        <v>191</v>
      </c>
      <c r="N648" s="38">
        <v>18.475000000000001</v>
      </c>
      <c r="O648" s="38">
        <v>1.175</v>
      </c>
      <c r="P648" s="38">
        <v>0.1</v>
      </c>
      <c r="Q648" s="38">
        <v>0</v>
      </c>
      <c r="R648" s="38">
        <v>1.88547</v>
      </c>
      <c r="S648" s="38">
        <f t="shared" si="85"/>
        <v>2</v>
      </c>
      <c r="T648" s="38">
        <v>19.75</v>
      </c>
      <c r="U648" s="38">
        <v>0</v>
      </c>
      <c r="V648" s="38">
        <v>0</v>
      </c>
      <c r="W648" s="38">
        <v>0</v>
      </c>
      <c r="X648" s="38">
        <v>1.1105799999999999</v>
      </c>
      <c r="Y648" s="38">
        <f t="shared" si="86"/>
        <v>1</v>
      </c>
      <c r="Z648" s="38">
        <v>0</v>
      </c>
      <c r="AA648" s="39">
        <v>0</v>
      </c>
      <c r="AB648" s="38">
        <v>19.750000000000004</v>
      </c>
      <c r="AC648" s="38">
        <v>0.97680800000000001</v>
      </c>
      <c r="AD648" s="38">
        <v>243.23</v>
      </c>
      <c r="AE648" s="38">
        <v>67.3</v>
      </c>
      <c r="AF648" s="38">
        <v>0.40095575990152776</v>
      </c>
      <c r="AG648" s="38">
        <f t="shared" si="87"/>
        <v>0.4</v>
      </c>
      <c r="AH648" s="38">
        <v>87.2</v>
      </c>
      <c r="AI648" s="38">
        <f>AH648/(3.5*I648*1000)*100</f>
        <v>0.126276156686699</v>
      </c>
      <c r="AJ648" s="38">
        <v>1.9</v>
      </c>
      <c r="AK648" s="38">
        <f>AJ648/(3.5*I648*1000)*100</f>
        <v>2.7514300195496341E-3</v>
      </c>
      <c r="AL648" s="38">
        <v>0</v>
      </c>
      <c r="AM648" s="38">
        <f>AL648/(3.5*I648*1000)*100</f>
        <v>0</v>
      </c>
      <c r="AN648" s="41"/>
    </row>
    <row r="649" spans="1:88" s="22" customFormat="1">
      <c r="A649" s="1">
        <v>2064</v>
      </c>
      <c r="B649" s="34" t="s">
        <v>2697</v>
      </c>
      <c r="C649" s="34">
        <v>328</v>
      </c>
      <c r="D649" s="75">
        <v>4295</v>
      </c>
      <c r="E649" s="8">
        <v>100</v>
      </c>
      <c r="F649" s="34" t="s">
        <v>2710</v>
      </c>
      <c r="G649" s="58">
        <v>90</v>
      </c>
      <c r="H649" s="58">
        <v>0</v>
      </c>
      <c r="I649" s="21">
        <v>0.09</v>
      </c>
      <c r="J649" s="8">
        <v>2</v>
      </c>
      <c r="K649" s="8" t="s">
        <v>12</v>
      </c>
      <c r="L649" s="18">
        <v>42120</v>
      </c>
      <c r="M649" s="37" t="s">
        <v>191</v>
      </c>
      <c r="N649" s="38">
        <v>0</v>
      </c>
      <c r="O649" s="38">
        <v>0</v>
      </c>
      <c r="P649" s="38">
        <v>0</v>
      </c>
      <c r="Q649" s="38">
        <v>0.9</v>
      </c>
      <c r="R649" s="38">
        <v>6.9066700000000001</v>
      </c>
      <c r="S649" s="38">
        <f t="shared" si="85"/>
        <v>7</v>
      </c>
      <c r="T649" s="38">
        <v>7.4999999999999997E-2</v>
      </c>
      <c r="U649" s="38">
        <v>0</v>
      </c>
      <c r="V649" s="38">
        <v>0</v>
      </c>
      <c r="W649" s="38">
        <v>0</v>
      </c>
      <c r="X649" s="38">
        <v>1.556</v>
      </c>
      <c r="Y649" s="38">
        <f t="shared" si="86"/>
        <v>1.5</v>
      </c>
      <c r="Z649" s="38">
        <v>0</v>
      </c>
      <c r="AA649" s="39">
        <v>0</v>
      </c>
      <c r="AB649" s="38">
        <v>7.4999999999999997E-2</v>
      </c>
      <c r="AC649" s="38">
        <v>1.01233</v>
      </c>
      <c r="AD649" s="38">
        <v>1.26</v>
      </c>
      <c r="AE649" s="38">
        <v>0</v>
      </c>
      <c r="AF649" s="38">
        <v>0.4</v>
      </c>
      <c r="AG649" s="38">
        <f t="shared" si="87"/>
        <v>0.4</v>
      </c>
      <c r="AH649" s="38">
        <v>5.9</v>
      </c>
      <c r="AI649" s="38">
        <v>1.8730158730158732</v>
      </c>
      <c r="AJ649" s="38">
        <v>0</v>
      </c>
      <c r="AK649" s="38">
        <v>0</v>
      </c>
      <c r="AL649" s="38">
        <v>0</v>
      </c>
      <c r="AM649" s="38">
        <f>AL649/(3.5*I649*1000)*100</f>
        <v>0</v>
      </c>
      <c r="AN649" s="72"/>
      <c r="AO649" s="41"/>
      <c r="AP649" s="41"/>
      <c r="AQ649" s="73"/>
      <c r="AR649" s="73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</row>
    <row r="650" spans="1:88" s="22" customFormat="1">
      <c r="A650" s="1">
        <v>1737</v>
      </c>
      <c r="B650" s="34" t="s">
        <v>2324</v>
      </c>
      <c r="C650" s="34">
        <v>423</v>
      </c>
      <c r="D650" s="8">
        <v>3193</v>
      </c>
      <c r="E650" s="88">
        <v>102</v>
      </c>
      <c r="F650" s="34" t="s">
        <v>2332</v>
      </c>
      <c r="G650" s="58">
        <v>34000</v>
      </c>
      <c r="H650" s="58">
        <v>67240</v>
      </c>
      <c r="I650" s="35">
        <v>33.14</v>
      </c>
      <c r="J650" s="9">
        <v>2</v>
      </c>
      <c r="K650" s="88" t="s">
        <v>238</v>
      </c>
      <c r="L650" s="116">
        <v>42234</v>
      </c>
      <c r="M650" s="37" t="s">
        <v>191</v>
      </c>
      <c r="N650" s="38">
        <v>15.585000000000001</v>
      </c>
      <c r="O650" s="38">
        <v>9.484</v>
      </c>
      <c r="P650" s="38">
        <v>5.3760000000000003</v>
      </c>
      <c r="Q650" s="38">
        <v>2.694</v>
      </c>
      <c r="R650" s="38">
        <v>3.01153</v>
      </c>
      <c r="S650" s="38">
        <f t="shared" si="85"/>
        <v>3</v>
      </c>
      <c r="T650" s="38">
        <v>26.882000000000001</v>
      </c>
      <c r="U650" s="38">
        <v>4.3860000000000001</v>
      </c>
      <c r="V650" s="38">
        <v>1.2689999999999999</v>
      </c>
      <c r="W650" s="38">
        <v>0.60399999999999998</v>
      </c>
      <c r="X650" s="38">
        <v>6.8283199999999997</v>
      </c>
      <c r="Y650" s="38">
        <f t="shared" si="86"/>
        <v>7</v>
      </c>
      <c r="Z650" s="38">
        <v>0</v>
      </c>
      <c r="AA650" s="254">
        <v>0</v>
      </c>
      <c r="AB650" s="35">
        <v>33.14</v>
      </c>
      <c r="AC650" s="117">
        <v>1.22645</v>
      </c>
      <c r="AD650" s="38">
        <v>313.05040000000002</v>
      </c>
      <c r="AE650" s="38">
        <v>145.58000000000001</v>
      </c>
      <c r="AF650" s="38">
        <v>0.399173</v>
      </c>
      <c r="AG650" s="38">
        <f t="shared" si="87"/>
        <v>0.4</v>
      </c>
      <c r="AH650" s="38">
        <v>0</v>
      </c>
      <c r="AI650" s="38">
        <v>0</v>
      </c>
      <c r="AJ650" s="38">
        <v>744</v>
      </c>
      <c r="AK650" s="38">
        <f>AJ650/(3.5*I650*1000)*100</f>
        <v>0.64143460643158878</v>
      </c>
      <c r="AL650" s="38">
        <v>202.56</v>
      </c>
      <c r="AM650" s="38">
        <v>0.20956</v>
      </c>
      <c r="AN650" s="12"/>
      <c r="AO650" s="12">
        <f>AE650*0.5</f>
        <v>72.790000000000006</v>
      </c>
      <c r="AP650" s="12">
        <f>(AD650+AH650+AJ650+AL650+AO650)*I650</f>
        <v>44155.749256000003</v>
      </c>
      <c r="AQ650" s="136">
        <f>SUM(N650:Q650)</f>
        <v>33.139000000000003</v>
      </c>
      <c r="AR650" s="136">
        <f>SUM(T650:W650)</f>
        <v>33.140999999999998</v>
      </c>
      <c r="AS650" s="1"/>
      <c r="AT650" s="41"/>
      <c r="AU650" s="41"/>
      <c r="AV650" s="41"/>
      <c r="AW650" s="4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</row>
    <row r="651" spans="1:88" s="22" customFormat="1">
      <c r="A651" s="1">
        <v>40</v>
      </c>
      <c r="B651" s="4" t="s">
        <v>21</v>
      </c>
      <c r="C651" s="14">
        <v>522</v>
      </c>
      <c r="D651" s="19">
        <v>1269</v>
      </c>
      <c r="E651" s="16">
        <v>102</v>
      </c>
      <c r="F651" s="16" t="s">
        <v>170</v>
      </c>
      <c r="G651" s="20" t="s">
        <v>201</v>
      </c>
      <c r="H651" s="20" t="s">
        <v>200</v>
      </c>
      <c r="I651" s="21">
        <v>29.335999999999999</v>
      </c>
      <c r="J651" s="8">
        <v>4</v>
      </c>
      <c r="K651" s="9" t="s">
        <v>238</v>
      </c>
      <c r="L651" s="24">
        <v>42236</v>
      </c>
      <c r="M651" s="37" t="s">
        <v>191</v>
      </c>
      <c r="N651" s="11">
        <v>8.375</v>
      </c>
      <c r="O651" s="11">
        <v>8.9</v>
      </c>
      <c r="P651" s="11">
        <v>8.0500000000000007</v>
      </c>
      <c r="Q651" s="11">
        <v>4.05</v>
      </c>
      <c r="R651" s="11">
        <v>3.5209299999999999</v>
      </c>
      <c r="S651" s="38">
        <f t="shared" si="85"/>
        <v>3.5</v>
      </c>
      <c r="T651" s="11">
        <v>28.6</v>
      </c>
      <c r="U651" s="11">
        <v>0.65</v>
      </c>
      <c r="V651" s="11">
        <v>7.4999999999999997E-2</v>
      </c>
      <c r="W651" s="11">
        <v>0.05</v>
      </c>
      <c r="X651" s="11">
        <v>3.1167400000000001</v>
      </c>
      <c r="Y651" s="38">
        <f t="shared" si="86"/>
        <v>3</v>
      </c>
      <c r="Z651" s="11">
        <v>0</v>
      </c>
      <c r="AA651" s="164">
        <v>0</v>
      </c>
      <c r="AB651" s="11">
        <f>SUM(N651:Q651)</f>
        <v>29.375</v>
      </c>
      <c r="AC651" s="11">
        <v>1.4574199999999999</v>
      </c>
      <c r="AD651" s="11">
        <v>355.32</v>
      </c>
      <c r="AE651" s="11">
        <v>106.97</v>
      </c>
      <c r="AF651" s="11">
        <f>(AD651+AE651*0.5)/(3.5*I651*1000)*100</f>
        <v>0.39815049281234177</v>
      </c>
      <c r="AG651" s="38">
        <f t="shared" si="87"/>
        <v>0.4</v>
      </c>
      <c r="AH651" s="11">
        <v>33.409999999999997</v>
      </c>
      <c r="AI651" s="11">
        <f>AH651/(3.5*I651*1000)*100</f>
        <v>3.2539249678600647E-2</v>
      </c>
      <c r="AJ651" s="11">
        <v>202.63</v>
      </c>
      <c r="AK651" s="11">
        <f>AJ651/(3.5*I651*1000)*100</f>
        <v>0.19734894230394642</v>
      </c>
      <c r="AL651" s="11">
        <v>0.78</v>
      </c>
      <c r="AM651" s="11">
        <f>AL651/(3.5*I651*1000)*100</f>
        <v>7.5967119872219426E-4</v>
      </c>
      <c r="AO651" s="25"/>
      <c r="AP651" s="25"/>
    </row>
    <row r="652" spans="1:88" s="22" customFormat="1">
      <c r="A652" s="1">
        <v>358</v>
      </c>
      <c r="B652" s="67" t="s">
        <v>571</v>
      </c>
      <c r="C652" s="34">
        <v>512</v>
      </c>
      <c r="D652" s="68">
        <v>1351</v>
      </c>
      <c r="E652" s="69">
        <v>100</v>
      </c>
      <c r="F652" s="70" t="s">
        <v>596</v>
      </c>
      <c r="G652" s="6" t="s">
        <v>597</v>
      </c>
      <c r="H652" s="6" t="s">
        <v>92</v>
      </c>
      <c r="I652" s="7">
        <v>3.335</v>
      </c>
      <c r="J652" s="8">
        <v>2</v>
      </c>
      <c r="K652" s="34" t="s">
        <v>12</v>
      </c>
      <c r="L652" s="18">
        <v>42257</v>
      </c>
      <c r="M652" s="123" t="s">
        <v>191</v>
      </c>
      <c r="N652" s="38">
        <v>2.75</v>
      </c>
      <c r="O652" s="38">
        <v>0.22500000000000001</v>
      </c>
      <c r="P652" s="38">
        <v>0.05</v>
      </c>
      <c r="Q652" s="38">
        <v>0.05</v>
      </c>
      <c r="R652" s="38">
        <v>2.1762600000000001</v>
      </c>
      <c r="S652" s="38">
        <f t="shared" si="85"/>
        <v>2</v>
      </c>
      <c r="T652" s="38">
        <v>3.0750000000000002</v>
      </c>
      <c r="U652" s="38">
        <v>0</v>
      </c>
      <c r="V652" s="38">
        <v>0</v>
      </c>
      <c r="W652" s="38">
        <v>0</v>
      </c>
      <c r="X652" s="38">
        <v>1.53392</v>
      </c>
      <c r="Y652" s="38">
        <f t="shared" si="86"/>
        <v>1.5</v>
      </c>
      <c r="Z652" s="38">
        <v>0</v>
      </c>
      <c r="AA652" s="39">
        <v>0</v>
      </c>
      <c r="AB652" s="38">
        <v>3.34</v>
      </c>
      <c r="AC652" s="38">
        <v>1.25031</v>
      </c>
      <c r="AD652" s="38">
        <v>36.32</v>
      </c>
      <c r="AE652" s="38">
        <v>19.25</v>
      </c>
      <c r="AF652" s="38">
        <f>(AD652+AE652*0.5)/(3.5*I652*1000)*100</f>
        <v>0.39361747697579785</v>
      </c>
      <c r="AG652" s="38">
        <f t="shared" si="87"/>
        <v>0.4</v>
      </c>
      <c r="AH652" s="38">
        <v>59.46</v>
      </c>
      <c r="AI652" s="38">
        <f>AH652/(3.5*I652*1000)*100</f>
        <v>0.50940244163632464</v>
      </c>
      <c r="AJ652" s="38">
        <v>1.48</v>
      </c>
      <c r="AK652" s="38">
        <f>AJ652/(3.5*I652*1000)*100</f>
        <v>1.2679374598415076E-2</v>
      </c>
      <c r="AL652" s="38">
        <v>0</v>
      </c>
      <c r="AM652" s="38">
        <f>AL652/(3.5*I652*1000)*100</f>
        <v>0</v>
      </c>
      <c r="AN652" s="72"/>
      <c r="AO652" s="41"/>
      <c r="AP652" s="41"/>
      <c r="AQ652" s="73"/>
      <c r="AR652" s="73"/>
      <c r="AS652" s="73"/>
      <c r="AT652" s="73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</row>
    <row r="653" spans="1:88" s="22" customFormat="1">
      <c r="A653" s="1">
        <v>2016</v>
      </c>
      <c r="B653" s="34" t="s">
        <v>2646</v>
      </c>
      <c r="C653" s="34">
        <v>325</v>
      </c>
      <c r="D653" s="75">
        <v>4192</v>
      </c>
      <c r="E653" s="8">
        <v>100</v>
      </c>
      <c r="F653" s="34" t="s">
        <v>2663</v>
      </c>
      <c r="G653" s="58">
        <v>20633</v>
      </c>
      <c r="H653" s="58">
        <v>4800</v>
      </c>
      <c r="I653" s="21">
        <v>15.82</v>
      </c>
      <c r="J653" s="8">
        <v>2</v>
      </c>
      <c r="K653" s="8" t="s">
        <v>12</v>
      </c>
      <c r="L653" s="18">
        <v>42116</v>
      </c>
      <c r="M653" s="37" t="s">
        <v>191</v>
      </c>
      <c r="N653" s="38">
        <v>5.21</v>
      </c>
      <c r="O653" s="38">
        <v>5.46</v>
      </c>
      <c r="P653" s="38">
        <v>3.36</v>
      </c>
      <c r="Q653" s="38">
        <v>1.79</v>
      </c>
      <c r="R653" s="38">
        <v>3.2702399999999998</v>
      </c>
      <c r="S653" s="38">
        <f t="shared" si="85"/>
        <v>3.5</v>
      </c>
      <c r="T653" s="38">
        <v>14.96</v>
      </c>
      <c r="U653" s="38">
        <v>0.76</v>
      </c>
      <c r="V653" s="38">
        <v>0.08</v>
      </c>
      <c r="W653" s="38">
        <v>0.03</v>
      </c>
      <c r="X653" s="38">
        <v>4.8807299999999998</v>
      </c>
      <c r="Y653" s="38">
        <f t="shared" si="86"/>
        <v>5</v>
      </c>
      <c r="Z653" s="38">
        <v>0</v>
      </c>
      <c r="AA653" s="39">
        <v>0</v>
      </c>
      <c r="AB653" s="39">
        <v>15.82</v>
      </c>
      <c r="AC653" s="38">
        <v>1.3391200000000001</v>
      </c>
      <c r="AD653" s="38">
        <v>184.24</v>
      </c>
      <c r="AE653" s="38">
        <v>66.69</v>
      </c>
      <c r="AF653" s="38">
        <f>(AD653+AE653*0.5)/(3.5*I653*1000)*100</f>
        <v>0.39296550478598513</v>
      </c>
      <c r="AG653" s="38">
        <f t="shared" si="87"/>
        <v>0.4</v>
      </c>
      <c r="AH653" s="38">
        <v>0</v>
      </c>
      <c r="AI653" s="38">
        <f>AH653/(3.5*I653*1000)*100</f>
        <v>0</v>
      </c>
      <c r="AJ653" s="38">
        <v>0</v>
      </c>
      <c r="AK653" s="38">
        <f>AJ653/(3.5*I653*1000)*100</f>
        <v>0</v>
      </c>
      <c r="AL653" s="38">
        <v>0</v>
      </c>
      <c r="AM653" s="38">
        <f>AL653/(3.5*I653*1000)*100</f>
        <v>0</v>
      </c>
      <c r="AN653" s="12"/>
      <c r="AO653" s="12"/>
      <c r="AP653" s="1"/>
      <c r="AQ653" s="41">
        <f>SUM(N653:Q653)</f>
        <v>15.82</v>
      </c>
      <c r="AR653" s="41">
        <f>SUM(T653:W653)</f>
        <v>15.83</v>
      </c>
      <c r="AS653" s="12">
        <f>SUM(Z653:AB653)</f>
        <v>15.82</v>
      </c>
      <c r="AT653" s="1"/>
      <c r="AU653" s="1">
        <f>I653/AQ653</f>
        <v>1</v>
      </c>
      <c r="AV653" s="1">
        <f>I653/AR653</f>
        <v>0.99936828806064437</v>
      </c>
      <c r="AW653" s="1">
        <f>I653/AS653</f>
        <v>1</v>
      </c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</row>
    <row r="654" spans="1:88" s="22" customFormat="1">
      <c r="A654" s="1">
        <v>1863</v>
      </c>
      <c r="B654" s="34" t="s">
        <v>2485</v>
      </c>
      <c r="C654" s="34">
        <v>333</v>
      </c>
      <c r="D654" s="75">
        <v>3459</v>
      </c>
      <c r="E654" s="8">
        <v>100</v>
      </c>
      <c r="F654" s="9" t="s">
        <v>2492</v>
      </c>
      <c r="G654" s="20">
        <v>11461</v>
      </c>
      <c r="H654" s="20">
        <v>0</v>
      </c>
      <c r="I654" s="21">
        <v>11.461</v>
      </c>
      <c r="J654" s="34">
        <v>2</v>
      </c>
      <c r="K654" s="34" t="s">
        <v>12</v>
      </c>
      <c r="L654" s="18">
        <v>42098</v>
      </c>
      <c r="M654" s="247" t="s">
        <v>191</v>
      </c>
      <c r="N654" s="38">
        <v>7.45</v>
      </c>
      <c r="O654" s="38">
        <v>2.35</v>
      </c>
      <c r="P654" s="38">
        <v>0.85</v>
      </c>
      <c r="Q654" s="38">
        <v>0.75</v>
      </c>
      <c r="R654" s="38">
        <v>2.5583100000000001</v>
      </c>
      <c r="S654" s="38">
        <f t="shared" si="85"/>
        <v>2.5</v>
      </c>
      <c r="T654" s="38">
        <v>11.175000000000001</v>
      </c>
      <c r="U654" s="38">
        <v>0.17499999999999999</v>
      </c>
      <c r="V654" s="38">
        <v>0.05</v>
      </c>
      <c r="W654" s="38">
        <v>0</v>
      </c>
      <c r="X654" s="38">
        <v>2.7306900000000001</v>
      </c>
      <c r="Y654" s="38">
        <f t="shared" si="86"/>
        <v>2.5</v>
      </c>
      <c r="Z654" s="38">
        <v>0</v>
      </c>
      <c r="AA654" s="39">
        <v>0</v>
      </c>
      <c r="AB654" s="39">
        <v>11.4</v>
      </c>
      <c r="AC654" s="38">
        <v>1.18605</v>
      </c>
      <c r="AD654" s="38">
        <v>154.54400000000001</v>
      </c>
      <c r="AE654" s="38">
        <v>5.99</v>
      </c>
      <c r="AF654" s="38">
        <v>0.39273311977264513</v>
      </c>
      <c r="AG654" s="38">
        <f t="shared" si="87"/>
        <v>0.4</v>
      </c>
      <c r="AH654" s="38">
        <v>24.35</v>
      </c>
      <c r="AI654" s="38">
        <v>6.0702755930048494E-2</v>
      </c>
      <c r="AJ654" s="38">
        <v>0</v>
      </c>
      <c r="AK654" s="38">
        <v>0</v>
      </c>
      <c r="AL654" s="38">
        <v>0</v>
      </c>
      <c r="AM654" s="38">
        <f>AL654/(3.5*I654*1000)*100</f>
        <v>0</v>
      </c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</row>
    <row r="655" spans="1:88" s="22" customFormat="1">
      <c r="A655" s="1">
        <v>2057</v>
      </c>
      <c r="B655" s="34" t="s">
        <v>2697</v>
      </c>
      <c r="C655" s="34">
        <v>328</v>
      </c>
      <c r="D655" s="75">
        <v>4169</v>
      </c>
      <c r="E655" s="8">
        <v>100</v>
      </c>
      <c r="F655" s="34" t="s">
        <v>2704</v>
      </c>
      <c r="G655" s="58">
        <v>3000</v>
      </c>
      <c r="H655" s="58" t="s">
        <v>2705</v>
      </c>
      <c r="I655" s="21">
        <v>37</v>
      </c>
      <c r="J655" s="8">
        <v>2</v>
      </c>
      <c r="K655" s="8" t="s">
        <v>238</v>
      </c>
      <c r="L655" s="18">
        <v>42118</v>
      </c>
      <c r="M655" s="37" t="s">
        <v>191</v>
      </c>
      <c r="N655" s="38">
        <v>10.074999999999999</v>
      </c>
      <c r="O655" s="38">
        <v>10.5</v>
      </c>
      <c r="P655" s="38">
        <v>8.625</v>
      </c>
      <c r="Q655" s="38">
        <v>7.75</v>
      </c>
      <c r="R655" s="38">
        <v>3.8112699999999999</v>
      </c>
      <c r="S655" s="38">
        <f t="shared" si="85"/>
        <v>4</v>
      </c>
      <c r="T655" s="38">
        <v>36.774999999999999</v>
      </c>
      <c r="U655" s="38">
        <v>0.17499999999999999</v>
      </c>
      <c r="V655" s="38">
        <v>0</v>
      </c>
      <c r="W655" s="38">
        <v>0</v>
      </c>
      <c r="X655" s="38">
        <v>2.9924900000000001</v>
      </c>
      <c r="Y655" s="38">
        <f t="shared" si="86"/>
        <v>3</v>
      </c>
      <c r="Z655" s="38">
        <v>0</v>
      </c>
      <c r="AA655" s="39">
        <v>0</v>
      </c>
      <c r="AB655" s="39">
        <v>36.950000000000003</v>
      </c>
      <c r="AC655" s="38">
        <v>1.1493100000000001</v>
      </c>
      <c r="AD655" s="38">
        <v>17.39</v>
      </c>
      <c r="AE655" s="38">
        <v>981.57</v>
      </c>
      <c r="AF655" s="38">
        <v>0.39241312741312739</v>
      </c>
      <c r="AG655" s="38">
        <f t="shared" si="87"/>
        <v>0.4</v>
      </c>
      <c r="AH655" s="38">
        <v>213.29</v>
      </c>
      <c r="AI655" s="38">
        <v>0.16470270270270271</v>
      </c>
      <c r="AJ655" s="38">
        <v>233.17</v>
      </c>
      <c r="AK655" s="38">
        <v>0.18005405405405406</v>
      </c>
      <c r="AL655" s="38">
        <v>0</v>
      </c>
      <c r="AM655" s="38">
        <f>AL655/(3.5*I655*1000)*100</f>
        <v>0</v>
      </c>
      <c r="AN655" s="72"/>
      <c r="AO655" s="41"/>
      <c r="AP655" s="41"/>
      <c r="AQ655" s="73"/>
      <c r="AR655" s="73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</row>
    <row r="656" spans="1:88" s="22" customFormat="1">
      <c r="A656" s="1">
        <v>1733</v>
      </c>
      <c r="B656" s="34" t="s">
        <v>2324</v>
      </c>
      <c r="C656" s="34">
        <v>423</v>
      </c>
      <c r="D656" s="8">
        <v>3149</v>
      </c>
      <c r="E656" s="88">
        <v>100</v>
      </c>
      <c r="F656" s="34" t="s">
        <v>2328</v>
      </c>
      <c r="G656" s="58">
        <v>0</v>
      </c>
      <c r="H656" s="58">
        <v>15802</v>
      </c>
      <c r="I656" s="35">
        <v>15.802</v>
      </c>
      <c r="J656" s="9">
        <v>2</v>
      </c>
      <c r="K656" s="88" t="s">
        <v>238</v>
      </c>
      <c r="L656" s="116">
        <v>42234</v>
      </c>
      <c r="M656" s="37" t="s">
        <v>191</v>
      </c>
      <c r="N656" s="38">
        <v>11.8</v>
      </c>
      <c r="O656" s="38">
        <v>2.9</v>
      </c>
      <c r="P656" s="38">
        <v>0.85</v>
      </c>
      <c r="Q656" s="38">
        <v>0.27500000000000002</v>
      </c>
      <c r="R656" s="38">
        <v>2.2018499999999999</v>
      </c>
      <c r="S656" s="38">
        <f t="shared" si="85"/>
        <v>2</v>
      </c>
      <c r="T656" s="38">
        <v>14.475</v>
      </c>
      <c r="U656" s="38">
        <v>1.25</v>
      </c>
      <c r="V656" s="38">
        <v>7.4999999999999997E-2</v>
      </c>
      <c r="W656" s="38">
        <v>2.5000000000000001E-2</v>
      </c>
      <c r="X656" s="38">
        <v>5.5490899999999996</v>
      </c>
      <c r="Y656" s="38">
        <f t="shared" si="86"/>
        <v>5.5</v>
      </c>
      <c r="Z656" s="38">
        <v>0</v>
      </c>
      <c r="AA656" s="254">
        <v>0</v>
      </c>
      <c r="AB656" s="257">
        <v>15.802</v>
      </c>
      <c r="AC656" s="117">
        <v>1.16615</v>
      </c>
      <c r="AD656" s="38">
        <v>18.98</v>
      </c>
      <c r="AE656" s="38">
        <v>395.63</v>
      </c>
      <c r="AF656" s="38">
        <v>0.39198</v>
      </c>
      <c r="AG656" s="38">
        <f t="shared" si="87"/>
        <v>0.4</v>
      </c>
      <c r="AH656" s="38">
        <v>4120.2700000000004</v>
      </c>
      <c r="AI656" s="38">
        <v>7.4498199999999999</v>
      </c>
      <c r="AJ656" s="38">
        <v>3177</v>
      </c>
      <c r="AK656" s="38">
        <f>AJ656/(3.5*I656*1000)*100</f>
        <v>5.7442999981919103</v>
      </c>
      <c r="AL656" s="38">
        <v>35.07</v>
      </c>
      <c r="AM656" s="38">
        <v>6.3409999999999994E-2</v>
      </c>
      <c r="AN656" s="12"/>
      <c r="AO656" s="12">
        <f>AE656*0.5</f>
        <v>197.815</v>
      </c>
      <c r="AP656" s="12">
        <f>(AD656+AH656+AJ656+AL656+AO656)*I656</f>
        <v>119291.43126999999</v>
      </c>
      <c r="AQ656" s="136">
        <f>SUM(N656:Q656)</f>
        <v>15.825000000000001</v>
      </c>
      <c r="AR656" s="136">
        <f>SUM(T656:W656)</f>
        <v>15.824999999999999</v>
      </c>
      <c r="AS656" s="1"/>
      <c r="AT656" s="41"/>
      <c r="AU656" s="41"/>
      <c r="AV656" s="41"/>
      <c r="AW656" s="4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</row>
    <row r="657" spans="1:88" s="22" customFormat="1">
      <c r="A657" s="1">
        <v>1843</v>
      </c>
      <c r="B657" s="34" t="s">
        <v>2461</v>
      </c>
      <c r="C657" s="34">
        <v>332</v>
      </c>
      <c r="D657" s="75">
        <v>3253</v>
      </c>
      <c r="E657" s="8">
        <v>100</v>
      </c>
      <c r="F657" s="9" t="s">
        <v>2466</v>
      </c>
      <c r="G657" s="20" t="s">
        <v>92</v>
      </c>
      <c r="H657" s="20" t="s">
        <v>2467</v>
      </c>
      <c r="I657" s="21">
        <v>11.1</v>
      </c>
      <c r="J657" s="8">
        <v>2</v>
      </c>
      <c r="K657" s="8" t="s">
        <v>238</v>
      </c>
      <c r="L657" s="18">
        <v>42101</v>
      </c>
      <c r="M657" s="247" t="s">
        <v>191</v>
      </c>
      <c r="N657" s="38">
        <f>26.15*0.244</f>
        <v>6.3805999999999994</v>
      </c>
      <c r="O657" s="38">
        <f>12.2*0.244</f>
        <v>2.9767999999999999</v>
      </c>
      <c r="P657" s="38">
        <f>4.85*0.244</f>
        <v>1.1833999999999998</v>
      </c>
      <c r="Q657" s="38">
        <f>2.25*0.244</f>
        <v>0.54899999999999993</v>
      </c>
      <c r="R657" s="38">
        <v>2.6344699999999999</v>
      </c>
      <c r="S657" s="38">
        <f t="shared" si="85"/>
        <v>2.5</v>
      </c>
      <c r="T657" s="38">
        <f>44.85*0.244</f>
        <v>10.9434</v>
      </c>
      <c r="U657" s="38">
        <f>0.525*0.244</f>
        <v>0.12809999999999999</v>
      </c>
      <c r="V657" s="38">
        <f>0.075*0.244</f>
        <v>1.83E-2</v>
      </c>
      <c r="W657" s="38">
        <v>0</v>
      </c>
      <c r="X657" s="38">
        <v>2.75265</v>
      </c>
      <c r="Y657" s="38">
        <f t="shared" si="86"/>
        <v>3</v>
      </c>
      <c r="Z657" s="38">
        <v>0</v>
      </c>
      <c r="AA657" s="11">
        <v>0</v>
      </c>
      <c r="AB657" s="38">
        <v>11.089799999999997</v>
      </c>
      <c r="AC657" s="38">
        <v>1.3359099999999999</v>
      </c>
      <c r="AD657" s="39">
        <v>149.20099999999999</v>
      </c>
      <c r="AE657" s="38">
        <v>5.32</v>
      </c>
      <c r="AF657" s="38">
        <v>0.39089060489060484</v>
      </c>
      <c r="AG657" s="38">
        <f t="shared" si="87"/>
        <v>0.4</v>
      </c>
      <c r="AH657" s="38">
        <v>29.34</v>
      </c>
      <c r="AI657" s="38">
        <v>7.5521235521235519E-2</v>
      </c>
      <c r="AJ657" s="38">
        <v>0</v>
      </c>
      <c r="AK657" s="38">
        <v>0</v>
      </c>
      <c r="AL657" s="38">
        <v>2.68</v>
      </c>
      <c r="AM657" s="38">
        <f>AL657/(3.5*I657*1000)*100</f>
        <v>6.8983268983268979E-3</v>
      </c>
      <c r="AN657" s="73"/>
      <c r="AO657" s="73"/>
      <c r="AP657" s="73"/>
      <c r="AQ657" s="73"/>
      <c r="AR657" s="73"/>
      <c r="AS657" s="73"/>
      <c r="AT657" s="73"/>
      <c r="AU657" s="73"/>
      <c r="AV657" s="73"/>
      <c r="AW657" s="73"/>
      <c r="AX657" s="73"/>
      <c r="AY657" s="73"/>
      <c r="AZ657" s="73"/>
      <c r="BA657" s="73"/>
    </row>
    <row r="658" spans="1:88" s="137" customFormat="1">
      <c r="A658" s="1">
        <v>657</v>
      </c>
      <c r="B658" s="129" t="s">
        <v>1066</v>
      </c>
      <c r="C658" s="129">
        <v>623</v>
      </c>
      <c r="D658" s="129">
        <v>2</v>
      </c>
      <c r="E658" s="129">
        <v>602</v>
      </c>
      <c r="F658" s="130" t="s">
        <v>1067</v>
      </c>
      <c r="G658" s="131">
        <v>420284</v>
      </c>
      <c r="H658" s="131">
        <v>449384</v>
      </c>
      <c r="I658" s="132">
        <v>29.1</v>
      </c>
      <c r="J658" s="129">
        <v>2</v>
      </c>
      <c r="K658" s="129" t="s">
        <v>237</v>
      </c>
      <c r="L658" s="133">
        <v>42166</v>
      </c>
      <c r="M658" s="134" t="s">
        <v>191</v>
      </c>
      <c r="N658" s="135">
        <v>0</v>
      </c>
      <c r="O658" s="135">
        <v>0</v>
      </c>
      <c r="P658" s="135">
        <v>0</v>
      </c>
      <c r="Q658" s="135">
        <v>0</v>
      </c>
      <c r="R658" s="135">
        <v>0</v>
      </c>
      <c r="S658" s="38">
        <f t="shared" si="85"/>
        <v>0</v>
      </c>
      <c r="T658" s="135">
        <v>0</v>
      </c>
      <c r="U658" s="135">
        <v>0</v>
      </c>
      <c r="V658" s="135">
        <v>0</v>
      </c>
      <c r="W658" s="135">
        <v>0</v>
      </c>
      <c r="X658" s="135">
        <v>0</v>
      </c>
      <c r="Y658" s="38">
        <f t="shared" si="86"/>
        <v>0</v>
      </c>
      <c r="Z658" s="135">
        <v>0</v>
      </c>
      <c r="AA658" s="135">
        <v>0</v>
      </c>
      <c r="AB658" s="135">
        <v>0</v>
      </c>
      <c r="AC658" s="135">
        <v>0</v>
      </c>
      <c r="AD658" s="135">
        <v>0</v>
      </c>
      <c r="AE658" s="135">
        <v>0</v>
      </c>
      <c r="AF658" s="135">
        <v>0</v>
      </c>
      <c r="AG658" s="38">
        <f t="shared" si="87"/>
        <v>0</v>
      </c>
      <c r="AH658" s="135">
        <v>0</v>
      </c>
      <c r="AI658" s="135">
        <v>0</v>
      </c>
      <c r="AJ658" s="135">
        <v>0</v>
      </c>
      <c r="AK658" s="135">
        <v>0</v>
      </c>
      <c r="AL658" s="135">
        <v>0</v>
      </c>
      <c r="AM658" s="135">
        <v>0</v>
      </c>
      <c r="AN658" s="136"/>
      <c r="AP658" s="136"/>
      <c r="AQ658" s="136"/>
      <c r="AR658" s="136"/>
      <c r="AT658" s="138"/>
      <c r="AU658" s="41">
        <f>SUM(N658:Q658)</f>
        <v>0</v>
      </c>
      <c r="AV658" s="41">
        <f>SUM(T658:W658)</f>
        <v>0</v>
      </c>
      <c r="AW658" s="41">
        <f>SUM(Z658:AB658)</f>
        <v>0</v>
      </c>
      <c r="AY658" s="22" t="e">
        <f>I658/AU658</f>
        <v>#DIV/0!</v>
      </c>
      <c r="AZ658" s="22" t="e">
        <f>I658/AV658</f>
        <v>#DIV/0!</v>
      </c>
      <c r="BA658" s="22" t="e">
        <f>I658/AW658</f>
        <v>#DIV/0!</v>
      </c>
    </row>
    <row r="659" spans="1:88" s="22" customFormat="1">
      <c r="A659" s="1">
        <v>1516</v>
      </c>
      <c r="B659" s="34" t="s">
        <v>2069</v>
      </c>
      <c r="C659" s="34">
        <v>413</v>
      </c>
      <c r="D659" s="69">
        <v>3111</v>
      </c>
      <c r="E659" s="34">
        <v>200</v>
      </c>
      <c r="F659" s="34" t="s">
        <v>2088</v>
      </c>
      <c r="G659" s="58">
        <v>11556</v>
      </c>
      <c r="H659" s="58">
        <v>35485</v>
      </c>
      <c r="I659" s="35">
        <v>23.928999999999998</v>
      </c>
      <c r="J659" s="34">
        <v>2</v>
      </c>
      <c r="K659" s="34" t="s">
        <v>12</v>
      </c>
      <c r="L659" s="10">
        <v>42265</v>
      </c>
      <c r="M659" s="37" t="s">
        <v>191</v>
      </c>
      <c r="N659" s="38">
        <v>6.5</v>
      </c>
      <c r="O659" s="38">
        <v>7.85</v>
      </c>
      <c r="P659" s="38">
        <v>5.4</v>
      </c>
      <c r="Q659" s="38">
        <v>4.2249999999999996</v>
      </c>
      <c r="R659" s="38">
        <v>3.5805199999999999</v>
      </c>
      <c r="S659" s="38">
        <f t="shared" si="85"/>
        <v>3.5</v>
      </c>
      <c r="T659" s="38">
        <v>14.15</v>
      </c>
      <c r="U659" s="38">
        <v>2.7250000000000001</v>
      </c>
      <c r="V659" s="38">
        <v>3.1</v>
      </c>
      <c r="W659" s="38">
        <v>4</v>
      </c>
      <c r="X659" s="38">
        <v>10.6165</v>
      </c>
      <c r="Y659" s="38">
        <f t="shared" si="86"/>
        <v>10.5</v>
      </c>
      <c r="Z659" s="38">
        <v>0</v>
      </c>
      <c r="AA659" s="38">
        <v>0</v>
      </c>
      <c r="AB659" s="196">
        <v>23.928999999999998</v>
      </c>
      <c r="AC659" s="38">
        <v>1.1758</v>
      </c>
      <c r="AD659" s="39">
        <v>300</v>
      </c>
      <c r="AE659" s="38">
        <v>53.45</v>
      </c>
      <c r="AF659" s="38">
        <f>(AD659+AE659*0.5)/(3.5*I659*1000)*100</f>
        <v>0.39011241589702872</v>
      </c>
      <c r="AG659" s="38">
        <f t="shared" si="87"/>
        <v>0.4</v>
      </c>
      <c r="AH659" s="38">
        <v>130</v>
      </c>
      <c r="AI659" s="38">
        <f>AH659/(3.5*I659*1000)*100</f>
        <v>0.15522110051760266</v>
      </c>
      <c r="AJ659" s="38">
        <v>0</v>
      </c>
      <c r="AK659" s="38">
        <f>AJ659/(3.5*I659*1000)*100</f>
        <v>0</v>
      </c>
      <c r="AL659" s="38">
        <v>62</v>
      </c>
      <c r="AM659" s="38">
        <f>AL659/(3.5*I659*1000)*100</f>
        <v>7.4028524862241277E-2</v>
      </c>
      <c r="AN659" s="25"/>
      <c r="AO659" s="25">
        <f>AE659*0.5</f>
        <v>26.725000000000001</v>
      </c>
      <c r="AP659" s="25">
        <f>(AD659+AH659+AJ659+AL659+AO659)*I659</f>
        <v>12412.570524999999</v>
      </c>
      <c r="AQ659" s="25">
        <f>(AD659+AH659+AJ659+AL659)*I659</f>
        <v>11773.067999999999</v>
      </c>
      <c r="AR659" s="25">
        <f>SUM(N659:Q659)</f>
        <v>23.975000000000001</v>
      </c>
      <c r="AS659" s="25">
        <f>SUM(T659:W659)</f>
        <v>23.975000000000001</v>
      </c>
      <c r="AU659" s="275">
        <v>23.928999999999998</v>
      </c>
      <c r="AV659" s="41">
        <f>SUM(N659:Q659)</f>
        <v>23.975000000000001</v>
      </c>
      <c r="AW659" s="41">
        <f>SUM(T659:W659)</f>
        <v>23.975000000000001</v>
      </c>
      <c r="AX659" s="41">
        <f>SUM(Z659:AB659)</f>
        <v>23.928999999999998</v>
      </c>
      <c r="AZ659" s="22">
        <f>I659/AV659</f>
        <v>0.99808133472367033</v>
      </c>
      <c r="BA659" s="22">
        <f>I659/AW659</f>
        <v>0.99808133472367033</v>
      </c>
      <c r="BB659" s="22">
        <f>I659/AX659</f>
        <v>1</v>
      </c>
    </row>
    <row r="660" spans="1:88" s="22" customFormat="1">
      <c r="A660" s="1">
        <v>1334</v>
      </c>
      <c r="B660" s="74" t="s">
        <v>1851</v>
      </c>
      <c r="C660" s="34">
        <v>444</v>
      </c>
      <c r="D660" s="75">
        <v>3394</v>
      </c>
      <c r="E660" s="69">
        <v>100</v>
      </c>
      <c r="F660" s="34" t="s">
        <v>1881</v>
      </c>
      <c r="G660" s="20">
        <v>0</v>
      </c>
      <c r="H660" s="20">
        <v>4912</v>
      </c>
      <c r="I660" s="21">
        <v>4.9119999999999999</v>
      </c>
      <c r="J660" s="8">
        <v>2</v>
      </c>
      <c r="K660" s="34" t="s">
        <v>238</v>
      </c>
      <c r="L660" s="10">
        <v>42214</v>
      </c>
      <c r="M660" s="37" t="s">
        <v>191</v>
      </c>
      <c r="N660" s="38">
        <v>3.65</v>
      </c>
      <c r="O660" s="38">
        <v>0.77500000000000002</v>
      </c>
      <c r="P660" s="38">
        <v>0.22500000000000001</v>
      </c>
      <c r="Q660" s="38">
        <v>0.27500000000000002</v>
      </c>
      <c r="R660" s="38">
        <v>2.3218800000000002</v>
      </c>
      <c r="S660" s="38">
        <f t="shared" si="85"/>
        <v>2.5</v>
      </c>
      <c r="T660" s="38">
        <v>4.8</v>
      </c>
      <c r="U660" s="38">
        <v>0.1</v>
      </c>
      <c r="V660" s="38">
        <v>0</v>
      </c>
      <c r="W660" s="38">
        <v>2.5000000000000001E-2</v>
      </c>
      <c r="X660" s="38">
        <v>3.2761</v>
      </c>
      <c r="Y660" s="38">
        <f t="shared" si="86"/>
        <v>3.5</v>
      </c>
      <c r="Z660" s="38">
        <v>0</v>
      </c>
      <c r="AA660" s="38">
        <v>0</v>
      </c>
      <c r="AB660" s="38">
        <v>4.9249999999999998</v>
      </c>
      <c r="AC660" s="38">
        <v>1.0583499999999999</v>
      </c>
      <c r="AD660" s="39">
        <v>54.64</v>
      </c>
      <c r="AE660" s="38">
        <v>24.2</v>
      </c>
      <c r="AF660" s="38">
        <v>0.38820381572824564</v>
      </c>
      <c r="AG660" s="38">
        <f t="shared" si="87"/>
        <v>0.4</v>
      </c>
      <c r="AH660" s="38">
        <v>44.2</v>
      </c>
      <c r="AI660" s="38">
        <v>0.25709632387156817</v>
      </c>
      <c r="AJ660" s="38">
        <v>1.7</v>
      </c>
      <c r="AK660" s="38">
        <v>9.8883201489064678E-3</v>
      </c>
      <c r="AL660" s="38">
        <v>2.5</v>
      </c>
      <c r="AM660" s="38">
        <v>1.454164727780363E-2</v>
      </c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</row>
    <row r="661" spans="1:88" s="22" customFormat="1">
      <c r="A661" s="1">
        <v>223</v>
      </c>
      <c r="B661" s="34" t="s">
        <v>413</v>
      </c>
      <c r="C661" s="34">
        <v>536</v>
      </c>
      <c r="D661" s="34">
        <v>1225</v>
      </c>
      <c r="E661" s="34">
        <v>102</v>
      </c>
      <c r="F661" s="34" t="s">
        <v>429</v>
      </c>
      <c r="G661" s="20">
        <v>12000</v>
      </c>
      <c r="H661" s="20">
        <v>28675</v>
      </c>
      <c r="I661" s="35">
        <v>16.675000000000001</v>
      </c>
      <c r="J661" s="36">
        <v>2</v>
      </c>
      <c r="K661" s="34" t="s">
        <v>12</v>
      </c>
      <c r="L661" s="10">
        <v>42220</v>
      </c>
      <c r="M661" s="37" t="s">
        <v>191</v>
      </c>
      <c r="N661" s="38">
        <v>8.76</v>
      </c>
      <c r="O661" s="38">
        <v>3.39</v>
      </c>
      <c r="P661" s="38">
        <v>2.41</v>
      </c>
      <c r="Q661" s="38">
        <v>2.13</v>
      </c>
      <c r="R661" s="38">
        <v>3.0908500000000001</v>
      </c>
      <c r="S661" s="38">
        <f t="shared" si="85"/>
        <v>3</v>
      </c>
      <c r="T661" s="38">
        <v>6.53</v>
      </c>
      <c r="U661" s="38">
        <v>3.17</v>
      </c>
      <c r="V661" s="38">
        <v>2.16</v>
      </c>
      <c r="W661" s="38">
        <v>4.84</v>
      </c>
      <c r="X661" s="38">
        <v>14.944699999999999</v>
      </c>
      <c r="Y661" s="38">
        <f t="shared" si="86"/>
        <v>15</v>
      </c>
      <c r="Z661" s="38">
        <v>0</v>
      </c>
      <c r="AA661" s="38">
        <v>0</v>
      </c>
      <c r="AB661" s="38">
        <v>16.68</v>
      </c>
      <c r="AC661" s="38">
        <v>1.41092</v>
      </c>
      <c r="AD661" s="39">
        <v>226</v>
      </c>
      <c r="AE661" s="38">
        <v>0</v>
      </c>
      <c r="AF661" s="38">
        <f>(AD661+AE661*0.5)/(3.5*I661*1000)*100</f>
        <v>0.38723495395159557</v>
      </c>
      <c r="AG661" s="38">
        <f t="shared" si="87"/>
        <v>0.4</v>
      </c>
      <c r="AH661" s="38">
        <v>44</v>
      </c>
      <c r="AI661" s="38">
        <f>AH661/(3.5*I661*1000)*100</f>
        <v>7.5390875990576131E-2</v>
      </c>
      <c r="AJ661" s="38">
        <v>0</v>
      </c>
      <c r="AK661" s="38">
        <f>AJ661/(3.5*I661*1000)*100</f>
        <v>0</v>
      </c>
      <c r="AL661" s="38">
        <v>23</v>
      </c>
      <c r="AM661" s="38">
        <f>AL661/(3.5*I661*1000)*100</f>
        <v>3.9408866995073885E-2</v>
      </c>
      <c r="AN661" s="25"/>
      <c r="AO661" s="25">
        <f>AE661*0.5</f>
        <v>0</v>
      </c>
      <c r="AP661" s="25">
        <f>(AD661+AH661+AJ661+AL661+AO661)*I661</f>
        <v>4885.7750000000005</v>
      </c>
      <c r="AQ661" s="25">
        <f>SUM(N661:Q661)</f>
        <v>16.690000000000001</v>
      </c>
      <c r="AR661" s="25">
        <f>SUM(T661:W661)</f>
        <v>16.7</v>
      </c>
      <c r="AT661" s="41"/>
      <c r="AU661" s="41">
        <f>SUM(N661:Q661)</f>
        <v>16.690000000000001</v>
      </c>
      <c r="AV661" s="41">
        <f>SUM(T661:W661)</f>
        <v>16.7</v>
      </c>
      <c r="AW661" s="41">
        <f>SUM(Z661:AB661)</f>
        <v>16.68</v>
      </c>
      <c r="AY661" s="22">
        <f>I661/AU661</f>
        <v>0.99910125823846607</v>
      </c>
      <c r="AZ661" s="22">
        <f>I661/AV661</f>
        <v>0.99850299401197617</v>
      </c>
      <c r="BA661" s="22">
        <f>I661/AW661</f>
        <v>0.99970023980815359</v>
      </c>
    </row>
    <row r="662" spans="1:88" s="22" customFormat="1">
      <c r="A662" s="1">
        <v>125</v>
      </c>
      <c r="B662" s="4" t="s">
        <v>38</v>
      </c>
      <c r="C662" s="14">
        <v>528</v>
      </c>
      <c r="D662" s="19">
        <v>103</v>
      </c>
      <c r="E662" s="16">
        <v>200</v>
      </c>
      <c r="F662" s="14" t="s">
        <v>39</v>
      </c>
      <c r="G662" s="20" t="s">
        <v>175</v>
      </c>
      <c r="H662" s="20" t="s">
        <v>176</v>
      </c>
      <c r="I662" s="21">
        <v>23.791</v>
      </c>
      <c r="J662" s="8">
        <v>2</v>
      </c>
      <c r="K662" s="33" t="s">
        <v>238</v>
      </c>
      <c r="L662" s="18">
        <v>42225</v>
      </c>
      <c r="M662" s="37" t="s">
        <v>191</v>
      </c>
      <c r="N662" s="11">
        <v>11.3</v>
      </c>
      <c r="O662" s="11">
        <v>5.7750000000000004</v>
      </c>
      <c r="P662" s="11">
        <v>3.8250000000000002</v>
      </c>
      <c r="Q662" s="11">
        <v>2.9249999999999998</v>
      </c>
      <c r="R662" s="11">
        <v>3.0629300000000002</v>
      </c>
      <c r="S662" s="38">
        <f t="shared" si="85"/>
        <v>3</v>
      </c>
      <c r="T662" s="11">
        <v>22.475000000000001</v>
      </c>
      <c r="U662" s="11">
        <v>0.95</v>
      </c>
      <c r="V662" s="11">
        <v>0.35</v>
      </c>
      <c r="W662" s="11">
        <v>0.05</v>
      </c>
      <c r="X662" s="11">
        <v>4.1173400000000004</v>
      </c>
      <c r="Y662" s="38">
        <f t="shared" si="86"/>
        <v>4</v>
      </c>
      <c r="Z662" s="11">
        <v>0</v>
      </c>
      <c r="AA662" s="11">
        <v>0</v>
      </c>
      <c r="AB662" s="11">
        <v>23.825000000000003</v>
      </c>
      <c r="AC662" s="11">
        <v>1.5225500000000001</v>
      </c>
      <c r="AD662" s="164">
        <v>320.36</v>
      </c>
      <c r="AE662" s="11">
        <v>3.68</v>
      </c>
      <c r="AF662" s="11">
        <f>(AD662+AE662*0.5)/(3.5*I662*1000)*100</f>
        <v>0.38694104012922054</v>
      </c>
      <c r="AG662" s="38">
        <f t="shared" si="87"/>
        <v>0.4</v>
      </c>
      <c r="AH662" s="11">
        <v>0</v>
      </c>
      <c r="AI662" s="11">
        <f>AH662/(3.5*I662*1000)*100</f>
        <v>0</v>
      </c>
      <c r="AJ662" s="11">
        <v>0</v>
      </c>
      <c r="AK662" s="11">
        <f>AJ662/(3.5*I662*1000)*100</f>
        <v>0</v>
      </c>
      <c r="AL662" s="11">
        <v>0</v>
      </c>
      <c r="AM662" s="11">
        <f>AL662/(3.5*I662*1000)*100</f>
        <v>0</v>
      </c>
    </row>
    <row r="663" spans="1:88" s="22" customFormat="1">
      <c r="A663" s="1">
        <v>2231</v>
      </c>
      <c r="B663" s="34" t="s">
        <v>2876</v>
      </c>
      <c r="C663" s="34">
        <v>319</v>
      </c>
      <c r="D663" s="68">
        <v>430</v>
      </c>
      <c r="E663" s="89">
        <v>202</v>
      </c>
      <c r="F663" s="170" t="s">
        <v>2878</v>
      </c>
      <c r="G663" s="6">
        <v>42939</v>
      </c>
      <c r="H663" s="6">
        <v>74397</v>
      </c>
      <c r="I663" s="7">
        <v>31.457999999999998</v>
      </c>
      <c r="J663" s="89">
        <v>4</v>
      </c>
      <c r="K663" s="89" t="s">
        <v>237</v>
      </c>
      <c r="L663" s="172">
        <v>42149</v>
      </c>
      <c r="M663" s="37" t="s">
        <v>191</v>
      </c>
      <c r="N663" s="38">
        <v>20.975000000000001</v>
      </c>
      <c r="O663" s="38">
        <v>6.9749999999999996</v>
      </c>
      <c r="P663" s="38">
        <v>2.7</v>
      </c>
      <c r="Q663" s="38">
        <v>1.125</v>
      </c>
      <c r="R663" s="38">
        <v>2.4283800000000002</v>
      </c>
      <c r="S663" s="38">
        <f t="shared" si="85"/>
        <v>2.5</v>
      </c>
      <c r="T663" s="38">
        <v>29.95</v>
      </c>
      <c r="U663" s="38">
        <v>1.325</v>
      </c>
      <c r="V663" s="38">
        <v>0.42499999999999999</v>
      </c>
      <c r="W663" s="38">
        <v>7.4999999999999997E-2</v>
      </c>
      <c r="X663" s="38">
        <v>4.2552000000000003</v>
      </c>
      <c r="Y663" s="38">
        <f t="shared" si="86"/>
        <v>4.5</v>
      </c>
      <c r="Z663" s="38">
        <v>0</v>
      </c>
      <c r="AA663" s="38">
        <v>0</v>
      </c>
      <c r="AB663" s="38">
        <v>31.775000000000002</v>
      </c>
      <c r="AC663" s="38">
        <v>1.3726400000000001</v>
      </c>
      <c r="AD663" s="39">
        <v>425.55</v>
      </c>
      <c r="AE663" s="38">
        <v>0</v>
      </c>
      <c r="AF663" s="38">
        <v>0.38650173019808726</v>
      </c>
      <c r="AG663" s="38">
        <f t="shared" si="87"/>
        <v>0.4</v>
      </c>
      <c r="AH663" s="38">
        <v>0</v>
      </c>
      <c r="AI663" s="38">
        <v>0</v>
      </c>
      <c r="AJ663" s="38">
        <v>62.01</v>
      </c>
      <c r="AK663" s="38">
        <v>5.6319991280891525E-2</v>
      </c>
      <c r="AL663" s="38">
        <v>0</v>
      </c>
      <c r="AM663" s="38">
        <f>AL663/(3.5*I663*1000)*100</f>
        <v>0</v>
      </c>
      <c r="AN663" s="12"/>
      <c r="AO663" s="12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</row>
    <row r="664" spans="1:88" s="22" customFormat="1">
      <c r="A664" s="1">
        <v>2046</v>
      </c>
      <c r="B664" s="34" t="s">
        <v>2678</v>
      </c>
      <c r="C664" s="34">
        <v>326</v>
      </c>
      <c r="D664" s="75">
        <v>4329</v>
      </c>
      <c r="E664" s="8">
        <v>100</v>
      </c>
      <c r="F664" s="34" t="s">
        <v>2696</v>
      </c>
      <c r="G664" s="58">
        <v>0</v>
      </c>
      <c r="H664" s="58">
        <v>8937</v>
      </c>
      <c r="I664" s="21">
        <v>8.9369999999999994</v>
      </c>
      <c r="J664" s="8">
        <v>2</v>
      </c>
      <c r="K664" s="8" t="s">
        <v>238</v>
      </c>
      <c r="L664" s="18">
        <v>42125</v>
      </c>
      <c r="M664" s="37" t="s">
        <v>191</v>
      </c>
      <c r="N664" s="38">
        <v>7.3250000000000002</v>
      </c>
      <c r="O664" s="38">
        <v>0.9</v>
      </c>
      <c r="P664" s="38">
        <v>0.375</v>
      </c>
      <c r="Q664" s="38">
        <v>0.27500000000000002</v>
      </c>
      <c r="R664" s="38">
        <v>2.05654</v>
      </c>
      <c r="S664" s="38">
        <f t="shared" si="85"/>
        <v>2</v>
      </c>
      <c r="T664" s="38">
        <v>8.65</v>
      </c>
      <c r="U664" s="38">
        <v>0.22500000000000001</v>
      </c>
      <c r="V664" s="38">
        <v>0</v>
      </c>
      <c r="W664" s="38">
        <v>0</v>
      </c>
      <c r="X664" s="38">
        <v>3.4681999999999999</v>
      </c>
      <c r="Y664" s="38">
        <f t="shared" si="86"/>
        <v>3.5</v>
      </c>
      <c r="Z664" s="38">
        <v>0</v>
      </c>
      <c r="AA664" s="38">
        <v>0</v>
      </c>
      <c r="AB664" s="38">
        <v>8.875</v>
      </c>
      <c r="AC664" s="38">
        <v>1.3804399999999999</v>
      </c>
      <c r="AD664" s="39">
        <v>0</v>
      </c>
      <c r="AE664" s="38">
        <v>241.35</v>
      </c>
      <c r="AF664" s="38">
        <f>(AD664+AE664*0.5)/(3.5*I664*1000)*100</f>
        <v>0.3857958087565338</v>
      </c>
      <c r="AG664" s="38">
        <f t="shared" si="87"/>
        <v>0.4</v>
      </c>
      <c r="AH664" s="38">
        <v>0</v>
      </c>
      <c r="AI664" s="38">
        <v>0</v>
      </c>
      <c r="AJ664" s="55">
        <v>0</v>
      </c>
      <c r="AK664" s="55">
        <v>0</v>
      </c>
      <c r="AL664" s="55">
        <v>0</v>
      </c>
      <c r="AM664" s="55">
        <f>AL664/(3.5*I664*1000)*100</f>
        <v>0</v>
      </c>
      <c r="AN664" s="1"/>
      <c r="AO664" s="12"/>
      <c r="AP664" s="12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</row>
    <row r="665" spans="1:88" s="22" customFormat="1">
      <c r="A665" s="1">
        <v>1219</v>
      </c>
      <c r="B665" s="34" t="s">
        <v>1674</v>
      </c>
      <c r="C665" s="34">
        <v>435</v>
      </c>
      <c r="D665" s="34">
        <v>2344</v>
      </c>
      <c r="E665" s="34">
        <v>100</v>
      </c>
      <c r="F665" s="34" t="s">
        <v>1718</v>
      </c>
      <c r="G665" s="34" t="s">
        <v>92</v>
      </c>
      <c r="H665" s="34" t="s">
        <v>1719</v>
      </c>
      <c r="I665" s="55">
        <v>5.2</v>
      </c>
      <c r="J665" s="34">
        <v>2</v>
      </c>
      <c r="K665" s="181" t="s">
        <v>238</v>
      </c>
      <c r="L665" s="10">
        <v>42282</v>
      </c>
      <c r="M665" s="37" t="s">
        <v>191</v>
      </c>
      <c r="N665" s="38">
        <v>3.5750000000000002</v>
      </c>
      <c r="O665" s="38">
        <v>1.2</v>
      </c>
      <c r="P665" s="38">
        <v>0.27500000000000002</v>
      </c>
      <c r="Q665" s="38">
        <v>0.2</v>
      </c>
      <c r="R665" s="38">
        <v>2.4413800000000001</v>
      </c>
      <c r="S665" s="38">
        <f t="shared" si="85"/>
        <v>2.5</v>
      </c>
      <c r="T665" s="38">
        <v>5.0250000000000004</v>
      </c>
      <c r="U665" s="38">
        <v>0.17499999999999999</v>
      </c>
      <c r="V665" s="38">
        <v>2.5000000000000001E-2</v>
      </c>
      <c r="W665" s="38">
        <v>2.5000000000000001E-2</v>
      </c>
      <c r="X665" s="38">
        <v>4.5586900000000004</v>
      </c>
      <c r="Y665" s="38">
        <f t="shared" si="86"/>
        <v>4.5</v>
      </c>
      <c r="Z665" s="38">
        <v>0</v>
      </c>
      <c r="AA665" s="38">
        <v>0</v>
      </c>
      <c r="AB665" s="55">
        <v>5.2</v>
      </c>
      <c r="AC665" s="38">
        <v>1.2320599999999999</v>
      </c>
      <c r="AD665" s="39">
        <v>68.3</v>
      </c>
      <c r="AE665" s="38">
        <v>3.56</v>
      </c>
      <c r="AF665" s="38">
        <f>(AD665+AE665*0.5)/(3.5*I665*1000)*100</f>
        <v>0.38505494505494509</v>
      </c>
      <c r="AG665" s="38">
        <f t="shared" si="87"/>
        <v>0.4</v>
      </c>
      <c r="AH665" s="38">
        <v>29.36</v>
      </c>
      <c r="AI665" s="38">
        <v>0.16131899999999999</v>
      </c>
      <c r="AJ665" s="38">
        <v>0</v>
      </c>
      <c r="AK665" s="38">
        <v>0</v>
      </c>
      <c r="AL665" s="38">
        <v>0</v>
      </c>
      <c r="AM665" s="38">
        <v>0</v>
      </c>
      <c r="AN665" s="12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</row>
    <row r="666" spans="1:88" s="22" customFormat="1">
      <c r="A666" s="1">
        <v>1118</v>
      </c>
      <c r="B666" s="9" t="s">
        <v>1513</v>
      </c>
      <c r="C666" s="34">
        <v>431</v>
      </c>
      <c r="D666" s="75">
        <v>3302</v>
      </c>
      <c r="E666" s="69">
        <v>100</v>
      </c>
      <c r="F666" s="34" t="s">
        <v>1553</v>
      </c>
      <c r="G666" s="58" t="s">
        <v>92</v>
      </c>
      <c r="H666" s="58" t="s">
        <v>714</v>
      </c>
      <c r="I666" s="55">
        <v>7</v>
      </c>
      <c r="J666" s="5">
        <v>2</v>
      </c>
      <c r="K666" s="5" t="s">
        <v>238</v>
      </c>
      <c r="L666" s="18">
        <v>42282</v>
      </c>
      <c r="M666" s="37" t="s">
        <v>191</v>
      </c>
      <c r="N666" s="38">
        <v>4.4249999999999998</v>
      </c>
      <c r="O666" s="38">
        <v>1.75</v>
      </c>
      <c r="P666" s="38">
        <v>0.67500000000000004</v>
      </c>
      <c r="Q666" s="38">
        <v>0.27500000000000002</v>
      </c>
      <c r="R666" s="38">
        <v>2.7316099999999999</v>
      </c>
      <c r="S666" s="38">
        <f t="shared" si="85"/>
        <v>2.5</v>
      </c>
      <c r="T666" s="38">
        <v>6.9249999999999998</v>
      </c>
      <c r="U666" s="38">
        <v>0.125</v>
      </c>
      <c r="V666" s="38">
        <v>2.5000000000000001E-2</v>
      </c>
      <c r="W666" s="38">
        <v>0.05</v>
      </c>
      <c r="X666" s="38">
        <v>3.9500700000000002</v>
      </c>
      <c r="Y666" s="38">
        <f t="shared" si="86"/>
        <v>4</v>
      </c>
      <c r="Z666" s="38">
        <v>0</v>
      </c>
      <c r="AA666" s="38">
        <v>0</v>
      </c>
      <c r="AB666" s="38">
        <v>7.125</v>
      </c>
      <c r="AC666" s="38">
        <v>1.27227</v>
      </c>
      <c r="AD666" s="39">
        <v>93.334999999999994</v>
      </c>
      <c r="AE666" s="38">
        <v>1.98</v>
      </c>
      <c r="AF666" s="38">
        <f>(AD666+AE666*0.5)/(3.5*I666*1000)*100</f>
        <v>0.38499999999999995</v>
      </c>
      <c r="AG666" s="38">
        <f t="shared" si="87"/>
        <v>0.4</v>
      </c>
      <c r="AH666" s="38">
        <v>35.159999999999997</v>
      </c>
      <c r="AI666" s="38">
        <f>AH666/(3.5*I666*1000)*100</f>
        <v>0.14351020408163265</v>
      </c>
      <c r="AJ666" s="38">
        <v>0</v>
      </c>
      <c r="AK666" s="38">
        <f>AJ666/(3.5*I666*1000)*100</f>
        <v>0</v>
      </c>
      <c r="AL666" s="38">
        <v>0</v>
      </c>
      <c r="AM666" s="38">
        <f>AL666/(3.5*I666*1000)*100</f>
        <v>0</v>
      </c>
      <c r="AN666" s="41"/>
      <c r="AO666" s="114"/>
      <c r="AP666" s="73"/>
      <c r="AQ666" s="73"/>
    </row>
    <row r="667" spans="1:88" s="22" customFormat="1">
      <c r="A667" s="1">
        <v>2028</v>
      </c>
      <c r="B667" s="34" t="s">
        <v>2646</v>
      </c>
      <c r="C667" s="34">
        <v>325</v>
      </c>
      <c r="D667" s="75">
        <v>4349</v>
      </c>
      <c r="E667" s="8">
        <v>100</v>
      </c>
      <c r="F667" s="34" t="s">
        <v>2676</v>
      </c>
      <c r="G667" s="58">
        <v>0</v>
      </c>
      <c r="H667" s="58">
        <v>10032</v>
      </c>
      <c r="I667" s="21">
        <v>10.032</v>
      </c>
      <c r="J667" s="8">
        <v>2</v>
      </c>
      <c r="K667" s="8" t="s">
        <v>238</v>
      </c>
      <c r="L667" s="18">
        <v>42117</v>
      </c>
      <c r="M667" s="37" t="s">
        <v>191</v>
      </c>
      <c r="N667" s="38">
        <v>3.21</v>
      </c>
      <c r="O667" s="38">
        <v>2.81</v>
      </c>
      <c r="P667" s="38">
        <v>4.01</v>
      </c>
      <c r="Q667" s="38">
        <v>0</v>
      </c>
      <c r="R667" s="38">
        <v>3.0219999999999998</v>
      </c>
      <c r="S667" s="38">
        <f t="shared" si="85"/>
        <v>3</v>
      </c>
      <c r="T667" s="38">
        <v>10.029999999999999</v>
      </c>
      <c r="U667" s="38">
        <v>0</v>
      </c>
      <c r="V667" s="38">
        <v>0</v>
      </c>
      <c r="W667" s="38">
        <v>0</v>
      </c>
      <c r="X667" s="38">
        <v>2.17292</v>
      </c>
      <c r="Y667" s="38">
        <f t="shared" si="86"/>
        <v>2</v>
      </c>
      <c r="Z667" s="38">
        <v>0</v>
      </c>
      <c r="AA667" s="38">
        <v>0</v>
      </c>
      <c r="AB667" s="38">
        <v>10.029999999999999</v>
      </c>
      <c r="AC667" s="38">
        <v>1.05904</v>
      </c>
      <c r="AD667" s="39">
        <v>123.69</v>
      </c>
      <c r="AE667" s="38">
        <v>22</v>
      </c>
      <c r="AF667" s="38">
        <f>(AD667+AE667*0.5)/(3.5*I667*1000)*100</f>
        <v>0.38360104807473228</v>
      </c>
      <c r="AG667" s="38">
        <f t="shared" si="87"/>
        <v>0.4</v>
      </c>
      <c r="AH667" s="38">
        <v>0</v>
      </c>
      <c r="AI667" s="38">
        <f>AH667/(3.5*I667*1000)*100</f>
        <v>0</v>
      </c>
      <c r="AJ667" s="38">
        <v>4.2</v>
      </c>
      <c r="AK667" s="38">
        <f>AJ667/(3.5*I667*1000)*100</f>
        <v>1.1961722488038277E-2</v>
      </c>
      <c r="AL667" s="38">
        <v>0</v>
      </c>
      <c r="AM667" s="38">
        <f>AL667/(3.5*I667*1000)*100</f>
        <v>0</v>
      </c>
      <c r="AN667" s="12"/>
      <c r="AO667" s="12"/>
      <c r="AP667" s="1"/>
      <c r="AQ667" s="41">
        <f>SUM(N667:Q667)</f>
        <v>10.029999999999999</v>
      </c>
      <c r="AR667" s="41">
        <f>SUM(T667:W667)</f>
        <v>10.029999999999999</v>
      </c>
      <c r="AS667" s="12">
        <f>SUM(Z667:AB667)</f>
        <v>10.029999999999999</v>
      </c>
      <c r="AT667" s="1"/>
      <c r="AU667" s="1">
        <f>I667/AQ667</f>
        <v>1.0001994017946163</v>
      </c>
      <c r="AV667" s="1">
        <f>I667/AR667</f>
        <v>1.0001994017946163</v>
      </c>
      <c r="AW667" s="1">
        <f>I667/AS667</f>
        <v>1.0001994017946163</v>
      </c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</row>
    <row r="668" spans="1:88" s="22" customFormat="1">
      <c r="A668" s="1">
        <v>1281</v>
      </c>
      <c r="B668" s="74" t="s">
        <v>1820</v>
      </c>
      <c r="C668" s="34">
        <v>441</v>
      </c>
      <c r="D668" s="75">
        <v>3195</v>
      </c>
      <c r="E668" s="69">
        <v>100</v>
      </c>
      <c r="F668" s="34" t="s">
        <v>1824</v>
      </c>
      <c r="G668" s="58">
        <v>8450</v>
      </c>
      <c r="H668" s="58">
        <v>0</v>
      </c>
      <c r="I668" s="55">
        <v>8.4499999999999993</v>
      </c>
      <c r="J668" s="34">
        <v>4</v>
      </c>
      <c r="K668" s="34" t="s">
        <v>96</v>
      </c>
      <c r="L668" s="10">
        <v>42186</v>
      </c>
      <c r="M668" s="37" t="s">
        <v>191</v>
      </c>
      <c r="N668" s="38">
        <v>4.3499999999999996</v>
      </c>
      <c r="O668" s="38">
        <v>2.3250000000000002</v>
      </c>
      <c r="P668" s="38">
        <v>1.125</v>
      </c>
      <c r="Q668" s="38">
        <v>0.625</v>
      </c>
      <c r="R668" s="38">
        <v>3.18018</v>
      </c>
      <c r="S668" s="38">
        <f t="shared" si="85"/>
        <v>3</v>
      </c>
      <c r="T668" s="38">
        <v>8.1999999999999993</v>
      </c>
      <c r="U668" s="38">
        <v>0.15</v>
      </c>
      <c r="V668" s="38">
        <v>0.05</v>
      </c>
      <c r="W668" s="38">
        <v>2.5000000000000001E-2</v>
      </c>
      <c r="X668" s="38">
        <v>3.8300100000000001</v>
      </c>
      <c r="Y668" s="38">
        <f t="shared" si="86"/>
        <v>4</v>
      </c>
      <c r="Z668" s="38">
        <v>0</v>
      </c>
      <c r="AA668" s="38">
        <v>0</v>
      </c>
      <c r="AB668" s="38">
        <v>8.4250000000000007</v>
      </c>
      <c r="AC668" s="38">
        <v>1.14638</v>
      </c>
      <c r="AD668" s="39">
        <v>94.3</v>
      </c>
      <c r="AE668" s="38">
        <v>38.200000000000003</v>
      </c>
      <c r="AF668" s="38">
        <v>0.38343195266272195</v>
      </c>
      <c r="AG668" s="38">
        <f t="shared" si="87"/>
        <v>0.4</v>
      </c>
      <c r="AH668" s="38">
        <v>187.4</v>
      </c>
      <c r="AI668" s="38">
        <v>0.51699070160608629</v>
      </c>
      <c r="AJ668" s="38">
        <v>0</v>
      </c>
      <c r="AK668" s="38">
        <v>7.4387151310228257E-3</v>
      </c>
      <c r="AL668" s="38">
        <v>2.4</v>
      </c>
      <c r="AM668" s="38">
        <v>4</v>
      </c>
      <c r="AN668" s="40"/>
      <c r="AO668" s="12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</row>
    <row r="669" spans="1:88" s="22" customFormat="1">
      <c r="A669" s="1">
        <v>157</v>
      </c>
      <c r="B669" s="34" t="s">
        <v>294</v>
      </c>
      <c r="C669" s="34">
        <v>531</v>
      </c>
      <c r="D669" s="34">
        <v>1343</v>
      </c>
      <c r="E669" s="34">
        <v>100</v>
      </c>
      <c r="F669" s="34" t="s">
        <v>328</v>
      </c>
      <c r="G669" s="20" t="s">
        <v>92</v>
      </c>
      <c r="H669" s="20" t="s">
        <v>329</v>
      </c>
      <c r="I669" s="35">
        <v>10.725</v>
      </c>
      <c r="J669" s="36">
        <v>2</v>
      </c>
      <c r="K669" s="34" t="s">
        <v>238</v>
      </c>
      <c r="L669" s="18">
        <v>42221</v>
      </c>
      <c r="M669" s="37" t="s">
        <v>191</v>
      </c>
      <c r="N669" s="38">
        <v>4.13</v>
      </c>
      <c r="O669" s="38">
        <v>2.35</v>
      </c>
      <c r="P669" s="38">
        <v>2.2200000000000002</v>
      </c>
      <c r="Q669" s="38">
        <v>2.04</v>
      </c>
      <c r="R669" s="38">
        <v>3.5019999999999998</v>
      </c>
      <c r="S669" s="38">
        <f t="shared" si="85"/>
        <v>3.5</v>
      </c>
      <c r="T669" s="38">
        <v>4.75</v>
      </c>
      <c r="U669" s="38">
        <v>1.76</v>
      </c>
      <c r="V669" s="38">
        <v>1.26</v>
      </c>
      <c r="W669" s="38">
        <v>2.96</v>
      </c>
      <c r="X669" s="38">
        <v>15.702</v>
      </c>
      <c r="Y669" s="38">
        <f t="shared" si="86"/>
        <v>15.5</v>
      </c>
      <c r="Z669" s="38">
        <v>0</v>
      </c>
      <c r="AA669" s="38">
        <v>0</v>
      </c>
      <c r="AB669" s="38">
        <v>10.73</v>
      </c>
      <c r="AC669" s="38">
        <v>1.607</v>
      </c>
      <c r="AD669" s="39">
        <v>49.1</v>
      </c>
      <c r="AE669" s="38">
        <v>188.88000000000002</v>
      </c>
      <c r="AF669" s="38">
        <f>(AD669+AE669*0.5)/(3.5*I669*1000)*100</f>
        <v>0.38239094239094246</v>
      </c>
      <c r="AG669" s="38">
        <f t="shared" si="87"/>
        <v>0.4</v>
      </c>
      <c r="AH669" s="38">
        <v>10883.66</v>
      </c>
      <c r="AI669" s="38">
        <f>AH669/(3.5*I669*1000)*100</f>
        <v>28.994099234099235</v>
      </c>
      <c r="AJ669" s="38">
        <v>213.78000000000003</v>
      </c>
      <c r="AK669" s="38">
        <f>AJ669/(3.5*I669*1000)*100</f>
        <v>0.56951048951048955</v>
      </c>
      <c r="AL669" s="38">
        <v>896.27000000000021</v>
      </c>
      <c r="AM669" s="38">
        <f>AL669/(3.5*I669*1000)*100</f>
        <v>2.3876656676656682</v>
      </c>
      <c r="AN669" s="40"/>
      <c r="AO669" s="40">
        <f>AE669*0.5</f>
        <v>94.440000000000012</v>
      </c>
      <c r="AP669" s="40">
        <f>(AD669+AH669+AJ669+AL669+AO669)*I669</f>
        <v>130172.00625000002</v>
      </c>
      <c r="AQ669" s="25">
        <f>SUM(N669:Q669)</f>
        <v>10.740000000000002</v>
      </c>
      <c r="AR669" s="25">
        <f>SUM(T669:W669)</f>
        <v>10.73</v>
      </c>
      <c r="AS669" s="73"/>
      <c r="AT669" s="41"/>
      <c r="AU669" s="41">
        <f>SUM(N669:Q669)</f>
        <v>10.740000000000002</v>
      </c>
      <c r="AV669" s="41">
        <f>SUM(T669:W669)</f>
        <v>10.73</v>
      </c>
      <c r="AW669" s="41">
        <f>SUM(Z669:AB669)</f>
        <v>10.73</v>
      </c>
      <c r="AX669" s="73"/>
      <c r="AY669" s="22">
        <f>I669/AU669</f>
        <v>0.99860335195530703</v>
      </c>
      <c r="AZ669" s="22">
        <f>I669/AV669</f>
        <v>0.99953401677539599</v>
      </c>
      <c r="BA669" s="22">
        <f>I669/AW669</f>
        <v>0.99953401677539599</v>
      </c>
      <c r="BB669" s="73"/>
      <c r="BC669" s="73"/>
    </row>
    <row r="670" spans="1:88" s="22" customFormat="1">
      <c r="A670" s="1">
        <v>567</v>
      </c>
      <c r="B670" s="34" t="s">
        <v>948</v>
      </c>
      <c r="C670" s="34">
        <v>551</v>
      </c>
      <c r="D670" s="34">
        <v>2326</v>
      </c>
      <c r="E670" s="34">
        <v>101</v>
      </c>
      <c r="F670" s="9" t="s">
        <v>968</v>
      </c>
      <c r="G670" s="20">
        <v>0</v>
      </c>
      <c r="H670" s="118">
        <v>15959</v>
      </c>
      <c r="I670" s="35">
        <v>15.959</v>
      </c>
      <c r="J670" s="71">
        <v>2</v>
      </c>
      <c r="K670" s="34" t="s">
        <v>237</v>
      </c>
      <c r="L670" s="10">
        <v>42224</v>
      </c>
      <c r="M670" s="37" t="s">
        <v>191</v>
      </c>
      <c r="N670" s="38">
        <v>10.23</v>
      </c>
      <c r="O670" s="38">
        <v>1</v>
      </c>
      <c r="P670" s="38">
        <v>0.4</v>
      </c>
      <c r="Q670" s="38">
        <v>0.33</v>
      </c>
      <c r="R670" s="38">
        <v>1.802</v>
      </c>
      <c r="S670" s="38">
        <f t="shared" si="85"/>
        <v>2</v>
      </c>
      <c r="T670" s="38">
        <v>11.95</v>
      </c>
      <c r="U670" s="38">
        <v>0</v>
      </c>
      <c r="V670" s="38">
        <v>0</v>
      </c>
      <c r="W670" s="38">
        <v>0</v>
      </c>
      <c r="X670" s="38">
        <v>4.3840000000000003</v>
      </c>
      <c r="Y670" s="38">
        <f t="shared" si="86"/>
        <v>4.5</v>
      </c>
      <c r="Z670" s="38">
        <v>0</v>
      </c>
      <c r="AA670" s="38">
        <v>0</v>
      </c>
      <c r="AB670" s="38">
        <f>T670+U670+V670+W670</f>
        <v>11.95</v>
      </c>
      <c r="AC670" s="38">
        <v>1.8979999999999999</v>
      </c>
      <c r="AD670" s="39">
        <v>0</v>
      </c>
      <c r="AE670" s="38">
        <v>426.21</v>
      </c>
      <c r="AF670" s="38">
        <f>(AD670+AE670*0.5)/(3.5*I670*1000)*100</f>
        <v>0.38152229373483837</v>
      </c>
      <c r="AG670" s="38">
        <f t="shared" si="87"/>
        <v>0.4</v>
      </c>
      <c r="AH670" s="38">
        <v>0</v>
      </c>
      <c r="AI670" s="38">
        <f>AH670/(3.5*I670*1000)*100</f>
        <v>0</v>
      </c>
      <c r="AJ670" s="38">
        <v>0</v>
      </c>
      <c r="AK670" s="38">
        <f>AJ670/(3.5*I670*1000)*100</f>
        <v>0</v>
      </c>
      <c r="AL670" s="38">
        <v>7</v>
      </c>
      <c r="AM670" s="38">
        <f>AL670/(3.5*I670*1000)*100</f>
        <v>1.2532113540948681E-2</v>
      </c>
      <c r="AN670" s="25"/>
      <c r="AO670" s="25">
        <f>AE670*0.5</f>
        <v>213.10499999999999</v>
      </c>
      <c r="AP670" s="25">
        <f>(AD670+AH670+AJ670+AL670+AO670)*I670</f>
        <v>3512.6556949999999</v>
      </c>
      <c r="AQ670" s="25">
        <f>SUM(N670:Q670)</f>
        <v>11.96</v>
      </c>
      <c r="AR670" s="25">
        <f>SUM(T670:W670)</f>
        <v>11.95</v>
      </c>
      <c r="AS670" s="268">
        <v>11.952</v>
      </c>
      <c r="AT670" s="41"/>
      <c r="AU670" s="41">
        <f>SUM(N670:Q670)</f>
        <v>11.96</v>
      </c>
      <c r="AV670" s="41">
        <f>SUM(T670:W670)</f>
        <v>11.95</v>
      </c>
      <c r="AW670" s="41">
        <f>SUM(Z670:AB670)</f>
        <v>11.95</v>
      </c>
      <c r="AY670" s="22">
        <f>I670/AU670</f>
        <v>1.3343645484949831</v>
      </c>
      <c r="AZ670" s="22">
        <f>I670/AV670</f>
        <v>1.3354811715481172</v>
      </c>
      <c r="BA670" s="22">
        <f>I670/AW670</f>
        <v>1.3354811715481172</v>
      </c>
    </row>
    <row r="671" spans="1:88" s="22" customFormat="1">
      <c r="A671" s="1">
        <v>1418</v>
      </c>
      <c r="B671" s="34" t="s">
        <v>1957</v>
      </c>
      <c r="C671" s="34">
        <v>447</v>
      </c>
      <c r="D671" s="75">
        <v>3265</v>
      </c>
      <c r="E671" s="69">
        <v>100</v>
      </c>
      <c r="F671" s="184" t="s">
        <v>1971</v>
      </c>
      <c r="G671" s="77">
        <v>0</v>
      </c>
      <c r="H671" s="20">
        <v>11812</v>
      </c>
      <c r="I671" s="21">
        <v>11.811999999999999</v>
      </c>
      <c r="J671" s="8">
        <v>2</v>
      </c>
      <c r="K671" s="34" t="s">
        <v>238</v>
      </c>
      <c r="L671" s="10">
        <v>42216</v>
      </c>
      <c r="M671" s="37" t="s">
        <v>191</v>
      </c>
      <c r="N671" s="38">
        <v>7.6749999999999998</v>
      </c>
      <c r="O671" s="38">
        <v>2.2749999999999999</v>
      </c>
      <c r="P671" s="38">
        <v>1.1000000000000001</v>
      </c>
      <c r="Q671" s="38">
        <v>0.8</v>
      </c>
      <c r="R671" s="38">
        <v>2.9432299999999998</v>
      </c>
      <c r="S671" s="38">
        <f t="shared" si="85"/>
        <v>3</v>
      </c>
      <c r="T671" s="38">
        <v>11.3</v>
      </c>
      <c r="U671" s="38">
        <v>0.42499999999999999</v>
      </c>
      <c r="V671" s="38">
        <v>0.125</v>
      </c>
      <c r="W671" s="38">
        <v>0</v>
      </c>
      <c r="X671" s="38">
        <v>3.6864599999999998</v>
      </c>
      <c r="Y671" s="38">
        <f t="shared" si="86"/>
        <v>3.5</v>
      </c>
      <c r="Z671" s="38">
        <v>0</v>
      </c>
      <c r="AA671" s="38">
        <v>0</v>
      </c>
      <c r="AB671" s="38">
        <v>11.85</v>
      </c>
      <c r="AC671" s="38">
        <v>1.2317800000000001</v>
      </c>
      <c r="AD671" s="39">
        <v>157</v>
      </c>
      <c r="AE671" s="38">
        <v>1</v>
      </c>
      <c r="AF671" s="38">
        <v>0.3809685066034541</v>
      </c>
      <c r="AG671" s="38">
        <f t="shared" si="87"/>
        <v>0.4</v>
      </c>
      <c r="AH671" s="38">
        <v>0</v>
      </c>
      <c r="AI671" s="38">
        <f>AH671/(3.5*I671*1000)*100</f>
        <v>0</v>
      </c>
      <c r="AJ671" s="38">
        <v>13</v>
      </c>
      <c r="AK671" s="38">
        <f>AJ671/(3.5*I671*1000)*100</f>
        <v>3.1445019592666053E-2</v>
      </c>
      <c r="AL671" s="38">
        <v>0</v>
      </c>
      <c r="AM671" s="38">
        <f>AL671/(3.5*I671*1000)*100</f>
        <v>0</v>
      </c>
      <c r="AN671" s="41"/>
    </row>
    <row r="672" spans="1:88" s="22" customFormat="1">
      <c r="A672" s="1">
        <v>2089</v>
      </c>
      <c r="B672" s="34" t="s">
        <v>2732</v>
      </c>
      <c r="C672" s="34">
        <v>323</v>
      </c>
      <c r="D672" s="75">
        <v>4038</v>
      </c>
      <c r="E672" s="8">
        <v>100</v>
      </c>
      <c r="F672" s="9" t="s">
        <v>2736</v>
      </c>
      <c r="G672" s="20">
        <v>53546</v>
      </c>
      <c r="H672" s="20">
        <v>0</v>
      </c>
      <c r="I672" s="21">
        <v>53.545999999999999</v>
      </c>
      <c r="J672" s="9">
        <v>2</v>
      </c>
      <c r="K672" s="34" t="s">
        <v>12</v>
      </c>
      <c r="L672" s="18">
        <v>42132</v>
      </c>
      <c r="M672" s="37" t="s">
        <v>191</v>
      </c>
      <c r="N672" s="38">
        <v>35.92</v>
      </c>
      <c r="O672" s="38">
        <v>11.25</v>
      </c>
      <c r="P672" s="38">
        <v>4.71</v>
      </c>
      <c r="Q672" s="38">
        <v>1.66</v>
      </c>
      <c r="R672" s="38">
        <v>2.35202</v>
      </c>
      <c r="S672" s="38">
        <f t="shared" si="85"/>
        <v>2.5</v>
      </c>
      <c r="T672" s="38">
        <v>47.4</v>
      </c>
      <c r="U672" s="38">
        <v>3.83</v>
      </c>
      <c r="V672" s="38">
        <v>1.38</v>
      </c>
      <c r="W672" s="38">
        <v>0.93</v>
      </c>
      <c r="X672" s="38">
        <v>5.7827000000000002</v>
      </c>
      <c r="Y672" s="38">
        <f t="shared" si="86"/>
        <v>6</v>
      </c>
      <c r="Z672" s="38">
        <v>0</v>
      </c>
      <c r="AA672" s="38">
        <v>0</v>
      </c>
      <c r="AB672" s="38">
        <v>53.55</v>
      </c>
      <c r="AC672" s="38">
        <v>1.2846900000000001</v>
      </c>
      <c r="AD672" s="39">
        <v>703</v>
      </c>
      <c r="AE672" s="38">
        <v>21</v>
      </c>
      <c r="AF672" s="38">
        <f>(AD672+AE672*0.5)/(3.5*I672*1000)*100</f>
        <v>0.38071404560031158</v>
      </c>
      <c r="AG672" s="38">
        <f t="shared" si="87"/>
        <v>0.4</v>
      </c>
      <c r="AH672" s="38">
        <v>0</v>
      </c>
      <c r="AI672" s="38">
        <f>AH672/(3.5*I672*1000)*100</f>
        <v>0</v>
      </c>
      <c r="AJ672" s="38">
        <v>0</v>
      </c>
      <c r="AK672" s="38">
        <v>0</v>
      </c>
      <c r="AL672" s="38">
        <v>20</v>
      </c>
      <c r="AM672" s="38">
        <f>AL672/(3.5*I672*1000)*100</f>
        <v>1.0671732182209155E-2</v>
      </c>
      <c r="AN672" s="25"/>
      <c r="AO672" s="25"/>
      <c r="AQ672" s="41">
        <f>SUM(N672:Q672)</f>
        <v>53.54</v>
      </c>
      <c r="AR672" s="41">
        <f>SUM(T672:W672)</f>
        <v>53.54</v>
      </c>
      <c r="AS672" s="12">
        <f>SUM(Z672:AB672)</f>
        <v>53.55</v>
      </c>
      <c r="AT672" s="1"/>
      <c r="AU672" s="1">
        <f>I672/AQ672</f>
        <v>1.0001120657452371</v>
      </c>
      <c r="AV672" s="1">
        <f>I672/AR672</f>
        <v>1.0001120657452371</v>
      </c>
      <c r="AW672" s="1">
        <f>I672/AS672</f>
        <v>0.99992530345471531</v>
      </c>
    </row>
    <row r="673" spans="1:88" s="22" customFormat="1">
      <c r="A673" s="1">
        <v>864</v>
      </c>
      <c r="B673" s="34" t="s">
        <v>1231</v>
      </c>
      <c r="C673" s="34">
        <v>615</v>
      </c>
      <c r="D673" s="34">
        <v>2458</v>
      </c>
      <c r="E673" s="34">
        <v>100</v>
      </c>
      <c r="F673" s="34" t="s">
        <v>1258</v>
      </c>
      <c r="G673" s="58">
        <v>0</v>
      </c>
      <c r="H673" s="58">
        <v>12658</v>
      </c>
      <c r="I673" s="35">
        <v>12.657999999999999</v>
      </c>
      <c r="J673" s="9">
        <v>2</v>
      </c>
      <c r="K673" s="34" t="s">
        <v>238</v>
      </c>
      <c r="L673" s="10">
        <v>42135</v>
      </c>
      <c r="M673" s="37" t="s">
        <v>191</v>
      </c>
      <c r="N673" s="38">
        <v>3.9</v>
      </c>
      <c r="O673" s="38">
        <v>3.5750000000000002</v>
      </c>
      <c r="P673" s="38">
        <v>3.1</v>
      </c>
      <c r="Q673" s="38">
        <v>2.0499999999999998</v>
      </c>
      <c r="R673" s="38">
        <v>4.2091399999999997</v>
      </c>
      <c r="S673" s="38">
        <f t="shared" si="85"/>
        <v>4</v>
      </c>
      <c r="T673" s="38">
        <v>12.324999999999999</v>
      </c>
      <c r="U673" s="38">
        <v>0.22500000000000001</v>
      </c>
      <c r="V673" s="38">
        <v>0.05</v>
      </c>
      <c r="W673" s="38">
        <v>2.5000000000000001E-2</v>
      </c>
      <c r="X673" s="38">
        <v>2.6036000000000001</v>
      </c>
      <c r="Y673" s="38">
        <f t="shared" si="86"/>
        <v>2.5</v>
      </c>
      <c r="Z673" s="38">
        <v>0</v>
      </c>
      <c r="AA673" s="38">
        <v>0</v>
      </c>
      <c r="AB673" s="38">
        <f>N673+O673+P673+Q673</f>
        <v>12.625</v>
      </c>
      <c r="AC673" s="38">
        <v>1.49302</v>
      </c>
      <c r="AD673" s="39">
        <v>159.75</v>
      </c>
      <c r="AE673" s="38">
        <v>15.3</v>
      </c>
      <c r="AF673" s="38">
        <v>0.37785000000000002</v>
      </c>
      <c r="AG673" s="38">
        <f t="shared" si="87"/>
        <v>0.4</v>
      </c>
      <c r="AH673" s="38">
        <v>579.86</v>
      </c>
      <c r="AI673" s="38">
        <v>1.3088500000000001</v>
      </c>
      <c r="AJ673" s="38">
        <v>27.18</v>
      </c>
      <c r="AK673" s="38">
        <v>6.1350000000000002E-2</v>
      </c>
      <c r="AL673" s="38">
        <v>484.83</v>
      </c>
      <c r="AM673" s="38">
        <v>1.0943499999999999</v>
      </c>
      <c r="AN673" s="25"/>
      <c r="AO673" s="25">
        <f>AE673*0.5</f>
        <v>7.65</v>
      </c>
      <c r="AP673" s="25">
        <f>(AD673+AH673+AJ673+AL673+AO673)*I673</f>
        <v>15939.83966</v>
      </c>
      <c r="AQ673" s="25">
        <f>SUM(N673:Q673)</f>
        <v>12.625</v>
      </c>
      <c r="AR673" s="25">
        <f>SUM(T673:W673)</f>
        <v>12.625</v>
      </c>
      <c r="AS673" s="268">
        <v>12.657999999999999</v>
      </c>
      <c r="AT673" s="41"/>
      <c r="AU673" s="41"/>
      <c r="AV673" s="41"/>
      <c r="AW673" s="41"/>
    </row>
    <row r="674" spans="1:88" s="22" customFormat="1">
      <c r="A674" s="1">
        <v>1893</v>
      </c>
      <c r="B674" s="34" t="s">
        <v>2528</v>
      </c>
      <c r="C674" s="34">
        <v>336</v>
      </c>
      <c r="D674" s="75">
        <v>375</v>
      </c>
      <c r="E674" s="8">
        <v>102</v>
      </c>
      <c r="F674" s="9" t="s">
        <v>2529</v>
      </c>
      <c r="G674" s="20" t="s">
        <v>2530</v>
      </c>
      <c r="H674" s="20" t="s">
        <v>2531</v>
      </c>
      <c r="I674" s="21">
        <v>16.489999999999998</v>
      </c>
      <c r="J674" s="8">
        <v>2</v>
      </c>
      <c r="K674" s="8" t="s">
        <v>238</v>
      </c>
      <c r="L674" s="18">
        <v>42089</v>
      </c>
      <c r="M674" s="247" t="s">
        <v>191</v>
      </c>
      <c r="N674" s="11">
        <v>13.82</v>
      </c>
      <c r="O674" s="11">
        <v>1.85</v>
      </c>
      <c r="P674" s="11">
        <v>0.53</v>
      </c>
      <c r="Q674" s="11">
        <v>0.28999999999999998</v>
      </c>
      <c r="R674" s="11">
        <v>1.88575</v>
      </c>
      <c r="S674" s="38">
        <f t="shared" si="85"/>
        <v>2</v>
      </c>
      <c r="T674" s="11">
        <v>15.75</v>
      </c>
      <c r="U674" s="11">
        <v>0.55000000000000004</v>
      </c>
      <c r="V674" s="11">
        <v>0.16</v>
      </c>
      <c r="W674" s="11">
        <v>0.03</v>
      </c>
      <c r="X674" s="11">
        <v>3.3130799999999998</v>
      </c>
      <c r="Y674" s="38">
        <f t="shared" si="86"/>
        <v>3.5</v>
      </c>
      <c r="Z674" s="11">
        <v>0</v>
      </c>
      <c r="AA674" s="11">
        <v>0</v>
      </c>
      <c r="AB674" s="11">
        <v>16.489999999999998</v>
      </c>
      <c r="AC674" s="11">
        <v>1.0562199999999999</v>
      </c>
      <c r="AD674" s="164">
        <v>185.3</v>
      </c>
      <c r="AE674" s="11">
        <v>65.3</v>
      </c>
      <c r="AF674" s="38">
        <f>(AD674+AE674*0.5)/(3.5*I674*1000)*100</f>
        <v>0.37763146495711697</v>
      </c>
      <c r="AG674" s="38">
        <f t="shared" si="87"/>
        <v>0.4</v>
      </c>
      <c r="AH674" s="38">
        <v>339.2</v>
      </c>
      <c r="AI674" s="38">
        <f>AH674/(3.5*I674*1000)*100</f>
        <v>0.58771549857056227</v>
      </c>
      <c r="AJ674" s="38">
        <v>0</v>
      </c>
      <c r="AK674" s="38">
        <f>AJ674/(3.5*I674*1000)*100</f>
        <v>0</v>
      </c>
      <c r="AL674" s="38">
        <v>0</v>
      </c>
      <c r="AM674" s="38">
        <f>AL674/(3.5*I674*1000)*100</f>
        <v>0</v>
      </c>
      <c r="AN674" s="1"/>
      <c r="AO674" s="1"/>
      <c r="AP674" s="1"/>
      <c r="AQ674" s="41">
        <f>SUM(N674:Q674)</f>
        <v>16.489999999999998</v>
      </c>
      <c r="AR674" s="41">
        <f>SUM(T674:W674)</f>
        <v>16.490000000000002</v>
      </c>
      <c r="AS674" s="12">
        <f>SUM(Z674:AB674)</f>
        <v>16.489999999999998</v>
      </c>
      <c r="AT674" s="1"/>
      <c r="AU674" s="1">
        <f>I674/AQ674</f>
        <v>1</v>
      </c>
      <c r="AV674" s="1">
        <f>I674/AR674</f>
        <v>0.99999999999999978</v>
      </c>
      <c r="AW674" s="1">
        <f>I674/AS674</f>
        <v>1</v>
      </c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</row>
    <row r="675" spans="1:88" s="22" customFormat="1">
      <c r="A675" s="1">
        <v>2051</v>
      </c>
      <c r="B675" s="34" t="s">
        <v>2697</v>
      </c>
      <c r="C675" s="34">
        <v>328</v>
      </c>
      <c r="D675" s="75">
        <v>4009</v>
      </c>
      <c r="E675" s="8">
        <v>100</v>
      </c>
      <c r="F675" s="34" t="s">
        <v>2700</v>
      </c>
      <c r="G675" s="58">
        <v>3450</v>
      </c>
      <c r="H675" s="58">
        <v>41000</v>
      </c>
      <c r="I675" s="21">
        <v>37.549999999999997</v>
      </c>
      <c r="J675" s="8">
        <v>4</v>
      </c>
      <c r="K675" s="8" t="s">
        <v>1520</v>
      </c>
      <c r="L675" s="18">
        <v>42120</v>
      </c>
      <c r="M675" s="37" t="s">
        <v>191</v>
      </c>
      <c r="N675" s="38">
        <v>21.5</v>
      </c>
      <c r="O675" s="38">
        <v>9.875</v>
      </c>
      <c r="P675" s="38">
        <v>4.4249999999999998</v>
      </c>
      <c r="Q675" s="38">
        <v>1.2</v>
      </c>
      <c r="R675" s="38">
        <v>2.6100099999999999</v>
      </c>
      <c r="S675" s="38">
        <f t="shared" si="85"/>
        <v>2.5</v>
      </c>
      <c r="T675" s="38">
        <v>34.375</v>
      </c>
      <c r="U675" s="38">
        <v>2.1749999999999998</v>
      </c>
      <c r="V675" s="38">
        <v>0.4</v>
      </c>
      <c r="W675" s="38">
        <v>0.05</v>
      </c>
      <c r="X675" s="38">
        <v>4.8790300000000002</v>
      </c>
      <c r="Y675" s="38">
        <f t="shared" si="86"/>
        <v>5</v>
      </c>
      <c r="Z675" s="38">
        <v>0</v>
      </c>
      <c r="AA675" s="38">
        <v>0</v>
      </c>
      <c r="AB675" s="38">
        <v>37</v>
      </c>
      <c r="AC675" s="38">
        <v>1.26454</v>
      </c>
      <c r="AD675" s="39">
        <v>416.43</v>
      </c>
      <c r="AE675" s="38">
        <v>155.54</v>
      </c>
      <c r="AF675" s="38">
        <v>0.37603195739014655</v>
      </c>
      <c r="AG675" s="38">
        <f t="shared" si="87"/>
        <v>0.4</v>
      </c>
      <c r="AH675" s="38">
        <v>14.36</v>
      </c>
      <c r="AI675" s="38">
        <v>1.0926383869126881E-2</v>
      </c>
      <c r="AJ675" s="38">
        <v>1.54</v>
      </c>
      <c r="AK675" s="38">
        <v>1.1717709720372839E-3</v>
      </c>
      <c r="AL675" s="38">
        <v>0</v>
      </c>
      <c r="AM675" s="38">
        <f>AL675/(3.5*I675*1000)*100</f>
        <v>0</v>
      </c>
      <c r="AN675" s="72"/>
      <c r="AO675" s="41"/>
      <c r="AP675" s="41"/>
      <c r="AQ675" s="73"/>
      <c r="AR675" s="73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</row>
    <row r="676" spans="1:88" s="22" customFormat="1">
      <c r="A676" s="1">
        <v>1345</v>
      </c>
      <c r="B676" s="74" t="s">
        <v>1851</v>
      </c>
      <c r="C676" s="34">
        <v>444</v>
      </c>
      <c r="D676" s="75">
        <v>3549</v>
      </c>
      <c r="E676" s="69">
        <v>100</v>
      </c>
      <c r="F676" s="34" t="s">
        <v>1895</v>
      </c>
      <c r="G676" s="20">
        <v>0</v>
      </c>
      <c r="H676" s="20">
        <v>2550</v>
      </c>
      <c r="I676" s="21">
        <v>2.5499999999999998</v>
      </c>
      <c r="J676" s="8">
        <v>2</v>
      </c>
      <c r="K676" s="34" t="s">
        <v>238</v>
      </c>
      <c r="L676" s="10">
        <v>42210</v>
      </c>
      <c r="M676" s="37" t="s">
        <v>191</v>
      </c>
      <c r="N676" s="38">
        <v>1.25</v>
      </c>
      <c r="O676" s="38">
        <v>1.0249999999999999</v>
      </c>
      <c r="P676" s="38">
        <v>0.25</v>
      </c>
      <c r="Q676" s="38">
        <v>0.05</v>
      </c>
      <c r="R676" s="38">
        <v>2.6731099999999999</v>
      </c>
      <c r="S676" s="38">
        <f t="shared" si="85"/>
        <v>2.5</v>
      </c>
      <c r="T676" s="38">
        <v>2.5499999999999998</v>
      </c>
      <c r="U676" s="38">
        <v>2.5000000000000001E-2</v>
      </c>
      <c r="V676" s="38">
        <v>0</v>
      </c>
      <c r="W676" s="38">
        <v>0</v>
      </c>
      <c r="X676" s="38">
        <v>2.83853</v>
      </c>
      <c r="Y676" s="38">
        <f t="shared" si="86"/>
        <v>3</v>
      </c>
      <c r="Z676" s="38">
        <v>0</v>
      </c>
      <c r="AA676" s="38">
        <v>0</v>
      </c>
      <c r="AB676" s="38">
        <v>2.5749999999999997</v>
      </c>
      <c r="AC676" s="38">
        <v>0.98234999999999995</v>
      </c>
      <c r="AD676" s="39">
        <v>14</v>
      </c>
      <c r="AE676" s="38">
        <v>39</v>
      </c>
      <c r="AF676" s="38">
        <v>0.37535014005602252</v>
      </c>
      <c r="AG676" s="38">
        <f t="shared" si="87"/>
        <v>0.4</v>
      </c>
      <c r="AH676" s="38">
        <v>0</v>
      </c>
      <c r="AI676" s="38">
        <v>0</v>
      </c>
      <c r="AJ676" s="38">
        <v>0</v>
      </c>
      <c r="AK676" s="38">
        <v>0</v>
      </c>
      <c r="AL676" s="38">
        <v>0</v>
      </c>
      <c r="AM676" s="38">
        <v>0</v>
      </c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</row>
    <row r="677" spans="1:88" s="22" customFormat="1">
      <c r="A677" s="1">
        <v>685</v>
      </c>
      <c r="B677" s="34" t="s">
        <v>1084</v>
      </c>
      <c r="C677" s="34">
        <v>624</v>
      </c>
      <c r="D677" s="34">
        <v>2239</v>
      </c>
      <c r="E677" s="34">
        <v>100</v>
      </c>
      <c r="F677" s="34" t="s">
        <v>1095</v>
      </c>
      <c r="G677" s="58">
        <v>0</v>
      </c>
      <c r="H677" s="58">
        <v>53273</v>
      </c>
      <c r="I677" s="35">
        <v>53.273000000000003</v>
      </c>
      <c r="J677" s="127">
        <v>2</v>
      </c>
      <c r="K677" s="34" t="s">
        <v>238</v>
      </c>
      <c r="L677" s="10">
        <v>42170</v>
      </c>
      <c r="M677" s="37" t="s">
        <v>191</v>
      </c>
      <c r="N677" s="38">
        <v>34.725000000000001</v>
      </c>
      <c r="O677" s="38">
        <v>12.975</v>
      </c>
      <c r="P677" s="38">
        <v>4.1500000000000004</v>
      </c>
      <c r="Q677" s="38">
        <v>1.2</v>
      </c>
      <c r="R677" s="38">
        <v>2.4364699999999999</v>
      </c>
      <c r="S677" s="38">
        <f t="shared" si="85"/>
        <v>2.5</v>
      </c>
      <c r="T677" s="38">
        <v>52.424999999999997</v>
      </c>
      <c r="U677" s="38">
        <v>0.5</v>
      </c>
      <c r="V677" s="38">
        <v>0.125</v>
      </c>
      <c r="W677" s="38">
        <v>0</v>
      </c>
      <c r="X677" s="38">
        <v>3.0509499999999998</v>
      </c>
      <c r="Y677" s="38">
        <f t="shared" si="86"/>
        <v>3</v>
      </c>
      <c r="Z677" s="38">
        <v>0</v>
      </c>
      <c r="AA677" s="38">
        <v>0</v>
      </c>
      <c r="AB677" s="38">
        <f>N677+O677+P677+Q677</f>
        <v>53.050000000000004</v>
      </c>
      <c r="AC677" s="38">
        <v>1.18435</v>
      </c>
      <c r="AD677" s="39">
        <v>436.84</v>
      </c>
      <c r="AE677" s="38">
        <v>521.65</v>
      </c>
      <c r="AF677" s="38">
        <v>0.37417</v>
      </c>
      <c r="AG677" s="38">
        <f t="shared" si="87"/>
        <v>0.4</v>
      </c>
      <c r="AH677" s="38">
        <v>41.79</v>
      </c>
      <c r="AI677" s="38">
        <v>2.2409999999999999E-2</v>
      </c>
      <c r="AJ677" s="38">
        <v>886.63</v>
      </c>
      <c r="AK677" s="38">
        <v>0.475518</v>
      </c>
      <c r="AL677" s="38">
        <v>2.13</v>
      </c>
      <c r="AM677" s="38">
        <v>1.14E-3</v>
      </c>
      <c r="AN677" s="25"/>
      <c r="AO677" s="25">
        <f>AE677*0.5</f>
        <v>260.82499999999999</v>
      </c>
      <c r="AP677" s="25">
        <f>(AD677+AH677+AJ677+AL677+AO677)*I677</f>
        <v>86739.897695000007</v>
      </c>
      <c r="AQ677" s="25">
        <f>SUM(N677:Q677)</f>
        <v>53.050000000000004</v>
      </c>
      <c r="AR677" s="25">
        <f>SUM(T677:W677)</f>
        <v>53.05</v>
      </c>
      <c r="AT677" s="41"/>
      <c r="AU677" s="41"/>
      <c r="AV677" s="41"/>
      <c r="AW677" s="41"/>
    </row>
    <row r="678" spans="1:88" s="22" customFormat="1">
      <c r="A678" s="1">
        <v>372</v>
      </c>
      <c r="B678" s="71" t="s">
        <v>602</v>
      </c>
      <c r="C678" s="78">
        <v>514</v>
      </c>
      <c r="D678" s="79">
        <v>1206</v>
      </c>
      <c r="E678" s="80">
        <v>100</v>
      </c>
      <c r="F678" s="78" t="s">
        <v>615</v>
      </c>
      <c r="G678" s="81" t="s">
        <v>617</v>
      </c>
      <c r="H678" s="81" t="s">
        <v>618</v>
      </c>
      <c r="I678" s="78">
        <v>9.8699999999999992</v>
      </c>
      <c r="J678" s="78">
        <v>2</v>
      </c>
      <c r="K678" s="78" t="s">
        <v>238</v>
      </c>
      <c r="L678" s="82">
        <v>42255</v>
      </c>
      <c r="M678" s="123" t="s">
        <v>191</v>
      </c>
      <c r="N678" s="83">
        <v>6.74</v>
      </c>
      <c r="O678" s="83">
        <v>1.76</v>
      </c>
      <c r="P678" s="83">
        <v>1.37</v>
      </c>
      <c r="Q678" s="83">
        <v>0</v>
      </c>
      <c r="R678" s="83">
        <v>3.0859999999999999</v>
      </c>
      <c r="S678" s="38">
        <f t="shared" si="85"/>
        <v>3</v>
      </c>
      <c r="T678" s="83">
        <v>9.8699999999999992</v>
      </c>
      <c r="U678" s="83">
        <v>0</v>
      </c>
      <c r="V678" s="83">
        <v>0</v>
      </c>
      <c r="W678" s="83">
        <v>0</v>
      </c>
      <c r="X678" s="83">
        <v>2.8119999999999998</v>
      </c>
      <c r="Y678" s="38">
        <f t="shared" si="86"/>
        <v>3</v>
      </c>
      <c r="Z678" s="83">
        <v>0</v>
      </c>
      <c r="AA678" s="83">
        <v>0</v>
      </c>
      <c r="AB678" s="83">
        <v>9.8699999999999992</v>
      </c>
      <c r="AC678" s="83">
        <v>1.3120000000000001</v>
      </c>
      <c r="AD678" s="125">
        <v>121.36</v>
      </c>
      <c r="AE678" s="83">
        <v>15.6</v>
      </c>
      <c r="AF678" s="83">
        <f>(AD678+AE678*0.5)/(3.5*I678*1000)*100</f>
        <v>0.37388913012013325</v>
      </c>
      <c r="AG678" s="38">
        <f t="shared" si="87"/>
        <v>0.4</v>
      </c>
      <c r="AH678" s="83">
        <v>58.69</v>
      </c>
      <c r="AI678" s="83">
        <f>AH678/(3.5*I678*1000)*100</f>
        <v>0.16989434071500942</v>
      </c>
      <c r="AJ678" s="83">
        <v>10.5</v>
      </c>
      <c r="AK678" s="83">
        <f>AJ678/(3.5*I678*1000)*100</f>
        <v>3.0395136778115509E-2</v>
      </c>
      <c r="AL678" s="83">
        <v>0</v>
      </c>
      <c r="AM678" s="83">
        <f>AL678/(3.5*I678*1000)*100</f>
        <v>0</v>
      </c>
      <c r="AN678" s="84"/>
      <c r="AO678" s="41"/>
      <c r="AP678" s="41"/>
      <c r="AQ678" s="85"/>
      <c r="AR678" s="86"/>
      <c r="AS678" s="86"/>
      <c r="AT678" s="86"/>
      <c r="AU678" s="86"/>
      <c r="AV678" s="86"/>
      <c r="AW678" s="86"/>
      <c r="AX678" s="86"/>
      <c r="AY678" s="86"/>
      <c r="AZ678" s="86"/>
      <c r="BA678" s="86"/>
      <c r="BB678" s="86"/>
      <c r="BC678" s="86"/>
      <c r="BD678" s="86"/>
      <c r="BE678" s="86"/>
      <c r="BF678" s="86"/>
      <c r="BG678" s="86"/>
      <c r="BH678" s="86"/>
      <c r="BI678" s="86"/>
      <c r="BJ678" s="86"/>
      <c r="BK678" s="86"/>
      <c r="BL678" s="86"/>
      <c r="BM678" s="86"/>
      <c r="BN678" s="86"/>
      <c r="BO678" s="86"/>
      <c r="BP678" s="86"/>
      <c r="BQ678" s="86"/>
      <c r="BR678" s="86"/>
      <c r="BS678" s="86"/>
      <c r="BT678" s="86"/>
      <c r="BU678" s="86"/>
      <c r="BV678" s="86"/>
      <c r="BW678" s="86"/>
      <c r="BX678" s="86"/>
      <c r="BY678" s="86"/>
      <c r="BZ678" s="86"/>
      <c r="CA678" s="86"/>
      <c r="CB678" s="86"/>
      <c r="CC678" s="86"/>
      <c r="CD678" s="86"/>
      <c r="CE678" s="86"/>
      <c r="CF678" s="86"/>
      <c r="CG678" s="86"/>
      <c r="CH678" s="86"/>
      <c r="CI678" s="86"/>
      <c r="CJ678" s="86"/>
    </row>
    <row r="679" spans="1:88" s="22" customFormat="1">
      <c r="A679" s="1">
        <v>1706</v>
      </c>
      <c r="B679" s="34" t="s">
        <v>2279</v>
      </c>
      <c r="C679" s="34">
        <v>421</v>
      </c>
      <c r="D679" s="8">
        <v>3702</v>
      </c>
      <c r="E679" s="34">
        <v>300</v>
      </c>
      <c r="F679" s="34" t="s">
        <v>2301</v>
      </c>
      <c r="G679" s="58" t="s">
        <v>2305</v>
      </c>
      <c r="H679" s="58" t="s">
        <v>2144</v>
      </c>
      <c r="I679" s="35">
        <v>5.665</v>
      </c>
      <c r="J679" s="9">
        <v>2</v>
      </c>
      <c r="K679" s="34" t="s">
        <v>238</v>
      </c>
      <c r="L679" s="10">
        <v>42227</v>
      </c>
      <c r="M679" s="37" t="s">
        <v>191</v>
      </c>
      <c r="N679" s="38">
        <v>1.45</v>
      </c>
      <c r="O679" s="38">
        <v>3.3250000000000002</v>
      </c>
      <c r="P679" s="38">
        <v>1.2749999999999999</v>
      </c>
      <c r="Q679" s="38">
        <v>0.15</v>
      </c>
      <c r="R679" s="38">
        <v>3.0750000000000002</v>
      </c>
      <c r="S679" s="38">
        <f t="shared" si="85"/>
        <v>3</v>
      </c>
      <c r="T679" s="38">
        <v>5.75</v>
      </c>
      <c r="U679" s="38">
        <v>0.1</v>
      </c>
      <c r="V679" s="38">
        <v>0.15</v>
      </c>
      <c r="W679" s="38">
        <v>0.2</v>
      </c>
      <c r="X679" s="38">
        <v>3.1749999999999998</v>
      </c>
      <c r="Y679" s="38">
        <f t="shared" si="86"/>
        <v>3</v>
      </c>
      <c r="Z679" s="38">
        <v>0</v>
      </c>
      <c r="AA679" s="38">
        <v>0</v>
      </c>
      <c r="AB679" s="38">
        <v>5.665</v>
      </c>
      <c r="AC679" s="38">
        <v>1.403</v>
      </c>
      <c r="AD679" s="39">
        <v>73.27</v>
      </c>
      <c r="AE679" s="38">
        <v>0</v>
      </c>
      <c r="AF679" s="38">
        <f>(AD679+AE679*0.5)/(3.5*I679*1000)*100</f>
        <v>0.36953725885764721</v>
      </c>
      <c r="AG679" s="38">
        <f t="shared" si="87"/>
        <v>0.4</v>
      </c>
      <c r="AH679" s="38">
        <v>8.4700000000000006</v>
      </c>
      <c r="AI679" s="38">
        <f>AH679/(3.5*I679*1000)*100</f>
        <v>4.2718446601941747E-2</v>
      </c>
      <c r="AJ679" s="38">
        <v>152.81</v>
      </c>
      <c r="AK679" s="38">
        <f>AJ679/(3.5*I679*1000)*100</f>
        <v>0.77069726390114746</v>
      </c>
      <c r="AL679" s="38">
        <v>0</v>
      </c>
      <c r="AM679" s="38">
        <f>AL679/(3.5*I679*1000)*100</f>
        <v>0</v>
      </c>
      <c r="AN679" s="25"/>
      <c r="AO679" s="25">
        <f>AE679*0.5</f>
        <v>0</v>
      </c>
      <c r="AP679" s="25">
        <f>(AD679+AH679+AJ679+AL679+AO679)*I679</f>
        <v>1328.7257500000001</v>
      </c>
      <c r="AQ679" s="25"/>
      <c r="AR679" s="25"/>
      <c r="AT679" s="41"/>
      <c r="AU679" s="41"/>
      <c r="AV679" s="41"/>
      <c r="AW679" s="41"/>
    </row>
    <row r="680" spans="1:88" s="22" customFormat="1">
      <c r="A680" s="1">
        <v>1795</v>
      </c>
      <c r="B680" s="34" t="s">
        <v>2382</v>
      </c>
      <c r="C680" s="34">
        <v>428</v>
      </c>
      <c r="D680" s="8">
        <v>3241</v>
      </c>
      <c r="E680" s="34">
        <v>101</v>
      </c>
      <c r="F680" s="34" t="s">
        <v>2398</v>
      </c>
      <c r="G680" s="20">
        <v>2050</v>
      </c>
      <c r="H680" s="58">
        <v>14000</v>
      </c>
      <c r="I680" s="35">
        <v>11.95</v>
      </c>
      <c r="J680" s="9">
        <v>2</v>
      </c>
      <c r="K680" s="34" t="s">
        <v>12</v>
      </c>
      <c r="L680" s="10">
        <v>42230</v>
      </c>
      <c r="M680" s="37" t="s">
        <v>191</v>
      </c>
      <c r="N680" s="38">
        <v>4.9249999999999998</v>
      </c>
      <c r="O680" s="38">
        <v>4.05</v>
      </c>
      <c r="P680" s="38">
        <v>1.65</v>
      </c>
      <c r="Q680" s="38">
        <v>1.4</v>
      </c>
      <c r="R680" s="38">
        <v>3.6547299999999998</v>
      </c>
      <c r="S680" s="38">
        <f t="shared" si="85"/>
        <v>3.5</v>
      </c>
      <c r="T680" s="38">
        <v>9.6</v>
      </c>
      <c r="U680" s="38">
        <v>1.575</v>
      </c>
      <c r="V680" s="38">
        <v>0.55000000000000004</v>
      </c>
      <c r="W680" s="38">
        <v>0.3</v>
      </c>
      <c r="X680" s="38">
        <v>7.8782699999999997</v>
      </c>
      <c r="Y680" s="38">
        <f t="shared" si="86"/>
        <v>8</v>
      </c>
      <c r="Z680" s="38">
        <v>0</v>
      </c>
      <c r="AA680" s="38">
        <v>0</v>
      </c>
      <c r="AB680" s="38">
        <f>SUM(N680:Q680)</f>
        <v>12.025</v>
      </c>
      <c r="AC680" s="38">
        <v>1.09992</v>
      </c>
      <c r="AD680" s="39">
        <v>153.93</v>
      </c>
      <c r="AE680" s="38">
        <v>0</v>
      </c>
      <c r="AF680" s="38">
        <f>(AD680+AE680*0.5)/(3.5*I680*1000)*100</f>
        <v>0.36803347280334736</v>
      </c>
      <c r="AG680" s="38">
        <f t="shared" si="87"/>
        <v>0.4</v>
      </c>
      <c r="AH680" s="38">
        <v>0</v>
      </c>
      <c r="AI680" s="38">
        <f>AH680/(3.5*I680*1000)*100</f>
        <v>0</v>
      </c>
      <c r="AJ680" s="38">
        <v>0</v>
      </c>
      <c r="AK680" s="38">
        <f>AJ680/(3.5*I680*1000)*100</f>
        <v>0</v>
      </c>
      <c r="AL680" s="38">
        <v>0</v>
      </c>
      <c r="AM680" s="38">
        <f>AL680/(3.5*I680*1000)*100</f>
        <v>0</v>
      </c>
      <c r="AN680" s="25"/>
      <c r="AO680" s="25">
        <f>AE680*0.5</f>
        <v>0</v>
      </c>
      <c r="AP680" s="25">
        <f>(AD680+AH680+AJ680+AL680+AO680)*I680</f>
        <v>1839.4635000000001</v>
      </c>
      <c r="AQ680" s="25">
        <f>SUM(N680:Q680)</f>
        <v>12.025</v>
      </c>
      <c r="AR680" s="25">
        <f>SUM(T680:W680)</f>
        <v>12.025</v>
      </c>
      <c r="AT680" s="41"/>
      <c r="AU680" s="41"/>
      <c r="AV680" s="41"/>
      <c r="AW680" s="41"/>
    </row>
    <row r="681" spans="1:88" s="22" customFormat="1">
      <c r="A681" s="1">
        <v>1284</v>
      </c>
      <c r="B681" s="74" t="s">
        <v>1820</v>
      </c>
      <c r="C681" s="34">
        <v>441</v>
      </c>
      <c r="D681" s="75">
        <v>3263</v>
      </c>
      <c r="E681" s="69">
        <v>200</v>
      </c>
      <c r="F681" s="34" t="s">
        <v>1828</v>
      </c>
      <c r="G681" s="58" t="s">
        <v>179</v>
      </c>
      <c r="H681" s="58" t="s">
        <v>1829</v>
      </c>
      <c r="I681" s="55">
        <v>6.6260000000000003</v>
      </c>
      <c r="J681" s="34">
        <v>2</v>
      </c>
      <c r="K681" s="34" t="s">
        <v>238</v>
      </c>
      <c r="L681" s="10">
        <v>42187</v>
      </c>
      <c r="M681" s="37" t="s">
        <v>191</v>
      </c>
      <c r="N681" s="38">
        <v>3.3250000000000002</v>
      </c>
      <c r="O681" s="38">
        <v>2.75</v>
      </c>
      <c r="P681" s="38">
        <v>0.52500000000000002</v>
      </c>
      <c r="Q681" s="38">
        <v>0.25</v>
      </c>
      <c r="R681" s="38">
        <v>3.2679999999999998</v>
      </c>
      <c r="S681" s="38">
        <f t="shared" si="85"/>
        <v>3.5</v>
      </c>
      <c r="T681" s="38">
        <v>6.625</v>
      </c>
      <c r="U681" s="38">
        <v>0</v>
      </c>
      <c r="V681" s="38">
        <v>0</v>
      </c>
      <c r="W681" s="38">
        <v>0</v>
      </c>
      <c r="X681" s="38">
        <v>2.6280000000000001</v>
      </c>
      <c r="Y681" s="38">
        <f t="shared" si="86"/>
        <v>2.5</v>
      </c>
      <c r="Z681" s="38">
        <v>0</v>
      </c>
      <c r="AA681" s="38">
        <v>0</v>
      </c>
      <c r="AB681" s="38">
        <v>6.8500000000000005</v>
      </c>
      <c r="AC681" s="38">
        <v>1.1279999999999999</v>
      </c>
      <c r="AD681" s="39">
        <v>12.68</v>
      </c>
      <c r="AE681" s="38">
        <v>36.94</v>
      </c>
      <c r="AF681" s="38">
        <v>0.36799999999999999</v>
      </c>
      <c r="AG681" s="38">
        <f t="shared" si="87"/>
        <v>0.4</v>
      </c>
      <c r="AH681" s="38">
        <v>0</v>
      </c>
      <c r="AI681" s="38">
        <v>0</v>
      </c>
      <c r="AJ681" s="38">
        <v>12.5</v>
      </c>
      <c r="AK681" s="38">
        <v>5.8000000000000003E-2</v>
      </c>
      <c r="AL681" s="38">
        <v>0</v>
      </c>
      <c r="AM681" s="38">
        <v>0</v>
      </c>
      <c r="AN681" s="40"/>
      <c r="AO681" s="12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</row>
    <row r="682" spans="1:88" s="22" customFormat="1">
      <c r="A682" s="1">
        <v>1462</v>
      </c>
      <c r="B682" s="34" t="s">
        <v>1987</v>
      </c>
      <c r="C682" s="34">
        <v>448</v>
      </c>
      <c r="D682" s="75">
        <v>3373</v>
      </c>
      <c r="E682" s="69">
        <v>100</v>
      </c>
      <c r="F682" s="34" t="s">
        <v>2010</v>
      </c>
      <c r="G682" s="20">
        <v>0</v>
      </c>
      <c r="H682" s="20">
        <v>11670</v>
      </c>
      <c r="I682" s="21">
        <v>11.67</v>
      </c>
      <c r="J682" s="8">
        <v>2</v>
      </c>
      <c r="K682" s="34" t="s">
        <v>238</v>
      </c>
      <c r="L682" s="10">
        <v>42182</v>
      </c>
      <c r="M682" s="37" t="s">
        <v>191</v>
      </c>
      <c r="N682" s="38">
        <v>8.1750000000000007</v>
      </c>
      <c r="O682" s="38">
        <v>2.25</v>
      </c>
      <c r="P682" s="38">
        <v>0.65</v>
      </c>
      <c r="Q682" s="38">
        <v>0.55000000000000004</v>
      </c>
      <c r="R682" s="38">
        <v>2.3781500000000002</v>
      </c>
      <c r="S682" s="38">
        <f t="shared" si="85"/>
        <v>2.5</v>
      </c>
      <c r="T682" s="38">
        <v>11.15</v>
      </c>
      <c r="U682" s="38">
        <v>0.35</v>
      </c>
      <c r="V682" s="38">
        <v>7.4999999999999997E-2</v>
      </c>
      <c r="W682" s="38">
        <v>0.05</v>
      </c>
      <c r="X682" s="38">
        <v>3.39317</v>
      </c>
      <c r="Y682" s="38">
        <f t="shared" si="86"/>
        <v>3.5</v>
      </c>
      <c r="Z682" s="38">
        <v>0</v>
      </c>
      <c r="AA682" s="38">
        <v>0</v>
      </c>
      <c r="AB682" s="38">
        <v>11.625000000000002</v>
      </c>
      <c r="AC682" s="38">
        <v>1.0577799999999999</v>
      </c>
      <c r="AD682" s="39">
        <v>115</v>
      </c>
      <c r="AE682" s="38">
        <v>69</v>
      </c>
      <c r="AF682" s="38">
        <f>(AD682+AE682*0.5)/(3.5*I682*1000)*100</f>
        <v>0.36601787244460765</v>
      </c>
      <c r="AG682" s="38">
        <f t="shared" si="87"/>
        <v>0.4</v>
      </c>
      <c r="AH682" s="38">
        <v>0</v>
      </c>
      <c r="AI682" s="38">
        <f>AH682/(3.5*I682*1000)*100</f>
        <v>0</v>
      </c>
      <c r="AJ682" s="38">
        <v>0</v>
      </c>
      <c r="AK682" s="38">
        <f>AJ682/(3.5*I682*1000)*100</f>
        <v>0</v>
      </c>
      <c r="AL682" s="38">
        <v>0</v>
      </c>
      <c r="AM682" s="38">
        <f>AL682/(3.5*I682*1000)*100</f>
        <v>0</v>
      </c>
      <c r="AN682" s="72"/>
      <c r="AO682" s="41"/>
      <c r="AP682" s="41"/>
      <c r="AQ682" s="73"/>
      <c r="AR682" s="73"/>
      <c r="AS682" s="73"/>
      <c r="AT682" s="73"/>
      <c r="AU682" s="73"/>
      <c r="AV682" s="73"/>
    </row>
    <row r="683" spans="1:88" s="22" customFormat="1">
      <c r="A683" s="1">
        <v>34</v>
      </c>
      <c r="B683" s="4" t="s">
        <v>21</v>
      </c>
      <c r="C683" s="14">
        <v>522</v>
      </c>
      <c r="D683" s="19">
        <v>1147</v>
      </c>
      <c r="E683" s="16">
        <v>200</v>
      </c>
      <c r="F683" s="16" t="s">
        <v>29</v>
      </c>
      <c r="G683" s="20" t="s">
        <v>204</v>
      </c>
      <c r="H683" s="20" t="s">
        <v>141</v>
      </c>
      <c r="I683" s="21">
        <v>9.3569999999999993</v>
      </c>
      <c r="J683" s="8">
        <v>2</v>
      </c>
      <c r="K683" s="9" t="s">
        <v>238</v>
      </c>
      <c r="L683" s="24">
        <v>42237</v>
      </c>
      <c r="M683" s="37" t="s">
        <v>191</v>
      </c>
      <c r="N683" s="11">
        <v>3.875</v>
      </c>
      <c r="O683" s="11">
        <v>3.05</v>
      </c>
      <c r="P683" s="11">
        <v>1.65</v>
      </c>
      <c r="Q683" s="11">
        <v>0.72499999999999998</v>
      </c>
      <c r="R683" s="11">
        <v>3.0502699999999998</v>
      </c>
      <c r="S683" s="38">
        <f t="shared" si="85"/>
        <v>3</v>
      </c>
      <c r="T683" s="11">
        <v>9.2750000000000004</v>
      </c>
      <c r="U683" s="11">
        <v>2.5000000000000001E-2</v>
      </c>
      <c r="V683" s="11">
        <v>0</v>
      </c>
      <c r="W683" s="11">
        <v>0</v>
      </c>
      <c r="X683" s="11">
        <v>1.5945400000000001</v>
      </c>
      <c r="Y683" s="38">
        <f t="shared" si="86"/>
        <v>1.5</v>
      </c>
      <c r="Z683" s="11">
        <v>0</v>
      </c>
      <c r="AA683" s="11">
        <v>0</v>
      </c>
      <c r="AB683" s="11">
        <f>SUM(N683:Q683)</f>
        <v>9.2999999999999989</v>
      </c>
      <c r="AC683" s="11">
        <v>1.1603300000000001</v>
      </c>
      <c r="AD683" s="164">
        <v>75.16</v>
      </c>
      <c r="AE683" s="11">
        <v>89.03</v>
      </c>
      <c r="AF683" s="11">
        <f>(AD683+AE683*0.5)/(3.5*I683*1000)*100</f>
        <v>0.36542542634238695</v>
      </c>
      <c r="AG683" s="38">
        <f t="shared" si="87"/>
        <v>0.4</v>
      </c>
      <c r="AH683" s="11">
        <v>5.51</v>
      </c>
      <c r="AI683" s="11">
        <f>AH683/(3.5*I683*1000)*100</f>
        <v>1.6824684346325898E-2</v>
      </c>
      <c r="AJ683" s="11">
        <v>366</v>
      </c>
      <c r="AK683" s="11">
        <f>AJ683/(3.5*I683*1000)*100</f>
        <v>1.1175743141116661</v>
      </c>
      <c r="AL683" s="11">
        <v>0</v>
      </c>
      <c r="AM683" s="11">
        <f>AL683/(3.5*I683*1000)*100</f>
        <v>0</v>
      </c>
      <c r="AO683" s="25"/>
      <c r="AP683" s="25"/>
    </row>
    <row r="684" spans="1:88" s="22" customFormat="1">
      <c r="A684" s="1">
        <v>484</v>
      </c>
      <c r="B684" s="88" t="s">
        <v>821</v>
      </c>
      <c r="C684" s="88">
        <v>519</v>
      </c>
      <c r="D684" s="88">
        <v>113</v>
      </c>
      <c r="E684" s="88">
        <v>203</v>
      </c>
      <c r="F684" s="88" t="s">
        <v>829</v>
      </c>
      <c r="G684" s="88" t="s">
        <v>828</v>
      </c>
      <c r="H684" s="88" t="s">
        <v>830</v>
      </c>
      <c r="I684" s="115">
        <v>11</v>
      </c>
      <c r="J684" s="88" t="s">
        <v>237</v>
      </c>
      <c r="K684" s="34">
        <v>2</v>
      </c>
      <c r="L684" s="116">
        <v>42275</v>
      </c>
      <c r="M684" s="37" t="s">
        <v>191</v>
      </c>
      <c r="N684" s="117">
        <v>6.78</v>
      </c>
      <c r="O684" s="117">
        <v>3.01</v>
      </c>
      <c r="P684" s="117">
        <v>0.98</v>
      </c>
      <c r="Q684" s="117">
        <v>0.23</v>
      </c>
      <c r="R684" s="117">
        <v>2.4710700000000001</v>
      </c>
      <c r="S684" s="38">
        <f t="shared" si="85"/>
        <v>2.5</v>
      </c>
      <c r="T684" s="117">
        <v>10.14</v>
      </c>
      <c r="U684" s="117">
        <v>0.69</v>
      </c>
      <c r="V684" s="117">
        <v>0.15</v>
      </c>
      <c r="W684" s="117">
        <v>0.02</v>
      </c>
      <c r="X684" s="117">
        <v>5.01654</v>
      </c>
      <c r="Y684" s="38">
        <f t="shared" si="86"/>
        <v>5</v>
      </c>
      <c r="Z684" s="117">
        <v>0</v>
      </c>
      <c r="AA684" s="117">
        <v>0</v>
      </c>
      <c r="AB684" s="117">
        <v>11</v>
      </c>
      <c r="AC684" s="117">
        <v>1.1799599999999999</v>
      </c>
      <c r="AD684" s="254">
        <v>139.25</v>
      </c>
      <c r="AE684" s="117">
        <v>2.74</v>
      </c>
      <c r="AF684" s="117">
        <v>0.36524699999999999</v>
      </c>
      <c r="AG684" s="38">
        <f t="shared" si="87"/>
        <v>0.4</v>
      </c>
      <c r="AH684" s="117">
        <v>84.67</v>
      </c>
      <c r="AI684" s="117">
        <v>0.21992200000000001</v>
      </c>
      <c r="AJ684" s="117">
        <v>0</v>
      </c>
      <c r="AK684" s="117">
        <v>0</v>
      </c>
      <c r="AL684" s="117">
        <v>0.34</v>
      </c>
      <c r="AM684" s="117">
        <v>8.83E-4</v>
      </c>
      <c r="AN684" s="41"/>
      <c r="AO684" s="41"/>
      <c r="AP684" s="41"/>
      <c r="AQ684" s="41">
        <f>SUM(N684:Q684)</f>
        <v>11</v>
      </c>
      <c r="AR684" s="41">
        <f>SUM(T684:W684)</f>
        <v>11</v>
      </c>
      <c r="AS684" s="41">
        <f>SUM(Z684:AB684)</f>
        <v>11</v>
      </c>
      <c r="AU684" s="22">
        <f>I684/AQ684</f>
        <v>1</v>
      </c>
      <c r="AV684" s="22">
        <f>I684/AR684</f>
        <v>1</v>
      </c>
      <c r="AW684" s="22">
        <f>I684/AS684</f>
        <v>1</v>
      </c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</row>
    <row r="685" spans="1:88" s="22" customFormat="1">
      <c r="A685" s="1">
        <v>1860</v>
      </c>
      <c r="B685" s="34" t="s">
        <v>2485</v>
      </c>
      <c r="C685" s="34">
        <v>333</v>
      </c>
      <c r="D685" s="75">
        <v>3218</v>
      </c>
      <c r="E685" s="8">
        <v>100</v>
      </c>
      <c r="F685" s="9" t="s">
        <v>2489</v>
      </c>
      <c r="G685" s="20">
        <v>0</v>
      </c>
      <c r="H685" s="20">
        <v>31543</v>
      </c>
      <c r="I685" s="21">
        <v>31.542999999999999</v>
      </c>
      <c r="J685" s="34">
        <v>2</v>
      </c>
      <c r="K685" s="34" t="s">
        <v>238</v>
      </c>
      <c r="L685" s="18">
        <v>42098</v>
      </c>
      <c r="M685" s="247" t="s">
        <v>191</v>
      </c>
      <c r="N685" s="38">
        <v>21.4</v>
      </c>
      <c r="O685" s="38">
        <v>7.45</v>
      </c>
      <c r="P685" s="38">
        <v>1.75</v>
      </c>
      <c r="Q685" s="38">
        <v>0.67500000000000004</v>
      </c>
      <c r="R685" s="38">
        <v>2.3117700000000001</v>
      </c>
      <c r="S685" s="38">
        <f t="shared" si="85"/>
        <v>2.5</v>
      </c>
      <c r="T685" s="38">
        <v>30.85</v>
      </c>
      <c r="U685" s="38">
        <v>0.375</v>
      </c>
      <c r="V685" s="38">
        <v>0.05</v>
      </c>
      <c r="W685" s="38">
        <v>0</v>
      </c>
      <c r="X685" s="38">
        <v>2.8790800000000001</v>
      </c>
      <c r="Y685" s="38">
        <f t="shared" si="86"/>
        <v>3</v>
      </c>
      <c r="Z685" s="38">
        <v>0</v>
      </c>
      <c r="AA685" s="38">
        <v>0</v>
      </c>
      <c r="AB685" s="38">
        <v>31.274999999999999</v>
      </c>
      <c r="AC685" s="38">
        <v>1.3595900000000001</v>
      </c>
      <c r="AD685" s="39">
        <v>359.7</v>
      </c>
      <c r="AE685" s="38">
        <v>82.99</v>
      </c>
      <c r="AF685" s="38">
        <v>0.36339962228431938</v>
      </c>
      <c r="AG685" s="38">
        <f t="shared" si="87"/>
        <v>0.4</v>
      </c>
      <c r="AH685" s="38">
        <v>0</v>
      </c>
      <c r="AI685" s="38">
        <v>0</v>
      </c>
      <c r="AJ685" s="38">
        <v>80.88</v>
      </c>
      <c r="AK685" s="38">
        <v>7.326053776930358E-2</v>
      </c>
      <c r="AL685" s="38">
        <v>0</v>
      </c>
      <c r="AM685" s="38">
        <f>AL685/(3.5*I685*1000)*100</f>
        <v>0</v>
      </c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</row>
    <row r="686" spans="1:88" s="22" customFormat="1">
      <c r="A686" s="1">
        <v>1043</v>
      </c>
      <c r="B686" s="9" t="s">
        <v>1394</v>
      </c>
      <c r="C686" s="9">
        <v>617</v>
      </c>
      <c r="D686" s="8">
        <v>2445</v>
      </c>
      <c r="E686" s="9">
        <v>101</v>
      </c>
      <c r="F686" s="9" t="s">
        <v>1442</v>
      </c>
      <c r="G686" s="20">
        <v>546</v>
      </c>
      <c r="H686" s="20">
        <v>25000</v>
      </c>
      <c r="I686" s="35">
        <v>24.454000000000001</v>
      </c>
      <c r="J686" s="9">
        <v>2</v>
      </c>
      <c r="K686" s="9" t="s">
        <v>238</v>
      </c>
      <c r="L686" s="18">
        <v>42131</v>
      </c>
      <c r="M686" s="37" t="s">
        <v>191</v>
      </c>
      <c r="N686" s="11">
        <v>13.9</v>
      </c>
      <c r="O686" s="11">
        <v>7.35</v>
      </c>
      <c r="P686" s="11">
        <v>2.5750000000000002</v>
      </c>
      <c r="Q686" s="11">
        <v>0.57499999999999996</v>
      </c>
      <c r="R686" s="11">
        <v>2.64866</v>
      </c>
      <c r="S686" s="38">
        <f t="shared" si="85"/>
        <v>2.5</v>
      </c>
      <c r="T686" s="11">
        <v>18.55</v>
      </c>
      <c r="U686" s="11">
        <v>4.5999999999999996</v>
      </c>
      <c r="V686" s="11">
        <v>0.97499999999999998</v>
      </c>
      <c r="W686" s="11">
        <v>0.27500000000000002</v>
      </c>
      <c r="X686" s="11">
        <v>7.9557000000000002</v>
      </c>
      <c r="Y686" s="38">
        <f t="shared" si="86"/>
        <v>8</v>
      </c>
      <c r="Z686" s="11">
        <v>0</v>
      </c>
      <c r="AA686" s="11">
        <v>0</v>
      </c>
      <c r="AB686" s="11">
        <f>SUM(N686:Q686)</f>
        <v>24.4</v>
      </c>
      <c r="AC686" s="11">
        <v>1.18079</v>
      </c>
      <c r="AD686" s="164">
        <v>310.9425</v>
      </c>
      <c r="AE686" s="11">
        <v>0</v>
      </c>
      <c r="AF686" s="11">
        <f>(AD686+AE686*0.5)/(3.5*I686*1000)*100</f>
        <v>0.36329726950893221</v>
      </c>
      <c r="AG686" s="38">
        <f t="shared" si="87"/>
        <v>0.4</v>
      </c>
      <c r="AH686" s="11">
        <v>39.547499999999999</v>
      </c>
      <c r="AI686" s="38">
        <f>AH686/(3.5*I686*1000)*100</f>
        <v>4.6206288191239529E-2</v>
      </c>
      <c r="AJ686" s="11">
        <v>289.28250000000003</v>
      </c>
      <c r="AK686" s="38">
        <f>AJ686/(3.5*I686*1000)*100</f>
        <v>0.3379902791246539</v>
      </c>
      <c r="AL686" s="11">
        <v>0</v>
      </c>
      <c r="AM686" s="38">
        <f>AL686/(3.5*I686*1000)*100</f>
        <v>0</v>
      </c>
      <c r="AN686" s="25"/>
      <c r="AO686" s="25">
        <f>AE686*0.5</f>
        <v>0</v>
      </c>
      <c r="AP686" s="25">
        <f>(AD686+AH686+AJ686+AL686+AO686)*I686</f>
        <v>15644.996715000001</v>
      </c>
      <c r="AQ686" s="25"/>
      <c r="AR686" s="25"/>
      <c r="AS686" s="25">
        <f>SUM(N686:Q686)</f>
        <v>24.4</v>
      </c>
      <c r="AT686" s="25">
        <f>SUM(T686:W686)</f>
        <v>24.4</v>
      </c>
      <c r="AU686" s="41"/>
      <c r="AV686" s="41"/>
      <c r="AW686" s="41"/>
    </row>
    <row r="687" spans="1:88" s="22" customFormat="1">
      <c r="A687" s="1">
        <v>1910</v>
      </c>
      <c r="B687" s="34" t="s">
        <v>2550</v>
      </c>
      <c r="C687" s="34">
        <v>337</v>
      </c>
      <c r="D687" s="75">
        <v>3337</v>
      </c>
      <c r="E687" s="8">
        <v>100</v>
      </c>
      <c r="F687" s="9" t="s">
        <v>2556</v>
      </c>
      <c r="G687" s="20">
        <v>0</v>
      </c>
      <c r="H687" s="20">
        <v>35116</v>
      </c>
      <c r="I687" s="21">
        <v>35.116</v>
      </c>
      <c r="J687" s="8">
        <v>2</v>
      </c>
      <c r="K687" s="8" t="s">
        <v>238</v>
      </c>
      <c r="L687" s="18">
        <v>42091</v>
      </c>
      <c r="M687" s="247" t="s">
        <v>191</v>
      </c>
      <c r="N687" s="38">
        <v>26.58</v>
      </c>
      <c r="O687" s="38">
        <v>6.21</v>
      </c>
      <c r="P687" s="38">
        <v>1.63</v>
      </c>
      <c r="Q687" s="38">
        <v>0.7</v>
      </c>
      <c r="R687" s="38">
        <v>2.2019899999999999</v>
      </c>
      <c r="S687" s="38">
        <f t="shared" si="85"/>
        <v>2</v>
      </c>
      <c r="T687" s="38">
        <v>34.659999999999997</v>
      </c>
      <c r="U687" s="38">
        <v>0.4</v>
      </c>
      <c r="V687" s="38">
        <v>0.05</v>
      </c>
      <c r="W687" s="38">
        <v>0</v>
      </c>
      <c r="X687" s="38">
        <v>2.78546</v>
      </c>
      <c r="Y687" s="38">
        <f t="shared" si="86"/>
        <v>3</v>
      </c>
      <c r="Z687" s="38">
        <v>0</v>
      </c>
      <c r="AA687" s="38">
        <v>0</v>
      </c>
      <c r="AB687" s="38">
        <v>35.119999999999997</v>
      </c>
      <c r="AC687" s="38">
        <v>1.2930299999999999</v>
      </c>
      <c r="AD687" s="39">
        <v>274.61</v>
      </c>
      <c r="AE687" s="38">
        <v>343.3</v>
      </c>
      <c r="AF687" s="38">
        <v>0.36309049192065479</v>
      </c>
      <c r="AG687" s="38">
        <f t="shared" si="87"/>
        <v>0.4</v>
      </c>
      <c r="AH687" s="38">
        <v>78.849999999999994</v>
      </c>
      <c r="AI687" s="38">
        <v>6.415471986721559E-2</v>
      </c>
      <c r="AJ687" s="38">
        <v>3.24</v>
      </c>
      <c r="AK687" s="38">
        <v>2.6361609685450673E-3</v>
      </c>
      <c r="AL687" s="38">
        <v>0</v>
      </c>
      <c r="AM687" s="38">
        <f>AL687/(3.5*I687*1000)*100</f>
        <v>0</v>
      </c>
      <c r="AN687" s="1"/>
      <c r="AO687" s="1"/>
      <c r="AP687" s="1"/>
      <c r="AQ687" s="41">
        <f>SUM(N687:Q687)</f>
        <v>35.120000000000005</v>
      </c>
      <c r="AR687" s="41">
        <f>SUM(T687:W687)</f>
        <v>35.109999999999992</v>
      </c>
      <c r="AS687" s="12">
        <f>SUM(Z687:AB687)</f>
        <v>35.119999999999997</v>
      </c>
      <c r="AT687" s="1"/>
      <c r="AU687" s="1">
        <f>I687/AQ687</f>
        <v>0.99988610478359896</v>
      </c>
      <c r="AV687" s="1">
        <f>I687/AR687</f>
        <v>1.000170891483908</v>
      </c>
      <c r="AW687" s="1">
        <f>I687/AS687</f>
        <v>0.99988610478359918</v>
      </c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</row>
    <row r="688" spans="1:88" s="22" customFormat="1">
      <c r="A688" s="1">
        <v>937</v>
      </c>
      <c r="B688" s="34" t="s">
        <v>1329</v>
      </c>
      <c r="C688" s="34">
        <v>611</v>
      </c>
      <c r="D688" s="8">
        <v>205</v>
      </c>
      <c r="E688" s="34">
        <v>401</v>
      </c>
      <c r="F688" s="34" t="s">
        <v>1334</v>
      </c>
      <c r="G688" s="58" t="s">
        <v>1335</v>
      </c>
      <c r="H688" s="58" t="s">
        <v>1336</v>
      </c>
      <c r="I688" s="35">
        <v>25.422000000000001</v>
      </c>
      <c r="J688" s="9">
        <v>2</v>
      </c>
      <c r="K688" s="34" t="s">
        <v>238</v>
      </c>
      <c r="L688" s="10">
        <v>42117</v>
      </c>
      <c r="M688" s="37" t="s">
        <v>191</v>
      </c>
      <c r="N688" s="38">
        <v>20.423999999999999</v>
      </c>
      <c r="O688" s="38">
        <v>3.1320000000000001</v>
      </c>
      <c r="P688" s="38">
        <v>1.2829999999999999</v>
      </c>
      <c r="Q688" s="38">
        <v>0.58299999999999996</v>
      </c>
      <c r="R688" s="38">
        <v>1.915</v>
      </c>
      <c r="S688" s="38">
        <f t="shared" si="85"/>
        <v>2</v>
      </c>
      <c r="T688" s="38">
        <v>22.984000000000002</v>
      </c>
      <c r="U688" s="38">
        <v>2.1850000000000001</v>
      </c>
      <c r="V688" s="38">
        <v>0.16700000000000001</v>
      </c>
      <c r="W688" s="38">
        <v>8.6999999999999994E-2</v>
      </c>
      <c r="X688" s="38">
        <v>4.8339999999999996</v>
      </c>
      <c r="Y688" s="38">
        <f t="shared" si="86"/>
        <v>5</v>
      </c>
      <c r="Z688" s="38">
        <v>0</v>
      </c>
      <c r="AA688" s="38">
        <v>0</v>
      </c>
      <c r="AB688" s="38">
        <v>25.422000000000001</v>
      </c>
      <c r="AC688" s="38">
        <v>1.341</v>
      </c>
      <c r="AD688" s="39">
        <v>321.77999999999997</v>
      </c>
      <c r="AE688" s="38">
        <v>0</v>
      </c>
      <c r="AF688" s="38">
        <f>(AD688+AE688*0.5)/(3.5*I688*1000)*100</f>
        <v>0.36164402036481336</v>
      </c>
      <c r="AG688" s="38">
        <f t="shared" si="87"/>
        <v>0.4</v>
      </c>
      <c r="AH688" s="38">
        <v>836.81</v>
      </c>
      <c r="AI688" s="38">
        <f>AH688/(3.5*I688*1000)*100</f>
        <v>0.94047900019106045</v>
      </c>
      <c r="AJ688" s="38">
        <v>0</v>
      </c>
      <c r="AK688" s="38">
        <f>AJ688/(3.5*I688*1000)*100</f>
        <v>0</v>
      </c>
      <c r="AL688" s="38">
        <v>4</v>
      </c>
      <c r="AM688" s="38">
        <f>AL688/(3.5*I688*1000)*100</f>
        <v>4.4955437922159659E-3</v>
      </c>
      <c r="AN688" s="25"/>
      <c r="AO688" s="25">
        <f>AE688*0.5</f>
        <v>0</v>
      </c>
      <c r="AP688" s="25">
        <f>(AD688+AH688+AJ688+AL688+AO688)*I688</f>
        <v>29555.362979999998</v>
      </c>
      <c r="AQ688" s="25"/>
      <c r="AR688" s="25">
        <f>SUM(N688:Q688)</f>
        <v>25.422000000000001</v>
      </c>
      <c r="AS688" s="25">
        <f>SUM(T688:W688)</f>
        <v>25.423000000000002</v>
      </c>
      <c r="AT688" s="268">
        <v>26.024999999999999</v>
      </c>
      <c r="AU688" s="41"/>
      <c r="AV688" s="41">
        <f>AT688/AR688</f>
        <v>1.0237196129336794</v>
      </c>
      <c r="AW688" s="41"/>
    </row>
    <row r="689" spans="1:88" s="22" customFormat="1">
      <c r="A689" s="1">
        <v>1294</v>
      </c>
      <c r="B689" s="74" t="s">
        <v>1820</v>
      </c>
      <c r="C689" s="34">
        <v>441</v>
      </c>
      <c r="D689" s="75">
        <v>3496</v>
      </c>
      <c r="E689" s="69">
        <v>100</v>
      </c>
      <c r="F689" s="34" t="s">
        <v>1840</v>
      </c>
      <c r="G689" s="58">
        <v>0</v>
      </c>
      <c r="H689" s="58">
        <v>27175</v>
      </c>
      <c r="I689" s="55">
        <v>27.175000000000001</v>
      </c>
      <c r="J689" s="34">
        <v>2</v>
      </c>
      <c r="K689" s="34" t="s">
        <v>238</v>
      </c>
      <c r="L689" s="10">
        <v>42184</v>
      </c>
      <c r="M689" s="37" t="s">
        <v>191</v>
      </c>
      <c r="N689" s="38">
        <v>25.475000000000001</v>
      </c>
      <c r="O689" s="38">
        <v>1.175</v>
      </c>
      <c r="P689" s="38">
        <v>0.32500000000000001</v>
      </c>
      <c r="Q689" s="38">
        <v>0.25</v>
      </c>
      <c r="R689" s="38">
        <v>1.7397199999999999</v>
      </c>
      <c r="S689" s="38">
        <f t="shared" si="85"/>
        <v>1.5</v>
      </c>
      <c r="T689" s="38">
        <v>27.125</v>
      </c>
      <c r="U689" s="38">
        <v>0.1</v>
      </c>
      <c r="V689" s="38">
        <v>0</v>
      </c>
      <c r="W689" s="38">
        <v>0</v>
      </c>
      <c r="X689" s="38">
        <v>3.0078499999999999</v>
      </c>
      <c r="Y689" s="38">
        <f t="shared" si="86"/>
        <v>3</v>
      </c>
      <c r="Z689" s="38">
        <v>0</v>
      </c>
      <c r="AA689" s="38">
        <v>0</v>
      </c>
      <c r="AB689" s="38">
        <v>27.225000000000001</v>
      </c>
      <c r="AC689" s="38">
        <v>1.1195200000000001</v>
      </c>
      <c r="AD689" s="39">
        <v>308</v>
      </c>
      <c r="AE689" s="38">
        <v>70</v>
      </c>
      <c r="AF689" s="38">
        <v>0.36062557497700093</v>
      </c>
      <c r="AG689" s="38">
        <f t="shared" si="87"/>
        <v>0.4</v>
      </c>
      <c r="AH689" s="38">
        <v>24</v>
      </c>
      <c r="AI689" s="38">
        <v>2.5233276383230384E-2</v>
      </c>
      <c r="AJ689" s="38">
        <v>0</v>
      </c>
      <c r="AK689" s="38">
        <v>0</v>
      </c>
      <c r="AL689" s="38">
        <v>0</v>
      </c>
      <c r="AM689" s="38">
        <v>0</v>
      </c>
      <c r="AN689" s="40"/>
      <c r="AO689" s="12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</row>
    <row r="690" spans="1:88" s="22" customFormat="1">
      <c r="A690" s="1">
        <v>1861</v>
      </c>
      <c r="B690" s="34" t="s">
        <v>2485</v>
      </c>
      <c r="C690" s="34">
        <v>333</v>
      </c>
      <c r="D690" s="75">
        <v>3219</v>
      </c>
      <c r="E690" s="8">
        <v>100</v>
      </c>
      <c r="F690" s="9" t="s">
        <v>2490</v>
      </c>
      <c r="G690" s="20">
        <v>0</v>
      </c>
      <c r="H690" s="20">
        <v>4742</v>
      </c>
      <c r="I690" s="21">
        <v>4.742</v>
      </c>
      <c r="J690" s="34">
        <v>2</v>
      </c>
      <c r="K690" s="34" t="s">
        <v>238</v>
      </c>
      <c r="L690" s="18">
        <v>42098</v>
      </c>
      <c r="M690" s="247" t="s">
        <v>191</v>
      </c>
      <c r="N690" s="38">
        <v>2.4</v>
      </c>
      <c r="O690" s="38">
        <v>1.2749999999999999</v>
      </c>
      <c r="P690" s="38">
        <v>0.82499999999999996</v>
      </c>
      <c r="Q690" s="38">
        <v>0.25</v>
      </c>
      <c r="R690" s="38">
        <v>2.7896299999999998</v>
      </c>
      <c r="S690" s="38">
        <f t="shared" si="85"/>
        <v>3</v>
      </c>
      <c r="T690" s="38">
        <v>4.5750000000000002</v>
      </c>
      <c r="U690" s="38">
        <v>0.15</v>
      </c>
      <c r="V690" s="38">
        <v>2.5000000000000001E-2</v>
      </c>
      <c r="W690" s="38">
        <v>0</v>
      </c>
      <c r="X690" s="38">
        <v>2.4809399999999999</v>
      </c>
      <c r="Y690" s="38">
        <f t="shared" si="86"/>
        <v>2.5</v>
      </c>
      <c r="Z690" s="38">
        <v>0</v>
      </c>
      <c r="AA690" s="38">
        <v>0</v>
      </c>
      <c r="AB690" s="38">
        <v>4.75</v>
      </c>
      <c r="AC690" s="38">
        <v>1.23627</v>
      </c>
      <c r="AD690" s="39">
        <v>13.36</v>
      </c>
      <c r="AE690" s="38">
        <v>92.39</v>
      </c>
      <c r="AF690" s="38">
        <v>0.35882990901970235</v>
      </c>
      <c r="AG690" s="38">
        <f t="shared" si="87"/>
        <v>0.4</v>
      </c>
      <c r="AH690" s="38">
        <v>0</v>
      </c>
      <c r="AI690" s="38">
        <v>0</v>
      </c>
      <c r="AJ690" s="38">
        <v>0</v>
      </c>
      <c r="AK690" s="38">
        <v>0</v>
      </c>
      <c r="AL690" s="38">
        <v>0</v>
      </c>
      <c r="AM690" s="38">
        <f>AL690/(3.5*I690*1000)*100</f>
        <v>0</v>
      </c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</row>
    <row r="691" spans="1:88" s="22" customFormat="1">
      <c r="A691" s="1">
        <v>1337</v>
      </c>
      <c r="B691" s="74" t="s">
        <v>1851</v>
      </c>
      <c r="C691" s="34">
        <v>444</v>
      </c>
      <c r="D691" s="75">
        <v>3453</v>
      </c>
      <c r="E691" s="69">
        <v>100</v>
      </c>
      <c r="F691" s="34" t="s">
        <v>1884</v>
      </c>
      <c r="G691" s="20">
        <v>27928</v>
      </c>
      <c r="H691" s="20">
        <v>0</v>
      </c>
      <c r="I691" s="21">
        <v>27.928000000000001</v>
      </c>
      <c r="J691" s="8">
        <v>2</v>
      </c>
      <c r="K691" s="34" t="s">
        <v>12</v>
      </c>
      <c r="L691" s="10">
        <v>42214</v>
      </c>
      <c r="M691" s="37" t="s">
        <v>191</v>
      </c>
      <c r="N691" s="38">
        <v>18.024999999999999</v>
      </c>
      <c r="O691" s="38">
        <v>6.2249999999999996</v>
      </c>
      <c r="P691" s="38">
        <v>2.4249999999999998</v>
      </c>
      <c r="Q691" s="38">
        <v>1.05</v>
      </c>
      <c r="R691" s="38">
        <v>2.4809399999999999</v>
      </c>
      <c r="S691" s="38">
        <f t="shared" si="85"/>
        <v>2.5</v>
      </c>
      <c r="T691" s="38">
        <v>27.35</v>
      </c>
      <c r="U691" s="38">
        <v>0.35</v>
      </c>
      <c r="V691" s="38">
        <v>2.5000000000000001E-2</v>
      </c>
      <c r="W691" s="38">
        <v>0</v>
      </c>
      <c r="X691" s="38">
        <v>2.6692100000000001</v>
      </c>
      <c r="Y691" s="38">
        <f t="shared" si="86"/>
        <v>2.5</v>
      </c>
      <c r="Z691" s="38">
        <v>0</v>
      </c>
      <c r="AA691" s="38">
        <v>0</v>
      </c>
      <c r="AB691" s="38">
        <v>27.725000000000001</v>
      </c>
      <c r="AC691" s="38">
        <v>1.1563099999999999</v>
      </c>
      <c r="AD691" s="39">
        <v>346.98</v>
      </c>
      <c r="AE691" s="38">
        <v>4.343</v>
      </c>
      <c r="AF691" s="38">
        <v>0.35719554364283668</v>
      </c>
      <c r="AG691" s="38">
        <f t="shared" si="87"/>
        <v>0.4</v>
      </c>
      <c r="AH691" s="38">
        <v>543.55999999999995</v>
      </c>
      <c r="AI691" s="38">
        <v>0.55608298891025898</v>
      </c>
      <c r="AJ691" s="38">
        <v>0</v>
      </c>
      <c r="AK691" s="38">
        <v>0</v>
      </c>
      <c r="AL691" s="38">
        <v>0</v>
      </c>
      <c r="AM691" s="38">
        <v>0</v>
      </c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</row>
    <row r="692" spans="1:88" s="22" customFormat="1">
      <c r="A692" s="1">
        <v>2176</v>
      </c>
      <c r="B692" s="34" t="s">
        <v>2798</v>
      </c>
      <c r="C692" s="34">
        <v>311</v>
      </c>
      <c r="D692" s="75">
        <v>414</v>
      </c>
      <c r="E692" s="8">
        <v>102</v>
      </c>
      <c r="F692" s="9" t="s">
        <v>2807</v>
      </c>
      <c r="G692" s="20" t="s">
        <v>2814</v>
      </c>
      <c r="H692" s="20" t="s">
        <v>2813</v>
      </c>
      <c r="I692" s="21">
        <v>4.3540000000000001</v>
      </c>
      <c r="J692" s="8">
        <v>2</v>
      </c>
      <c r="K692" s="8" t="s">
        <v>12</v>
      </c>
      <c r="L692" s="18">
        <v>42145</v>
      </c>
      <c r="M692" s="37" t="s">
        <v>191</v>
      </c>
      <c r="N692" s="38">
        <v>2.4750000000000001</v>
      </c>
      <c r="O692" s="38">
        <v>1.05</v>
      </c>
      <c r="P692" s="38">
        <v>0.47499999999999998</v>
      </c>
      <c r="Q692" s="38">
        <v>0.35</v>
      </c>
      <c r="R692" s="38">
        <v>2.7692000000000001</v>
      </c>
      <c r="S692" s="38">
        <f t="shared" si="85"/>
        <v>3</v>
      </c>
      <c r="T692" s="38">
        <v>3.9</v>
      </c>
      <c r="U692" s="38">
        <v>0.45</v>
      </c>
      <c r="V692" s="38">
        <v>0</v>
      </c>
      <c r="W692" s="38">
        <v>0</v>
      </c>
      <c r="X692" s="38">
        <v>4.9151499999999997</v>
      </c>
      <c r="Y692" s="38">
        <f t="shared" si="86"/>
        <v>5</v>
      </c>
      <c r="Z692" s="38">
        <v>0</v>
      </c>
      <c r="AA692" s="38">
        <v>0</v>
      </c>
      <c r="AB692" s="38">
        <v>4.3499999999999996</v>
      </c>
      <c r="AC692" s="38">
        <v>0.98320700000000005</v>
      </c>
      <c r="AD692" s="39">
        <v>44.8</v>
      </c>
      <c r="AE692" s="38">
        <v>19.239999999999998</v>
      </c>
      <c r="AF692" s="38">
        <f>(AD692+AE692*0.5)/(3.5*I692*1000)*100</f>
        <v>0.35711004659098361</v>
      </c>
      <c r="AG692" s="38">
        <f t="shared" si="87"/>
        <v>0.4</v>
      </c>
      <c r="AH692" s="38">
        <v>0</v>
      </c>
      <c r="AI692" s="38">
        <f>AH692/(3.5*I692*1000)*100</f>
        <v>0</v>
      </c>
      <c r="AJ692" s="38">
        <v>25.57</v>
      </c>
      <c r="AK692" s="38">
        <f>AJ692/(3.5*I692*1000)*100</f>
        <v>0.16779316228098956</v>
      </c>
      <c r="AL692" s="38">
        <v>0</v>
      </c>
      <c r="AM692" s="38">
        <f>AL692/(3.5*I692*1000)*100</f>
        <v>0</v>
      </c>
      <c r="AN692" s="72"/>
      <c r="AO692" s="41"/>
      <c r="AP692" s="41"/>
      <c r="AQ692" s="41">
        <f>SUM(N692:Q692)</f>
        <v>4.3499999999999996</v>
      </c>
      <c r="AR692" s="41">
        <f>SUM(T692:W692)</f>
        <v>4.3499999999999996</v>
      </c>
      <c r="AS692" s="12">
        <f>SUM(Z692:AB692)</f>
        <v>4.3499999999999996</v>
      </c>
      <c r="AT692" s="1"/>
      <c r="AU692" s="1">
        <f>I692/AQ692</f>
        <v>1.0009195402298852</v>
      </c>
      <c r="AV692" s="1">
        <f>I692/AR692</f>
        <v>1.0009195402298852</v>
      </c>
      <c r="AW692" s="1">
        <f>I692/AS692</f>
        <v>1.0009195402298852</v>
      </c>
    </row>
    <row r="693" spans="1:88" s="22" customFormat="1">
      <c r="A693" s="1">
        <v>500</v>
      </c>
      <c r="B693" s="88" t="s">
        <v>821</v>
      </c>
      <c r="C693" s="88">
        <v>519</v>
      </c>
      <c r="D693" s="88">
        <v>1115</v>
      </c>
      <c r="E693" s="88">
        <v>100</v>
      </c>
      <c r="F693" s="88" t="s">
        <v>853</v>
      </c>
      <c r="G693" s="88" t="s">
        <v>92</v>
      </c>
      <c r="H693" s="88" t="s">
        <v>791</v>
      </c>
      <c r="I693" s="115">
        <v>11.760999999999999</v>
      </c>
      <c r="J693" s="88" t="s">
        <v>238</v>
      </c>
      <c r="K693" s="34">
        <v>2</v>
      </c>
      <c r="L693" s="10">
        <v>42276</v>
      </c>
      <c r="M693" s="37" t="s">
        <v>191</v>
      </c>
      <c r="N693" s="38">
        <v>7.27</v>
      </c>
      <c r="O693" s="38">
        <v>3.09</v>
      </c>
      <c r="P693" s="38">
        <v>1.02</v>
      </c>
      <c r="Q693" s="38">
        <v>0.38</v>
      </c>
      <c r="R693" s="38">
        <v>2.4982600000000001</v>
      </c>
      <c r="S693" s="38">
        <f t="shared" si="85"/>
        <v>2.5</v>
      </c>
      <c r="T693" s="38">
        <v>11.21</v>
      </c>
      <c r="U693" s="38">
        <v>0.32</v>
      </c>
      <c r="V693" s="38">
        <v>0.2</v>
      </c>
      <c r="W693" s="38">
        <v>0.02</v>
      </c>
      <c r="X693" s="38">
        <v>3.5130300000000001</v>
      </c>
      <c r="Y693" s="38">
        <f t="shared" si="86"/>
        <v>3.5</v>
      </c>
      <c r="Z693" s="38">
        <v>0</v>
      </c>
      <c r="AA693" s="117">
        <v>0</v>
      </c>
      <c r="AB693" s="117">
        <v>11.76</v>
      </c>
      <c r="AC693" s="117">
        <v>1.1773899999999999</v>
      </c>
      <c r="AD693" s="254">
        <v>132.215</v>
      </c>
      <c r="AE693" s="117">
        <v>28.95</v>
      </c>
      <c r="AF693" s="117">
        <v>0.35635899999999998</v>
      </c>
      <c r="AG693" s="38">
        <f t="shared" si="87"/>
        <v>0.4</v>
      </c>
      <c r="AH693" s="117">
        <v>96.48</v>
      </c>
      <c r="AI693" s="117">
        <v>0.23438200000000001</v>
      </c>
      <c r="AJ693" s="117">
        <v>0</v>
      </c>
      <c r="AK693" s="117">
        <v>0</v>
      </c>
      <c r="AL693" s="117">
        <v>0</v>
      </c>
      <c r="AM693" s="117">
        <v>0</v>
      </c>
      <c r="AN693" s="41"/>
      <c r="AO693" s="41"/>
      <c r="AP693" s="41"/>
      <c r="AQ693" s="41">
        <f>SUM(N693:Q693)</f>
        <v>11.76</v>
      </c>
      <c r="AR693" s="41">
        <f>SUM(T693:W693)</f>
        <v>11.75</v>
      </c>
      <c r="AS693" s="41">
        <f>SUM(Z693:AB693)</f>
        <v>11.76</v>
      </c>
      <c r="AU693" s="22">
        <f>I693/AQ693</f>
        <v>1.0000850340136054</v>
      </c>
      <c r="AV693" s="22">
        <f>I693/AR693</f>
        <v>1.0009361702127659</v>
      </c>
      <c r="AW693" s="22">
        <f>I693/AS693</f>
        <v>1.0000850340136054</v>
      </c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</row>
    <row r="694" spans="1:88" s="22" customFormat="1">
      <c r="A694" s="1">
        <v>538</v>
      </c>
      <c r="B694" s="34" t="s">
        <v>915</v>
      </c>
      <c r="C694" s="34">
        <v>558</v>
      </c>
      <c r="D694" s="34">
        <v>1123</v>
      </c>
      <c r="E694" s="34">
        <v>100</v>
      </c>
      <c r="F694" s="34" t="s">
        <v>928</v>
      </c>
      <c r="G694" s="34" t="s">
        <v>92</v>
      </c>
      <c r="H694" s="34" t="s">
        <v>929</v>
      </c>
      <c r="I694" s="34">
        <v>6.0529999999999999</v>
      </c>
      <c r="J694" s="88" t="s">
        <v>238</v>
      </c>
      <c r="K694" s="34">
        <v>2</v>
      </c>
      <c r="L694" s="10">
        <v>42273</v>
      </c>
      <c r="M694" s="37" t="s">
        <v>191</v>
      </c>
      <c r="N694" s="38">
        <v>1.2250000000000001</v>
      </c>
      <c r="O694" s="38">
        <v>2.65</v>
      </c>
      <c r="P694" s="38">
        <v>1.65</v>
      </c>
      <c r="Q694" s="38">
        <v>0.88</v>
      </c>
      <c r="R694" s="38">
        <v>3.6383999999999999</v>
      </c>
      <c r="S694" s="38">
        <f t="shared" si="85"/>
        <v>3.5</v>
      </c>
      <c r="T694" s="38">
        <v>5.7249999999999996</v>
      </c>
      <c r="U694" s="38">
        <v>0.5</v>
      </c>
      <c r="V694" s="38">
        <v>2.5000000000000001E-2</v>
      </c>
      <c r="W694" s="38">
        <v>0.15</v>
      </c>
      <c r="X694" s="38">
        <v>5.4093900000000001</v>
      </c>
      <c r="Y694" s="38">
        <f t="shared" si="86"/>
        <v>5.5</v>
      </c>
      <c r="Z694" s="38">
        <v>0</v>
      </c>
      <c r="AA694" s="38">
        <v>0</v>
      </c>
      <c r="AB694" s="38">
        <v>6.4050000000000002</v>
      </c>
      <c r="AC694" s="38">
        <v>1.1975899999999999</v>
      </c>
      <c r="AD694" s="39">
        <v>71.260000000000005</v>
      </c>
      <c r="AE694" s="38">
        <v>8.43</v>
      </c>
      <c r="AF694" s="38">
        <v>0.35625800000000002</v>
      </c>
      <c r="AG694" s="38">
        <f t="shared" si="87"/>
        <v>0.4</v>
      </c>
      <c r="AH694" s="38">
        <v>139.47999999999999</v>
      </c>
      <c r="AI694" s="38">
        <v>0.65837500000000004</v>
      </c>
      <c r="AJ694" s="38">
        <v>0</v>
      </c>
      <c r="AK694" s="38">
        <v>0</v>
      </c>
      <c r="AL694" s="38">
        <v>0</v>
      </c>
      <c r="AM694" s="38">
        <v>0</v>
      </c>
      <c r="AN694" s="41"/>
      <c r="AO694" s="41"/>
      <c r="AP694" s="73"/>
      <c r="AQ694" s="73"/>
    </row>
    <row r="695" spans="1:88" s="22" customFormat="1">
      <c r="A695" s="1">
        <v>1856</v>
      </c>
      <c r="B695" s="34" t="s">
        <v>2485</v>
      </c>
      <c r="C695" s="34">
        <v>333</v>
      </c>
      <c r="D695" s="75">
        <v>3168</v>
      </c>
      <c r="E695" s="8">
        <v>100</v>
      </c>
      <c r="F695" s="9" t="s">
        <v>2486</v>
      </c>
      <c r="G695" s="20">
        <v>0</v>
      </c>
      <c r="H695" s="20">
        <v>11710</v>
      </c>
      <c r="I695" s="21">
        <v>11.71</v>
      </c>
      <c r="J695" s="34">
        <v>4</v>
      </c>
      <c r="K695" s="34" t="s">
        <v>237</v>
      </c>
      <c r="L695" s="18">
        <v>42098</v>
      </c>
      <c r="M695" s="247" t="s">
        <v>191</v>
      </c>
      <c r="N695" s="38">
        <v>7.0750000000000002</v>
      </c>
      <c r="O695" s="38">
        <v>3.1</v>
      </c>
      <c r="P695" s="38">
        <v>1</v>
      </c>
      <c r="Q695" s="38">
        <v>0.375</v>
      </c>
      <c r="R695" s="38">
        <v>2.5257800000000001</v>
      </c>
      <c r="S695" s="38">
        <f t="shared" si="85"/>
        <v>2.5</v>
      </c>
      <c r="T695" s="38">
        <v>11.225</v>
      </c>
      <c r="U695" s="38">
        <v>0.25</v>
      </c>
      <c r="V695" s="38">
        <v>0.05</v>
      </c>
      <c r="W695" s="38">
        <v>2.5000000000000001E-2</v>
      </c>
      <c r="X695" s="38">
        <v>3.4874000000000001</v>
      </c>
      <c r="Y695" s="38">
        <f t="shared" si="86"/>
        <v>3.5</v>
      </c>
      <c r="Z695" s="38">
        <v>0</v>
      </c>
      <c r="AA695" s="38">
        <v>0</v>
      </c>
      <c r="AB695" s="38">
        <v>11.55</v>
      </c>
      <c r="AC695" s="38">
        <v>1.28064</v>
      </c>
      <c r="AD695" s="39">
        <v>135.68</v>
      </c>
      <c r="AE695" s="38">
        <v>18.98</v>
      </c>
      <c r="AF695" s="38">
        <v>0.35420275710625843</v>
      </c>
      <c r="AG695" s="38">
        <f t="shared" si="87"/>
        <v>0.4</v>
      </c>
      <c r="AH695" s="38">
        <v>66.650000000000006</v>
      </c>
      <c r="AI695" s="38">
        <v>0.16262047090398929</v>
      </c>
      <c r="AJ695" s="38">
        <v>0</v>
      </c>
      <c r="AK695" s="38">
        <v>0</v>
      </c>
      <c r="AL695" s="38">
        <v>0</v>
      </c>
      <c r="AM695" s="38">
        <f>AL695/(3.5*I695*1000)*100</f>
        <v>0</v>
      </c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</row>
    <row r="696" spans="1:88" s="22" customFormat="1">
      <c r="A696" s="1">
        <v>1234</v>
      </c>
      <c r="B696" s="34" t="s">
        <v>1725</v>
      </c>
      <c r="C696" s="88">
        <v>437</v>
      </c>
      <c r="D696" s="88">
        <v>3004</v>
      </c>
      <c r="E696" s="88">
        <v>100</v>
      </c>
      <c r="F696" s="88" t="s">
        <v>1740</v>
      </c>
      <c r="G696" s="88" t="s">
        <v>1741</v>
      </c>
      <c r="H696" s="88" t="s">
        <v>92</v>
      </c>
      <c r="I696" s="115">
        <v>13.298</v>
      </c>
      <c r="J696" s="88">
        <v>2</v>
      </c>
      <c r="K696" s="88" t="s">
        <v>12</v>
      </c>
      <c r="L696" s="116">
        <v>42282</v>
      </c>
      <c r="M696" s="37" t="s">
        <v>191</v>
      </c>
      <c r="N696" s="38">
        <v>7.2249999999999996</v>
      </c>
      <c r="O696" s="38">
        <v>3.7250000000000001</v>
      </c>
      <c r="P696" s="38">
        <v>1.625</v>
      </c>
      <c r="Q696" s="38">
        <v>0.77500000000000002</v>
      </c>
      <c r="R696" s="38">
        <v>2.9197799999999998</v>
      </c>
      <c r="S696" s="38">
        <f t="shared" si="85"/>
        <v>3</v>
      </c>
      <c r="T696" s="38">
        <v>12.675000000000001</v>
      </c>
      <c r="U696" s="38">
        <v>0.57499999999999996</v>
      </c>
      <c r="V696" s="38">
        <v>0.05</v>
      </c>
      <c r="W696" s="38">
        <v>0.05</v>
      </c>
      <c r="X696" s="38">
        <v>5.0634600000000001</v>
      </c>
      <c r="Y696" s="38">
        <f t="shared" si="86"/>
        <v>5</v>
      </c>
      <c r="Z696" s="38">
        <v>0</v>
      </c>
      <c r="AA696" s="117">
        <v>0</v>
      </c>
      <c r="AB696" s="117">
        <v>13.298</v>
      </c>
      <c r="AC696" s="117">
        <v>1.20651</v>
      </c>
      <c r="AD696" s="254">
        <v>163.19999999999999</v>
      </c>
      <c r="AE696" s="117">
        <v>3.2250000000000001</v>
      </c>
      <c r="AF696" s="117">
        <f>(AD696+AE696*0.5)/(3.5*I696*1000)*100</f>
        <v>0.35410802913434886</v>
      </c>
      <c r="AG696" s="38">
        <f t="shared" si="87"/>
        <v>0.4</v>
      </c>
      <c r="AH696" s="117">
        <v>123.068</v>
      </c>
      <c r="AI696" s="117">
        <f>AH696/(3.5*I696*1000)*100</f>
        <v>0.26441785016006703</v>
      </c>
      <c r="AJ696" s="117">
        <v>1.97</v>
      </c>
      <c r="AK696" s="117">
        <f>AJ696/(3.5*I696*1000)*100</f>
        <v>4.2326450808929375E-3</v>
      </c>
      <c r="AL696" s="117">
        <v>2</v>
      </c>
      <c r="AM696" s="117">
        <f>AJ696/(3.5*I696*1000)*100</f>
        <v>4.2326450808929375E-3</v>
      </c>
      <c r="AN696" s="12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</row>
    <row r="697" spans="1:88" s="22" customFormat="1">
      <c r="A697" s="1">
        <v>53</v>
      </c>
      <c r="B697" s="4" t="s">
        <v>37</v>
      </c>
      <c r="C697" s="14">
        <v>523</v>
      </c>
      <c r="D697" s="19">
        <v>1124</v>
      </c>
      <c r="E697" s="16">
        <v>100</v>
      </c>
      <c r="F697" s="14" t="s">
        <v>121</v>
      </c>
      <c r="G697" s="20" t="s">
        <v>92</v>
      </c>
      <c r="H697" s="20" t="s">
        <v>106</v>
      </c>
      <c r="I697" s="8">
        <v>16.707000000000001</v>
      </c>
      <c r="J697" s="8">
        <v>2</v>
      </c>
      <c r="K697" s="9" t="s">
        <v>238</v>
      </c>
      <c r="L697" s="18">
        <v>42223</v>
      </c>
      <c r="M697" s="37" t="s">
        <v>191</v>
      </c>
      <c r="N697" s="26">
        <v>6.5</v>
      </c>
      <c r="O697" s="26">
        <v>6.4</v>
      </c>
      <c r="P697" s="26">
        <v>2.6749999999999998</v>
      </c>
      <c r="Q697" s="26">
        <v>1.175</v>
      </c>
      <c r="R697" s="26">
        <v>2.9976400000000001</v>
      </c>
      <c r="S697" s="38">
        <f t="shared" si="85"/>
        <v>3</v>
      </c>
      <c r="T697" s="26">
        <v>14.55</v>
      </c>
      <c r="U697" s="26">
        <v>1.95</v>
      </c>
      <c r="V697" s="26">
        <v>0.25</v>
      </c>
      <c r="W697" s="26">
        <v>0</v>
      </c>
      <c r="X697" s="26">
        <v>5.5029500000000002</v>
      </c>
      <c r="Y697" s="38">
        <f t="shared" si="86"/>
        <v>5.5</v>
      </c>
      <c r="Z697" s="26">
        <v>0</v>
      </c>
      <c r="AA697" s="26">
        <v>0</v>
      </c>
      <c r="AB697" s="26">
        <f>SUM(N697:Q697)</f>
        <v>16.75</v>
      </c>
      <c r="AC697" s="26">
        <v>1.38533</v>
      </c>
      <c r="AD697" s="258">
        <v>206.87</v>
      </c>
      <c r="AE697" s="26">
        <v>0</v>
      </c>
      <c r="AF697" s="26">
        <f>(AD697+AE697*0.5)/(3.5*I697*1000)*100</f>
        <v>0.35377814260917145</v>
      </c>
      <c r="AG697" s="38">
        <f t="shared" si="87"/>
        <v>0.4</v>
      </c>
      <c r="AH697" s="26">
        <v>65.650000000000006</v>
      </c>
      <c r="AI697" s="26">
        <f>AH697/(3.5*I697*1000)*100</f>
        <v>0.11227116093339833</v>
      </c>
      <c r="AJ697" s="26">
        <v>0</v>
      </c>
      <c r="AK697" s="26">
        <f>AJ697/(3.5*I697*1000)*100</f>
        <v>0</v>
      </c>
      <c r="AL697" s="26">
        <v>0.63</v>
      </c>
      <c r="AM697" s="26">
        <f t="shared" ref="AM697:AM708" si="88">AL697/(3.5*I697*1000)*100</f>
        <v>1.0773927096426647E-3</v>
      </c>
      <c r="AO697" s="25"/>
      <c r="AP697" s="25"/>
      <c r="AS697" s="48"/>
    </row>
    <row r="698" spans="1:88" s="137" customFormat="1">
      <c r="A698" s="1">
        <v>1537</v>
      </c>
      <c r="B698" s="34" t="s">
        <v>2104</v>
      </c>
      <c r="C698" s="34">
        <v>414</v>
      </c>
      <c r="D698" s="69">
        <v>3261</v>
      </c>
      <c r="E698" s="34">
        <v>100</v>
      </c>
      <c r="F698" s="34" t="s">
        <v>2114</v>
      </c>
      <c r="G698" s="58">
        <v>0</v>
      </c>
      <c r="H698" s="58">
        <v>21120</v>
      </c>
      <c r="I698" s="35">
        <v>21.12</v>
      </c>
      <c r="J698" s="34">
        <v>2</v>
      </c>
      <c r="K698" s="34" t="s">
        <v>12</v>
      </c>
      <c r="L698" s="10">
        <v>42266</v>
      </c>
      <c r="M698" s="37" t="s">
        <v>191</v>
      </c>
      <c r="N698" s="38">
        <v>12.25</v>
      </c>
      <c r="O698" s="38">
        <v>5.65</v>
      </c>
      <c r="P698" s="38">
        <v>2.0249999999999999</v>
      </c>
      <c r="Q698" s="38">
        <v>1.175</v>
      </c>
      <c r="R698" s="38">
        <v>2.6004</v>
      </c>
      <c r="S698" s="38">
        <f t="shared" si="85"/>
        <v>2.5</v>
      </c>
      <c r="T698" s="38">
        <v>12</v>
      </c>
      <c r="U698" s="38">
        <v>4.2750000000000004</v>
      </c>
      <c r="V698" s="38">
        <v>2.8250000000000002</v>
      </c>
      <c r="W698" s="38">
        <v>2</v>
      </c>
      <c r="X698" s="38">
        <v>10.3606</v>
      </c>
      <c r="Y698" s="38">
        <f t="shared" si="86"/>
        <v>10.5</v>
      </c>
      <c r="Z698" s="38">
        <v>0</v>
      </c>
      <c r="AA698" s="38">
        <v>0</v>
      </c>
      <c r="AB698" s="38">
        <v>21.12</v>
      </c>
      <c r="AC698" s="38">
        <v>1.09385</v>
      </c>
      <c r="AD698" s="39">
        <v>228</v>
      </c>
      <c r="AE698" s="38">
        <v>65.12</v>
      </c>
      <c r="AF698" s="38">
        <f>(AD698+AE698*0.5)/(3.5*I698*1000)*100</f>
        <v>0.35248917748917752</v>
      </c>
      <c r="AG698" s="38">
        <f t="shared" si="87"/>
        <v>0.4</v>
      </c>
      <c r="AH698" s="38">
        <v>7078</v>
      </c>
      <c r="AI698" s="38">
        <f>AH698/(3.5*I698*1000)*100</f>
        <v>9.5752164502164501</v>
      </c>
      <c r="AJ698" s="38">
        <v>2125.71</v>
      </c>
      <c r="AK698" s="38">
        <f>AJ698/(3.5*I698*1000)*100</f>
        <v>2.8756899350649352</v>
      </c>
      <c r="AL698" s="38">
        <v>290</v>
      </c>
      <c r="AM698" s="38">
        <f t="shared" si="88"/>
        <v>0.39231601731601728</v>
      </c>
      <c r="AN698" s="25"/>
      <c r="AO698" s="25">
        <f>AE698*0.5</f>
        <v>32.56</v>
      </c>
      <c r="AP698" s="25">
        <f>(AD698+AH698+AJ698+AL698+AO698)*I698</f>
        <v>206010.18239999999</v>
      </c>
      <c r="AQ698" s="25"/>
      <c r="AR698" s="25">
        <f>SUM(N698:Q698)</f>
        <v>21.099999999999998</v>
      </c>
      <c r="AS698" s="49">
        <f>SUM(T698:W698)</f>
        <v>21.099999999999998</v>
      </c>
      <c r="AT698" s="25"/>
      <c r="AU698" s="22"/>
      <c r="AV698" s="41"/>
      <c r="AW698" s="41"/>
      <c r="AX698" s="41"/>
      <c r="AY698" s="41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  <c r="CH698" s="22"/>
      <c r="CI698" s="22"/>
      <c r="CJ698" s="22"/>
    </row>
    <row r="699" spans="1:88" s="22" customFormat="1">
      <c r="A699" s="1">
        <v>1086</v>
      </c>
      <c r="B699" s="34" t="s">
        <v>1467</v>
      </c>
      <c r="C699" s="34">
        <v>619</v>
      </c>
      <c r="D699" s="8">
        <v>3479</v>
      </c>
      <c r="E699" s="34">
        <v>100</v>
      </c>
      <c r="F699" s="34" t="s">
        <v>1497</v>
      </c>
      <c r="G699" s="58">
        <v>0</v>
      </c>
      <c r="H699" s="58">
        <v>27200</v>
      </c>
      <c r="I699" s="35">
        <v>27.2</v>
      </c>
      <c r="J699" s="9">
        <v>2</v>
      </c>
      <c r="K699" s="34" t="s">
        <v>12</v>
      </c>
      <c r="L699" s="10">
        <v>42095</v>
      </c>
      <c r="M699" s="37" t="s">
        <v>191</v>
      </c>
      <c r="N699" s="38">
        <v>7.83</v>
      </c>
      <c r="O699" s="38">
        <v>12.73</v>
      </c>
      <c r="P699" s="38">
        <v>4.93</v>
      </c>
      <c r="Q699" s="38">
        <v>1.73</v>
      </c>
      <c r="R699" s="38">
        <v>3.15266</v>
      </c>
      <c r="S699" s="38">
        <f t="shared" si="85"/>
        <v>3</v>
      </c>
      <c r="T699" s="38">
        <v>25.88</v>
      </c>
      <c r="U699" s="38">
        <v>1.05</v>
      </c>
      <c r="V699" s="38">
        <v>0.2</v>
      </c>
      <c r="W699" s="38">
        <v>0.08</v>
      </c>
      <c r="X699" s="38">
        <v>4.13157</v>
      </c>
      <c r="Y699" s="38">
        <f t="shared" si="86"/>
        <v>4</v>
      </c>
      <c r="Z699" s="117">
        <v>0</v>
      </c>
      <c r="AA699" s="117">
        <v>0</v>
      </c>
      <c r="AB699" s="117">
        <v>27.2</v>
      </c>
      <c r="AC699" s="38">
        <v>1.6183399999999999</v>
      </c>
      <c r="AD699" s="39">
        <v>334.72</v>
      </c>
      <c r="AE699" s="38">
        <v>0</v>
      </c>
      <c r="AF699" s="11">
        <f>(AD699+AE699*0.5)/(3.5*I699*1000)*100</f>
        <v>0.3515966386554622</v>
      </c>
      <c r="AG699" s="38">
        <f t="shared" si="87"/>
        <v>0.4</v>
      </c>
      <c r="AH699" s="38">
        <v>0</v>
      </c>
      <c r="AI699" s="38">
        <f>AH699/(3.5*I699*1000)*100</f>
        <v>0</v>
      </c>
      <c r="AJ699" s="38">
        <v>0</v>
      </c>
      <c r="AK699" s="38">
        <f>AJ699/(3.5*I699*1000)*100</f>
        <v>0</v>
      </c>
      <c r="AL699" s="38">
        <v>2</v>
      </c>
      <c r="AM699" s="38">
        <f t="shared" si="88"/>
        <v>2.1008403361344537E-3</v>
      </c>
      <c r="AN699" s="25"/>
      <c r="AO699" s="25"/>
      <c r="AP699" s="12">
        <f>AE699*0.5</f>
        <v>0</v>
      </c>
      <c r="AQ699" s="12">
        <f>(AD699+AH699+AJ699+AL699+AP699)*I699</f>
        <v>9158.7839999999997</v>
      </c>
      <c r="AR699" s="25"/>
      <c r="AS699" s="49">
        <f>SUM(N699:Q699)</f>
        <v>27.220000000000002</v>
      </c>
      <c r="AT699" s="22">
        <f>SUM(T699:W699)</f>
        <v>27.209999999999997</v>
      </c>
      <c r="AU699" s="268">
        <v>27.2</v>
      </c>
      <c r="AV699" s="41">
        <f>SUM(N699:Q699)</f>
        <v>27.220000000000002</v>
      </c>
      <c r="AW699" s="41">
        <f>SUM(T699:W699)</f>
        <v>27.209999999999997</v>
      </c>
      <c r="AX699" s="41">
        <f>SUM(Z699:AB699)</f>
        <v>27.2</v>
      </c>
      <c r="AZ699" s="22">
        <f>I699/AV699</f>
        <v>0.99926524614254209</v>
      </c>
      <c r="BA699" s="22">
        <f>I699/AW699</f>
        <v>0.99963248805586191</v>
      </c>
      <c r="BB699" s="22">
        <f>I699/AX699</f>
        <v>1</v>
      </c>
    </row>
    <row r="700" spans="1:88" s="22" customFormat="1">
      <c r="A700" s="1">
        <v>1902</v>
      </c>
      <c r="B700" s="34" t="s">
        <v>2528</v>
      </c>
      <c r="C700" s="34">
        <v>336</v>
      </c>
      <c r="D700" s="75">
        <v>3403</v>
      </c>
      <c r="E700" s="8">
        <v>100</v>
      </c>
      <c r="F700" s="9" t="s">
        <v>2546</v>
      </c>
      <c r="G700" s="20" t="s">
        <v>92</v>
      </c>
      <c r="H700" s="20" t="s">
        <v>2547</v>
      </c>
      <c r="I700" s="21">
        <v>2.76</v>
      </c>
      <c r="J700" s="8">
        <v>2</v>
      </c>
      <c r="K700" s="8" t="s">
        <v>238</v>
      </c>
      <c r="L700" s="18">
        <v>42102</v>
      </c>
      <c r="M700" s="247" t="s">
        <v>191</v>
      </c>
      <c r="N700" s="26">
        <v>2.04</v>
      </c>
      <c r="O700" s="26">
        <v>0.41</v>
      </c>
      <c r="P700" s="26">
        <v>0.08</v>
      </c>
      <c r="Q700" s="26">
        <v>0.23</v>
      </c>
      <c r="R700" s="26">
        <v>2.5120399999999998</v>
      </c>
      <c r="S700" s="38">
        <f t="shared" si="85"/>
        <v>2.5</v>
      </c>
      <c r="T700" s="26">
        <v>2.73</v>
      </c>
      <c r="U700" s="26">
        <v>0.03</v>
      </c>
      <c r="V700" s="26">
        <v>0</v>
      </c>
      <c r="W700" s="26">
        <v>0</v>
      </c>
      <c r="X700" s="26">
        <v>4.9453399999999998</v>
      </c>
      <c r="Y700" s="38">
        <f t="shared" si="86"/>
        <v>5</v>
      </c>
      <c r="Z700" s="11">
        <v>0</v>
      </c>
      <c r="AA700" s="11">
        <v>0</v>
      </c>
      <c r="AB700" s="11">
        <v>2.76</v>
      </c>
      <c r="AC700" s="11">
        <v>1.1559699999999999</v>
      </c>
      <c r="AD700" s="164">
        <v>32.700000000000003</v>
      </c>
      <c r="AE700" s="11">
        <v>2.09</v>
      </c>
      <c r="AF700" s="38">
        <f>(AD700+AE700*0.5)/(3.5*I700*1000)*100</f>
        <v>0.34932712215320916</v>
      </c>
      <c r="AG700" s="38">
        <f t="shared" si="87"/>
        <v>0.3</v>
      </c>
      <c r="AH700" s="38">
        <v>87.55</v>
      </c>
      <c r="AI700" s="38">
        <f>AH700/(3.5*I700*1000)*100</f>
        <v>0.90631469979296064</v>
      </c>
      <c r="AJ700" s="38">
        <v>0</v>
      </c>
      <c r="AK700" s="38">
        <f>AJ700/(3.5*I700*1000)*100</f>
        <v>0</v>
      </c>
      <c r="AL700" s="38">
        <v>0</v>
      </c>
      <c r="AM700" s="38">
        <f t="shared" si="88"/>
        <v>0</v>
      </c>
      <c r="AN700" s="1"/>
      <c r="AO700" s="1"/>
      <c r="AQ700" s="41">
        <f>SUM(N700:Q700)</f>
        <v>2.7600000000000002</v>
      </c>
      <c r="AR700" s="41">
        <f>SUM(T700:W700)</f>
        <v>2.76</v>
      </c>
      <c r="AS700" s="270">
        <f>SUM(Z700:AB700)</f>
        <v>2.76</v>
      </c>
      <c r="AT700" s="1"/>
      <c r="AU700" s="1">
        <f>I700/AQ700</f>
        <v>0.99999999999999989</v>
      </c>
      <c r="AV700" s="1">
        <f>I700/AR700</f>
        <v>1</v>
      </c>
      <c r="AW700" s="1">
        <f>I700/AS700</f>
        <v>1</v>
      </c>
    </row>
    <row r="701" spans="1:88" s="22" customFormat="1">
      <c r="A701" s="1">
        <v>1922</v>
      </c>
      <c r="B701" s="34" t="s">
        <v>2559</v>
      </c>
      <c r="C701" s="34">
        <v>338</v>
      </c>
      <c r="D701" s="75">
        <v>3177</v>
      </c>
      <c r="E701" s="8">
        <v>100</v>
      </c>
      <c r="F701" s="9" t="s">
        <v>2568</v>
      </c>
      <c r="G701" s="20" t="s">
        <v>1923</v>
      </c>
      <c r="H701" s="20" t="s">
        <v>92</v>
      </c>
      <c r="I701" s="21">
        <v>9</v>
      </c>
      <c r="J701" s="8">
        <v>2</v>
      </c>
      <c r="K701" s="8" t="s">
        <v>12</v>
      </c>
      <c r="L701" s="18">
        <v>42096</v>
      </c>
      <c r="M701" s="247" t="s">
        <v>191</v>
      </c>
      <c r="N701" s="38">
        <v>7.02</v>
      </c>
      <c r="O701" s="38">
        <v>1.44</v>
      </c>
      <c r="P701" s="38">
        <v>0.37</v>
      </c>
      <c r="Q701" s="38">
        <v>0.17</v>
      </c>
      <c r="R701" s="38">
        <v>2.1394799999999998</v>
      </c>
      <c r="S701" s="38">
        <f t="shared" si="85"/>
        <v>2</v>
      </c>
      <c r="T701" s="38">
        <v>7.98</v>
      </c>
      <c r="U701" s="38">
        <v>0.6</v>
      </c>
      <c r="V701" s="38">
        <v>0.32</v>
      </c>
      <c r="W701" s="38">
        <v>0.1</v>
      </c>
      <c r="X701" s="38">
        <v>3.79488</v>
      </c>
      <c r="Y701" s="38">
        <f t="shared" si="86"/>
        <v>4</v>
      </c>
      <c r="Z701" s="38">
        <v>0</v>
      </c>
      <c r="AA701" s="38">
        <v>0</v>
      </c>
      <c r="AB701" s="38">
        <v>9</v>
      </c>
      <c r="AC701" s="38">
        <v>1.4101300000000001</v>
      </c>
      <c r="AD701" s="39">
        <v>35</v>
      </c>
      <c r="AE701" s="38">
        <v>16.309999999999999</v>
      </c>
      <c r="AF701" s="38">
        <v>0.34929178470254962</v>
      </c>
      <c r="AG701" s="38">
        <f t="shared" si="87"/>
        <v>0.3</v>
      </c>
      <c r="AH701" s="38">
        <v>0</v>
      </c>
      <c r="AI701" s="38">
        <v>0</v>
      </c>
      <c r="AJ701" s="38">
        <v>91</v>
      </c>
      <c r="AK701" s="38">
        <v>0.73654390934844205</v>
      </c>
      <c r="AL701" s="38">
        <v>0</v>
      </c>
      <c r="AM701" s="38">
        <f t="shared" si="88"/>
        <v>0</v>
      </c>
      <c r="AN701" s="41"/>
      <c r="AO701" s="73"/>
      <c r="AP701" s="41"/>
      <c r="AQ701" s="41">
        <f>SUM(N701:Q701)</f>
        <v>8.9999999999999982</v>
      </c>
      <c r="AR701" s="41">
        <f>SUM(T701:W701)</f>
        <v>9</v>
      </c>
      <c r="AS701" s="270">
        <f>SUM(Z701:AB701)</f>
        <v>9</v>
      </c>
      <c r="AT701" s="1"/>
      <c r="AU701" s="1">
        <f>I701/AQ701</f>
        <v>1.0000000000000002</v>
      </c>
      <c r="AV701" s="1">
        <f>I701/AR701</f>
        <v>1</v>
      </c>
      <c r="AW701" s="1">
        <f>I701/AS701</f>
        <v>1</v>
      </c>
      <c r="AX701" s="1">
        <f>AT701/I726</f>
        <v>0</v>
      </c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</row>
    <row r="702" spans="1:88" s="22" customFormat="1">
      <c r="A702" s="1">
        <v>1630</v>
      </c>
      <c r="B702" s="170" t="s">
        <v>2182</v>
      </c>
      <c r="C702" s="170">
        <v>417</v>
      </c>
      <c r="D702" s="89">
        <v>3701</v>
      </c>
      <c r="E702" s="9">
        <v>200</v>
      </c>
      <c r="F702" s="170" t="s">
        <v>2197</v>
      </c>
      <c r="G702" s="6" t="s">
        <v>2205</v>
      </c>
      <c r="H702" s="6" t="s">
        <v>2206</v>
      </c>
      <c r="I702" s="35">
        <v>0.159</v>
      </c>
      <c r="J702" s="170">
        <v>2</v>
      </c>
      <c r="K702" s="170" t="s">
        <v>238</v>
      </c>
      <c r="L702" s="18">
        <v>42241</v>
      </c>
      <c r="M702" s="37" t="s">
        <v>191</v>
      </c>
      <c r="N702" s="11">
        <v>7.4999999999999997E-2</v>
      </c>
      <c r="O702" s="11">
        <v>0.05</v>
      </c>
      <c r="P702" s="11">
        <v>0.05</v>
      </c>
      <c r="Q702" s="11">
        <v>2.5000000000000001E-2</v>
      </c>
      <c r="R702" s="11">
        <v>3.6389999999999998</v>
      </c>
      <c r="S702" s="38">
        <f t="shared" si="85"/>
        <v>3.5</v>
      </c>
      <c r="T702" s="11">
        <v>0.17499999999999999</v>
      </c>
      <c r="U702" s="11">
        <v>0</v>
      </c>
      <c r="V702" s="11">
        <v>0</v>
      </c>
      <c r="W702" s="11">
        <v>2.5000000000000001E-2</v>
      </c>
      <c r="X702" s="11">
        <v>7.415</v>
      </c>
      <c r="Y702" s="38">
        <f t="shared" si="86"/>
        <v>7.5</v>
      </c>
      <c r="Z702" s="11">
        <v>0</v>
      </c>
      <c r="AA702" s="11">
        <v>0</v>
      </c>
      <c r="AB702" s="11">
        <f>SUM(N702:Q702)</f>
        <v>0.19999999999999998</v>
      </c>
      <c r="AC702" s="11">
        <v>1.754</v>
      </c>
      <c r="AD702" s="164">
        <v>1.94</v>
      </c>
      <c r="AE702" s="11">
        <v>0</v>
      </c>
      <c r="AF702" s="11">
        <f>(AD702+AE702*0.5)/(3.5*I702*1000)*100</f>
        <v>0.34860736747529197</v>
      </c>
      <c r="AG702" s="38">
        <f t="shared" si="87"/>
        <v>0.3</v>
      </c>
      <c r="AH702" s="11">
        <v>0</v>
      </c>
      <c r="AI702" s="11">
        <f t="shared" ref="AI702:AI708" si="89">AH702/(3.5*I702*1000)*100</f>
        <v>0</v>
      </c>
      <c r="AJ702" s="11">
        <v>0</v>
      </c>
      <c r="AK702" s="38">
        <f>AJ702/(3.5*I702*1000)*100</f>
        <v>0</v>
      </c>
      <c r="AL702" s="11">
        <v>1.47</v>
      </c>
      <c r="AM702" s="38">
        <f t="shared" si="88"/>
        <v>0.26415094339622641</v>
      </c>
      <c r="AN702" s="25">
        <f>IF(G702=G703,1,0)</f>
        <v>0</v>
      </c>
      <c r="AO702" s="25">
        <f>AE702*0.5</f>
        <v>0</v>
      </c>
      <c r="AP702" s="25">
        <f>(AD702+AH702+AJ702+AL702+AO702)*I702</f>
        <v>0.54219000000000006</v>
      </c>
      <c r="AQ702" s="25">
        <f>(AD702+AH702+AJ702+AL702)*I702</f>
        <v>0.54219000000000006</v>
      </c>
      <c r="AR702" s="25">
        <f>SUM(N702:Q702)</f>
        <v>0.19999999999999998</v>
      </c>
      <c r="AS702" s="49">
        <f>SUM(T702:W702)</f>
        <v>0.19999999999999998</v>
      </c>
      <c r="AT702" s="1"/>
      <c r="AU702" s="41"/>
      <c r="AV702" s="275">
        <v>0.159</v>
      </c>
      <c r="AW702" s="41"/>
      <c r="AX702" s="4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</row>
    <row r="703" spans="1:88" s="22" customFormat="1">
      <c r="A703" s="1">
        <v>571</v>
      </c>
      <c r="B703" s="34" t="s">
        <v>948</v>
      </c>
      <c r="C703" s="34">
        <v>551</v>
      </c>
      <c r="D703" s="34">
        <v>2402</v>
      </c>
      <c r="E703" s="34">
        <v>100</v>
      </c>
      <c r="F703" s="9" t="s">
        <v>972</v>
      </c>
      <c r="G703" s="20">
        <v>0</v>
      </c>
      <c r="H703" s="118">
        <v>24432</v>
      </c>
      <c r="I703" s="35">
        <v>24.431999999999999</v>
      </c>
      <c r="J703" s="71">
        <v>2</v>
      </c>
      <c r="K703" s="34" t="s">
        <v>238</v>
      </c>
      <c r="L703" s="10">
        <v>42224</v>
      </c>
      <c r="M703" s="37" t="s">
        <v>191</v>
      </c>
      <c r="N703" s="38">
        <v>17.82</v>
      </c>
      <c r="O703" s="38">
        <v>4.4400000000000004</v>
      </c>
      <c r="P703" s="38">
        <v>1.65</v>
      </c>
      <c r="Q703" s="38">
        <v>0.53</v>
      </c>
      <c r="R703" s="38">
        <v>1.98952</v>
      </c>
      <c r="S703" s="38">
        <f t="shared" si="85"/>
        <v>2</v>
      </c>
      <c r="T703" s="38">
        <v>23.3</v>
      </c>
      <c r="U703" s="38">
        <v>0.66</v>
      </c>
      <c r="V703" s="38">
        <v>0.05</v>
      </c>
      <c r="W703" s="38">
        <v>0</v>
      </c>
      <c r="X703" s="38">
        <v>2.6598999999999999</v>
      </c>
      <c r="Y703" s="38">
        <f t="shared" si="86"/>
        <v>2.5</v>
      </c>
      <c r="Z703" s="38">
        <v>0</v>
      </c>
      <c r="AA703" s="38">
        <v>0</v>
      </c>
      <c r="AB703" s="38">
        <f>T703+U703+V703+W703</f>
        <v>24.01</v>
      </c>
      <c r="AC703" s="38">
        <v>1.10327</v>
      </c>
      <c r="AD703" s="39">
        <v>11</v>
      </c>
      <c r="AE703" s="38">
        <v>569.32000000000005</v>
      </c>
      <c r="AF703" s="38">
        <f>(AD703+AE703*0.5)/(3.5*I703*1000)*100</f>
        <v>0.34575264290391994</v>
      </c>
      <c r="AG703" s="38">
        <f t="shared" si="87"/>
        <v>0.3</v>
      </c>
      <c r="AH703" s="38">
        <v>2753</v>
      </c>
      <c r="AI703" s="38">
        <f t="shared" si="89"/>
        <v>3.2194311909439612</v>
      </c>
      <c r="AJ703" s="38">
        <v>0</v>
      </c>
      <c r="AK703" s="38">
        <f>AJ703/(3.5*I703*1000)*100</f>
        <v>0</v>
      </c>
      <c r="AL703" s="38">
        <v>1111</v>
      </c>
      <c r="AM703" s="38">
        <f t="shared" si="88"/>
        <v>1.2992328562073159</v>
      </c>
      <c r="AN703" s="25"/>
      <c r="AO703" s="25">
        <f>AE703*0.5</f>
        <v>284.66000000000003</v>
      </c>
      <c r="AP703" s="25">
        <f>(AD703+AH703+AJ703+AL703+AO703)*I703</f>
        <v>101628.81311999999</v>
      </c>
      <c r="AQ703" s="25">
        <f>SUM(N703:Q703)</f>
        <v>24.44</v>
      </c>
      <c r="AR703" s="25">
        <f>SUM(T703:W703)</f>
        <v>24.01</v>
      </c>
      <c r="AS703" s="51">
        <v>24.431999999999999</v>
      </c>
      <c r="AT703" s="41"/>
      <c r="AU703" s="41">
        <f>SUM(N703:Q703)</f>
        <v>24.44</v>
      </c>
      <c r="AV703" s="41">
        <f>SUM(T703:W703)</f>
        <v>24.01</v>
      </c>
      <c r="AW703" s="41">
        <f>SUM(Z703:AB703)</f>
        <v>24.01</v>
      </c>
      <c r="AY703" s="22">
        <f>I703/AU703</f>
        <v>0.99967266775777408</v>
      </c>
      <c r="AZ703" s="22">
        <f>I703/AV703</f>
        <v>1.0175760099958349</v>
      </c>
      <c r="BA703" s="22">
        <f>I703/AW703</f>
        <v>1.0175760099958349</v>
      </c>
    </row>
    <row r="704" spans="1:88" s="22" customFormat="1">
      <c r="A704" s="1">
        <v>579</v>
      </c>
      <c r="B704" s="34" t="s">
        <v>976</v>
      </c>
      <c r="C704" s="34">
        <v>552</v>
      </c>
      <c r="D704" s="34">
        <v>1205</v>
      </c>
      <c r="E704" s="34">
        <v>100</v>
      </c>
      <c r="F704" s="9" t="s">
        <v>981</v>
      </c>
      <c r="G704" s="118">
        <v>0</v>
      </c>
      <c r="H704" s="118">
        <v>25031</v>
      </c>
      <c r="I704" s="35">
        <v>25.030999999999999</v>
      </c>
      <c r="J704" s="71">
        <v>2</v>
      </c>
      <c r="K704" s="34" t="s">
        <v>238</v>
      </c>
      <c r="L704" s="10">
        <v>42195</v>
      </c>
      <c r="M704" s="37" t="s">
        <v>191</v>
      </c>
      <c r="N704" s="38">
        <v>17.875</v>
      </c>
      <c r="O704" s="38">
        <v>4.25</v>
      </c>
      <c r="P704" s="38">
        <v>1.4750000000000001</v>
      </c>
      <c r="Q704" s="38">
        <v>0.5</v>
      </c>
      <c r="R704" s="38">
        <v>2.2811699999999999</v>
      </c>
      <c r="S704" s="38">
        <f t="shared" si="85"/>
        <v>2.5</v>
      </c>
      <c r="T704" s="38">
        <v>23.2</v>
      </c>
      <c r="U704" s="38">
        <v>0.75</v>
      </c>
      <c r="V704" s="38">
        <v>0.15</v>
      </c>
      <c r="W704" s="38">
        <v>0</v>
      </c>
      <c r="X704" s="38">
        <v>4.0156200000000002</v>
      </c>
      <c r="Y704" s="38">
        <f t="shared" si="86"/>
        <v>4</v>
      </c>
      <c r="Z704" s="38">
        <v>0</v>
      </c>
      <c r="AA704" s="38">
        <v>0</v>
      </c>
      <c r="AB704" s="38">
        <f>N704+O704+P704+Q704</f>
        <v>24.1</v>
      </c>
      <c r="AC704" s="38">
        <v>1.46854</v>
      </c>
      <c r="AD704" s="39">
        <v>301</v>
      </c>
      <c r="AE704" s="38">
        <v>3.49</v>
      </c>
      <c r="AF704" s="38">
        <f>(AD704+AE704*0.5)/(3.5*I704*1000)*100</f>
        <v>0.34556578414194972</v>
      </c>
      <c r="AG704" s="38">
        <f t="shared" si="87"/>
        <v>0.3</v>
      </c>
      <c r="AH704" s="38">
        <v>41</v>
      </c>
      <c r="AI704" s="38">
        <f t="shared" si="89"/>
        <v>4.6799111958314557E-2</v>
      </c>
      <c r="AJ704" s="38">
        <v>19</v>
      </c>
      <c r="AK704" s="38">
        <f>AJ704/(3.5*I704*1000)*100</f>
        <v>2.1687393346536011E-2</v>
      </c>
      <c r="AL704" s="38">
        <v>6</v>
      </c>
      <c r="AM704" s="38">
        <f t="shared" si="88"/>
        <v>6.8486505304850565E-3</v>
      </c>
      <c r="AN704" s="25"/>
      <c r="AO704" s="25">
        <f>AE704*0.5</f>
        <v>1.7450000000000001</v>
      </c>
      <c r="AP704" s="25">
        <f>(AD704+AH704+AJ704+AL704+AO704)*I704</f>
        <v>9230.0560949999999</v>
      </c>
      <c r="AQ704" s="25">
        <f>SUM(N704:Q704)</f>
        <v>24.1</v>
      </c>
      <c r="AR704" s="25">
        <f>SUM(T704:W704)</f>
        <v>24.099999999999998</v>
      </c>
      <c r="AS704" s="51">
        <v>25.030999999999999</v>
      </c>
      <c r="AT704" s="41"/>
      <c r="AU704" s="41"/>
      <c r="AV704" s="41"/>
      <c r="AW704" s="41"/>
    </row>
    <row r="705" spans="1:88" s="22" customFormat="1">
      <c r="A705" s="1">
        <v>1940</v>
      </c>
      <c r="B705" s="34" t="s">
        <v>2586</v>
      </c>
      <c r="C705" s="34">
        <v>321</v>
      </c>
      <c r="D705" s="75">
        <v>401</v>
      </c>
      <c r="E705" s="8">
        <v>502</v>
      </c>
      <c r="F705" s="9" t="s">
        <v>2587</v>
      </c>
      <c r="G705" s="20">
        <v>286310</v>
      </c>
      <c r="H705" s="20">
        <v>236579</v>
      </c>
      <c r="I705" s="21">
        <v>49.731000000000002</v>
      </c>
      <c r="J705" s="8">
        <v>4</v>
      </c>
      <c r="K705" s="8" t="s">
        <v>96</v>
      </c>
      <c r="L705" s="18">
        <v>42122</v>
      </c>
      <c r="M705" s="37" t="s">
        <v>191</v>
      </c>
      <c r="N705" s="38">
        <v>35.15</v>
      </c>
      <c r="O705" s="38">
        <v>8.625</v>
      </c>
      <c r="P705" s="38">
        <v>4.1500000000000004</v>
      </c>
      <c r="Q705" s="38">
        <v>1.9750000000000001</v>
      </c>
      <c r="R705" s="38">
        <v>2.3607</v>
      </c>
      <c r="S705" s="38">
        <f t="shared" si="85"/>
        <v>2.5</v>
      </c>
      <c r="T705" s="38">
        <v>47.15</v>
      </c>
      <c r="U705" s="38">
        <v>2.35</v>
      </c>
      <c r="V705" s="38">
        <v>0.32500000000000001</v>
      </c>
      <c r="W705" s="38">
        <v>7.4999999999999997E-2</v>
      </c>
      <c r="X705" s="38">
        <v>4.9382099999999998</v>
      </c>
      <c r="Y705" s="38">
        <f t="shared" si="86"/>
        <v>5</v>
      </c>
      <c r="Z705" s="38">
        <v>0</v>
      </c>
      <c r="AA705" s="38">
        <v>0</v>
      </c>
      <c r="AB705" s="38">
        <v>49.900000000000006</v>
      </c>
      <c r="AC705" s="38">
        <v>1.16029</v>
      </c>
      <c r="AD705" s="39">
        <v>561.80999999999995</v>
      </c>
      <c r="AE705" s="38">
        <v>75.31</v>
      </c>
      <c r="AF705" s="38">
        <v>0.3444043238336536</v>
      </c>
      <c r="AG705" s="38">
        <f t="shared" si="87"/>
        <v>0.3</v>
      </c>
      <c r="AH705" s="38">
        <v>31.83</v>
      </c>
      <c r="AI705" s="38">
        <f t="shared" si="89"/>
        <v>1.8286955247804618E-2</v>
      </c>
      <c r="AJ705" s="38">
        <v>10.37</v>
      </c>
      <c r="AK705" s="38">
        <v>5.9577670725646835E-3</v>
      </c>
      <c r="AL705" s="38">
        <v>0</v>
      </c>
      <c r="AM705" s="38">
        <f t="shared" si="88"/>
        <v>0</v>
      </c>
      <c r="AN705" s="73"/>
      <c r="AO705" s="72"/>
      <c r="AP705" s="41"/>
      <c r="AQ705" s="41"/>
      <c r="AR705" s="73"/>
      <c r="AS705" s="48"/>
      <c r="AT705" s="73"/>
      <c r="AU705" s="73"/>
      <c r="AV705" s="73"/>
      <c r="AW705" s="73"/>
      <c r="AX705" s="73"/>
      <c r="AY705" s="73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</row>
    <row r="706" spans="1:88" s="22" customFormat="1">
      <c r="A706" s="1">
        <v>1620</v>
      </c>
      <c r="B706" s="9" t="s">
        <v>2182</v>
      </c>
      <c r="C706" s="9">
        <v>417</v>
      </c>
      <c r="D706" s="8">
        <v>303</v>
      </c>
      <c r="E706" s="9">
        <v>100</v>
      </c>
      <c r="F706" s="9" t="s">
        <v>2187</v>
      </c>
      <c r="G706" s="20" t="s">
        <v>2189</v>
      </c>
      <c r="H706" s="20" t="s">
        <v>2188</v>
      </c>
      <c r="I706" s="35">
        <v>1.67</v>
      </c>
      <c r="J706" s="9">
        <v>8</v>
      </c>
      <c r="K706" s="9" t="s">
        <v>96</v>
      </c>
      <c r="L706" s="18">
        <v>42241</v>
      </c>
      <c r="M706" s="37" t="s">
        <v>191</v>
      </c>
      <c r="N706" s="11">
        <v>0.27500000000000002</v>
      </c>
      <c r="O706" s="11">
        <v>0.27500000000000002</v>
      </c>
      <c r="P706" s="11">
        <v>0.27500000000000002</v>
      </c>
      <c r="Q706" s="11">
        <v>0.85</v>
      </c>
      <c r="R706" s="11">
        <v>5.5423900000000001</v>
      </c>
      <c r="S706" s="38">
        <f t="shared" si="85"/>
        <v>5.5</v>
      </c>
      <c r="T706" s="11">
        <v>0.32500000000000001</v>
      </c>
      <c r="U706" s="11">
        <v>1.0249999999999999</v>
      </c>
      <c r="V706" s="11">
        <v>0.2</v>
      </c>
      <c r="W706" s="11">
        <v>0.125</v>
      </c>
      <c r="X706" s="11">
        <v>13.0451</v>
      </c>
      <c r="Y706" s="38">
        <f t="shared" si="86"/>
        <v>13</v>
      </c>
      <c r="Z706" s="11">
        <v>0</v>
      </c>
      <c r="AA706" s="11">
        <v>0</v>
      </c>
      <c r="AB706" s="11">
        <f>SUM(N706:Q706)</f>
        <v>1.675</v>
      </c>
      <c r="AC706" s="11">
        <v>1.0902799999999999</v>
      </c>
      <c r="AD706" s="164">
        <v>20.13</v>
      </c>
      <c r="AE706" s="11">
        <v>0</v>
      </c>
      <c r="AF706" s="11">
        <f>(AD706+AE706*0.5)/(3.5*I706*1000)*100</f>
        <v>0.34439692044482462</v>
      </c>
      <c r="AG706" s="38">
        <f t="shared" si="87"/>
        <v>0.3</v>
      </c>
      <c r="AH706" s="11">
        <v>0</v>
      </c>
      <c r="AI706" s="11">
        <f t="shared" si="89"/>
        <v>0</v>
      </c>
      <c r="AJ706" s="11">
        <v>0</v>
      </c>
      <c r="AK706" s="38">
        <f>AJ706/(3.5*I706*1000)*100</f>
        <v>0</v>
      </c>
      <c r="AL706" s="11">
        <v>0</v>
      </c>
      <c r="AM706" s="38">
        <f t="shared" si="88"/>
        <v>0</v>
      </c>
      <c r="AN706" s="25">
        <f>IF(G706=G707,1,0)</f>
        <v>0</v>
      </c>
      <c r="AO706" s="25">
        <f>AE706*0.5</f>
        <v>0</v>
      </c>
      <c r="AP706" s="25">
        <f>(AD706+AH706+AJ706+AL706+AO706)*I706</f>
        <v>33.617099999999994</v>
      </c>
      <c r="AQ706" s="25">
        <f>(AD706+AH706+AJ706+AL706)*I706</f>
        <v>33.617099999999994</v>
      </c>
      <c r="AR706" s="25">
        <f>SUM(N706:Q706)</f>
        <v>1.675</v>
      </c>
      <c r="AS706" s="49">
        <f>SUM(T706:W706)</f>
        <v>1.6749999999999998</v>
      </c>
      <c r="AU706" s="41"/>
      <c r="AV706" s="275">
        <v>1.67</v>
      </c>
      <c r="AW706" s="41"/>
      <c r="AX706" s="41"/>
    </row>
    <row r="707" spans="1:88" s="22" customFormat="1">
      <c r="A707" s="1">
        <v>1044</v>
      </c>
      <c r="B707" s="9" t="s">
        <v>1394</v>
      </c>
      <c r="C707" s="9">
        <v>617</v>
      </c>
      <c r="D707" s="8">
        <v>2445</v>
      </c>
      <c r="E707" s="9">
        <v>102</v>
      </c>
      <c r="F707" s="9" t="s">
        <v>1443</v>
      </c>
      <c r="G707" s="20">
        <v>25000</v>
      </c>
      <c r="H707" s="20">
        <v>59401</v>
      </c>
      <c r="I707" s="35">
        <v>34.401000000000003</v>
      </c>
      <c r="J707" s="9">
        <v>2</v>
      </c>
      <c r="K707" s="9" t="s">
        <v>238</v>
      </c>
      <c r="L707" s="18">
        <v>42131</v>
      </c>
      <c r="M707" s="37" t="s">
        <v>191</v>
      </c>
      <c r="N707" s="11">
        <v>17.899999999999999</v>
      </c>
      <c r="O707" s="11">
        <v>8.9</v>
      </c>
      <c r="P707" s="11">
        <v>4.5</v>
      </c>
      <c r="Q707" s="11">
        <v>2.2250000000000001</v>
      </c>
      <c r="R707" s="11">
        <v>2.81</v>
      </c>
      <c r="S707" s="38">
        <f t="shared" ref="S707:S770" si="90">ROUND(R707/5,1)*5</f>
        <v>3</v>
      </c>
      <c r="T707" s="11">
        <v>25.675000000000001</v>
      </c>
      <c r="U707" s="11">
        <v>4.7249999999999996</v>
      </c>
      <c r="V707" s="11">
        <v>2.1</v>
      </c>
      <c r="W707" s="11">
        <v>1.0249999999999999</v>
      </c>
      <c r="X707" s="11">
        <v>7.62019</v>
      </c>
      <c r="Y707" s="38">
        <f t="shared" ref="Y707:Y770" si="91">ROUND(X707/5,1)*5</f>
        <v>7.5</v>
      </c>
      <c r="Z707" s="11">
        <v>0</v>
      </c>
      <c r="AA707" s="11">
        <v>0</v>
      </c>
      <c r="AB707" s="11">
        <f>SUM(N707:Q707)</f>
        <v>33.524999999999999</v>
      </c>
      <c r="AC707" s="11">
        <v>1.3387800000000001</v>
      </c>
      <c r="AD707" s="164">
        <v>414.59</v>
      </c>
      <c r="AE707" s="11">
        <v>0</v>
      </c>
      <c r="AF707" s="11">
        <f>(AD707+AE707*0.5)/(3.5*I707*1000)*100</f>
        <v>0.34433384411582713</v>
      </c>
      <c r="AG707" s="38">
        <f t="shared" ref="AG707:AG770" si="92">ROUND(AF707,1)</f>
        <v>0.3</v>
      </c>
      <c r="AH707" s="11">
        <v>52.73</v>
      </c>
      <c r="AI707" s="38">
        <f t="shared" si="89"/>
        <v>4.3794407969867978E-2</v>
      </c>
      <c r="AJ707" s="11">
        <v>385.71</v>
      </c>
      <c r="AK707" s="38">
        <f>AJ707/(3.5*I707*1000)*100</f>
        <v>0.32034783042021198</v>
      </c>
      <c r="AL707" s="11">
        <v>0</v>
      </c>
      <c r="AM707" s="38">
        <f t="shared" si="88"/>
        <v>0</v>
      </c>
      <c r="AN707" s="25"/>
      <c r="AO707" s="25">
        <f>AE707*0.5</f>
        <v>0</v>
      </c>
      <c r="AP707" s="25">
        <f>(AD707+AH707+AJ707+AL707+AO707)*I707</f>
        <v>29345.085030000002</v>
      </c>
      <c r="AQ707" s="25"/>
      <c r="AR707" s="25"/>
      <c r="AS707" s="49">
        <f>SUM(N707:Q707)</f>
        <v>33.524999999999999</v>
      </c>
      <c r="AT707" s="25">
        <f>SUM(T707:W707)</f>
        <v>33.524999999999999</v>
      </c>
      <c r="AU707" s="41"/>
      <c r="AV707" s="41"/>
      <c r="AW707" s="41"/>
    </row>
    <row r="708" spans="1:88" s="22" customFormat="1">
      <c r="A708" s="1">
        <v>189</v>
      </c>
      <c r="B708" s="34" t="s">
        <v>332</v>
      </c>
      <c r="C708" s="34">
        <v>533</v>
      </c>
      <c r="D708" s="34">
        <v>1384</v>
      </c>
      <c r="E708" s="34">
        <v>100</v>
      </c>
      <c r="F708" s="34" t="s">
        <v>378</v>
      </c>
      <c r="G708" s="20" t="s">
        <v>92</v>
      </c>
      <c r="H708" s="20" t="s">
        <v>379</v>
      </c>
      <c r="I708" s="35">
        <v>11.35</v>
      </c>
      <c r="J708" s="36">
        <v>2</v>
      </c>
      <c r="K708" s="34" t="s">
        <v>238</v>
      </c>
      <c r="L708" s="10">
        <v>42203</v>
      </c>
      <c r="M708" s="37" t="s">
        <v>191</v>
      </c>
      <c r="N708" s="38">
        <v>2.31</v>
      </c>
      <c r="O708" s="38">
        <v>3.6</v>
      </c>
      <c r="P708" s="38">
        <v>2.36</v>
      </c>
      <c r="Q708" s="38">
        <v>3.09</v>
      </c>
      <c r="R708" s="38">
        <v>4.9740000000000002</v>
      </c>
      <c r="S708" s="38">
        <f t="shared" si="90"/>
        <v>5</v>
      </c>
      <c r="T708" s="38">
        <v>9.15</v>
      </c>
      <c r="U708" s="38">
        <v>1.62</v>
      </c>
      <c r="V708" s="38">
        <v>0.35</v>
      </c>
      <c r="W708" s="38">
        <v>0.23</v>
      </c>
      <c r="X708" s="38">
        <v>6.8339999999999996</v>
      </c>
      <c r="Y708" s="38">
        <f t="shared" si="91"/>
        <v>7</v>
      </c>
      <c r="Z708" s="38">
        <v>0</v>
      </c>
      <c r="AA708" s="38">
        <v>0</v>
      </c>
      <c r="AB708" s="38">
        <v>11.35</v>
      </c>
      <c r="AC708" s="38">
        <v>1.7350000000000001</v>
      </c>
      <c r="AD708" s="39">
        <v>133.65</v>
      </c>
      <c r="AE708" s="38">
        <v>4.9800000000000004</v>
      </c>
      <c r="AF708" s="38">
        <f>(AD708+AE708*0.5)/(3.5*I708*1000)*100</f>
        <v>0.34270610446821903</v>
      </c>
      <c r="AG708" s="38">
        <f t="shared" si="92"/>
        <v>0.3</v>
      </c>
      <c r="AH708" s="38">
        <v>11.82</v>
      </c>
      <c r="AI708" s="38">
        <f t="shared" si="89"/>
        <v>2.9754562617998744E-2</v>
      </c>
      <c r="AJ708" s="38">
        <v>0</v>
      </c>
      <c r="AK708" s="38">
        <f>AJ708/(3.5*I708*1000)*100</f>
        <v>0</v>
      </c>
      <c r="AL708" s="38">
        <v>12.7</v>
      </c>
      <c r="AM708" s="38">
        <f t="shared" si="88"/>
        <v>3.1969792322215231E-2</v>
      </c>
      <c r="AN708" s="25"/>
      <c r="AO708" s="25">
        <f>AE708*0.5</f>
        <v>2.4900000000000002</v>
      </c>
      <c r="AP708" s="25">
        <f>(AD708+AH708+AJ708+AL708+AO708)*I708</f>
        <v>1823.491</v>
      </c>
      <c r="AQ708" s="25"/>
      <c r="AR708" s="25">
        <f>SUM(N708:Q708)</f>
        <v>11.36</v>
      </c>
      <c r="AS708" s="49">
        <f>SUM(T708:W708)</f>
        <v>11.35</v>
      </c>
      <c r="AU708" s="41">
        <f>SUM(N708:Q708)</f>
        <v>11.36</v>
      </c>
      <c r="AV708" s="41">
        <f>SUM(T708:W708)</f>
        <v>11.35</v>
      </c>
      <c r="AW708" s="41">
        <f>SUM(Z708:AB708)</f>
        <v>11.35</v>
      </c>
      <c r="AX708" s="41"/>
      <c r="AY708" s="22">
        <f>I708/AU708</f>
        <v>0.99911971830985913</v>
      </c>
      <c r="AZ708" s="22">
        <f>I708/AV708</f>
        <v>1</v>
      </c>
      <c r="BA708" s="22">
        <f>I708/AW708</f>
        <v>1</v>
      </c>
    </row>
    <row r="709" spans="1:88" s="22" customFormat="1">
      <c r="A709" s="1">
        <v>1307</v>
      </c>
      <c r="B709" s="74" t="s">
        <v>1851</v>
      </c>
      <c r="C709" s="34">
        <v>444</v>
      </c>
      <c r="D709" s="75">
        <v>323</v>
      </c>
      <c r="E709" s="69">
        <v>201</v>
      </c>
      <c r="F709" s="34" t="s">
        <v>1852</v>
      </c>
      <c r="G709" s="20">
        <v>32360</v>
      </c>
      <c r="H709" s="20">
        <v>18592</v>
      </c>
      <c r="I709" s="21">
        <v>13.768000000000001</v>
      </c>
      <c r="J709" s="8">
        <v>4</v>
      </c>
      <c r="K709" s="34" t="s">
        <v>96</v>
      </c>
      <c r="L709" s="10">
        <v>42209</v>
      </c>
      <c r="M709" s="37" t="s">
        <v>191</v>
      </c>
      <c r="N709" s="38">
        <v>13.6</v>
      </c>
      <c r="O709" s="38">
        <v>0.17499999999999999</v>
      </c>
      <c r="P709" s="38">
        <v>2.5000000000000001E-2</v>
      </c>
      <c r="Q709" s="38">
        <v>0</v>
      </c>
      <c r="R709" s="38">
        <v>1.64714</v>
      </c>
      <c r="S709" s="38">
        <f t="shared" si="90"/>
        <v>1.5</v>
      </c>
      <c r="T709" s="38">
        <v>13.6</v>
      </c>
      <c r="U709" s="38">
        <v>0.17499999999999999</v>
      </c>
      <c r="V709" s="38">
        <v>2.5000000000000001E-2</v>
      </c>
      <c r="W709" s="38">
        <v>0</v>
      </c>
      <c r="X709" s="38">
        <v>2.6562600000000001</v>
      </c>
      <c r="Y709" s="38">
        <f t="shared" si="91"/>
        <v>2.5</v>
      </c>
      <c r="Z709" s="38">
        <v>0</v>
      </c>
      <c r="AA709" s="38">
        <v>0</v>
      </c>
      <c r="AB709" s="38">
        <v>13.8</v>
      </c>
      <c r="AC709" s="38">
        <v>1.2060900000000001</v>
      </c>
      <c r="AD709" s="39">
        <v>72.224000000000004</v>
      </c>
      <c r="AE709" s="38">
        <v>185.553</v>
      </c>
      <c r="AF709" s="38">
        <v>0.34240993608367226</v>
      </c>
      <c r="AG709" s="38">
        <f t="shared" si="92"/>
        <v>0.3</v>
      </c>
      <c r="AH709" s="38">
        <v>2752.59</v>
      </c>
      <c r="AI709" s="38">
        <v>5.7121897567859223</v>
      </c>
      <c r="AJ709" s="38">
        <v>0</v>
      </c>
      <c r="AK709" s="38">
        <v>0</v>
      </c>
      <c r="AL709" s="38">
        <v>0</v>
      </c>
      <c r="AM709" s="38">
        <v>0</v>
      </c>
      <c r="AN709" s="1"/>
      <c r="AO709" s="1"/>
      <c r="AP709" s="1"/>
      <c r="AQ709" s="1"/>
      <c r="AR709" s="1"/>
      <c r="AS709" s="178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</row>
    <row r="710" spans="1:88" s="22" customFormat="1">
      <c r="A710" s="1">
        <v>72</v>
      </c>
      <c r="B710" s="4" t="s">
        <v>44</v>
      </c>
      <c r="C710" s="14">
        <v>524</v>
      </c>
      <c r="D710" s="19">
        <v>1010</v>
      </c>
      <c r="E710" s="16">
        <v>200</v>
      </c>
      <c r="F710" s="14" t="s">
        <v>50</v>
      </c>
      <c r="G710" s="20" t="s">
        <v>134</v>
      </c>
      <c r="H710" s="20" t="s">
        <v>135</v>
      </c>
      <c r="I710" s="21">
        <v>17.498000000000001</v>
      </c>
      <c r="J710" s="8">
        <v>2</v>
      </c>
      <c r="K710" s="9" t="s">
        <v>12</v>
      </c>
      <c r="L710" s="18">
        <v>42226</v>
      </c>
      <c r="M710" s="37" t="s">
        <v>191</v>
      </c>
      <c r="N710" s="11">
        <v>6.35</v>
      </c>
      <c r="O710" s="11">
        <v>5.35</v>
      </c>
      <c r="P710" s="11">
        <v>4</v>
      </c>
      <c r="Q710" s="11">
        <v>1.8</v>
      </c>
      <c r="R710" s="11">
        <v>3.2350599999999998</v>
      </c>
      <c r="S710" s="38">
        <f t="shared" si="90"/>
        <v>3</v>
      </c>
      <c r="T710" s="11">
        <v>16.5</v>
      </c>
      <c r="U710" s="11">
        <v>0.85</v>
      </c>
      <c r="V710" s="11">
        <v>0.1</v>
      </c>
      <c r="W710" s="11">
        <v>0.05</v>
      </c>
      <c r="X710" s="11">
        <v>3.9956900000000002</v>
      </c>
      <c r="Y710" s="38">
        <f t="shared" si="91"/>
        <v>4</v>
      </c>
      <c r="Z710" s="11">
        <v>0</v>
      </c>
      <c r="AA710" s="11">
        <v>0</v>
      </c>
      <c r="AB710" s="11">
        <v>17.5</v>
      </c>
      <c r="AC710" s="11">
        <v>1.2542</v>
      </c>
      <c r="AD710" s="164">
        <v>197.36</v>
      </c>
      <c r="AE710" s="11">
        <v>24.63</v>
      </c>
      <c r="AF710" s="11">
        <f>(AD710+AE710*0.5)/(3.5*I710*1000)*100</f>
        <v>0.34236565811602959</v>
      </c>
      <c r="AG710" s="38">
        <f t="shared" si="92"/>
        <v>0.3</v>
      </c>
      <c r="AH710" s="11">
        <v>14.62</v>
      </c>
      <c r="AI710" s="11">
        <f>AH710/(3.5*I710*1000)*100</f>
        <v>2.387211599693026E-2</v>
      </c>
      <c r="AJ710" s="11">
        <v>1</v>
      </c>
      <c r="AK710" s="11">
        <f>AJ710/(3.5*I710*1000)*100</f>
        <v>1.6328396714726582E-3</v>
      </c>
      <c r="AL710" s="11">
        <v>0</v>
      </c>
      <c r="AM710" s="11">
        <f>AL710/(3.5*I710*1000)*100</f>
        <v>0</v>
      </c>
      <c r="AN710" s="25"/>
      <c r="AO710" s="25"/>
      <c r="AS710" s="48"/>
    </row>
    <row r="711" spans="1:88" s="22" customFormat="1">
      <c r="A711" s="1">
        <v>1373</v>
      </c>
      <c r="B711" s="74" t="s">
        <v>1905</v>
      </c>
      <c r="C711" s="34">
        <v>445</v>
      </c>
      <c r="D711" s="75">
        <v>3387</v>
      </c>
      <c r="E711" s="69">
        <v>10</v>
      </c>
      <c r="F711" s="184" t="s">
        <v>1925</v>
      </c>
      <c r="G711" s="20">
        <v>7102</v>
      </c>
      <c r="H711" s="20">
        <v>0</v>
      </c>
      <c r="I711" s="21">
        <v>7.1020000000000003</v>
      </c>
      <c r="J711" s="8">
        <v>2</v>
      </c>
      <c r="K711" s="34" t="s">
        <v>12</v>
      </c>
      <c r="L711" s="10">
        <v>42208</v>
      </c>
      <c r="M711" s="37" t="s">
        <v>191</v>
      </c>
      <c r="N711" s="38">
        <v>4.25</v>
      </c>
      <c r="O711" s="38">
        <v>2.85</v>
      </c>
      <c r="P711" s="38">
        <v>0</v>
      </c>
      <c r="Q711" s="38">
        <v>0</v>
      </c>
      <c r="R711" s="38">
        <v>2.6970000000000001</v>
      </c>
      <c r="S711" s="38">
        <f t="shared" si="90"/>
        <v>2.5</v>
      </c>
      <c r="T711" s="38">
        <v>7.1</v>
      </c>
      <c r="U711" s="38">
        <v>0</v>
      </c>
      <c r="V711" s="38">
        <v>0</v>
      </c>
      <c r="W711" s="38">
        <v>0</v>
      </c>
      <c r="X711" s="38">
        <v>2.9209999999999998</v>
      </c>
      <c r="Y711" s="38">
        <f t="shared" si="91"/>
        <v>3</v>
      </c>
      <c r="Z711" s="38">
        <v>0</v>
      </c>
      <c r="AA711" s="38">
        <v>0</v>
      </c>
      <c r="AB711" s="38">
        <v>7.1</v>
      </c>
      <c r="AC711" s="38">
        <v>1.2310000000000001</v>
      </c>
      <c r="AD711" s="39">
        <v>12.23</v>
      </c>
      <c r="AE711" s="38">
        <v>21.8</v>
      </c>
      <c r="AF711" s="38">
        <v>0.34100000000000003</v>
      </c>
      <c r="AG711" s="38">
        <f t="shared" si="92"/>
        <v>0.3</v>
      </c>
      <c r="AH711" s="38">
        <v>0</v>
      </c>
      <c r="AI711" s="38">
        <v>0</v>
      </c>
      <c r="AJ711" s="38">
        <v>0</v>
      </c>
      <c r="AK711" s="38">
        <v>0</v>
      </c>
      <c r="AL711" s="38">
        <v>0</v>
      </c>
      <c r="AM711" s="38">
        <v>0</v>
      </c>
      <c r="AN711" s="72"/>
      <c r="AO711" s="41"/>
      <c r="AP711" s="41"/>
      <c r="AQ711" s="41"/>
      <c r="AR711" s="41"/>
      <c r="AS711" s="48"/>
      <c r="AT711" s="73"/>
      <c r="AU711" s="73"/>
      <c r="AV711" s="73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</row>
    <row r="712" spans="1:88" s="100" customFormat="1">
      <c r="A712" s="1">
        <v>1770</v>
      </c>
      <c r="B712" s="34" t="s">
        <v>2369</v>
      </c>
      <c r="C712" s="34">
        <v>426</v>
      </c>
      <c r="D712" s="8">
        <v>3143</v>
      </c>
      <c r="E712" s="34">
        <v>100</v>
      </c>
      <c r="F712" s="34" t="s">
        <v>2372</v>
      </c>
      <c r="G712" s="58">
        <v>14041</v>
      </c>
      <c r="H712" s="58">
        <v>0</v>
      </c>
      <c r="I712" s="35">
        <v>14.041</v>
      </c>
      <c r="J712" s="9">
        <v>2</v>
      </c>
      <c r="K712" s="34" t="s">
        <v>12</v>
      </c>
      <c r="L712" s="10">
        <v>42233</v>
      </c>
      <c r="M712" s="37" t="s">
        <v>191</v>
      </c>
      <c r="N712" s="38">
        <v>7.8250000000000002</v>
      </c>
      <c r="O712" s="38">
        <v>5.05</v>
      </c>
      <c r="P712" s="38">
        <v>0.85</v>
      </c>
      <c r="Q712" s="38">
        <v>0.3</v>
      </c>
      <c r="R712" s="38">
        <v>2.6439699999999999</v>
      </c>
      <c r="S712" s="38">
        <f t="shared" si="90"/>
        <v>2.5</v>
      </c>
      <c r="T712" s="38">
        <v>13.2</v>
      </c>
      <c r="U712" s="38">
        <v>0.52500000000000002</v>
      </c>
      <c r="V712" s="38">
        <v>0.25</v>
      </c>
      <c r="W712" s="38">
        <v>0.05</v>
      </c>
      <c r="X712" s="38">
        <v>6.60276</v>
      </c>
      <c r="Y712" s="38">
        <f t="shared" si="91"/>
        <v>6.5</v>
      </c>
      <c r="Z712" s="38">
        <v>0</v>
      </c>
      <c r="AA712" s="38">
        <v>0</v>
      </c>
      <c r="AB712" s="38">
        <f>SUM(T712:W712)</f>
        <v>14.025</v>
      </c>
      <c r="AC712" s="38">
        <v>1.2765899999999999</v>
      </c>
      <c r="AD712" s="39">
        <v>134.62</v>
      </c>
      <c r="AE712" s="38">
        <v>65.84</v>
      </c>
      <c r="AF712" s="38">
        <v>0.34092</v>
      </c>
      <c r="AG712" s="38">
        <f t="shared" si="92"/>
        <v>0.3</v>
      </c>
      <c r="AH712" s="38">
        <v>109.36</v>
      </c>
      <c r="AI712" s="38">
        <v>0.22253000000000001</v>
      </c>
      <c r="AJ712" s="38">
        <v>560</v>
      </c>
      <c r="AK712" s="38">
        <v>1.1395200000000001</v>
      </c>
      <c r="AL712" s="38">
        <v>291.32</v>
      </c>
      <c r="AM712" s="38">
        <v>0.59279000000000004</v>
      </c>
      <c r="AN712" s="25"/>
      <c r="AO712" s="25">
        <f>AE712*0.5</f>
        <v>32.92</v>
      </c>
      <c r="AP712" s="25">
        <f>(AD712+AH712+AJ712+AL712+AO712)*I712</f>
        <v>15841.337020000001</v>
      </c>
      <c r="AQ712" s="25">
        <f>SUM(N712:Q712)</f>
        <v>14.025</v>
      </c>
      <c r="AR712" s="25">
        <f>SUM(T712:W712)</f>
        <v>14.025</v>
      </c>
      <c r="AS712" s="48"/>
      <c r="AT712" s="41"/>
      <c r="AU712" s="41"/>
      <c r="AV712" s="41"/>
      <c r="AW712" s="41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  <c r="CH712" s="22"/>
      <c r="CI712" s="22"/>
      <c r="CJ712" s="22"/>
    </row>
    <row r="713" spans="1:88" s="22" customFormat="1">
      <c r="A713" s="1">
        <v>1333</v>
      </c>
      <c r="B713" s="74" t="s">
        <v>1851</v>
      </c>
      <c r="C713" s="34">
        <v>444</v>
      </c>
      <c r="D713" s="75">
        <v>3343</v>
      </c>
      <c r="E713" s="69">
        <v>100</v>
      </c>
      <c r="F713" s="34" t="s">
        <v>1879</v>
      </c>
      <c r="G713" s="20" t="s">
        <v>92</v>
      </c>
      <c r="H713" s="20" t="s">
        <v>1880</v>
      </c>
      <c r="I713" s="21">
        <v>3.7530000000000001</v>
      </c>
      <c r="J713" s="8">
        <v>2</v>
      </c>
      <c r="K713" s="34" t="s">
        <v>238</v>
      </c>
      <c r="L713" s="10">
        <v>42212</v>
      </c>
      <c r="M713" s="37" t="s">
        <v>191</v>
      </c>
      <c r="N713" s="38">
        <v>0.9</v>
      </c>
      <c r="O713" s="38">
        <v>1.55</v>
      </c>
      <c r="P713" s="38">
        <v>1.0249999999999999</v>
      </c>
      <c r="Q713" s="38">
        <v>0.6</v>
      </c>
      <c r="R713" s="38">
        <v>3.5254599999999998</v>
      </c>
      <c r="S713" s="38">
        <f t="shared" si="90"/>
        <v>3.5</v>
      </c>
      <c r="T713" s="38">
        <v>3.9</v>
      </c>
      <c r="U713" s="38">
        <v>0.15</v>
      </c>
      <c r="V713" s="38">
        <v>2.5000000000000001E-2</v>
      </c>
      <c r="W713" s="38">
        <v>0</v>
      </c>
      <c r="X713" s="38">
        <v>2.9174199999999999</v>
      </c>
      <c r="Y713" s="38">
        <f t="shared" si="91"/>
        <v>3</v>
      </c>
      <c r="Z713" s="38">
        <v>0</v>
      </c>
      <c r="AA713" s="38">
        <v>0</v>
      </c>
      <c r="AB713" s="38">
        <v>4.0750000000000002</v>
      </c>
      <c r="AC713" s="38">
        <v>1.2416400000000001</v>
      </c>
      <c r="AD713" s="39">
        <v>31</v>
      </c>
      <c r="AE713" s="38">
        <v>0</v>
      </c>
      <c r="AF713" s="38">
        <v>0.34079041389545428</v>
      </c>
      <c r="AG713" s="38">
        <f t="shared" si="92"/>
        <v>0.3</v>
      </c>
      <c r="AH713" s="38">
        <v>0</v>
      </c>
      <c r="AI713" s="38">
        <v>0</v>
      </c>
      <c r="AJ713" s="38">
        <v>0</v>
      </c>
      <c r="AK713" s="38">
        <v>0</v>
      </c>
      <c r="AL713" s="38">
        <v>0</v>
      </c>
      <c r="AM713" s="38">
        <v>0</v>
      </c>
      <c r="AN713" s="1"/>
      <c r="AO713" s="1"/>
      <c r="AP713" s="1"/>
      <c r="AQ713" s="1"/>
      <c r="AR713" s="1"/>
      <c r="AS713" s="178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</row>
    <row r="714" spans="1:88" s="22" customFormat="1">
      <c r="A714" s="1">
        <v>575</v>
      </c>
      <c r="B714" s="34" t="s">
        <v>976</v>
      </c>
      <c r="C714" s="34">
        <v>552</v>
      </c>
      <c r="D714" s="34">
        <v>113</v>
      </c>
      <c r="E714" s="34">
        <v>100</v>
      </c>
      <c r="F714" s="9" t="s">
        <v>977</v>
      </c>
      <c r="G714" s="118">
        <v>54253</v>
      </c>
      <c r="H714" s="118">
        <v>0</v>
      </c>
      <c r="I714" s="35">
        <v>54.253</v>
      </c>
      <c r="J714" s="71">
        <v>2</v>
      </c>
      <c r="K714" s="34" t="s">
        <v>12</v>
      </c>
      <c r="L714" s="10">
        <v>42195</v>
      </c>
      <c r="M714" s="37" t="s">
        <v>191</v>
      </c>
      <c r="N714" s="38">
        <v>31.774999999999999</v>
      </c>
      <c r="O714" s="38">
        <v>10.275</v>
      </c>
      <c r="P714" s="38">
        <v>6.2249999999999996</v>
      </c>
      <c r="Q714" s="38">
        <v>6.2249999999999996</v>
      </c>
      <c r="R714" s="38">
        <v>2.6150000000000002</v>
      </c>
      <c r="S714" s="38">
        <f t="shared" si="90"/>
        <v>2.5</v>
      </c>
      <c r="T714" s="38">
        <v>48.15</v>
      </c>
      <c r="U714" s="38">
        <v>4.5999999999999996</v>
      </c>
      <c r="V714" s="38">
        <v>1.3</v>
      </c>
      <c r="W714" s="38">
        <v>0.45</v>
      </c>
      <c r="X714" s="38">
        <v>6.3170000000000002</v>
      </c>
      <c r="Y714" s="38">
        <f t="shared" si="91"/>
        <v>6.5</v>
      </c>
      <c r="Z714" s="38">
        <v>0</v>
      </c>
      <c r="AA714" s="38">
        <v>7.4999999999999997E-2</v>
      </c>
      <c r="AB714" s="38">
        <v>54.424999999999997</v>
      </c>
      <c r="AC714" s="38">
        <v>1.2544</v>
      </c>
      <c r="AD714" s="39">
        <v>635</v>
      </c>
      <c r="AE714" s="38">
        <v>23.29</v>
      </c>
      <c r="AF714" s="38">
        <f>(AD714+AE714*0.5)/(3.5*I714*1000)*100</f>
        <v>0.34054469667246839</v>
      </c>
      <c r="AG714" s="38">
        <f t="shared" si="92"/>
        <v>0.3</v>
      </c>
      <c r="AH714" s="38">
        <v>425</v>
      </c>
      <c r="AI714" s="38">
        <f>AH714/(3.5*I714*1000)*100</f>
        <v>0.22381909097851072</v>
      </c>
      <c r="AJ714" s="38">
        <v>0</v>
      </c>
      <c r="AK714" s="38">
        <f>AJ714/(3.5*I714*1000)*100</f>
        <v>0</v>
      </c>
      <c r="AL714" s="38">
        <v>434</v>
      </c>
      <c r="AM714" s="38">
        <f>AL714/(3.5*I714*1000)*100</f>
        <v>0.2285587893757027</v>
      </c>
      <c r="AN714" s="25"/>
      <c r="AO714" s="25">
        <f>AE714*0.5</f>
        <v>11.645</v>
      </c>
      <c r="AP714" s="25">
        <f>(AD714+AH714+AJ714+AL714+AO714)*I714</f>
        <v>81685.758184999999</v>
      </c>
      <c r="AQ714" s="25">
        <f>SUM(N714:Q714)</f>
        <v>54.5</v>
      </c>
      <c r="AR714" s="25">
        <f>SUM(T714:W714)</f>
        <v>54.5</v>
      </c>
      <c r="AS714" s="51">
        <v>54.253</v>
      </c>
      <c r="AT714" s="41"/>
      <c r="AU714" s="41"/>
      <c r="AV714" s="41"/>
      <c r="AW714" s="41"/>
    </row>
    <row r="715" spans="1:88" s="22" customFormat="1">
      <c r="A715" s="1">
        <v>2121</v>
      </c>
      <c r="B715" s="34" t="s">
        <v>2754</v>
      </c>
      <c r="C715" s="34">
        <v>324</v>
      </c>
      <c r="D715" s="75">
        <v>4026</v>
      </c>
      <c r="E715" s="8">
        <v>100</v>
      </c>
      <c r="F715" s="9" t="s">
        <v>2764</v>
      </c>
      <c r="G715" s="20">
        <v>4130</v>
      </c>
      <c r="H715" s="20">
        <v>0</v>
      </c>
      <c r="I715" s="21">
        <v>4.13</v>
      </c>
      <c r="J715" s="9">
        <v>4</v>
      </c>
      <c r="K715" s="34" t="s">
        <v>238</v>
      </c>
      <c r="L715" s="18">
        <v>42139</v>
      </c>
      <c r="M715" s="37" t="s">
        <v>191</v>
      </c>
      <c r="N715" s="38">
        <v>2.4249999999999998</v>
      </c>
      <c r="O715" s="38">
        <v>1.3</v>
      </c>
      <c r="P715" s="38">
        <v>0.27500000000000002</v>
      </c>
      <c r="Q715" s="38">
        <v>7.4999999999999997E-2</v>
      </c>
      <c r="R715" s="38">
        <v>2.53166</v>
      </c>
      <c r="S715" s="38">
        <f t="shared" si="90"/>
        <v>2.5</v>
      </c>
      <c r="T715" s="38">
        <v>2.95</v>
      </c>
      <c r="U715" s="38">
        <v>0.9</v>
      </c>
      <c r="V715" s="38">
        <v>0.2</v>
      </c>
      <c r="W715" s="38">
        <v>2.5000000000000001E-2</v>
      </c>
      <c r="X715" s="38">
        <v>7.9238999999999997</v>
      </c>
      <c r="Y715" s="38">
        <f t="shared" si="91"/>
        <v>8</v>
      </c>
      <c r="Z715" s="38">
        <v>0</v>
      </c>
      <c r="AA715" s="38">
        <v>0</v>
      </c>
      <c r="AB715" s="38">
        <v>4.0749999999999993</v>
      </c>
      <c r="AC715" s="38">
        <v>1.3418300000000001</v>
      </c>
      <c r="AD715" s="39">
        <v>42.91</v>
      </c>
      <c r="AE715" s="38">
        <v>12.55</v>
      </c>
      <c r="AF715" s="38">
        <v>0.34026288481494288</v>
      </c>
      <c r="AG715" s="38">
        <f t="shared" si="92"/>
        <v>0.3</v>
      </c>
      <c r="AH715" s="38">
        <v>38</v>
      </c>
      <c r="AI715" s="38">
        <v>0.26288481494292631</v>
      </c>
      <c r="AJ715" s="38">
        <v>0</v>
      </c>
      <c r="AK715" s="38">
        <v>0</v>
      </c>
      <c r="AL715" s="38">
        <v>8.8800000000000008</v>
      </c>
      <c r="AM715" s="38">
        <v>6.143203043929437E-2</v>
      </c>
      <c r="AN715" s="41"/>
      <c r="AO715" s="41"/>
      <c r="AP715" s="73"/>
      <c r="AQ715" s="73"/>
      <c r="AR715" s="73"/>
      <c r="AS715" s="178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</row>
    <row r="716" spans="1:88" s="22" customFormat="1">
      <c r="A716" s="1">
        <v>342</v>
      </c>
      <c r="B716" s="34" t="s">
        <v>470</v>
      </c>
      <c r="C716" s="34">
        <v>639</v>
      </c>
      <c r="D716" s="34">
        <v>2169</v>
      </c>
      <c r="E716" s="34">
        <v>200</v>
      </c>
      <c r="F716" s="34" t="s">
        <v>479</v>
      </c>
      <c r="G716" s="58">
        <v>37241</v>
      </c>
      <c r="H716" s="58">
        <v>64969</v>
      </c>
      <c r="I716" s="35">
        <v>27.728000000000002</v>
      </c>
      <c r="J716" s="62">
        <v>2</v>
      </c>
      <c r="K716" s="34" t="s">
        <v>238</v>
      </c>
      <c r="L716" s="10">
        <v>42157</v>
      </c>
      <c r="M716" s="37" t="s">
        <v>191</v>
      </c>
      <c r="N716" s="38">
        <v>13.475</v>
      </c>
      <c r="O716" s="38">
        <v>8.375</v>
      </c>
      <c r="P716" s="38">
        <v>4.0750000000000002</v>
      </c>
      <c r="Q716" s="38">
        <v>1.8</v>
      </c>
      <c r="R716" s="38">
        <v>3.0960700000000001</v>
      </c>
      <c r="S716" s="38">
        <f t="shared" si="90"/>
        <v>3</v>
      </c>
      <c r="T716" s="38">
        <v>25.15</v>
      </c>
      <c r="U716" s="38">
        <v>1.95</v>
      </c>
      <c r="V716" s="38">
        <v>0.32500000000000001</v>
      </c>
      <c r="W716" s="38">
        <v>0.3</v>
      </c>
      <c r="X716" s="38">
        <v>6.8835100000000002</v>
      </c>
      <c r="Y716" s="38">
        <f t="shared" si="91"/>
        <v>7</v>
      </c>
      <c r="Z716" s="38">
        <v>0</v>
      </c>
      <c r="AA716" s="38">
        <v>0</v>
      </c>
      <c r="AB716" s="38">
        <f>N716+O716+P716+Q716</f>
        <v>27.725000000000001</v>
      </c>
      <c r="AC716" s="38">
        <v>1.2503599999999999</v>
      </c>
      <c r="AD716" s="39">
        <v>330</v>
      </c>
      <c r="AE716" s="38">
        <v>0</v>
      </c>
      <c r="AF716" s="38">
        <f>(AD716+AE716*0.5)/(3.5*I716*1000)*100</f>
        <v>0.34003791938010058</v>
      </c>
      <c r="AG716" s="38">
        <f t="shared" si="92"/>
        <v>0.3</v>
      </c>
      <c r="AH716" s="38">
        <v>244.96</v>
      </c>
      <c r="AI716" s="38">
        <f>AH716/(3.5*I716*1000)*100</f>
        <v>0.2524111779737862</v>
      </c>
      <c r="AJ716" s="38">
        <v>0</v>
      </c>
      <c r="AK716" s="38">
        <v>0</v>
      </c>
      <c r="AL716" s="38">
        <v>1</v>
      </c>
      <c r="AM716" s="38">
        <v>1</v>
      </c>
      <c r="AN716" s="25"/>
      <c r="AO716" s="25">
        <f>AE716*0.5</f>
        <v>0</v>
      </c>
      <c r="AP716" s="25">
        <f>(AD716+AH716+AJ716+AL716+AO716)*I716</f>
        <v>15970.218880000002</v>
      </c>
      <c r="AQ716" s="25"/>
      <c r="AR716" s="25"/>
      <c r="AS716" s="49">
        <f>SUM(N716:Q716)</f>
        <v>27.725000000000001</v>
      </c>
      <c r="AT716" s="25"/>
      <c r="AU716" s="41">
        <f>SUM(N716:Q716)</f>
        <v>27.725000000000001</v>
      </c>
      <c r="AV716" s="41">
        <f>SUM(T716:W716)</f>
        <v>27.724999999999998</v>
      </c>
      <c r="AW716" s="41">
        <f>SUM(Z716:AB716)</f>
        <v>27.725000000000001</v>
      </c>
      <c r="AY716" s="22">
        <f>I716/AU716</f>
        <v>1.0001082055906221</v>
      </c>
      <c r="AZ716" s="22">
        <f>I716/AV716</f>
        <v>1.0001082055906223</v>
      </c>
      <c r="BA716" s="22">
        <f>I716/AW716</f>
        <v>1.0001082055906221</v>
      </c>
    </row>
    <row r="717" spans="1:88" s="22" customFormat="1">
      <c r="A717" s="1">
        <v>1929</v>
      </c>
      <c r="B717" s="34" t="s">
        <v>2559</v>
      </c>
      <c r="C717" s="34">
        <v>338</v>
      </c>
      <c r="D717" s="75">
        <v>3349</v>
      </c>
      <c r="E717" s="8">
        <v>100</v>
      </c>
      <c r="F717" s="9" t="s">
        <v>2575</v>
      </c>
      <c r="G717" s="20">
        <v>0</v>
      </c>
      <c r="H717" s="20">
        <v>23516</v>
      </c>
      <c r="I717" s="21">
        <v>23.515999999999998</v>
      </c>
      <c r="J717" s="8">
        <v>2</v>
      </c>
      <c r="K717" s="8" t="s">
        <v>238</v>
      </c>
      <c r="L717" s="18">
        <v>42097</v>
      </c>
      <c r="M717" s="247" t="s">
        <v>191</v>
      </c>
      <c r="N717" s="38">
        <v>10.91</v>
      </c>
      <c r="O717" s="38">
        <v>8.34</v>
      </c>
      <c r="P717" s="38">
        <v>2.96</v>
      </c>
      <c r="Q717" s="38">
        <v>1.31</v>
      </c>
      <c r="R717" s="38">
        <v>2.7770600000000001</v>
      </c>
      <c r="S717" s="38">
        <f t="shared" si="90"/>
        <v>3</v>
      </c>
      <c r="T717" s="38">
        <v>22.13</v>
      </c>
      <c r="U717" s="38">
        <v>1.21</v>
      </c>
      <c r="V717" s="38">
        <v>0.18</v>
      </c>
      <c r="W717" s="38">
        <v>0</v>
      </c>
      <c r="X717" s="38">
        <v>4.2802699999999998</v>
      </c>
      <c r="Y717" s="38">
        <f t="shared" si="91"/>
        <v>4.5</v>
      </c>
      <c r="Z717" s="38">
        <v>0</v>
      </c>
      <c r="AA717" s="38">
        <v>0</v>
      </c>
      <c r="AB717" s="38">
        <v>23.52</v>
      </c>
      <c r="AC717" s="38">
        <v>1.4462600000000001</v>
      </c>
      <c r="AD717" s="39">
        <v>167</v>
      </c>
      <c r="AE717" s="38">
        <v>224.85</v>
      </c>
      <c r="AF717" s="38">
        <v>0.33949529803416523</v>
      </c>
      <c r="AG717" s="38">
        <f t="shared" si="92"/>
        <v>0.3</v>
      </c>
      <c r="AH717" s="38">
        <v>15.6</v>
      </c>
      <c r="AI717" s="38">
        <v>1.8953660729472941E-2</v>
      </c>
      <c r="AJ717" s="38">
        <v>19</v>
      </c>
      <c r="AK717" s="38">
        <v>2.3084586785896533E-2</v>
      </c>
      <c r="AL717" s="38">
        <v>2</v>
      </c>
      <c r="AM717" s="38">
        <f>AL717/(3.5*I717*1000)*100</f>
        <v>2.4299565037785823E-3</v>
      </c>
      <c r="AN717" s="41"/>
      <c r="AO717" s="73"/>
      <c r="AP717" s="41"/>
      <c r="AQ717" s="41">
        <f>SUM(N717:Q717)</f>
        <v>23.52</v>
      </c>
      <c r="AR717" s="41">
        <f>SUM(T717:W717)</f>
        <v>23.52</v>
      </c>
      <c r="AS717" s="270">
        <f>SUM(Z717:AB717)</f>
        <v>23.52</v>
      </c>
      <c r="AT717" s="1"/>
      <c r="AU717" s="1">
        <f>I717/AQ717</f>
        <v>0.99982993197278902</v>
      </c>
      <c r="AV717" s="1">
        <f>I717/AR717</f>
        <v>0.99982993197278902</v>
      </c>
      <c r="AW717" s="1">
        <f>I717/AS717</f>
        <v>0.99982993197278902</v>
      </c>
      <c r="AX717" s="1">
        <f>AT717/I742</f>
        <v>0</v>
      </c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</row>
    <row r="718" spans="1:88" s="22" customFormat="1">
      <c r="A718" s="1">
        <v>1993</v>
      </c>
      <c r="B718" s="34" t="s">
        <v>2615</v>
      </c>
      <c r="C718" s="34">
        <v>322</v>
      </c>
      <c r="D718" s="75">
        <v>4264</v>
      </c>
      <c r="E718" s="8">
        <v>100</v>
      </c>
      <c r="F718" s="34" t="s">
        <v>2634</v>
      </c>
      <c r="G718" s="58">
        <v>0</v>
      </c>
      <c r="H718" s="58">
        <v>29870</v>
      </c>
      <c r="I718" s="21">
        <v>29.87</v>
      </c>
      <c r="J718" s="8">
        <v>2</v>
      </c>
      <c r="K718" s="8" t="s">
        <v>237</v>
      </c>
      <c r="L718" s="18">
        <v>42130</v>
      </c>
      <c r="M718" s="37" t="s">
        <v>191</v>
      </c>
      <c r="N718" s="38">
        <v>19.824999999999999</v>
      </c>
      <c r="O718" s="38">
        <v>6.5750000000000002</v>
      </c>
      <c r="P718" s="38">
        <v>2.2999999999999998</v>
      </c>
      <c r="Q718" s="38">
        <v>1.1499999999999999</v>
      </c>
      <c r="R718" s="38">
        <v>2.4978699999999998</v>
      </c>
      <c r="S718" s="38">
        <f t="shared" si="90"/>
        <v>2.5</v>
      </c>
      <c r="T718" s="38">
        <v>29.4</v>
      </c>
      <c r="U718" s="38">
        <v>0.4</v>
      </c>
      <c r="V718" s="38">
        <v>0.05</v>
      </c>
      <c r="W718" s="38">
        <v>0</v>
      </c>
      <c r="X718" s="38">
        <v>2.8304900000000002</v>
      </c>
      <c r="Y718" s="38">
        <f t="shared" si="91"/>
        <v>3</v>
      </c>
      <c r="Z718" s="38">
        <v>0</v>
      </c>
      <c r="AA718" s="38">
        <v>0</v>
      </c>
      <c r="AB718" s="38">
        <v>29.849999999999998</v>
      </c>
      <c r="AC718" s="38">
        <v>1.30514</v>
      </c>
      <c r="AD718" s="39">
        <v>329.63</v>
      </c>
      <c r="AE718" s="38">
        <v>46</v>
      </c>
      <c r="AF718" s="38">
        <v>0.3372997273901191</v>
      </c>
      <c r="AG718" s="38">
        <f t="shared" si="92"/>
        <v>0.3</v>
      </c>
      <c r="AH718" s="38">
        <v>47.92</v>
      </c>
      <c r="AI718" s="38">
        <v>4.5836721029221872E-2</v>
      </c>
      <c r="AJ718" s="38">
        <v>37.92</v>
      </c>
      <c r="AK718" s="38">
        <v>3.6271462049835002E-2</v>
      </c>
      <c r="AL718" s="38">
        <v>13</v>
      </c>
      <c r="AM718" s="38">
        <f>AL718/(3.5*I718*1000)*100</f>
        <v>1.2434836673202927E-2</v>
      </c>
      <c r="AN718" s="72"/>
      <c r="AO718" s="41"/>
      <c r="AP718" s="41"/>
      <c r="AQ718" s="73"/>
      <c r="AR718" s="73"/>
      <c r="AS718" s="48"/>
      <c r="AT718" s="73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</row>
    <row r="719" spans="1:88" s="22" customFormat="1">
      <c r="A719" s="1">
        <v>1145</v>
      </c>
      <c r="B719" s="74" t="s">
        <v>1577</v>
      </c>
      <c r="C719" s="34">
        <v>432</v>
      </c>
      <c r="D719" s="34">
        <v>3041</v>
      </c>
      <c r="E719" s="34">
        <v>101</v>
      </c>
      <c r="F719" s="34" t="s">
        <v>1597</v>
      </c>
      <c r="G719" s="34" t="s">
        <v>1598</v>
      </c>
      <c r="H719" s="34" t="s">
        <v>92</v>
      </c>
      <c r="I719" s="55">
        <v>14.2</v>
      </c>
      <c r="J719" s="5">
        <v>2</v>
      </c>
      <c r="K719" s="34" t="s">
        <v>12</v>
      </c>
      <c r="L719" s="10">
        <v>42282</v>
      </c>
      <c r="M719" s="37" t="s">
        <v>191</v>
      </c>
      <c r="N719" s="38">
        <v>8.25</v>
      </c>
      <c r="O719" s="38">
        <v>3.8</v>
      </c>
      <c r="P719" s="38">
        <v>1.2250000000000001</v>
      </c>
      <c r="Q719" s="38">
        <v>0.92500000000000004</v>
      </c>
      <c r="R719" s="38">
        <v>2.9507400000000001</v>
      </c>
      <c r="S719" s="38">
        <f t="shared" si="90"/>
        <v>3</v>
      </c>
      <c r="T719" s="38">
        <v>13.475</v>
      </c>
      <c r="U719" s="38">
        <v>0.4</v>
      </c>
      <c r="V719" s="38">
        <v>0.22500000000000001</v>
      </c>
      <c r="W719" s="38">
        <v>0.1</v>
      </c>
      <c r="X719" s="38">
        <v>4.1049100000000003</v>
      </c>
      <c r="Y719" s="38">
        <f t="shared" si="91"/>
        <v>4</v>
      </c>
      <c r="Z719" s="38">
        <v>0</v>
      </c>
      <c r="AA719" s="38">
        <v>0</v>
      </c>
      <c r="AB719" s="38">
        <v>14.200000000000001</v>
      </c>
      <c r="AC719" s="38">
        <v>1.4421299999999999</v>
      </c>
      <c r="AD719" s="39">
        <v>163.9</v>
      </c>
      <c r="AE719" s="38">
        <v>6.47</v>
      </c>
      <c r="AF719" s="38">
        <v>0.33628799999999998</v>
      </c>
      <c r="AG719" s="38">
        <f t="shared" si="92"/>
        <v>0.3</v>
      </c>
      <c r="AH719" s="38">
        <v>154.68</v>
      </c>
      <c r="AI719" s="38">
        <v>0.31122699999999998</v>
      </c>
      <c r="AJ719" s="38">
        <v>0</v>
      </c>
      <c r="AK719" s="38">
        <v>0</v>
      </c>
      <c r="AL719" s="38">
        <v>0</v>
      </c>
      <c r="AM719" s="38">
        <v>0</v>
      </c>
      <c r="AN719" s="114"/>
      <c r="AO719" s="73"/>
      <c r="AS719" s="48"/>
    </row>
    <row r="720" spans="1:88" s="22" customFormat="1">
      <c r="A720" s="1">
        <v>1967</v>
      </c>
      <c r="B720" s="34" t="s">
        <v>2586</v>
      </c>
      <c r="C720" s="34">
        <v>321</v>
      </c>
      <c r="D720" s="75">
        <v>4301</v>
      </c>
      <c r="E720" s="8">
        <v>100</v>
      </c>
      <c r="F720" s="9" t="s">
        <v>2612</v>
      </c>
      <c r="G720" s="58">
        <v>0</v>
      </c>
      <c r="H720" s="58">
        <v>990</v>
      </c>
      <c r="I720" s="21">
        <v>0.99</v>
      </c>
      <c r="J720" s="8">
        <v>2</v>
      </c>
      <c r="K720" s="8" t="s">
        <v>238</v>
      </c>
      <c r="L720" s="18">
        <v>42124</v>
      </c>
      <c r="M720" s="37" t="s">
        <v>191</v>
      </c>
      <c r="N720" s="38">
        <v>0.55000000000000004</v>
      </c>
      <c r="O720" s="38">
        <v>0.2</v>
      </c>
      <c r="P720" s="38">
        <v>0.125</v>
      </c>
      <c r="Q720" s="38">
        <v>7.4999999999999997E-2</v>
      </c>
      <c r="R720" s="38">
        <v>2.98895</v>
      </c>
      <c r="S720" s="38">
        <f t="shared" si="90"/>
        <v>3</v>
      </c>
      <c r="T720" s="38">
        <v>0.9</v>
      </c>
      <c r="U720" s="38">
        <v>0.05</v>
      </c>
      <c r="V720" s="38">
        <v>0</v>
      </c>
      <c r="W720" s="38">
        <v>0</v>
      </c>
      <c r="X720" s="38">
        <v>3.3612099999999998</v>
      </c>
      <c r="Y720" s="38">
        <f t="shared" si="91"/>
        <v>3.5</v>
      </c>
      <c r="Z720" s="38">
        <v>0</v>
      </c>
      <c r="AA720" s="38">
        <v>0</v>
      </c>
      <c r="AB720" s="38">
        <v>0.95000000000000007</v>
      </c>
      <c r="AC720" s="38">
        <v>1.06992</v>
      </c>
      <c r="AD720" s="39">
        <v>0</v>
      </c>
      <c r="AE720" s="38">
        <v>23.29</v>
      </c>
      <c r="AF720" s="38">
        <f>(AD720+AE720*0.5)/(3.5*I720*1000)*100</f>
        <v>0.33607503607503608</v>
      </c>
      <c r="AG720" s="38">
        <f t="shared" si="92"/>
        <v>0.3</v>
      </c>
      <c r="AH720" s="38">
        <v>0</v>
      </c>
      <c r="AI720" s="38">
        <f>AH720/(3.5*I720*1000)*100</f>
        <v>0</v>
      </c>
      <c r="AJ720" s="38">
        <v>26.15</v>
      </c>
      <c r="AK720" s="38">
        <f>AH720/(3.5*L720*1000)*100</f>
        <v>0</v>
      </c>
      <c r="AL720" s="38">
        <v>0</v>
      </c>
      <c r="AM720" s="38">
        <f>AL720/(3.5*I720*1000)*100</f>
        <v>0</v>
      </c>
      <c r="AN720" s="73"/>
      <c r="AO720" s="72"/>
      <c r="AP720" s="41"/>
      <c r="AQ720" s="41"/>
      <c r="AR720" s="73"/>
      <c r="AS720" s="48"/>
      <c r="AT720" s="73"/>
      <c r="AU720" s="73"/>
      <c r="AV720" s="73"/>
      <c r="AW720" s="73"/>
      <c r="AX720" s="73"/>
      <c r="AY720" s="73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</row>
    <row r="721" spans="1:88" s="22" customFormat="1">
      <c r="A721" s="1">
        <v>822</v>
      </c>
      <c r="B721" s="34" t="s">
        <v>1204</v>
      </c>
      <c r="C721" s="34">
        <v>647</v>
      </c>
      <c r="D721" s="150">
        <v>2041</v>
      </c>
      <c r="E721" s="34">
        <v>100</v>
      </c>
      <c r="F721" s="34" t="s">
        <v>1214</v>
      </c>
      <c r="G721" s="58">
        <v>12784</v>
      </c>
      <c r="H721" s="58">
        <v>0</v>
      </c>
      <c r="I721" s="35">
        <v>12.784000000000001</v>
      </c>
      <c r="J721" s="9">
        <v>2</v>
      </c>
      <c r="K721" s="34" t="s">
        <v>12</v>
      </c>
      <c r="L721" s="10">
        <v>42153</v>
      </c>
      <c r="M721" s="37" t="s">
        <v>191</v>
      </c>
      <c r="N721" s="38">
        <v>9.9749999999999996</v>
      </c>
      <c r="O721" s="38">
        <v>2.2749999999999999</v>
      </c>
      <c r="P721" s="38">
        <v>0.45</v>
      </c>
      <c r="Q721" s="38">
        <v>7.5000000000000011E-2</v>
      </c>
      <c r="R721" s="38">
        <v>4.93</v>
      </c>
      <c r="S721" s="38">
        <f t="shared" si="90"/>
        <v>5</v>
      </c>
      <c r="T721" s="38">
        <v>11.649999999999999</v>
      </c>
      <c r="U721" s="38">
        <v>0.85</v>
      </c>
      <c r="V721" s="38">
        <v>0.15</v>
      </c>
      <c r="W721" s="38">
        <v>0.125</v>
      </c>
      <c r="X721" s="38">
        <v>4.5063000000000004</v>
      </c>
      <c r="Y721" s="38">
        <f t="shared" si="91"/>
        <v>4.5</v>
      </c>
      <c r="Z721" s="38">
        <v>0</v>
      </c>
      <c r="AA721" s="38">
        <v>0</v>
      </c>
      <c r="AB721" s="38">
        <f>N721+O721+P721+Q721</f>
        <v>12.774999999999999</v>
      </c>
      <c r="AC721" s="38">
        <v>1.0815999999999999</v>
      </c>
      <c r="AD721" s="39">
        <v>127</v>
      </c>
      <c r="AE721" s="38">
        <v>44</v>
      </c>
      <c r="AF721" s="38">
        <f>(AD721+AE721*0.5)/(3.5*I721*1000)*100</f>
        <v>0.33300554264258897</v>
      </c>
      <c r="AG721" s="38">
        <f t="shared" si="92"/>
        <v>0.3</v>
      </c>
      <c r="AH721" s="38">
        <v>0</v>
      </c>
      <c r="AI721" s="38">
        <f>AH721/(3.5*I721*1000)*100</f>
        <v>0</v>
      </c>
      <c r="AJ721" s="38">
        <v>41</v>
      </c>
      <c r="AK721" s="38">
        <f>AJ721/(3.5*I721*1000)*100</f>
        <v>9.1632397639907021E-2</v>
      </c>
      <c r="AL721" s="38">
        <v>0</v>
      </c>
      <c r="AM721" s="38">
        <f>AL721/(3.5*I721*1000)*100</f>
        <v>0</v>
      </c>
      <c r="AN721" s="25"/>
      <c r="AO721" s="25">
        <f>AE721*0.5</f>
        <v>22</v>
      </c>
      <c r="AP721" s="25">
        <f>(AD721+AH721+AJ721+AL721+AO721)*I721</f>
        <v>2428.96</v>
      </c>
      <c r="AQ721" s="25">
        <f>SUM(N721:Q721)</f>
        <v>12.774999999999999</v>
      </c>
      <c r="AR721" s="25">
        <f>SUM(T721:W721)</f>
        <v>12.774999999999999</v>
      </c>
      <c r="AS721" s="51">
        <v>12.784000000000001</v>
      </c>
      <c r="AT721" s="41"/>
      <c r="AU721" s="41"/>
      <c r="AV721" s="41"/>
      <c r="AW721" s="41"/>
    </row>
    <row r="722" spans="1:88" s="22" customFormat="1">
      <c r="A722" s="1">
        <v>528</v>
      </c>
      <c r="B722" s="88" t="s">
        <v>871</v>
      </c>
      <c r="C722" s="88">
        <v>557</v>
      </c>
      <c r="D722" s="88">
        <v>1255</v>
      </c>
      <c r="E722" s="88">
        <v>100</v>
      </c>
      <c r="F722" s="88" t="s">
        <v>908</v>
      </c>
      <c r="G722" s="88" t="s">
        <v>92</v>
      </c>
      <c r="H722" s="88" t="s">
        <v>750</v>
      </c>
      <c r="I722" s="115">
        <v>6.64</v>
      </c>
      <c r="J722" s="88" t="s">
        <v>238</v>
      </c>
      <c r="K722" s="88">
        <v>2</v>
      </c>
      <c r="L722" s="116">
        <v>42270</v>
      </c>
      <c r="M722" s="37" t="s">
        <v>191</v>
      </c>
      <c r="N722" s="117">
        <v>4.5750000000000002</v>
      </c>
      <c r="O722" s="117">
        <v>1.25</v>
      </c>
      <c r="P722" s="117">
        <v>0.57499999999999996</v>
      </c>
      <c r="Q722" s="117">
        <v>0.23</v>
      </c>
      <c r="R722" s="117">
        <v>2.4693999999999998</v>
      </c>
      <c r="S722" s="38">
        <f t="shared" si="90"/>
        <v>2.5</v>
      </c>
      <c r="T722" s="117">
        <v>6.4</v>
      </c>
      <c r="U722" s="117">
        <v>0.15</v>
      </c>
      <c r="V722" s="117">
        <v>7.4999999999999997E-2</v>
      </c>
      <c r="W722" s="117">
        <v>0</v>
      </c>
      <c r="X722" s="117">
        <v>3.2482000000000002</v>
      </c>
      <c r="Y722" s="38">
        <f t="shared" si="91"/>
        <v>3</v>
      </c>
      <c r="Z722" s="117">
        <v>0</v>
      </c>
      <c r="AA722" s="117">
        <v>0</v>
      </c>
      <c r="AB722" s="117">
        <v>6.6300000000000008</v>
      </c>
      <c r="AC722" s="117">
        <v>1.1352199999999999</v>
      </c>
      <c r="AD722" s="254">
        <v>64.75</v>
      </c>
      <c r="AE722" s="117">
        <v>25.14</v>
      </c>
      <c r="AF722" s="117">
        <v>0.332702</v>
      </c>
      <c r="AG722" s="38">
        <f t="shared" si="92"/>
        <v>0.3</v>
      </c>
      <c r="AH722" s="117">
        <v>136.37</v>
      </c>
      <c r="AI722" s="117">
        <v>0.58679000000000003</v>
      </c>
      <c r="AJ722" s="117">
        <v>0</v>
      </c>
      <c r="AK722" s="117">
        <v>0</v>
      </c>
      <c r="AL722" s="117">
        <v>0</v>
      </c>
      <c r="AM722" s="117">
        <v>0</v>
      </c>
      <c r="AN722" s="25"/>
      <c r="AO722" s="25"/>
      <c r="AR722" s="1"/>
      <c r="AS722" s="178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</row>
    <row r="723" spans="1:88" s="22" customFormat="1">
      <c r="A723" s="1">
        <v>1883</v>
      </c>
      <c r="B723" s="34" t="s">
        <v>2495</v>
      </c>
      <c r="C723" s="34">
        <v>335</v>
      </c>
      <c r="D723" s="75">
        <v>3339</v>
      </c>
      <c r="E723" s="8">
        <v>100</v>
      </c>
      <c r="F723" s="9" t="s">
        <v>2519</v>
      </c>
      <c r="G723" s="20">
        <v>0</v>
      </c>
      <c r="H723" s="20">
        <v>11307</v>
      </c>
      <c r="I723" s="21">
        <v>11.307</v>
      </c>
      <c r="J723" s="34">
        <v>2</v>
      </c>
      <c r="K723" s="34" t="s">
        <v>238</v>
      </c>
      <c r="L723" s="18">
        <v>42095</v>
      </c>
      <c r="M723" s="247" t="s">
        <v>191</v>
      </c>
      <c r="N723" s="38">
        <v>7.91</v>
      </c>
      <c r="O723" s="38">
        <v>2.14</v>
      </c>
      <c r="P723" s="38">
        <v>0.65</v>
      </c>
      <c r="Q723" s="38">
        <v>0.6</v>
      </c>
      <c r="R723" s="38">
        <v>2.4896699999999998</v>
      </c>
      <c r="S723" s="38">
        <f t="shared" si="90"/>
        <v>2.5</v>
      </c>
      <c r="T723" s="38">
        <v>10.65</v>
      </c>
      <c r="U723" s="38">
        <v>0.55000000000000004</v>
      </c>
      <c r="V723" s="38">
        <v>0.1</v>
      </c>
      <c r="W723" s="38">
        <v>0</v>
      </c>
      <c r="X723" s="38">
        <v>4.0366099999999996</v>
      </c>
      <c r="Y723" s="38">
        <f t="shared" si="91"/>
        <v>4</v>
      </c>
      <c r="Z723" s="38">
        <v>0</v>
      </c>
      <c r="AA723" s="38">
        <v>0</v>
      </c>
      <c r="AB723" s="38">
        <v>11.31</v>
      </c>
      <c r="AC723" s="38">
        <v>1.1446499999999999</v>
      </c>
      <c r="AD723" s="39">
        <v>120.35</v>
      </c>
      <c r="AE723" s="38">
        <v>22.36</v>
      </c>
      <c r="AF723" s="38">
        <f>(AD723+AE723*0.5)/(3.5*I723*1000)*100</f>
        <v>0.33236048465552315</v>
      </c>
      <c r="AG723" s="38">
        <f t="shared" si="92"/>
        <v>0.3</v>
      </c>
      <c r="AH723" s="38">
        <v>96.32</v>
      </c>
      <c r="AI723" s="38">
        <f>AH723/(3.5*I723*1000)*100</f>
        <v>0.24338905103033517</v>
      </c>
      <c r="AJ723" s="38">
        <v>0</v>
      </c>
      <c r="AK723" s="38">
        <f>AJ723/(3.5*I723*1000)*100</f>
        <v>0</v>
      </c>
      <c r="AL723" s="38">
        <v>0.06</v>
      </c>
      <c r="AM723" s="38">
        <f>AL723/(3.5*I723*1000)*100</f>
        <v>1.516127809574347E-4</v>
      </c>
      <c r="AN723" s="73"/>
      <c r="AO723" s="73"/>
      <c r="AP723" s="73"/>
      <c r="AQ723" s="41">
        <f>SUM(N723:Q723)</f>
        <v>11.3</v>
      </c>
      <c r="AR723" s="41">
        <f>SUM(T723:W723)</f>
        <v>11.3</v>
      </c>
      <c r="AS723" s="270">
        <f>SUM(Z723:AB723)</f>
        <v>11.31</v>
      </c>
      <c r="AT723" s="1"/>
      <c r="AU723" s="1">
        <f>I723/AQ723</f>
        <v>1.0006194690265486</v>
      </c>
      <c r="AV723" s="1">
        <f>I723/AR723</f>
        <v>1.0006194690265486</v>
      </c>
      <c r="AW723" s="1">
        <f>I723/AS723</f>
        <v>0.99973474801061002</v>
      </c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</row>
    <row r="724" spans="1:88" s="22" customFormat="1">
      <c r="A724" s="1">
        <v>1257</v>
      </c>
      <c r="B724" s="34" t="s">
        <v>1775</v>
      </c>
      <c r="C724" s="88">
        <v>438</v>
      </c>
      <c r="D724" s="88">
        <v>1119</v>
      </c>
      <c r="E724" s="88">
        <v>102</v>
      </c>
      <c r="F724" s="88" t="s">
        <v>1783</v>
      </c>
      <c r="G724" s="88" t="s">
        <v>1784</v>
      </c>
      <c r="H724" s="88" t="s">
        <v>1782</v>
      </c>
      <c r="I724" s="115">
        <v>9.8610000000000007</v>
      </c>
      <c r="J724" s="88">
        <v>2</v>
      </c>
      <c r="K724" s="88" t="s">
        <v>12</v>
      </c>
      <c r="L724" s="116">
        <v>42282</v>
      </c>
      <c r="M724" s="37" t="s">
        <v>191</v>
      </c>
      <c r="N724" s="117">
        <v>4.0250000000000004</v>
      </c>
      <c r="O724" s="117">
        <v>3.5249999999999999</v>
      </c>
      <c r="P724" s="117">
        <v>1.95</v>
      </c>
      <c r="Q724" s="117">
        <v>0.42499999999999999</v>
      </c>
      <c r="R724" s="117">
        <v>2.9190700000000001</v>
      </c>
      <c r="S724" s="38">
        <f t="shared" si="90"/>
        <v>3</v>
      </c>
      <c r="T724" s="117">
        <v>9.0500000000000007</v>
      </c>
      <c r="U724" s="117">
        <v>0.65</v>
      </c>
      <c r="V724" s="117">
        <v>0.2</v>
      </c>
      <c r="W724" s="117">
        <v>2.5000000000000001E-2</v>
      </c>
      <c r="X724" s="117">
        <v>4.5862100000000003</v>
      </c>
      <c r="Y724" s="38">
        <f t="shared" si="91"/>
        <v>4.5</v>
      </c>
      <c r="Z724" s="117">
        <v>0</v>
      </c>
      <c r="AA724" s="117">
        <v>0</v>
      </c>
      <c r="AB724" s="115">
        <v>9.8610000000000007</v>
      </c>
      <c r="AC724" s="117">
        <v>1.40151</v>
      </c>
      <c r="AD724" s="254">
        <v>109.8</v>
      </c>
      <c r="AE724" s="117">
        <v>9.6649999999999991</v>
      </c>
      <c r="AF724" s="117">
        <f>(AD724+AE724*0.5)/(3.5*I724*1000)*100</f>
        <v>0.33213814884030884</v>
      </c>
      <c r="AG724" s="38">
        <f t="shared" si="92"/>
        <v>0.3</v>
      </c>
      <c r="AH724" s="117">
        <v>11.5</v>
      </c>
      <c r="AI724" s="117">
        <f>AH724/(3.5*I724*1000)*100</f>
        <v>3.3320294957045797E-2</v>
      </c>
      <c r="AJ724" s="117">
        <v>0</v>
      </c>
      <c r="AK724" s="117">
        <v>0</v>
      </c>
      <c r="AL724" s="117">
        <v>0</v>
      </c>
      <c r="AM724" s="117">
        <v>0</v>
      </c>
      <c r="AN724" s="12"/>
      <c r="AO724" s="1"/>
      <c r="AP724" s="1"/>
      <c r="AQ724" s="1"/>
      <c r="AR724" s="1"/>
      <c r="AS724" s="178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</row>
    <row r="725" spans="1:88" s="22" customFormat="1">
      <c r="A725" s="1">
        <v>87</v>
      </c>
      <c r="B725" s="4" t="s">
        <v>61</v>
      </c>
      <c r="C725" s="14">
        <v>526</v>
      </c>
      <c r="D725" s="19">
        <v>108</v>
      </c>
      <c r="E725" s="16">
        <v>202</v>
      </c>
      <c r="F725" s="31" t="s">
        <v>64</v>
      </c>
      <c r="G725" s="27" t="s">
        <v>151</v>
      </c>
      <c r="H725" s="27" t="s">
        <v>152</v>
      </c>
      <c r="I725" s="28">
        <v>12.148999999999999</v>
      </c>
      <c r="J725" s="16">
        <v>2</v>
      </c>
      <c r="K725" s="14" t="s">
        <v>12</v>
      </c>
      <c r="L725" s="29">
        <v>42244</v>
      </c>
      <c r="M725" s="246" t="s">
        <v>191</v>
      </c>
      <c r="N725" s="30">
        <v>4.6900000000000004</v>
      </c>
      <c r="O725" s="30">
        <v>4.74</v>
      </c>
      <c r="P725" s="30">
        <v>2.34</v>
      </c>
      <c r="Q725" s="30">
        <v>0.37</v>
      </c>
      <c r="R725" s="30">
        <v>2.86965</v>
      </c>
      <c r="S725" s="38">
        <f t="shared" si="90"/>
        <v>3</v>
      </c>
      <c r="T725" s="30">
        <v>12.15</v>
      </c>
      <c r="U725" s="30">
        <v>0</v>
      </c>
      <c r="V725" s="30">
        <v>0</v>
      </c>
      <c r="W725" s="30">
        <v>0</v>
      </c>
      <c r="X725" s="30">
        <v>2.6970900000000002</v>
      </c>
      <c r="Y725" s="38">
        <f t="shared" si="91"/>
        <v>2.5</v>
      </c>
      <c r="Z725" s="30">
        <v>0</v>
      </c>
      <c r="AA725" s="30">
        <v>0</v>
      </c>
      <c r="AB725" s="30">
        <v>12.15</v>
      </c>
      <c r="AC725" s="30">
        <v>3.2657500000000002</v>
      </c>
      <c r="AD725" s="256">
        <v>140.36000000000001</v>
      </c>
      <c r="AE725" s="30">
        <v>0</v>
      </c>
      <c r="AF725" s="30">
        <f>(AD725+AE725*0.5)/(3.5*I725*1000)*100</f>
        <v>0.33009183589478269</v>
      </c>
      <c r="AG725" s="38">
        <f t="shared" si="92"/>
        <v>0.3</v>
      </c>
      <c r="AH725" s="30">
        <v>7.9989999999999997</v>
      </c>
      <c r="AI725" s="30">
        <f>AH725/(3.5*I725*1000)*100</f>
        <v>1.8811659983772919E-2</v>
      </c>
      <c r="AJ725" s="30">
        <v>0</v>
      </c>
      <c r="AK725" s="30">
        <f>AJ725/(3.5*I725*1000)*100</f>
        <v>0</v>
      </c>
      <c r="AL725" s="30">
        <v>0.25</v>
      </c>
      <c r="AM725" s="30">
        <f>AL725/(3.5*I725*1000)*100</f>
        <v>5.8793786672624445E-4</v>
      </c>
      <c r="AO725" s="25"/>
      <c r="AP725" s="25">
        <f>N725+O725+P725+Q725</f>
        <v>12.139999999999999</v>
      </c>
      <c r="AQ725" s="25">
        <f>T725+U725+V725+W725</f>
        <v>12.15</v>
      </c>
      <c r="AR725" s="25">
        <f>Z725+AA725+AB725</f>
        <v>12.15</v>
      </c>
      <c r="AS725" s="48"/>
      <c r="AT725" s="22">
        <f>I725/AP725</f>
        <v>1.0007413509060956</v>
      </c>
      <c r="AU725" s="22">
        <f>I725/AQ725</f>
        <v>0.99991769547325093</v>
      </c>
      <c r="AV725" s="22">
        <f>I725/AR725</f>
        <v>0.99991769547325093</v>
      </c>
    </row>
    <row r="726" spans="1:88" s="22" customFormat="1">
      <c r="A726" s="1">
        <v>122</v>
      </c>
      <c r="B726" s="4" t="s">
        <v>78</v>
      </c>
      <c r="C726" s="14">
        <v>527</v>
      </c>
      <c r="D726" s="19">
        <v>1346</v>
      </c>
      <c r="E726" s="16">
        <v>102</v>
      </c>
      <c r="F726" s="31" t="s">
        <v>86</v>
      </c>
      <c r="G726" s="20">
        <v>37136</v>
      </c>
      <c r="H726" s="20">
        <v>24801</v>
      </c>
      <c r="I726" s="21">
        <v>12.335000000000001</v>
      </c>
      <c r="J726" s="8">
        <v>2</v>
      </c>
      <c r="K726" s="9" t="s">
        <v>12</v>
      </c>
      <c r="L726" s="18">
        <v>42240</v>
      </c>
      <c r="M726" s="37" t="s">
        <v>191</v>
      </c>
      <c r="N726" s="11">
        <v>4.42</v>
      </c>
      <c r="O726" s="11">
        <v>3.94</v>
      </c>
      <c r="P726" s="11">
        <v>2.73</v>
      </c>
      <c r="Q726" s="11">
        <v>1.24</v>
      </c>
      <c r="R726" s="11">
        <v>3.2618900000000002</v>
      </c>
      <c r="S726" s="38">
        <f t="shared" si="90"/>
        <v>3.5</v>
      </c>
      <c r="T726" s="11">
        <v>11.1</v>
      </c>
      <c r="U726" s="11">
        <v>0.51</v>
      </c>
      <c r="V726" s="11">
        <v>0.33</v>
      </c>
      <c r="W726" s="11">
        <v>0.4</v>
      </c>
      <c r="X726" s="11">
        <v>5.0036800000000001</v>
      </c>
      <c r="Y726" s="38">
        <f t="shared" si="91"/>
        <v>5</v>
      </c>
      <c r="Z726" s="11">
        <v>0</v>
      </c>
      <c r="AA726" s="11">
        <v>0</v>
      </c>
      <c r="AB726" s="11">
        <v>12.34</v>
      </c>
      <c r="AC726" s="11">
        <v>1.98288</v>
      </c>
      <c r="AD726" s="164">
        <v>142.35599999999999</v>
      </c>
      <c r="AE726" s="11">
        <v>0</v>
      </c>
      <c r="AF726" s="11">
        <f>(AD726+AE726*0.5)/(3.5*I726*1000)*100</f>
        <v>0.32973768023626149</v>
      </c>
      <c r="AG726" s="38">
        <f t="shared" si="92"/>
        <v>0.3</v>
      </c>
      <c r="AH726" s="11">
        <v>96.35</v>
      </c>
      <c r="AI726" s="11">
        <f>AH726/(3.5*I726*1000)*100</f>
        <v>0.22317447449186401</v>
      </c>
      <c r="AJ726" s="11">
        <v>5.3</v>
      </c>
      <c r="AK726" s="11">
        <f>AJ726/(3.5*I726*1000)*100</f>
        <v>1.2276333314030921E-2</v>
      </c>
      <c r="AL726" s="11">
        <v>0</v>
      </c>
      <c r="AM726" s="11">
        <f>AL726/(3.5*I726*1000)*100</f>
        <v>0</v>
      </c>
      <c r="AO726" s="25"/>
      <c r="AP726" s="25">
        <f>SUM(N726:Q726)</f>
        <v>12.33</v>
      </c>
      <c r="AQ726" s="25">
        <f>SUM(T726:W726)</f>
        <v>12.34</v>
      </c>
      <c r="AR726" s="25">
        <f>SUM(Z726:AB726)</f>
        <v>12.34</v>
      </c>
      <c r="AS726" s="48"/>
      <c r="AT726" s="22">
        <f>I726/AP726</f>
        <v>1.0004055150040552</v>
      </c>
      <c r="AU726" s="22">
        <f>I726/AQ726</f>
        <v>0.99959481361426261</v>
      </c>
      <c r="AV726" s="22">
        <f>I726/AR726</f>
        <v>0.99959481361426261</v>
      </c>
    </row>
    <row r="727" spans="1:88" s="22" customFormat="1">
      <c r="A727" s="1">
        <v>2133</v>
      </c>
      <c r="B727" s="34" t="s">
        <v>2754</v>
      </c>
      <c r="C727" s="34">
        <v>324</v>
      </c>
      <c r="D727" s="75">
        <v>4233</v>
      </c>
      <c r="E727" s="8">
        <v>100</v>
      </c>
      <c r="F727" s="9" t="s">
        <v>2774</v>
      </c>
      <c r="G727" s="20">
        <v>1514</v>
      </c>
      <c r="H727" s="20">
        <v>0</v>
      </c>
      <c r="I727" s="21">
        <v>1.514</v>
      </c>
      <c r="J727" s="9">
        <v>2</v>
      </c>
      <c r="K727" s="34" t="s">
        <v>12</v>
      </c>
      <c r="L727" s="18">
        <v>42138</v>
      </c>
      <c r="M727" s="37" t="s">
        <v>191</v>
      </c>
      <c r="N727" s="38">
        <v>1</v>
      </c>
      <c r="O727" s="38">
        <v>0.27500000000000002</v>
      </c>
      <c r="P727" s="38">
        <v>0.17499999999999999</v>
      </c>
      <c r="Q727" s="38">
        <v>0.05</v>
      </c>
      <c r="R727" s="38">
        <v>2.47417</v>
      </c>
      <c r="S727" s="38">
        <f t="shared" si="90"/>
        <v>2.5</v>
      </c>
      <c r="T727" s="38">
        <v>1.5</v>
      </c>
      <c r="U727" s="38">
        <v>0</v>
      </c>
      <c r="V727" s="38">
        <v>0</v>
      </c>
      <c r="W727" s="38">
        <v>0</v>
      </c>
      <c r="X727" s="38">
        <v>2.3045200000000001</v>
      </c>
      <c r="Y727" s="38">
        <f t="shared" si="91"/>
        <v>2.5</v>
      </c>
      <c r="Z727" s="38">
        <v>0</v>
      </c>
      <c r="AA727" s="38">
        <v>0</v>
      </c>
      <c r="AB727" s="38">
        <v>1.5</v>
      </c>
      <c r="AC727" s="38">
        <v>1.10415</v>
      </c>
      <c r="AD727" s="39">
        <v>1.1100000000000001</v>
      </c>
      <c r="AE727" s="38">
        <v>32.6</v>
      </c>
      <c r="AF727" s="38">
        <v>0.3285525570862427</v>
      </c>
      <c r="AG727" s="38">
        <f t="shared" si="92"/>
        <v>0.3</v>
      </c>
      <c r="AH727" s="38">
        <v>14.78</v>
      </c>
      <c r="AI727" s="38">
        <v>0.2789205510473674</v>
      </c>
      <c r="AJ727" s="38">
        <v>0</v>
      </c>
      <c r="AK727" s="38">
        <v>0</v>
      </c>
      <c r="AL727" s="38">
        <v>3.48</v>
      </c>
      <c r="AM727" s="38">
        <v>6.5672768446876764E-2</v>
      </c>
      <c r="AN727" s="41"/>
      <c r="AO727" s="41"/>
      <c r="AP727" s="73"/>
      <c r="AQ727" s="73"/>
      <c r="AR727" s="73"/>
      <c r="AS727" s="178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</row>
    <row r="728" spans="1:88" s="22" customFormat="1">
      <c r="A728" s="1">
        <v>1415</v>
      </c>
      <c r="B728" s="34" t="s">
        <v>1957</v>
      </c>
      <c r="C728" s="34">
        <v>447</v>
      </c>
      <c r="D728" s="75">
        <v>3220</v>
      </c>
      <c r="E728" s="69">
        <v>100</v>
      </c>
      <c r="F728" s="184" t="s">
        <v>1969</v>
      </c>
      <c r="G728" s="20">
        <v>13707</v>
      </c>
      <c r="H728" s="77">
        <v>0</v>
      </c>
      <c r="I728" s="21">
        <v>13.707000000000001</v>
      </c>
      <c r="J728" s="8">
        <v>2</v>
      </c>
      <c r="K728" s="34" t="s">
        <v>12</v>
      </c>
      <c r="L728" s="10">
        <v>42215</v>
      </c>
      <c r="M728" s="37" t="s">
        <v>191</v>
      </c>
      <c r="N728" s="38">
        <v>5.375</v>
      </c>
      <c r="O728" s="38">
        <v>4.7249999999999996</v>
      </c>
      <c r="P728" s="38">
        <v>2.4249999999999998</v>
      </c>
      <c r="Q728" s="38">
        <f>1.225/2</f>
        <v>0.61250000000000004</v>
      </c>
      <c r="R728" s="38">
        <v>3.0690400000000002</v>
      </c>
      <c r="S728" s="38">
        <f t="shared" si="90"/>
        <v>3</v>
      </c>
      <c r="T728" s="38">
        <v>12.2</v>
      </c>
      <c r="U728" s="38">
        <v>1.4</v>
      </c>
      <c r="V728" s="38">
        <v>0.15</v>
      </c>
      <c r="W728" s="38">
        <v>0</v>
      </c>
      <c r="X728" s="38">
        <v>5.0765000000000002</v>
      </c>
      <c r="Y728" s="38">
        <f t="shared" si="91"/>
        <v>5</v>
      </c>
      <c r="Z728" s="38">
        <v>0</v>
      </c>
      <c r="AA728" s="38">
        <v>0</v>
      </c>
      <c r="AB728" s="38">
        <v>13.137499999999999</v>
      </c>
      <c r="AC728" s="38">
        <v>1.8098799999999999</v>
      </c>
      <c r="AD728" s="39">
        <v>103</v>
      </c>
      <c r="AE728" s="38">
        <v>108</v>
      </c>
      <c r="AF728" s="38">
        <v>0.32725718871483805</v>
      </c>
      <c r="AG728" s="38">
        <f t="shared" si="92"/>
        <v>0.3</v>
      </c>
      <c r="AH728" s="38">
        <v>0</v>
      </c>
      <c r="AI728" s="38">
        <f>AH728/(3.5*I728*1000)*100</f>
        <v>0</v>
      </c>
      <c r="AJ728" s="38">
        <v>4</v>
      </c>
      <c r="AK728" s="38">
        <f>AJ728/(3.5*I728*1000)*100</f>
        <v>8.3377627698047897E-3</v>
      </c>
      <c r="AL728" s="38">
        <v>0</v>
      </c>
      <c r="AM728" s="38">
        <f>AL728/(3.5*I728*1000)*100</f>
        <v>0</v>
      </c>
      <c r="AN728" s="41"/>
      <c r="AS728" s="48"/>
    </row>
    <row r="729" spans="1:88" s="22" customFormat="1">
      <c r="A729" s="1">
        <v>27</v>
      </c>
      <c r="B729" s="4" t="s">
        <v>21</v>
      </c>
      <c r="C729" s="14">
        <v>522</v>
      </c>
      <c r="D729" s="19">
        <v>121</v>
      </c>
      <c r="E729" s="16">
        <v>104</v>
      </c>
      <c r="F729" s="16" t="s">
        <v>24</v>
      </c>
      <c r="G729" s="20">
        <v>41868</v>
      </c>
      <c r="H729" s="20">
        <v>52957</v>
      </c>
      <c r="I729" s="21">
        <v>11.089</v>
      </c>
      <c r="J729" s="8">
        <v>4</v>
      </c>
      <c r="K729" s="9" t="s">
        <v>238</v>
      </c>
      <c r="L729" s="24">
        <v>42235</v>
      </c>
      <c r="M729" s="37" t="s">
        <v>191</v>
      </c>
      <c r="N729" s="11">
        <v>6.7249999999999996</v>
      </c>
      <c r="O729" s="11">
        <v>2.35</v>
      </c>
      <c r="P729" s="11">
        <v>1.3</v>
      </c>
      <c r="Q729" s="11">
        <v>0.77500000000000002</v>
      </c>
      <c r="R729" s="11">
        <v>2.6482100000000002</v>
      </c>
      <c r="S729" s="38">
        <f t="shared" si="90"/>
        <v>2.5</v>
      </c>
      <c r="T729" s="11">
        <v>10.5</v>
      </c>
      <c r="U729" s="11">
        <v>0.57499999999999996</v>
      </c>
      <c r="V729" s="11">
        <v>7.4999999999999997E-2</v>
      </c>
      <c r="W729" s="11">
        <v>0</v>
      </c>
      <c r="X729" s="11">
        <v>4.5800999999999998</v>
      </c>
      <c r="Y729" s="38">
        <f t="shared" si="91"/>
        <v>4.5</v>
      </c>
      <c r="Z729" s="11">
        <v>0</v>
      </c>
      <c r="AA729" s="11">
        <v>0</v>
      </c>
      <c r="AB729" s="11">
        <f>SUM(N729:Q729)</f>
        <v>11.15</v>
      </c>
      <c r="AC729" s="11">
        <v>0.98266399999999998</v>
      </c>
      <c r="AD729" s="164">
        <v>117.86</v>
      </c>
      <c r="AE729" s="11">
        <v>18.12</v>
      </c>
      <c r="AF729" s="11">
        <f>(AD729+AE729*0.5)/(3.5*I729*1000)*100</f>
        <v>0.32701647707509374</v>
      </c>
      <c r="AG729" s="38">
        <f t="shared" si="92"/>
        <v>0.3</v>
      </c>
      <c r="AH729" s="11">
        <v>14.5</v>
      </c>
      <c r="AI729" s="11">
        <f>AH729/(3.5*I729*1000)*100</f>
        <v>3.7360060806719657E-2</v>
      </c>
      <c r="AJ729" s="11">
        <v>0</v>
      </c>
      <c r="AK729" s="11">
        <f>AJ729/(3.5*I729*1000)*100</f>
        <v>0</v>
      </c>
      <c r="AL729" s="11">
        <v>0</v>
      </c>
      <c r="AM729" s="11">
        <f>AL729/(3.5*I729*1000)*100</f>
        <v>0</v>
      </c>
      <c r="AO729" s="25"/>
      <c r="AP729" s="25"/>
      <c r="AS729" s="48"/>
    </row>
    <row r="730" spans="1:88" s="22" customFormat="1">
      <c r="A730" s="1">
        <v>81</v>
      </c>
      <c r="B730" s="4" t="s">
        <v>44</v>
      </c>
      <c r="C730" s="14">
        <v>524</v>
      </c>
      <c r="D730" s="19">
        <v>1189</v>
      </c>
      <c r="E730" s="16">
        <v>200</v>
      </c>
      <c r="F730" s="14" t="s">
        <v>59</v>
      </c>
      <c r="G730" s="20" t="s">
        <v>144</v>
      </c>
      <c r="H730" s="20" t="s">
        <v>145</v>
      </c>
      <c r="I730" s="21">
        <v>5.6</v>
      </c>
      <c r="J730" s="8">
        <v>2</v>
      </c>
      <c r="K730" s="9" t="s">
        <v>238</v>
      </c>
      <c r="L730" s="18">
        <v>42227</v>
      </c>
      <c r="M730" s="37" t="s">
        <v>191</v>
      </c>
      <c r="N730" s="11">
        <v>2.65</v>
      </c>
      <c r="O730" s="11">
        <v>2.25</v>
      </c>
      <c r="P730" s="11">
        <v>0.55000000000000004</v>
      </c>
      <c r="Q730" s="11">
        <v>0.2</v>
      </c>
      <c r="R730" s="11">
        <v>2.7667700000000002</v>
      </c>
      <c r="S730" s="38">
        <f t="shared" si="90"/>
        <v>3</v>
      </c>
      <c r="T730" s="11">
        <v>5.625</v>
      </c>
      <c r="U730" s="11">
        <v>0</v>
      </c>
      <c r="V730" s="11">
        <v>0</v>
      </c>
      <c r="W730" s="11">
        <v>2.5000000000000001E-2</v>
      </c>
      <c r="X730" s="11">
        <v>2.3445499999999999</v>
      </c>
      <c r="Y730" s="38">
        <f t="shared" si="91"/>
        <v>2.5</v>
      </c>
      <c r="Z730" s="11">
        <v>0</v>
      </c>
      <c r="AA730" s="11">
        <v>0</v>
      </c>
      <c r="AB730" s="11">
        <v>5.65</v>
      </c>
      <c r="AC730" s="11">
        <v>0.98792899999999995</v>
      </c>
      <c r="AD730" s="164">
        <v>63.957999999999998</v>
      </c>
      <c r="AE730" s="11">
        <v>0</v>
      </c>
      <c r="AF730" s="11">
        <f>(AD730+AE730*0.5)/(3.5*I730*1000)*100</f>
        <v>0.32631632653061227</v>
      </c>
      <c r="AG730" s="38">
        <f t="shared" si="92"/>
        <v>0.3</v>
      </c>
      <c r="AH730" s="11">
        <v>0</v>
      </c>
      <c r="AI730" s="11">
        <f>AH730/(3.5*I730*1000)*100</f>
        <v>0</v>
      </c>
      <c r="AJ730" s="11">
        <v>0</v>
      </c>
      <c r="AK730" s="11">
        <f>AJ730/(3.5*I730*1000)*100</f>
        <v>0</v>
      </c>
      <c r="AL730" s="11">
        <v>3.2</v>
      </c>
      <c r="AM730" s="11">
        <f>AL730/(3.5*I730*1000)*100</f>
        <v>1.6326530612244899E-2</v>
      </c>
      <c r="AN730" s="25"/>
      <c r="AO730" s="25"/>
      <c r="AS730" s="48"/>
    </row>
    <row r="731" spans="1:88" s="22" customFormat="1">
      <c r="A731" s="1">
        <v>1411</v>
      </c>
      <c r="B731" s="34" t="s">
        <v>1957</v>
      </c>
      <c r="C731" s="34">
        <v>447</v>
      </c>
      <c r="D731" s="75">
        <v>3183</v>
      </c>
      <c r="E731" s="69">
        <v>200</v>
      </c>
      <c r="F731" s="184" t="s">
        <v>1966</v>
      </c>
      <c r="G731" s="20">
        <v>28460</v>
      </c>
      <c r="H731" s="20">
        <v>37223</v>
      </c>
      <c r="I731" s="21">
        <v>8.7629999999999999</v>
      </c>
      <c r="J731" s="8">
        <v>2</v>
      </c>
      <c r="K731" s="34" t="s">
        <v>12</v>
      </c>
      <c r="L731" s="10">
        <v>42217</v>
      </c>
      <c r="M731" s="37" t="s">
        <v>191</v>
      </c>
      <c r="N731" s="38">
        <v>6.375</v>
      </c>
      <c r="O731" s="38">
        <v>1.9</v>
      </c>
      <c r="P731" s="38">
        <v>0.375</v>
      </c>
      <c r="Q731" s="38">
        <v>0.125</v>
      </c>
      <c r="R731" s="38">
        <v>2.2032500000000002</v>
      </c>
      <c r="S731" s="38">
        <f t="shared" si="90"/>
        <v>2</v>
      </c>
      <c r="T731" s="38">
        <v>8.6750000000000007</v>
      </c>
      <c r="U731" s="38">
        <v>0.1</v>
      </c>
      <c r="V731" s="38">
        <v>0</v>
      </c>
      <c r="W731" s="38">
        <v>0</v>
      </c>
      <c r="X731" s="38">
        <v>4.1918499999999996</v>
      </c>
      <c r="Y731" s="38">
        <f t="shared" si="91"/>
        <v>4</v>
      </c>
      <c r="Z731" s="38">
        <v>0</v>
      </c>
      <c r="AA731" s="38">
        <v>0</v>
      </c>
      <c r="AB731" s="38">
        <v>8.7750000000000004</v>
      </c>
      <c r="AC731" s="38">
        <v>1.1247</v>
      </c>
      <c r="AD731" s="39">
        <v>100</v>
      </c>
      <c r="AE731" s="38">
        <v>0</v>
      </c>
      <c r="AF731" s="38">
        <v>0.32604620074664581</v>
      </c>
      <c r="AG731" s="38">
        <f t="shared" si="92"/>
        <v>0.3</v>
      </c>
      <c r="AH731" s="38">
        <v>0</v>
      </c>
      <c r="AI731" s="38">
        <f>AH731/(3.5*I731*1000)*100</f>
        <v>0</v>
      </c>
      <c r="AJ731" s="38">
        <v>0</v>
      </c>
      <c r="AK731" s="38">
        <f>AJ731/(3.5*I731*1000)*100</f>
        <v>0</v>
      </c>
      <c r="AL731" s="38">
        <v>0</v>
      </c>
      <c r="AM731" s="38">
        <f>AL731/(3.5*I731*1000)*100</f>
        <v>0</v>
      </c>
      <c r="AN731" s="41"/>
      <c r="AS731" s="48"/>
    </row>
    <row r="732" spans="1:88" s="22" customFormat="1">
      <c r="A732" s="1">
        <v>875</v>
      </c>
      <c r="B732" s="34" t="s">
        <v>1259</v>
      </c>
      <c r="C732" s="34">
        <v>631</v>
      </c>
      <c r="D732" s="159">
        <v>2408</v>
      </c>
      <c r="E732" s="34">
        <v>100</v>
      </c>
      <c r="F732" s="34" t="s">
        <v>1267</v>
      </c>
      <c r="G732" s="58">
        <v>0</v>
      </c>
      <c r="H732" s="58">
        <v>18395</v>
      </c>
      <c r="I732" s="35">
        <v>18.395</v>
      </c>
      <c r="J732" s="160">
        <v>2</v>
      </c>
      <c r="K732" s="34" t="s">
        <v>238</v>
      </c>
      <c r="L732" s="10">
        <v>42139</v>
      </c>
      <c r="M732" s="37" t="s">
        <v>191</v>
      </c>
      <c r="N732" s="38">
        <v>12.85</v>
      </c>
      <c r="O732" s="38">
        <v>3.95</v>
      </c>
      <c r="P732" s="38">
        <v>0.77500000000000002</v>
      </c>
      <c r="Q732" s="38">
        <v>0.67500000000000004</v>
      </c>
      <c r="R732" s="38">
        <v>2.3848799999999999</v>
      </c>
      <c r="S732" s="38">
        <f t="shared" si="90"/>
        <v>2.5</v>
      </c>
      <c r="T732" s="38">
        <v>18.125</v>
      </c>
      <c r="U732" s="38">
        <v>0.1</v>
      </c>
      <c r="V732" s="38">
        <v>0</v>
      </c>
      <c r="W732" s="38">
        <v>2.5000000000000001E-2</v>
      </c>
      <c r="X732" s="38">
        <v>2.2610000000000001</v>
      </c>
      <c r="Y732" s="38">
        <f t="shared" si="91"/>
        <v>2.5</v>
      </c>
      <c r="Z732" s="38">
        <v>0</v>
      </c>
      <c r="AA732" s="38">
        <v>0</v>
      </c>
      <c r="AB732" s="38">
        <f>N732+O732+P732+Q732</f>
        <v>18.25</v>
      </c>
      <c r="AC732" s="38">
        <v>1.39408</v>
      </c>
      <c r="AD732" s="39">
        <v>209.68</v>
      </c>
      <c r="AE732" s="38">
        <v>0</v>
      </c>
      <c r="AF732" s="38">
        <v>0.32568000000000003</v>
      </c>
      <c r="AG732" s="38">
        <f t="shared" si="92"/>
        <v>0.3</v>
      </c>
      <c r="AH732" s="38">
        <v>0.6</v>
      </c>
      <c r="AI732" s="38">
        <v>9.3000000000000005E-4</v>
      </c>
      <c r="AJ732" s="38">
        <v>0</v>
      </c>
      <c r="AK732" s="38">
        <v>0</v>
      </c>
      <c r="AL732" s="38">
        <v>0</v>
      </c>
      <c r="AM732" s="38">
        <v>0</v>
      </c>
      <c r="AN732" s="25"/>
      <c r="AO732" s="25">
        <f>AE732*0.5</f>
        <v>0</v>
      </c>
      <c r="AP732" s="25">
        <f>(AD732+AH732+AJ732+AL732+AO732)*I732</f>
        <v>3868.1005999999998</v>
      </c>
      <c r="AQ732" s="25"/>
      <c r="AR732" s="25"/>
      <c r="AS732" s="49">
        <f>SUM(N732:Q732)</f>
        <v>18.25</v>
      </c>
      <c r="AT732" s="25">
        <f>SUM(T732:W732)</f>
        <v>18.25</v>
      </c>
      <c r="AU732" s="25"/>
      <c r="AW732" s="41"/>
      <c r="AX732" s="41"/>
      <c r="AY732" s="41"/>
      <c r="AZ732" s="41"/>
    </row>
    <row r="733" spans="1:88" s="22" customFormat="1">
      <c r="A733" s="1">
        <v>540</v>
      </c>
      <c r="B733" s="34" t="s">
        <v>915</v>
      </c>
      <c r="C733" s="34">
        <v>558</v>
      </c>
      <c r="D733" s="34">
        <v>1176</v>
      </c>
      <c r="E733" s="34">
        <v>100</v>
      </c>
      <c r="F733" s="34" t="s">
        <v>932</v>
      </c>
      <c r="G733" s="34" t="s">
        <v>933</v>
      </c>
      <c r="H733" s="34" t="s">
        <v>92</v>
      </c>
      <c r="I733" s="34">
        <v>11.347</v>
      </c>
      <c r="J733" s="34" t="s">
        <v>12</v>
      </c>
      <c r="K733" s="34">
        <v>2</v>
      </c>
      <c r="L733" s="10">
        <v>42272</v>
      </c>
      <c r="M733" s="37" t="s">
        <v>191</v>
      </c>
      <c r="N733" s="38">
        <v>5.8</v>
      </c>
      <c r="O733" s="38">
        <v>4.45</v>
      </c>
      <c r="P733" s="38">
        <v>0.77500000000000002</v>
      </c>
      <c r="Q733" s="38">
        <v>0.3</v>
      </c>
      <c r="R733" s="38">
        <v>2.665</v>
      </c>
      <c r="S733" s="38">
        <f t="shared" si="90"/>
        <v>2.5</v>
      </c>
      <c r="T733" s="38">
        <v>11.3</v>
      </c>
      <c r="U733" s="38">
        <v>2.5000000000000001E-2</v>
      </c>
      <c r="V733" s="38">
        <v>0</v>
      </c>
      <c r="W733" s="38">
        <v>0</v>
      </c>
      <c r="X733" s="38">
        <v>1.9159999999999999</v>
      </c>
      <c r="Y733" s="38">
        <f t="shared" si="91"/>
        <v>2</v>
      </c>
      <c r="Z733" s="38">
        <v>0</v>
      </c>
      <c r="AA733" s="38">
        <v>0</v>
      </c>
      <c r="AB733" s="38">
        <v>11.325000000000001</v>
      </c>
      <c r="AC733" s="38">
        <v>1.163</v>
      </c>
      <c r="AD733" s="39">
        <v>28.69</v>
      </c>
      <c r="AE733" s="38">
        <v>128.31</v>
      </c>
      <c r="AF733" s="38">
        <v>0.32400000000000001</v>
      </c>
      <c r="AG733" s="38">
        <f t="shared" si="92"/>
        <v>0.3</v>
      </c>
      <c r="AH733" s="38">
        <v>0</v>
      </c>
      <c r="AI733" s="38">
        <v>0</v>
      </c>
      <c r="AJ733" s="38">
        <v>0</v>
      </c>
      <c r="AK733" s="38">
        <v>0</v>
      </c>
      <c r="AL733" s="38">
        <v>0</v>
      </c>
      <c r="AM733" s="38">
        <v>0</v>
      </c>
      <c r="AN733" s="41"/>
      <c r="AO733" s="41"/>
      <c r="AP733" s="73"/>
      <c r="AQ733" s="73"/>
      <c r="AS733" s="48"/>
    </row>
    <row r="734" spans="1:88" s="22" customFormat="1">
      <c r="A734" s="1">
        <v>1193</v>
      </c>
      <c r="B734" s="34" t="s">
        <v>1639</v>
      </c>
      <c r="C734" s="34">
        <v>433</v>
      </c>
      <c r="D734" s="34">
        <v>3509</v>
      </c>
      <c r="E734" s="34">
        <v>100</v>
      </c>
      <c r="F734" s="34" t="s">
        <v>1673</v>
      </c>
      <c r="G734" s="58" t="s">
        <v>92</v>
      </c>
      <c r="H734" s="58" t="s">
        <v>629</v>
      </c>
      <c r="I734" s="55">
        <v>3.6</v>
      </c>
      <c r="J734" s="34">
        <v>2</v>
      </c>
      <c r="K734" s="181" t="s">
        <v>238</v>
      </c>
      <c r="L734" s="10">
        <v>42282</v>
      </c>
      <c r="M734" s="37" t="s">
        <v>191</v>
      </c>
      <c r="N734" s="38">
        <v>2.85</v>
      </c>
      <c r="O734" s="38">
        <v>0.45</v>
      </c>
      <c r="P734" s="38">
        <v>0.2</v>
      </c>
      <c r="Q734" s="38">
        <v>0.15</v>
      </c>
      <c r="R734" s="38">
        <v>2.0385599999999999</v>
      </c>
      <c r="S734" s="38">
        <f t="shared" si="90"/>
        <v>2</v>
      </c>
      <c r="T734" s="38">
        <v>3.625</v>
      </c>
      <c r="U734" s="38">
        <v>2.5000000000000001E-2</v>
      </c>
      <c r="V734" s="38">
        <v>0</v>
      </c>
      <c r="W734" s="38">
        <v>0</v>
      </c>
      <c r="X734" s="38">
        <v>2.4460799999999998</v>
      </c>
      <c r="Y734" s="38">
        <f t="shared" si="91"/>
        <v>2.5</v>
      </c>
      <c r="Z734" s="38">
        <v>0</v>
      </c>
      <c r="AA734" s="38">
        <v>0</v>
      </c>
      <c r="AB734" s="38">
        <v>3.6</v>
      </c>
      <c r="AC734" s="38">
        <v>1.26654</v>
      </c>
      <c r="AD734" s="39">
        <v>35.997999999999998</v>
      </c>
      <c r="AE734" s="39">
        <v>9.6479999999999997</v>
      </c>
      <c r="AF734" s="39">
        <f>(AD734+AE734*0.5)/(3.5*I734*1000)*100</f>
        <v>0.32398412698412693</v>
      </c>
      <c r="AG734" s="38">
        <f t="shared" si="92"/>
        <v>0.3</v>
      </c>
      <c r="AH734" s="39">
        <v>120.4</v>
      </c>
      <c r="AI734" s="39">
        <f>AH734/(3.5*I734*1000)*100</f>
        <v>0.95555555555555571</v>
      </c>
      <c r="AJ734" s="39">
        <v>0</v>
      </c>
      <c r="AK734" s="39">
        <f>AJ734/(3.5*I734*1000)*100</f>
        <v>0</v>
      </c>
      <c r="AL734" s="39">
        <v>0</v>
      </c>
      <c r="AM734" s="39">
        <f>AJ734/(3.5*I734*1000)*100</f>
        <v>0</v>
      </c>
      <c r="AN734" s="25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</row>
    <row r="735" spans="1:88" s="22" customFormat="1">
      <c r="A735" s="1">
        <v>959</v>
      </c>
      <c r="B735" s="34" t="s">
        <v>1329</v>
      </c>
      <c r="C735" s="34">
        <v>611</v>
      </c>
      <c r="D735" s="161">
        <v>2439</v>
      </c>
      <c r="E735" s="34">
        <v>100</v>
      </c>
      <c r="F735" s="34" t="s">
        <v>1357</v>
      </c>
      <c r="G735" s="58">
        <v>0</v>
      </c>
      <c r="H735" s="58">
        <v>1750</v>
      </c>
      <c r="I735" s="35">
        <v>1.75</v>
      </c>
      <c r="J735" s="71">
        <v>2</v>
      </c>
      <c r="K735" s="34" t="s">
        <v>238</v>
      </c>
      <c r="L735" s="10">
        <v>42119</v>
      </c>
      <c r="M735" s="37" t="s">
        <v>191</v>
      </c>
      <c r="N735" s="38">
        <v>1.075</v>
      </c>
      <c r="O735" s="38">
        <v>0.3</v>
      </c>
      <c r="P735" s="38">
        <v>0.32500000000000001</v>
      </c>
      <c r="Q735" s="38">
        <v>0.1</v>
      </c>
      <c r="R735" s="38">
        <v>2.5951399999999998</v>
      </c>
      <c r="S735" s="38">
        <f t="shared" si="90"/>
        <v>2.5</v>
      </c>
      <c r="T735" s="38">
        <v>1.7749999999999999</v>
      </c>
      <c r="U735" s="38">
        <v>2.5000000000000001E-2</v>
      </c>
      <c r="V735" s="38">
        <v>0</v>
      </c>
      <c r="W735" s="38">
        <v>0</v>
      </c>
      <c r="X735" s="38">
        <v>4.5803599999999998</v>
      </c>
      <c r="Y735" s="38">
        <f t="shared" si="91"/>
        <v>4.5</v>
      </c>
      <c r="Z735" s="38">
        <v>0</v>
      </c>
      <c r="AA735" s="38">
        <v>0</v>
      </c>
      <c r="AB735" s="38">
        <v>1.75</v>
      </c>
      <c r="AC735" s="38">
        <v>1.0876399999999999</v>
      </c>
      <c r="AD735" s="39">
        <v>0</v>
      </c>
      <c r="AE735" s="38">
        <v>39.65</v>
      </c>
      <c r="AF735" s="38">
        <f>(AD735+AE735*0.5)/(3.5*I735*1000)*100</f>
        <v>0.3236734693877551</v>
      </c>
      <c r="AG735" s="38">
        <f t="shared" si="92"/>
        <v>0.3</v>
      </c>
      <c r="AH735" s="38">
        <v>0</v>
      </c>
      <c r="AI735" s="38">
        <f>AH735/(3.5*I735*1000)*100</f>
        <v>0</v>
      </c>
      <c r="AJ735" s="38">
        <v>1.88</v>
      </c>
      <c r="AK735" s="38">
        <f>AJ735/(3.5*I735*1000)*100</f>
        <v>3.0693877551020404E-2</v>
      </c>
      <c r="AL735" s="38">
        <v>0</v>
      </c>
      <c r="AM735" s="39">
        <f>AL735/(3.5*I735*1000)*100</f>
        <v>0</v>
      </c>
      <c r="AN735" s="25"/>
      <c r="AO735" s="25">
        <f>AE735*0.5</f>
        <v>19.824999999999999</v>
      </c>
      <c r="AP735" s="25">
        <f>(AD735+AH735+AJ735+AL735+AO735)*I735</f>
        <v>37.983750000000001</v>
      </c>
      <c r="AQ735" s="25"/>
      <c r="AR735" s="25">
        <f>SUM(N735:Q735)</f>
        <v>1.8</v>
      </c>
      <c r="AS735" s="25">
        <f>SUM(T735:W735)</f>
        <v>1.7999999999999998</v>
      </c>
      <c r="AT735" s="268">
        <v>1.75</v>
      </c>
      <c r="AU735" s="41"/>
      <c r="AV735" s="41"/>
      <c r="AW735" s="41"/>
    </row>
    <row r="736" spans="1:88" s="22" customFormat="1">
      <c r="A736" s="1">
        <v>173</v>
      </c>
      <c r="B736" s="34" t="s">
        <v>332</v>
      </c>
      <c r="C736" s="34">
        <v>533</v>
      </c>
      <c r="D736" s="34">
        <v>1089</v>
      </c>
      <c r="E736" s="34">
        <v>100</v>
      </c>
      <c r="F736" s="34" t="s">
        <v>350</v>
      </c>
      <c r="G736" s="20" t="s">
        <v>92</v>
      </c>
      <c r="H736" s="20" t="s">
        <v>351</v>
      </c>
      <c r="I736" s="35">
        <v>11.916</v>
      </c>
      <c r="J736" s="33">
        <v>2</v>
      </c>
      <c r="K736" s="34" t="s">
        <v>12</v>
      </c>
      <c r="L736" s="10">
        <v>42201</v>
      </c>
      <c r="M736" s="37" t="s">
        <v>191</v>
      </c>
      <c r="N736" s="38">
        <v>4</v>
      </c>
      <c r="O736" s="38">
        <v>4.88</v>
      </c>
      <c r="P736" s="38">
        <v>2.1</v>
      </c>
      <c r="Q736" s="38">
        <v>0.94</v>
      </c>
      <c r="R736" s="38">
        <v>3.085</v>
      </c>
      <c r="S736" s="38">
        <f t="shared" si="90"/>
        <v>3</v>
      </c>
      <c r="T736" s="38">
        <v>11.41</v>
      </c>
      <c r="U736" s="38">
        <v>0.38</v>
      </c>
      <c r="V736" s="38">
        <v>0.08</v>
      </c>
      <c r="W736" s="38">
        <v>0.05</v>
      </c>
      <c r="X736" s="38">
        <v>3.9750000000000001</v>
      </c>
      <c r="Y736" s="38">
        <f t="shared" si="91"/>
        <v>4</v>
      </c>
      <c r="Z736" s="38">
        <v>0.03</v>
      </c>
      <c r="AA736" s="38">
        <v>0.25</v>
      </c>
      <c r="AB736" s="38">
        <v>11.64</v>
      </c>
      <c r="AC736" s="38">
        <v>1.5009999999999999</v>
      </c>
      <c r="AD736" s="39">
        <v>10.86</v>
      </c>
      <c r="AE736" s="38">
        <v>247.92</v>
      </c>
      <c r="AF736" s="38">
        <f>(AD736+AE736*0.5)/(3.5*I736*1000)*100</f>
        <v>0.32326283987915405</v>
      </c>
      <c r="AG736" s="38">
        <f t="shared" si="92"/>
        <v>0.3</v>
      </c>
      <c r="AH736" s="38">
        <v>293.66000000000003</v>
      </c>
      <c r="AI736" s="38">
        <f>AH736/(3.5*I736*1000)*100</f>
        <v>0.70411931137006667</v>
      </c>
      <c r="AJ736" s="38">
        <v>57.84</v>
      </c>
      <c r="AK736" s="38">
        <f>AJ736/(3.5*I736*1000)*100</f>
        <v>0.13868508128326859</v>
      </c>
      <c r="AL736" s="38">
        <v>1568.8</v>
      </c>
      <c r="AM736" s="39">
        <f>AL736/(3.5*I736*1000)*100</f>
        <v>3.7615690787896225</v>
      </c>
      <c r="AN736" s="25"/>
      <c r="AO736" s="25">
        <f>AE736*0.5</f>
        <v>123.96</v>
      </c>
      <c r="AP736" s="25">
        <f>(AD736+AH736+AJ736+AL736+AO736)*I736</f>
        <v>24488.80992</v>
      </c>
      <c r="AQ736" s="25"/>
      <c r="AR736" s="25">
        <f>SUM(N736:Q736)</f>
        <v>11.919999999999998</v>
      </c>
      <c r="AS736" s="25">
        <f>SUM(T736:W736)</f>
        <v>11.920000000000002</v>
      </c>
      <c r="AU736" s="41">
        <f>SUM(N736:Q736)</f>
        <v>11.919999999999998</v>
      </c>
      <c r="AV736" s="41">
        <f>SUM(T736:W736)</f>
        <v>11.920000000000002</v>
      </c>
      <c r="AW736" s="41">
        <f>SUM(Z736:AB736)</f>
        <v>11.92</v>
      </c>
      <c r="AX736" s="41"/>
      <c r="AY736" s="22">
        <f>I736/AU736</f>
        <v>0.99966442953020151</v>
      </c>
      <c r="AZ736" s="22">
        <f>I736/AV736</f>
        <v>0.99966442953020118</v>
      </c>
      <c r="BA736" s="22">
        <f>I736/AW736</f>
        <v>0.9996644295302014</v>
      </c>
    </row>
    <row r="737" spans="1:88" s="22" customFormat="1">
      <c r="A737" s="1">
        <v>647</v>
      </c>
      <c r="B737" s="34" t="s">
        <v>1050</v>
      </c>
      <c r="C737" s="34">
        <v>621</v>
      </c>
      <c r="D737" s="34">
        <v>2183</v>
      </c>
      <c r="E737" s="34">
        <v>102</v>
      </c>
      <c r="F737" s="34" t="s">
        <v>1055</v>
      </c>
      <c r="G737" s="58">
        <v>23800</v>
      </c>
      <c r="H737" s="58">
        <v>38737</v>
      </c>
      <c r="I737" s="35">
        <v>14.173</v>
      </c>
      <c r="J737" s="127">
        <v>2</v>
      </c>
      <c r="K737" s="34" t="s">
        <v>238</v>
      </c>
      <c r="L737" s="10">
        <v>42172</v>
      </c>
      <c r="M737" s="37" t="s">
        <v>191</v>
      </c>
      <c r="N737" s="38">
        <v>11.175000000000001</v>
      </c>
      <c r="O737" s="38">
        <v>1.925</v>
      </c>
      <c r="P737" s="38">
        <v>0.65</v>
      </c>
      <c r="Q737" s="38">
        <v>0.375</v>
      </c>
      <c r="R737" s="38">
        <v>2.1821199999999998</v>
      </c>
      <c r="S737" s="38">
        <f t="shared" si="90"/>
        <v>2</v>
      </c>
      <c r="T737" s="38">
        <v>13.85</v>
      </c>
      <c r="U737" s="38">
        <v>0.25</v>
      </c>
      <c r="V737" s="38">
        <v>0</v>
      </c>
      <c r="W737" s="38">
        <v>2.5000000000000001E-2</v>
      </c>
      <c r="X737" s="38">
        <v>3.1297899999999998</v>
      </c>
      <c r="Y737" s="38">
        <f t="shared" si="91"/>
        <v>3</v>
      </c>
      <c r="Z737" s="38">
        <v>0</v>
      </c>
      <c r="AA737" s="38">
        <v>0</v>
      </c>
      <c r="AB737" s="38">
        <f>T737+U737+V737+W737</f>
        <v>14.125</v>
      </c>
      <c r="AC737" s="38">
        <v>1.0225</v>
      </c>
      <c r="AD737" s="39">
        <v>0</v>
      </c>
      <c r="AE737" s="38">
        <v>315.14999999999998</v>
      </c>
      <c r="AF737" s="38">
        <v>0.32303529146465215</v>
      </c>
      <c r="AG737" s="38">
        <f t="shared" si="92"/>
        <v>0.3</v>
      </c>
      <c r="AH737" s="38">
        <v>0</v>
      </c>
      <c r="AI737" s="38">
        <v>0</v>
      </c>
      <c r="AJ737" s="38">
        <v>0</v>
      </c>
      <c r="AK737" s="55">
        <v>0</v>
      </c>
      <c r="AL737" s="55">
        <v>0</v>
      </c>
      <c r="AM737" s="264">
        <v>0</v>
      </c>
      <c r="AN737" s="25">
        <f>SUM(N737:Q737)</f>
        <v>14.125000000000002</v>
      </c>
      <c r="AO737" s="25">
        <f>SUM(T737:W737)</f>
        <v>14.125</v>
      </c>
      <c r="AQ737" s="41"/>
      <c r="AR737" s="41"/>
      <c r="AS737" s="41"/>
      <c r="AT737" s="41"/>
    </row>
    <row r="738" spans="1:88" s="22" customFormat="1">
      <c r="A738" s="1">
        <v>1319</v>
      </c>
      <c r="B738" s="74" t="s">
        <v>1851</v>
      </c>
      <c r="C738" s="34">
        <v>444</v>
      </c>
      <c r="D738" s="75">
        <v>3081</v>
      </c>
      <c r="E738" s="69">
        <v>100</v>
      </c>
      <c r="F738" s="34" t="s">
        <v>1862</v>
      </c>
      <c r="G738" s="20" t="s">
        <v>1863</v>
      </c>
      <c r="H738" s="20" t="s">
        <v>1864</v>
      </c>
      <c r="I738" s="21">
        <v>10.135</v>
      </c>
      <c r="J738" s="8">
        <v>4</v>
      </c>
      <c r="K738" s="34" t="s">
        <v>238</v>
      </c>
      <c r="L738" s="10">
        <v>42209</v>
      </c>
      <c r="M738" s="37" t="s">
        <v>191</v>
      </c>
      <c r="N738" s="38">
        <v>6.4749999999999996</v>
      </c>
      <c r="O738" s="38">
        <v>2.5</v>
      </c>
      <c r="P738" s="38">
        <v>0.9</v>
      </c>
      <c r="Q738" s="38">
        <v>0.32500000000000001</v>
      </c>
      <c r="R738" s="38">
        <v>2.484</v>
      </c>
      <c r="S738" s="38">
        <f t="shared" si="90"/>
        <v>2.5</v>
      </c>
      <c r="T738" s="38">
        <v>8.85</v>
      </c>
      <c r="U738" s="38">
        <v>1.1499999999999999</v>
      </c>
      <c r="V738" s="38">
        <v>0.2</v>
      </c>
      <c r="W738" s="38">
        <v>0</v>
      </c>
      <c r="X738" s="38">
        <v>5.3040000000000003</v>
      </c>
      <c r="Y738" s="38">
        <f t="shared" si="91"/>
        <v>5.5</v>
      </c>
      <c r="Z738" s="38">
        <v>0</v>
      </c>
      <c r="AA738" s="38">
        <v>0</v>
      </c>
      <c r="AB738" s="38">
        <v>10.199999999999999</v>
      </c>
      <c r="AC738" s="38">
        <v>1.0660000000000001</v>
      </c>
      <c r="AD738" s="39">
        <v>103</v>
      </c>
      <c r="AE738" s="38">
        <v>22</v>
      </c>
      <c r="AF738" s="38">
        <v>0.32137571358094297</v>
      </c>
      <c r="AG738" s="38">
        <f t="shared" si="92"/>
        <v>0.3</v>
      </c>
      <c r="AH738" s="38">
        <v>0</v>
      </c>
      <c r="AI738" s="38">
        <v>0</v>
      </c>
      <c r="AJ738" s="38">
        <v>172</v>
      </c>
      <c r="AK738" s="38">
        <v>0.48488265557826488</v>
      </c>
      <c r="AL738" s="38">
        <v>0</v>
      </c>
      <c r="AM738" s="39">
        <v>0</v>
      </c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</row>
    <row r="739" spans="1:88" s="22" customFormat="1">
      <c r="A739" s="1">
        <v>1320</v>
      </c>
      <c r="B739" s="74" t="s">
        <v>1851</v>
      </c>
      <c r="C739" s="34">
        <v>444</v>
      </c>
      <c r="D739" s="75">
        <v>3081</v>
      </c>
      <c r="E739" s="69">
        <v>100</v>
      </c>
      <c r="F739" s="34" t="s">
        <v>1862</v>
      </c>
      <c r="G739" s="20">
        <v>10678</v>
      </c>
      <c r="H739" s="20">
        <v>543</v>
      </c>
      <c r="I739" s="21">
        <v>10.135</v>
      </c>
      <c r="J739" s="8">
        <v>4</v>
      </c>
      <c r="K739" s="34" t="s">
        <v>12</v>
      </c>
      <c r="L739" s="10">
        <v>42209</v>
      </c>
      <c r="M739" s="37" t="s">
        <v>191</v>
      </c>
      <c r="N739" s="38">
        <v>5.9</v>
      </c>
      <c r="O739" s="38">
        <v>2.8</v>
      </c>
      <c r="P739" s="38">
        <v>1.1000000000000001</v>
      </c>
      <c r="Q739" s="38">
        <v>0.375</v>
      </c>
      <c r="R739" s="38">
        <v>2.7012</v>
      </c>
      <c r="S739" s="38">
        <f t="shared" si="90"/>
        <v>2.5</v>
      </c>
      <c r="T739" s="38">
        <v>5.95</v>
      </c>
      <c r="U739" s="38">
        <v>2.4249999999999998</v>
      </c>
      <c r="V739" s="38">
        <v>1.175</v>
      </c>
      <c r="W739" s="38">
        <v>0.625</v>
      </c>
      <c r="X739" s="38">
        <v>9.6978399999999993</v>
      </c>
      <c r="Y739" s="38">
        <f t="shared" si="91"/>
        <v>9.5</v>
      </c>
      <c r="Z739" s="38">
        <v>0</v>
      </c>
      <c r="AA739" s="38">
        <v>0</v>
      </c>
      <c r="AB739" s="38">
        <v>10.174999999999999</v>
      </c>
      <c r="AC739" s="38">
        <v>0.95061899999999999</v>
      </c>
      <c r="AD739" s="39">
        <v>103</v>
      </c>
      <c r="AE739" s="38">
        <v>22</v>
      </c>
      <c r="AF739" s="38">
        <v>0.32137571358094297</v>
      </c>
      <c r="AG739" s="38">
        <f t="shared" si="92"/>
        <v>0.3</v>
      </c>
      <c r="AH739" s="38">
        <v>0</v>
      </c>
      <c r="AI739" s="38">
        <v>0</v>
      </c>
      <c r="AJ739" s="38">
        <v>172</v>
      </c>
      <c r="AK739" s="38">
        <v>0.48488265557826488</v>
      </c>
      <c r="AL739" s="38">
        <v>0</v>
      </c>
      <c r="AM739" s="39">
        <v>0</v>
      </c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</row>
    <row r="740" spans="1:88" s="22" customFormat="1">
      <c r="A740" s="1">
        <v>1907</v>
      </c>
      <c r="B740" s="34" t="s">
        <v>2550</v>
      </c>
      <c r="C740" s="34">
        <v>337</v>
      </c>
      <c r="D740" s="75">
        <v>3237</v>
      </c>
      <c r="E740" s="8">
        <v>100</v>
      </c>
      <c r="F740" s="9" t="s">
        <v>2553</v>
      </c>
      <c r="G740" s="20">
        <v>6709</v>
      </c>
      <c r="H740" s="20">
        <v>0</v>
      </c>
      <c r="I740" s="21">
        <v>6.7089999999999996</v>
      </c>
      <c r="J740" s="8">
        <v>2</v>
      </c>
      <c r="K740" s="8" t="s">
        <v>12</v>
      </c>
      <c r="L740" s="18">
        <v>42091</v>
      </c>
      <c r="M740" s="247" t="s">
        <v>191</v>
      </c>
      <c r="N740" s="38">
        <v>3.67</v>
      </c>
      <c r="O740" s="38">
        <v>1.78</v>
      </c>
      <c r="P740" s="38">
        <v>0.85</v>
      </c>
      <c r="Q740" s="38">
        <v>0.4</v>
      </c>
      <c r="R740" s="38">
        <v>2.7673399999999999</v>
      </c>
      <c r="S740" s="38">
        <f t="shared" si="90"/>
        <v>3</v>
      </c>
      <c r="T740" s="38">
        <v>4.13</v>
      </c>
      <c r="U740" s="38">
        <v>1.6</v>
      </c>
      <c r="V740" s="38">
        <v>0.61</v>
      </c>
      <c r="W740" s="38">
        <v>0.37</v>
      </c>
      <c r="X740" s="38">
        <v>9.49925</v>
      </c>
      <c r="Y740" s="38">
        <f t="shared" si="91"/>
        <v>9.5</v>
      </c>
      <c r="Z740" s="38">
        <v>0</v>
      </c>
      <c r="AA740" s="38">
        <v>0</v>
      </c>
      <c r="AB740" s="38">
        <v>6.71</v>
      </c>
      <c r="AC740" s="38">
        <v>1.1433</v>
      </c>
      <c r="AD740" s="39">
        <v>73.930000000000007</v>
      </c>
      <c r="AE740" s="38">
        <v>2.9</v>
      </c>
      <c r="AF740" s="38">
        <v>0.32101867427549358</v>
      </c>
      <c r="AG740" s="38">
        <f t="shared" si="92"/>
        <v>0.3</v>
      </c>
      <c r="AH740" s="38">
        <v>0.15</v>
      </c>
      <c r="AI740" s="38">
        <v>6.388007580435662E-4</v>
      </c>
      <c r="AJ740" s="38">
        <v>3.72</v>
      </c>
      <c r="AK740" s="38">
        <v>1.5842258799480445E-2</v>
      </c>
      <c r="AL740" s="38">
        <v>0</v>
      </c>
      <c r="AM740" s="39">
        <f>AL740/(3.5*I740*1000)*100</f>
        <v>0</v>
      </c>
      <c r="AN740" s="1"/>
      <c r="AO740" s="1"/>
      <c r="AP740" s="1"/>
      <c r="AQ740" s="41">
        <f>SUM(N740:Q740)</f>
        <v>6.7</v>
      </c>
      <c r="AR740" s="41">
        <f>SUM(T740:W740)</f>
        <v>6.7100000000000009</v>
      </c>
      <c r="AS740" s="12">
        <f>SUM(Z740:AB740)</f>
        <v>6.71</v>
      </c>
      <c r="AT740" s="1"/>
      <c r="AU740" s="1">
        <f>I740/AQ740</f>
        <v>1.0013432835820895</v>
      </c>
      <c r="AV740" s="1">
        <f>I740/AR740</f>
        <v>0.99985096870342749</v>
      </c>
      <c r="AW740" s="1">
        <f>I740/AS740</f>
        <v>0.99985096870342771</v>
      </c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</row>
    <row r="741" spans="1:88" s="22" customFormat="1">
      <c r="A741" s="1">
        <v>786</v>
      </c>
      <c r="B741" s="34" t="s">
        <v>1171</v>
      </c>
      <c r="C741" s="34">
        <v>633</v>
      </c>
      <c r="D741" s="148">
        <v>292</v>
      </c>
      <c r="E741" s="34">
        <v>100</v>
      </c>
      <c r="F741" s="34" t="s">
        <v>1177</v>
      </c>
      <c r="G741" s="58">
        <v>8191</v>
      </c>
      <c r="H741" s="58">
        <v>0</v>
      </c>
      <c r="I741" s="35">
        <v>8.1910000000000007</v>
      </c>
      <c r="J741" s="9">
        <v>6</v>
      </c>
      <c r="K741" s="34" t="s">
        <v>12</v>
      </c>
      <c r="L741" s="10">
        <v>42147</v>
      </c>
      <c r="M741" s="37" t="s">
        <v>191</v>
      </c>
      <c r="N741" s="38">
        <v>3.4</v>
      </c>
      <c r="O741" s="38">
        <v>1.7749999999999999</v>
      </c>
      <c r="P741" s="38">
        <v>1.6749999999999998</v>
      </c>
      <c r="Q741" s="38">
        <v>1.2749999999999999</v>
      </c>
      <c r="R741" s="38">
        <v>3.351305</v>
      </c>
      <c r="S741" s="38">
        <f t="shared" si="90"/>
        <v>3.5</v>
      </c>
      <c r="T741" s="38">
        <v>6.5</v>
      </c>
      <c r="U741" s="38">
        <v>1.125</v>
      </c>
      <c r="V741" s="38">
        <v>0.375</v>
      </c>
      <c r="W741" s="38">
        <v>0.125</v>
      </c>
      <c r="X741" s="38">
        <v>7.4956800000000001</v>
      </c>
      <c r="Y741" s="38">
        <f t="shared" si="91"/>
        <v>7.5</v>
      </c>
      <c r="Z741" s="38">
        <v>0</v>
      </c>
      <c r="AA741" s="38">
        <v>0</v>
      </c>
      <c r="AB741" s="38">
        <f>N741+O741+P741+Q741</f>
        <v>8.125</v>
      </c>
      <c r="AC741" s="38">
        <v>1.1599699999999999</v>
      </c>
      <c r="AD741" s="39">
        <v>92</v>
      </c>
      <c r="AE741" s="38">
        <v>0</v>
      </c>
      <c r="AF741" s="38">
        <f>(AD741+AE741*0.5)/(3.5*I741*1000)*100</f>
        <v>0.32090970926277973</v>
      </c>
      <c r="AG741" s="38">
        <f t="shared" si="92"/>
        <v>0.3</v>
      </c>
      <c r="AH741" s="38">
        <v>341</v>
      </c>
      <c r="AI741" s="38">
        <f>AH741/(3.5*I741*1000)*100</f>
        <v>1.1894588136805204</v>
      </c>
      <c r="AJ741" s="38">
        <v>303</v>
      </c>
      <c r="AK741" s="38">
        <f>AJ741/(3.5*I741*1000)*100</f>
        <v>1.0569091511589375</v>
      </c>
      <c r="AL741" s="38">
        <v>0</v>
      </c>
      <c r="AM741" s="39">
        <f>AL741/(3.5*I741*1000)*100</f>
        <v>0</v>
      </c>
      <c r="AN741" s="25"/>
      <c r="AO741" s="25">
        <f>AE741*0.5</f>
        <v>0</v>
      </c>
      <c r="AP741" s="25">
        <f>(AD741+AH741+AJ741+AL741+AO741)*I741</f>
        <v>6028.5760000000009</v>
      </c>
      <c r="AQ741" s="25">
        <f>SUM(N741:Q741)</f>
        <v>8.125</v>
      </c>
      <c r="AR741" s="25">
        <f>SUM(T741:W741)</f>
        <v>8.125</v>
      </c>
      <c r="AT741" s="41"/>
      <c r="AU741" s="41"/>
      <c r="AV741" s="41"/>
      <c r="AW741" s="41"/>
    </row>
    <row r="742" spans="1:88" s="22" customFormat="1">
      <c r="A742" s="1">
        <v>2082</v>
      </c>
      <c r="B742" s="34" t="s">
        <v>2715</v>
      </c>
      <c r="C742" s="34">
        <v>329</v>
      </c>
      <c r="D742" s="75">
        <v>4229</v>
      </c>
      <c r="E742" s="8">
        <v>100</v>
      </c>
      <c r="F742" s="34" t="s">
        <v>2728</v>
      </c>
      <c r="G742" s="58">
        <v>20640</v>
      </c>
      <c r="H742" s="58">
        <v>0</v>
      </c>
      <c r="I742" s="21">
        <v>20.64</v>
      </c>
      <c r="J742" s="8">
        <v>2</v>
      </c>
      <c r="K742" s="8" t="s">
        <v>12</v>
      </c>
      <c r="L742" s="18">
        <v>42122</v>
      </c>
      <c r="M742" s="37" t="s">
        <v>191</v>
      </c>
      <c r="N742" s="38">
        <v>10.275</v>
      </c>
      <c r="O742" s="38">
        <v>6.2750000000000004</v>
      </c>
      <c r="P742" s="38">
        <v>2.6749999999999998</v>
      </c>
      <c r="Q742" s="38">
        <v>1.1499999999999999</v>
      </c>
      <c r="R742" s="38">
        <v>2.77826</v>
      </c>
      <c r="S742" s="38">
        <f t="shared" si="90"/>
        <v>3</v>
      </c>
      <c r="T742" s="38">
        <v>19.225000000000001</v>
      </c>
      <c r="U742" s="38">
        <v>0.97499999999999998</v>
      </c>
      <c r="V742" s="38">
        <v>0.15</v>
      </c>
      <c r="W742" s="38">
        <v>2.5000000000000001E-2</v>
      </c>
      <c r="X742" s="38">
        <v>3.9685299999999999</v>
      </c>
      <c r="Y742" s="38">
        <f t="shared" si="91"/>
        <v>4</v>
      </c>
      <c r="Z742" s="38">
        <v>0</v>
      </c>
      <c r="AA742" s="38">
        <v>0</v>
      </c>
      <c r="AB742" s="38">
        <v>20.375</v>
      </c>
      <c r="AC742" s="38">
        <v>1.1617299999999999</v>
      </c>
      <c r="AD742" s="39">
        <v>138.26</v>
      </c>
      <c r="AE742" s="38">
        <v>186.75</v>
      </c>
      <c r="AF742" s="38">
        <v>0.32064645625692129</v>
      </c>
      <c r="AG742" s="38">
        <f t="shared" si="92"/>
        <v>0.3</v>
      </c>
      <c r="AH742" s="38">
        <v>94.38</v>
      </c>
      <c r="AI742" s="38">
        <v>0.13064784053156142</v>
      </c>
      <c r="AJ742" s="38">
        <v>0</v>
      </c>
      <c r="AK742" s="38">
        <v>0</v>
      </c>
      <c r="AL742" s="38">
        <v>0</v>
      </c>
      <c r="AM742" s="39">
        <f>AL742/(3.5*I742*1000)*100</f>
        <v>0</v>
      </c>
      <c r="AN742" s="12"/>
      <c r="AO742" s="12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</row>
    <row r="743" spans="1:88" s="22" customFormat="1">
      <c r="A743" s="1">
        <v>1233</v>
      </c>
      <c r="B743" s="34" t="s">
        <v>1725</v>
      </c>
      <c r="C743" s="88">
        <v>437</v>
      </c>
      <c r="D743" s="88">
        <v>3004</v>
      </c>
      <c r="E743" s="88">
        <v>100</v>
      </c>
      <c r="F743" s="88" t="s">
        <v>1740</v>
      </c>
      <c r="G743" s="88" t="s">
        <v>92</v>
      </c>
      <c r="H743" s="88" t="s">
        <v>1741</v>
      </c>
      <c r="I743" s="115">
        <v>13.298</v>
      </c>
      <c r="J743" s="88">
        <v>2</v>
      </c>
      <c r="K743" s="181" t="s">
        <v>238</v>
      </c>
      <c r="L743" s="116">
        <v>42282</v>
      </c>
      <c r="M743" s="37" t="s">
        <v>191</v>
      </c>
      <c r="N743" s="38">
        <v>6.6749999999999998</v>
      </c>
      <c r="O743" s="38">
        <v>4.5250000000000004</v>
      </c>
      <c r="P743" s="38">
        <v>1.65</v>
      </c>
      <c r="Q743" s="38">
        <v>0.5</v>
      </c>
      <c r="R743" s="38">
        <v>2.7881300000000002</v>
      </c>
      <c r="S743" s="38">
        <f t="shared" si="90"/>
        <v>3</v>
      </c>
      <c r="T743" s="38">
        <v>12.95</v>
      </c>
      <c r="U743" s="38">
        <v>0.32500000000000001</v>
      </c>
      <c r="V743" s="38">
        <v>7.4999999999999997E-2</v>
      </c>
      <c r="W743" s="38">
        <v>0</v>
      </c>
      <c r="X743" s="38">
        <v>4.6069300000000002</v>
      </c>
      <c r="Y743" s="38">
        <f t="shared" si="91"/>
        <v>4.5</v>
      </c>
      <c r="Z743" s="38">
        <v>0</v>
      </c>
      <c r="AA743" s="117">
        <v>0</v>
      </c>
      <c r="AB743" s="117">
        <v>13.298</v>
      </c>
      <c r="AC743" s="117">
        <v>1.31938</v>
      </c>
      <c r="AD743" s="254">
        <v>145.32</v>
      </c>
      <c r="AE743" s="117">
        <v>7.69</v>
      </c>
      <c r="AF743" s="117">
        <f t="shared" ref="AF743:AF749" si="93">(AD743+AE743*0.5)/(3.5*I743*1000)*100</f>
        <v>0.32048858045248479</v>
      </c>
      <c r="AG743" s="38">
        <f t="shared" si="92"/>
        <v>0.3</v>
      </c>
      <c r="AH743" s="117">
        <v>125.3</v>
      </c>
      <c r="AI743" s="117">
        <f t="shared" ref="AI743:AI749" si="94">AH743/(3.5*I743*1000)*100</f>
        <v>0.2692134155512107</v>
      </c>
      <c r="AJ743" s="117">
        <v>0</v>
      </c>
      <c r="AK743" s="117">
        <f>AJ743/(3.5*I743*1000)*100</f>
        <v>0</v>
      </c>
      <c r="AL743" s="117">
        <v>1</v>
      </c>
      <c r="AM743" s="254">
        <f>AJ743/(3.5*I743*1000)*100</f>
        <v>0</v>
      </c>
      <c r="AN743" s="12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</row>
    <row r="744" spans="1:88" s="22" customFormat="1">
      <c r="A744" s="1">
        <v>1169</v>
      </c>
      <c r="B744" s="34" t="s">
        <v>1639</v>
      </c>
      <c r="C744" s="34">
        <v>433</v>
      </c>
      <c r="D744" s="34">
        <v>309</v>
      </c>
      <c r="E744" s="34">
        <v>301</v>
      </c>
      <c r="F744" s="34" t="s">
        <v>1640</v>
      </c>
      <c r="G744" s="58" t="s">
        <v>1641</v>
      </c>
      <c r="H744" s="58" t="s">
        <v>1642</v>
      </c>
      <c r="I744" s="55">
        <v>19.356999999999999</v>
      </c>
      <c r="J744" s="34">
        <v>2</v>
      </c>
      <c r="K744" s="34" t="s">
        <v>12</v>
      </c>
      <c r="L744" s="10">
        <v>42282</v>
      </c>
      <c r="M744" s="37" t="s">
        <v>191</v>
      </c>
      <c r="N744" s="38">
        <v>15.55</v>
      </c>
      <c r="O744" s="38">
        <v>2.7</v>
      </c>
      <c r="P744" s="38">
        <v>0.95</v>
      </c>
      <c r="Q744" s="38">
        <v>0.17499999999999999</v>
      </c>
      <c r="R744" s="38">
        <v>1.9903900000000001</v>
      </c>
      <c r="S744" s="38">
        <f t="shared" si="90"/>
        <v>2</v>
      </c>
      <c r="T744" s="38">
        <v>19.175000000000001</v>
      </c>
      <c r="U744" s="38">
        <v>0.17499999999999999</v>
      </c>
      <c r="V744" s="38">
        <v>2.5000000000000001E-2</v>
      </c>
      <c r="W744" s="38">
        <v>0</v>
      </c>
      <c r="X744" s="38">
        <v>2.8196300000000001</v>
      </c>
      <c r="Y744" s="38">
        <f t="shared" si="91"/>
        <v>3</v>
      </c>
      <c r="Z744" s="38">
        <v>0</v>
      </c>
      <c r="AA744" s="38">
        <v>0</v>
      </c>
      <c r="AB744" s="38">
        <v>19.356999999999999</v>
      </c>
      <c r="AC744" s="38">
        <v>1.2433700000000001</v>
      </c>
      <c r="AD744" s="39">
        <v>215.68</v>
      </c>
      <c r="AE744" s="38">
        <v>1.3</v>
      </c>
      <c r="AF744" s="38">
        <f t="shared" si="93"/>
        <v>0.31930862958398215</v>
      </c>
      <c r="AG744" s="38">
        <f t="shared" si="92"/>
        <v>0.3</v>
      </c>
      <c r="AH744" s="38">
        <v>142.36000000000001</v>
      </c>
      <c r="AI744" s="38">
        <f t="shared" si="94"/>
        <v>0.21012701200746872</v>
      </c>
      <c r="AJ744" s="38">
        <v>3.1139999999999999</v>
      </c>
      <c r="AK744" s="38">
        <f>AJ744/(3.5*I744*1000)*100</f>
        <v>4.596343884456712E-3</v>
      </c>
      <c r="AL744" s="38">
        <v>0</v>
      </c>
      <c r="AM744" s="39">
        <f>AJ744/(3.5*I744*1000)*100</f>
        <v>4.596343884456712E-3</v>
      </c>
      <c r="AN744" s="25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</row>
    <row r="745" spans="1:88" s="22" customFormat="1">
      <c r="A745" s="1">
        <v>564</v>
      </c>
      <c r="B745" s="34" t="s">
        <v>948</v>
      </c>
      <c r="C745" s="34">
        <v>551</v>
      </c>
      <c r="D745" s="34">
        <v>2302</v>
      </c>
      <c r="E745" s="34">
        <v>102</v>
      </c>
      <c r="F745" s="9" t="s">
        <v>965</v>
      </c>
      <c r="G745" s="20">
        <v>3320</v>
      </c>
      <c r="H745" s="20">
        <v>21850</v>
      </c>
      <c r="I745" s="35">
        <v>18.649999999999999</v>
      </c>
      <c r="J745" s="71">
        <v>2</v>
      </c>
      <c r="K745" s="34" t="s">
        <v>238</v>
      </c>
      <c r="L745" s="10">
        <v>42224</v>
      </c>
      <c r="M745" s="37" t="s">
        <v>191</v>
      </c>
      <c r="N745" s="38">
        <v>7.38</v>
      </c>
      <c r="O745" s="38">
        <v>5.63</v>
      </c>
      <c r="P745" s="38">
        <v>3.54</v>
      </c>
      <c r="Q745" s="38">
        <v>2.11</v>
      </c>
      <c r="R745" s="38">
        <v>2.2200000000000002</v>
      </c>
      <c r="S745" s="38">
        <f t="shared" si="90"/>
        <v>2</v>
      </c>
      <c r="T745" s="38">
        <v>17.43</v>
      </c>
      <c r="U745" s="38">
        <v>1.1100000000000001</v>
      </c>
      <c r="V745" s="38">
        <v>0.08</v>
      </c>
      <c r="W745" s="38">
        <v>0.05</v>
      </c>
      <c r="X745" s="38">
        <v>5.2960000000000003</v>
      </c>
      <c r="Y745" s="38">
        <f t="shared" si="91"/>
        <v>5.5</v>
      </c>
      <c r="Z745" s="38">
        <v>0</v>
      </c>
      <c r="AA745" s="38">
        <v>0</v>
      </c>
      <c r="AB745" s="38">
        <f>T745+U745+V745+W745</f>
        <v>18.669999999999998</v>
      </c>
      <c r="AC745" s="38">
        <v>1.4570000000000001</v>
      </c>
      <c r="AD745" s="39">
        <v>205.89</v>
      </c>
      <c r="AE745" s="38">
        <v>4.17</v>
      </c>
      <c r="AF745" s="38">
        <f t="shared" si="93"/>
        <v>0.31861355802374569</v>
      </c>
      <c r="AG745" s="38">
        <f t="shared" si="92"/>
        <v>0.3</v>
      </c>
      <c r="AH745" s="38">
        <v>0</v>
      </c>
      <c r="AI745" s="38">
        <f t="shared" si="94"/>
        <v>0</v>
      </c>
      <c r="AJ745" s="38">
        <v>0</v>
      </c>
      <c r="AK745" s="38">
        <f>AJ745/(3.5*I745*1000)*100</f>
        <v>0</v>
      </c>
      <c r="AL745" s="38">
        <v>5.1999999999999993</v>
      </c>
      <c r="AM745" s="38">
        <f>AL745/(3.5*I745*1000)*100</f>
        <v>7.9662964381463051E-3</v>
      </c>
      <c r="AN745" s="25"/>
      <c r="AO745" s="25">
        <f>AE745*0.5</f>
        <v>2.085</v>
      </c>
      <c r="AP745" s="25">
        <f>(AD745+AH745+AJ745+AL745+AO745)*I745</f>
        <v>3975.7137499999994</v>
      </c>
      <c r="AQ745" s="25">
        <f>SUM(N745:Q745)</f>
        <v>18.66</v>
      </c>
      <c r="AR745" s="25">
        <f>SUM(T745:W745)</f>
        <v>18.669999999999998</v>
      </c>
      <c r="AS745" s="51">
        <v>3.32</v>
      </c>
      <c r="AT745" s="41"/>
      <c r="AU745" s="41">
        <f>SUM(N745:Q745)</f>
        <v>18.66</v>
      </c>
      <c r="AV745" s="41">
        <f>SUM(T745:W745)</f>
        <v>18.669999999999998</v>
      </c>
      <c r="AW745" s="41">
        <f>SUM(Z745:AB745)</f>
        <v>18.669999999999998</v>
      </c>
      <c r="AY745" s="22">
        <f>I745/AU745</f>
        <v>0.99946409431939975</v>
      </c>
      <c r="AZ745" s="22">
        <f>I745/AV745</f>
        <v>0.99892876272094266</v>
      </c>
      <c r="BA745" s="22">
        <f>I745/AW745</f>
        <v>0.99892876272094266</v>
      </c>
    </row>
    <row r="746" spans="1:88" s="137" customFormat="1">
      <c r="A746" s="1">
        <v>1532</v>
      </c>
      <c r="B746" s="34" t="s">
        <v>2104</v>
      </c>
      <c r="C746" s="34">
        <v>414</v>
      </c>
      <c r="D746" s="69">
        <v>3051</v>
      </c>
      <c r="E746" s="34">
        <v>101</v>
      </c>
      <c r="F746" s="34" t="s">
        <v>2107</v>
      </c>
      <c r="G746" s="58">
        <v>5881</v>
      </c>
      <c r="H746" s="58">
        <v>0</v>
      </c>
      <c r="I746" s="35">
        <v>5.8810000000000002</v>
      </c>
      <c r="J746" s="34">
        <v>4</v>
      </c>
      <c r="K746" s="34" t="s">
        <v>12</v>
      </c>
      <c r="L746" s="10">
        <v>42266</v>
      </c>
      <c r="M746" s="37" t="s">
        <v>191</v>
      </c>
      <c r="N746" s="38">
        <v>3.55</v>
      </c>
      <c r="O746" s="11">
        <v>1.575</v>
      </c>
      <c r="P746" s="38">
        <v>0.42499999999999999</v>
      </c>
      <c r="Q746" s="38">
        <v>0.35</v>
      </c>
      <c r="R746" s="38">
        <v>2.6059999999999999</v>
      </c>
      <c r="S746" s="38">
        <f t="shared" si="90"/>
        <v>2.5</v>
      </c>
      <c r="T746" s="38">
        <v>4.5250000000000004</v>
      </c>
      <c r="U746" s="38">
        <v>1</v>
      </c>
      <c r="V746" s="38">
        <v>0.375</v>
      </c>
      <c r="W746" s="38">
        <v>0</v>
      </c>
      <c r="X746" s="38">
        <v>8.2479999999999993</v>
      </c>
      <c r="Y746" s="38">
        <f t="shared" si="91"/>
        <v>8</v>
      </c>
      <c r="Z746" s="38">
        <v>0</v>
      </c>
      <c r="AA746" s="38">
        <v>0</v>
      </c>
      <c r="AB746" s="38">
        <v>5.8810000000000002</v>
      </c>
      <c r="AC746" s="38">
        <v>0.96199999999999997</v>
      </c>
      <c r="AD746" s="39">
        <v>59</v>
      </c>
      <c r="AE746" s="38">
        <v>13.11</v>
      </c>
      <c r="AF746" s="38">
        <f t="shared" si="93"/>
        <v>0.31848325114776399</v>
      </c>
      <c r="AG746" s="38">
        <f t="shared" si="92"/>
        <v>0.3</v>
      </c>
      <c r="AH746" s="38">
        <v>1476</v>
      </c>
      <c r="AI746" s="38">
        <f t="shared" si="94"/>
        <v>7.1707921393349041</v>
      </c>
      <c r="AJ746" s="38">
        <v>145.13</v>
      </c>
      <c r="AK746" s="38">
        <f>AJ746/(3.5*I746*1000)*100</f>
        <v>0.70507931109869548</v>
      </c>
      <c r="AL746" s="38">
        <v>59</v>
      </c>
      <c r="AM746" s="38">
        <f>AL746/(3.5*I746*1000)*100</f>
        <v>0.28663735516311611</v>
      </c>
      <c r="AN746" s="25"/>
      <c r="AO746" s="25">
        <f>AE746*0.5</f>
        <v>6.5549999999999997</v>
      </c>
      <c r="AP746" s="25">
        <f>(AD746+AH746+AJ746+AL746+AO746)*I746</f>
        <v>10266.373485000002</v>
      </c>
      <c r="AQ746" s="25"/>
      <c r="AR746" s="25">
        <f>SUM(N746:Q746)</f>
        <v>5.8999999999999995</v>
      </c>
      <c r="AS746" s="49">
        <f>SUM(T746:W746)</f>
        <v>5.9</v>
      </c>
      <c r="AT746" s="25"/>
      <c r="AU746" s="22"/>
      <c r="AV746" s="41"/>
      <c r="AW746" s="41"/>
      <c r="AX746" s="41"/>
      <c r="AY746" s="41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</row>
    <row r="747" spans="1:88" s="22" customFormat="1">
      <c r="A747" s="1">
        <v>2026</v>
      </c>
      <c r="B747" s="34" t="s">
        <v>2646</v>
      </c>
      <c r="C747" s="34">
        <v>325</v>
      </c>
      <c r="D747" s="75">
        <v>4313</v>
      </c>
      <c r="E747" s="8">
        <v>100</v>
      </c>
      <c r="F747" s="34" t="s">
        <v>2674</v>
      </c>
      <c r="G747" s="58">
        <v>0</v>
      </c>
      <c r="H747" s="58">
        <v>1176</v>
      </c>
      <c r="I747" s="21">
        <v>1.1759999999999999</v>
      </c>
      <c r="J747" s="8">
        <v>2</v>
      </c>
      <c r="K747" s="8" t="s">
        <v>238</v>
      </c>
      <c r="L747" s="18">
        <v>42120</v>
      </c>
      <c r="M747" s="37" t="s">
        <v>191</v>
      </c>
      <c r="N747" s="38">
        <v>0.5</v>
      </c>
      <c r="O747" s="38">
        <v>0.43</v>
      </c>
      <c r="P747" s="38">
        <v>0.22</v>
      </c>
      <c r="Q747" s="38">
        <v>0.03</v>
      </c>
      <c r="R747" s="38">
        <v>2.98868</v>
      </c>
      <c r="S747" s="38">
        <f t="shared" si="90"/>
        <v>3</v>
      </c>
      <c r="T747" s="38">
        <v>1.1100000000000001</v>
      </c>
      <c r="U747" s="38">
        <v>0.06</v>
      </c>
      <c r="V747" s="38">
        <v>0</v>
      </c>
      <c r="W747" s="38">
        <v>0</v>
      </c>
      <c r="X747" s="38">
        <v>5.3591800000000003</v>
      </c>
      <c r="Y747" s="38">
        <f t="shared" si="91"/>
        <v>5.5</v>
      </c>
      <c r="Z747" s="38">
        <v>0</v>
      </c>
      <c r="AA747" s="38">
        <v>0</v>
      </c>
      <c r="AB747" s="38">
        <v>1.18</v>
      </c>
      <c r="AC747" s="38">
        <v>1.1421300000000001</v>
      </c>
      <c r="AD747" s="39">
        <v>4.62</v>
      </c>
      <c r="AE747" s="38">
        <v>16.91</v>
      </c>
      <c r="AF747" s="38">
        <f t="shared" si="93"/>
        <v>0.31766277939747328</v>
      </c>
      <c r="AG747" s="38">
        <f t="shared" si="92"/>
        <v>0.3</v>
      </c>
      <c r="AH747" s="38">
        <v>1.28</v>
      </c>
      <c r="AI747" s="38">
        <f t="shared" si="94"/>
        <v>3.1098153547133137E-2</v>
      </c>
      <c r="AJ747" s="38">
        <v>0</v>
      </c>
      <c r="AK747" s="38">
        <f>AJ747/(3.5*I747*1000)*100</f>
        <v>0</v>
      </c>
      <c r="AL747" s="38">
        <v>2.11</v>
      </c>
      <c r="AM747" s="38">
        <f>AL747/(3.5*I747*1000)*100</f>
        <v>5.1263362487852279E-2</v>
      </c>
      <c r="AN747" s="12"/>
      <c r="AO747" s="12"/>
      <c r="AP747" s="1"/>
      <c r="AQ747" s="41">
        <f>SUM(N747:Q747)</f>
        <v>1.18</v>
      </c>
      <c r="AR747" s="41">
        <f>SUM(T747:W747)</f>
        <v>1.1700000000000002</v>
      </c>
      <c r="AS747" s="270">
        <f>SUM(Z747:AB747)</f>
        <v>1.18</v>
      </c>
      <c r="AT747" s="1"/>
      <c r="AU747" s="1">
        <f>I747/AQ747</f>
        <v>0.99661016949152537</v>
      </c>
      <c r="AV747" s="1">
        <f>I747/AR747</f>
        <v>1.0051282051282049</v>
      </c>
      <c r="AW747" s="1">
        <f>I747/AS747</f>
        <v>0.99661016949152537</v>
      </c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</row>
    <row r="748" spans="1:88" s="22" customFormat="1">
      <c r="A748" s="1">
        <v>2104</v>
      </c>
      <c r="B748" s="34" t="s">
        <v>2732</v>
      </c>
      <c r="C748" s="34">
        <v>323</v>
      </c>
      <c r="D748" s="75">
        <v>4345</v>
      </c>
      <c r="E748" s="8">
        <v>100</v>
      </c>
      <c r="F748" s="9" t="s">
        <v>2753</v>
      </c>
      <c r="G748" s="20">
        <v>19204</v>
      </c>
      <c r="H748" s="20">
        <v>0</v>
      </c>
      <c r="I748" s="21">
        <v>19.204000000000001</v>
      </c>
      <c r="J748" s="9">
        <v>2</v>
      </c>
      <c r="K748" s="34" t="s">
        <v>12</v>
      </c>
      <c r="L748" s="18">
        <v>42103</v>
      </c>
      <c r="M748" s="37" t="s">
        <v>191</v>
      </c>
      <c r="N748" s="38">
        <v>6</v>
      </c>
      <c r="O748" s="38">
        <v>6.39</v>
      </c>
      <c r="P748" s="38">
        <v>3.7</v>
      </c>
      <c r="Q748" s="38">
        <v>3.11</v>
      </c>
      <c r="R748" s="38">
        <v>3.5949</v>
      </c>
      <c r="S748" s="38">
        <f t="shared" si="90"/>
        <v>3.5</v>
      </c>
      <c r="T748" s="38">
        <v>17.079999999999998</v>
      </c>
      <c r="U748" s="38">
        <v>1.31</v>
      </c>
      <c r="V748" s="38">
        <v>0.51</v>
      </c>
      <c r="W748" s="38">
        <v>0.3</v>
      </c>
      <c r="X748" s="38">
        <v>5.8913900000000003</v>
      </c>
      <c r="Y748" s="38">
        <f t="shared" si="91"/>
        <v>6</v>
      </c>
      <c r="Z748" s="38">
        <v>0</v>
      </c>
      <c r="AA748" s="38">
        <v>0</v>
      </c>
      <c r="AB748" s="38">
        <v>19.2</v>
      </c>
      <c r="AC748" s="38">
        <v>1.89802</v>
      </c>
      <c r="AD748" s="39">
        <v>201</v>
      </c>
      <c r="AE748" s="38">
        <v>22</v>
      </c>
      <c r="AF748" s="38">
        <f t="shared" si="93"/>
        <v>0.31541047995953225</v>
      </c>
      <c r="AG748" s="38">
        <f t="shared" si="92"/>
        <v>0.3</v>
      </c>
      <c r="AH748" s="38">
        <v>1977</v>
      </c>
      <c r="AI748" s="38">
        <f t="shared" si="94"/>
        <v>2.9413515041509211</v>
      </c>
      <c r="AJ748" s="38">
        <v>828</v>
      </c>
      <c r="AK748" s="38">
        <v>1.4577079830638275</v>
      </c>
      <c r="AL748" s="38">
        <v>25</v>
      </c>
      <c r="AM748" s="38">
        <f>AL748/(3.5*I748*1000)*100</f>
        <v>3.7194632070699556E-2</v>
      </c>
      <c r="AN748" s="25"/>
      <c r="AO748" s="25"/>
      <c r="AQ748" s="41">
        <f>SUM(N748:Q748)</f>
        <v>19.2</v>
      </c>
      <c r="AR748" s="41">
        <f>SUM(T748:W748)</f>
        <v>19.2</v>
      </c>
      <c r="AS748" s="270">
        <f>SUM(Z748:AB748)</f>
        <v>19.2</v>
      </c>
      <c r="AT748" s="1"/>
      <c r="AU748" s="1">
        <f>I748/AQ748</f>
        <v>1.0002083333333334</v>
      </c>
      <c r="AV748" s="1">
        <f>I748/AR748</f>
        <v>1.0002083333333334</v>
      </c>
      <c r="AW748" s="1">
        <f>I748/AS748</f>
        <v>1.0002083333333334</v>
      </c>
    </row>
    <row r="749" spans="1:88" s="22" customFormat="1">
      <c r="A749" s="1">
        <v>1116</v>
      </c>
      <c r="B749" s="9" t="s">
        <v>1513</v>
      </c>
      <c r="C749" s="34">
        <v>431</v>
      </c>
      <c r="D749" s="75">
        <v>3024</v>
      </c>
      <c r="E749" s="69">
        <v>100</v>
      </c>
      <c r="F749" s="34" t="s">
        <v>1547</v>
      </c>
      <c r="G749" s="20" t="s">
        <v>1549</v>
      </c>
      <c r="H749" s="20" t="s">
        <v>1548</v>
      </c>
      <c r="I749" s="21">
        <v>8.718</v>
      </c>
      <c r="J749" s="5">
        <v>2</v>
      </c>
      <c r="K749" s="5" t="s">
        <v>12</v>
      </c>
      <c r="L749" s="18">
        <v>42282</v>
      </c>
      <c r="M749" s="37" t="s">
        <v>191</v>
      </c>
      <c r="N749" s="38">
        <v>7.7</v>
      </c>
      <c r="O749" s="38">
        <v>3.5750000000000002</v>
      </c>
      <c r="P749" s="38">
        <v>2.0249999999999999</v>
      </c>
      <c r="Q749" s="38">
        <v>1.1000000000000001</v>
      </c>
      <c r="R749" s="38">
        <v>2.77135</v>
      </c>
      <c r="S749" s="38">
        <f t="shared" si="90"/>
        <v>3</v>
      </c>
      <c r="T749" s="38">
        <v>13.425000000000001</v>
      </c>
      <c r="U749" s="38">
        <v>0.6</v>
      </c>
      <c r="V749" s="38">
        <v>0.3</v>
      </c>
      <c r="W749" s="38">
        <v>7.4999999999999997E-2</v>
      </c>
      <c r="X749" s="38">
        <v>3.41736</v>
      </c>
      <c r="Y749" s="38">
        <f t="shared" si="91"/>
        <v>3.5</v>
      </c>
      <c r="Z749" s="38">
        <v>0</v>
      </c>
      <c r="AA749" s="38">
        <v>0</v>
      </c>
      <c r="AB749" s="38">
        <v>8.718</v>
      </c>
      <c r="AC749" s="38">
        <v>1.2704899999999999</v>
      </c>
      <c r="AD749" s="39">
        <v>95.78</v>
      </c>
      <c r="AE749" s="38">
        <v>0.33200000000000002</v>
      </c>
      <c r="AF749" s="38">
        <f t="shared" si="93"/>
        <v>0.31444302428473114</v>
      </c>
      <c r="AG749" s="38">
        <f t="shared" si="92"/>
        <v>0.3</v>
      </c>
      <c r="AH749" s="38">
        <v>97.68</v>
      </c>
      <c r="AI749" s="38">
        <f t="shared" si="94"/>
        <v>0.32012584799921351</v>
      </c>
      <c r="AJ749" s="38">
        <v>0</v>
      </c>
      <c r="AK749" s="38">
        <f>AJ749/(3.5*I749*1000)*100</f>
        <v>0</v>
      </c>
      <c r="AL749" s="38">
        <v>0</v>
      </c>
      <c r="AM749" s="38">
        <f>AL749/(3.5*I749*1000)*100</f>
        <v>0</v>
      </c>
      <c r="AN749" s="41"/>
      <c r="AO749" s="72"/>
      <c r="AP749" s="73"/>
      <c r="AQ749" s="73"/>
      <c r="AS749" s="48"/>
    </row>
    <row r="750" spans="1:88" s="22" customFormat="1">
      <c r="A750" s="1">
        <v>322</v>
      </c>
      <c r="B750" s="34" t="s">
        <v>542</v>
      </c>
      <c r="C750" s="34">
        <v>644</v>
      </c>
      <c r="D750" s="34">
        <v>2346</v>
      </c>
      <c r="E750" s="34">
        <v>200</v>
      </c>
      <c r="F750" s="34" t="s">
        <v>554</v>
      </c>
      <c r="G750" s="65">
        <v>26100</v>
      </c>
      <c r="H750" s="58">
        <v>46696</v>
      </c>
      <c r="I750" s="35">
        <v>20.596</v>
      </c>
      <c r="J750" s="62">
        <v>2</v>
      </c>
      <c r="K750" s="34" t="s">
        <v>238</v>
      </c>
      <c r="L750" s="10">
        <v>42159</v>
      </c>
      <c r="M750" s="37" t="s">
        <v>191</v>
      </c>
      <c r="N750" s="38">
        <v>15.52</v>
      </c>
      <c r="O750" s="38">
        <v>2.85</v>
      </c>
      <c r="P750" s="38">
        <v>1.18</v>
      </c>
      <c r="Q750" s="38">
        <v>1.05</v>
      </c>
      <c r="R750" s="38">
        <v>3.1709100000000001</v>
      </c>
      <c r="S750" s="38">
        <f t="shared" si="90"/>
        <v>3</v>
      </c>
      <c r="T750" s="38">
        <v>20.170000000000002</v>
      </c>
      <c r="U750" s="38">
        <v>0.33</v>
      </c>
      <c r="V750" s="38">
        <v>0.08</v>
      </c>
      <c r="W750" s="38">
        <v>0.03</v>
      </c>
      <c r="X750" s="38">
        <v>4.4179500000000003</v>
      </c>
      <c r="Y750" s="38">
        <f t="shared" si="91"/>
        <v>4.5</v>
      </c>
      <c r="Z750" s="38">
        <v>0</v>
      </c>
      <c r="AA750" s="38">
        <v>0</v>
      </c>
      <c r="AB750" s="38">
        <v>20.6</v>
      </c>
      <c r="AC750" s="38">
        <v>1.21865</v>
      </c>
      <c r="AD750" s="39">
        <v>218</v>
      </c>
      <c r="AE750" s="38">
        <v>17</v>
      </c>
      <c r="AF750" s="38">
        <v>0.31420999999999999</v>
      </c>
      <c r="AG750" s="38">
        <f t="shared" si="92"/>
        <v>0.3</v>
      </c>
      <c r="AH750" s="38">
        <v>0</v>
      </c>
      <c r="AI750" s="38">
        <v>0</v>
      </c>
      <c r="AJ750" s="38">
        <v>38</v>
      </c>
      <c r="AK750" s="38">
        <v>5.2714999999999998E-2</v>
      </c>
      <c r="AL750" s="38">
        <v>0</v>
      </c>
      <c r="AM750" s="38">
        <v>0</v>
      </c>
      <c r="AN750" s="60"/>
      <c r="AO750" s="60">
        <f>AE750*0.5</f>
        <v>8.5</v>
      </c>
      <c r="AP750" s="60">
        <f>(AD750+AH750+AJ750+AL750+AO750)*I750</f>
        <v>5447.6419999999998</v>
      </c>
      <c r="AQ750" s="25">
        <f>SUM(N750:Q750)</f>
        <v>20.6</v>
      </c>
      <c r="AR750" s="25">
        <f>SUM(T750:W750)</f>
        <v>20.61</v>
      </c>
      <c r="AS750" s="51">
        <v>20.596</v>
      </c>
      <c r="AT750" s="40"/>
      <c r="AU750" s="41">
        <f>SUM(N750:Q750)</f>
        <v>20.6</v>
      </c>
      <c r="AV750" s="41">
        <f>SUM(T750:W750)</f>
        <v>20.61</v>
      </c>
      <c r="AW750" s="41">
        <f>SUM(Z750:AB750)</f>
        <v>20.6</v>
      </c>
      <c r="AY750" s="22">
        <f>I750/AU750</f>
        <v>0.99980582524271833</v>
      </c>
      <c r="AZ750" s="22">
        <f>I750/AV750</f>
        <v>0.99932071809801071</v>
      </c>
      <c r="BA750" s="22">
        <f>I750/AW750</f>
        <v>0.99980582524271833</v>
      </c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</row>
    <row r="751" spans="1:88" s="22" customFormat="1">
      <c r="A751" s="1">
        <v>431</v>
      </c>
      <c r="B751" s="74" t="s">
        <v>699</v>
      </c>
      <c r="C751" s="34">
        <v>513</v>
      </c>
      <c r="D751" s="75">
        <v>1056</v>
      </c>
      <c r="E751" s="69">
        <v>102</v>
      </c>
      <c r="F751" s="76" t="s">
        <v>728</v>
      </c>
      <c r="G751" s="58" t="s">
        <v>192</v>
      </c>
      <c r="H751" s="58" t="s">
        <v>729</v>
      </c>
      <c r="I751" s="55">
        <v>9.6329999999999991</v>
      </c>
      <c r="J751" s="5" t="s">
        <v>238</v>
      </c>
      <c r="K751" s="34">
        <v>2</v>
      </c>
      <c r="L751" s="18">
        <v>42264</v>
      </c>
      <c r="M751" s="37" t="s">
        <v>191</v>
      </c>
      <c r="N751" s="38">
        <v>5.03</v>
      </c>
      <c r="O751" s="38">
        <v>1.84</v>
      </c>
      <c r="P751" s="38">
        <v>1.82</v>
      </c>
      <c r="Q751" s="38">
        <v>0.95</v>
      </c>
      <c r="R751" s="38">
        <v>2.89581</v>
      </c>
      <c r="S751" s="38">
        <f t="shared" si="90"/>
        <v>3</v>
      </c>
      <c r="T751" s="38">
        <v>9.61</v>
      </c>
      <c r="U751" s="38">
        <v>0.02</v>
      </c>
      <c r="V751" s="38">
        <v>0</v>
      </c>
      <c r="W751" s="38">
        <v>0</v>
      </c>
      <c r="X751" s="38">
        <v>2.4300600000000001</v>
      </c>
      <c r="Y751" s="38">
        <f t="shared" si="91"/>
        <v>2.5</v>
      </c>
      <c r="Z751" s="38">
        <v>0</v>
      </c>
      <c r="AA751" s="38">
        <v>0</v>
      </c>
      <c r="AB751" s="38">
        <v>9.6300000000000008</v>
      </c>
      <c r="AC751" s="38">
        <v>1.1954800000000001</v>
      </c>
      <c r="AD751" s="39">
        <v>99.25</v>
      </c>
      <c r="AE751" s="38">
        <v>13.2</v>
      </c>
      <c r="AF751" s="38">
        <f>(AD751+AE751*0.5)/(3.5*I751*1000)*100</f>
        <v>0.31395055686553663</v>
      </c>
      <c r="AG751" s="38">
        <f t="shared" si="92"/>
        <v>0.3</v>
      </c>
      <c r="AH751" s="38">
        <v>153.25</v>
      </c>
      <c r="AI751" s="38">
        <f>AH751/(3.5*I751*1000)*100</f>
        <v>0.45453871364802539</v>
      </c>
      <c r="AJ751" s="38">
        <v>0</v>
      </c>
      <c r="AK751" s="38">
        <f>AJ751/(3.5*I751*1000)*100</f>
        <v>0</v>
      </c>
      <c r="AL751" s="38">
        <v>0</v>
      </c>
      <c r="AM751" s="38">
        <f>AL751/(3.5*I751*1000)*100</f>
        <v>0</v>
      </c>
      <c r="AN751" s="41"/>
      <c r="AO751" s="41"/>
      <c r="AP751" s="73"/>
      <c r="AQ751" s="41">
        <f>SUM(N751:Q751)</f>
        <v>9.6399999999999988</v>
      </c>
      <c r="AR751" s="41">
        <f>SUM(T751:W751)</f>
        <v>9.629999999999999</v>
      </c>
      <c r="AS751" s="49">
        <f>SUM(Z751:AB751)</f>
        <v>9.6300000000000008</v>
      </c>
      <c r="AU751" s="22">
        <f>I751/AQ751</f>
        <v>0.99927385892116183</v>
      </c>
      <c r="AV751" s="22">
        <f>I751/AR751</f>
        <v>1.0003115264797509</v>
      </c>
      <c r="AW751" s="22">
        <f>I751/AS751</f>
        <v>1.0003115264797506</v>
      </c>
      <c r="AX751" s="73"/>
      <c r="AY751" s="73"/>
      <c r="AZ751" s="73"/>
      <c r="BA751" s="73"/>
      <c r="BB751" s="73"/>
      <c r="BC751" s="73"/>
      <c r="BD751" s="73"/>
      <c r="BE751" s="73"/>
      <c r="BF751" s="73"/>
      <c r="BG751" s="73"/>
      <c r="BH751" s="73"/>
      <c r="BI751" s="73"/>
      <c r="BJ751" s="73"/>
      <c r="BK751" s="73"/>
      <c r="BL751" s="73"/>
      <c r="BM751" s="73"/>
      <c r="BN751" s="73"/>
      <c r="BO751" s="73"/>
      <c r="BP751" s="73"/>
      <c r="BQ751" s="73"/>
      <c r="BR751" s="73"/>
      <c r="BS751" s="73"/>
      <c r="BT751" s="73"/>
      <c r="BU751" s="73"/>
      <c r="BV751" s="73"/>
      <c r="BW751" s="73"/>
      <c r="BX751" s="73"/>
      <c r="BY751" s="73"/>
      <c r="BZ751" s="73"/>
      <c r="CA751" s="73"/>
      <c r="CB751" s="73"/>
      <c r="CC751" s="73"/>
      <c r="CD751" s="73"/>
      <c r="CE751" s="73"/>
      <c r="CF751" s="73"/>
      <c r="CG751" s="73"/>
      <c r="CH751" s="73"/>
      <c r="CI751" s="73"/>
      <c r="CJ751" s="73"/>
    </row>
    <row r="752" spans="1:88" s="22" customFormat="1">
      <c r="A752" s="1">
        <v>1927</v>
      </c>
      <c r="B752" s="34" t="s">
        <v>2559</v>
      </c>
      <c r="C752" s="34">
        <v>338</v>
      </c>
      <c r="D752" s="75">
        <v>3204</v>
      </c>
      <c r="E752" s="8">
        <v>100</v>
      </c>
      <c r="F752" s="9" t="s">
        <v>2573</v>
      </c>
      <c r="G752" s="20">
        <v>0</v>
      </c>
      <c r="H752" s="20">
        <v>11760</v>
      </c>
      <c r="I752" s="21">
        <v>11.76</v>
      </c>
      <c r="J752" s="8">
        <v>2</v>
      </c>
      <c r="K752" s="8" t="s">
        <v>238</v>
      </c>
      <c r="L752" s="18">
        <v>42097</v>
      </c>
      <c r="M752" s="247" t="s">
        <v>191</v>
      </c>
      <c r="N752" s="38">
        <v>8.2899999999999991</v>
      </c>
      <c r="O752" s="38">
        <v>2.2599999999999998</v>
      </c>
      <c r="P752" s="38">
        <v>0.88</v>
      </c>
      <c r="Q752" s="38">
        <v>0.33</v>
      </c>
      <c r="R752" s="38">
        <v>2.2763499999999999</v>
      </c>
      <c r="S752" s="38">
        <f t="shared" si="90"/>
        <v>2.5</v>
      </c>
      <c r="T752" s="38">
        <v>11.48</v>
      </c>
      <c r="U752" s="38">
        <v>0.28000000000000003</v>
      </c>
      <c r="V752" s="38">
        <v>0</v>
      </c>
      <c r="W752" s="38">
        <v>0</v>
      </c>
      <c r="X752" s="38">
        <v>2.93323</v>
      </c>
      <c r="Y752" s="38">
        <f t="shared" si="91"/>
        <v>3</v>
      </c>
      <c r="Z752" s="38">
        <v>0</v>
      </c>
      <c r="AA752" s="38">
        <v>0</v>
      </c>
      <c r="AB752" s="38">
        <v>11.76</v>
      </c>
      <c r="AC752" s="38">
        <v>1.39358</v>
      </c>
      <c r="AD752" s="39">
        <v>122</v>
      </c>
      <c r="AE752" s="38">
        <v>14.21</v>
      </c>
      <c r="AF752" s="38">
        <v>0.3136661807580175</v>
      </c>
      <c r="AG752" s="38">
        <f t="shared" si="92"/>
        <v>0.3</v>
      </c>
      <c r="AH752" s="38">
        <v>0</v>
      </c>
      <c r="AI752" s="38">
        <v>0</v>
      </c>
      <c r="AJ752" s="38">
        <v>0</v>
      </c>
      <c r="AK752" s="38">
        <v>0</v>
      </c>
      <c r="AL752" s="38">
        <v>0</v>
      </c>
      <c r="AM752" s="38">
        <f>AL752/(3.5*I752*1000)*100</f>
        <v>0</v>
      </c>
      <c r="AN752" s="41"/>
      <c r="AO752" s="73"/>
      <c r="AP752" s="41"/>
      <c r="AQ752" s="41">
        <f>SUM(N752:Q752)</f>
        <v>11.76</v>
      </c>
      <c r="AR752" s="41">
        <f>SUM(T752:W752)</f>
        <v>11.76</v>
      </c>
      <c r="AS752" s="270">
        <f>SUM(Z752:AB752)</f>
        <v>11.76</v>
      </c>
      <c r="AT752" s="1"/>
      <c r="AU752" s="1">
        <f>I752/AQ752</f>
        <v>1</v>
      </c>
      <c r="AV752" s="1">
        <f>I752/AR752</f>
        <v>1</v>
      </c>
      <c r="AW752" s="1">
        <f>I752/AS752</f>
        <v>1</v>
      </c>
      <c r="AX752" s="1">
        <f>AT752/I777</f>
        <v>0</v>
      </c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</row>
    <row r="753" spans="1:88" s="22" customFormat="1">
      <c r="A753" s="1">
        <v>823</v>
      </c>
      <c r="B753" s="34" t="s">
        <v>1204</v>
      </c>
      <c r="C753" s="34">
        <v>647</v>
      </c>
      <c r="D753" s="150">
        <v>2116</v>
      </c>
      <c r="E753" s="34">
        <v>100</v>
      </c>
      <c r="F753" s="34" t="s">
        <v>1215</v>
      </c>
      <c r="G753" s="58">
        <v>0</v>
      </c>
      <c r="H753" s="58">
        <v>46900</v>
      </c>
      <c r="I753" s="35">
        <v>46.9</v>
      </c>
      <c r="J753" s="9">
        <v>2</v>
      </c>
      <c r="K753" s="34" t="s">
        <v>238</v>
      </c>
      <c r="L753" s="10">
        <v>42153</v>
      </c>
      <c r="M753" s="37" t="s">
        <v>191</v>
      </c>
      <c r="N753" s="38">
        <v>31.15</v>
      </c>
      <c r="O753" s="38">
        <v>10.125</v>
      </c>
      <c r="P753" s="38">
        <v>4.25</v>
      </c>
      <c r="Q753" s="38">
        <v>1.325</v>
      </c>
      <c r="R753" s="38">
        <v>3.1920000000000002</v>
      </c>
      <c r="S753" s="38">
        <f t="shared" si="90"/>
        <v>3</v>
      </c>
      <c r="T753" s="38">
        <v>32.800000000000004</v>
      </c>
      <c r="U753" s="38">
        <v>9.6750000000000007</v>
      </c>
      <c r="V753" s="38">
        <v>3.375</v>
      </c>
      <c r="W753" s="38">
        <v>1</v>
      </c>
      <c r="X753" s="38">
        <v>8.0109999999999992</v>
      </c>
      <c r="Y753" s="38">
        <f t="shared" si="91"/>
        <v>8</v>
      </c>
      <c r="Z753" s="38">
        <v>0</v>
      </c>
      <c r="AA753" s="38">
        <v>0</v>
      </c>
      <c r="AB753" s="38">
        <f>N753+O753+P753+Q753</f>
        <v>46.85</v>
      </c>
      <c r="AC753" s="38">
        <v>1.1609</v>
      </c>
      <c r="AD753" s="39">
        <v>496</v>
      </c>
      <c r="AE753" s="38">
        <v>37</v>
      </c>
      <c r="AF753" s="38">
        <f>(AD753+AE753*0.5)/(3.5*I753*1000)*100</f>
        <v>0.31343283582089554</v>
      </c>
      <c r="AG753" s="38">
        <f t="shared" si="92"/>
        <v>0.3</v>
      </c>
      <c r="AH753" s="38">
        <v>46</v>
      </c>
      <c r="AI753" s="38">
        <f>AH753/(3.5*I753*1000)*100</f>
        <v>2.8023149558330792E-2</v>
      </c>
      <c r="AJ753" s="38">
        <v>436</v>
      </c>
      <c r="AK753" s="38">
        <f>AJ753/(3.5*I753*1000)*100</f>
        <v>0.26561072190070056</v>
      </c>
      <c r="AL753" s="38">
        <v>0</v>
      </c>
      <c r="AM753" s="38">
        <f>AL753/(3.5*I753*1000)*100</f>
        <v>0</v>
      </c>
      <c r="AN753" s="25"/>
      <c r="AO753" s="25">
        <f>AE753*0.5</f>
        <v>18.5</v>
      </c>
      <c r="AP753" s="25">
        <f>(AD753+AH753+AJ753+AL753+AO753)*I753</f>
        <v>46735.85</v>
      </c>
      <c r="AQ753" s="25">
        <f>SUM(N753:Q753)</f>
        <v>46.85</v>
      </c>
      <c r="AR753" s="25">
        <f>SUM(T753:W753)</f>
        <v>46.850000000000009</v>
      </c>
      <c r="AS753" s="51">
        <v>46.9</v>
      </c>
      <c r="AT753" s="41"/>
      <c r="AU753" s="41"/>
      <c r="AV753" s="41"/>
      <c r="AW753" s="41"/>
    </row>
    <row r="754" spans="1:88" s="22" customFormat="1">
      <c r="A754" s="1">
        <v>179</v>
      </c>
      <c r="B754" s="34" t="s">
        <v>332</v>
      </c>
      <c r="C754" s="34">
        <v>533</v>
      </c>
      <c r="D754" s="34">
        <v>1209</v>
      </c>
      <c r="E754" s="34">
        <v>100</v>
      </c>
      <c r="F754" s="34" t="s">
        <v>361</v>
      </c>
      <c r="G754" s="20" t="s">
        <v>92</v>
      </c>
      <c r="H754" s="20" t="s">
        <v>362</v>
      </c>
      <c r="I754" s="35">
        <v>29.321999999999999</v>
      </c>
      <c r="J754" s="51">
        <v>2</v>
      </c>
      <c r="K754" s="34" t="s">
        <v>12</v>
      </c>
      <c r="L754" s="10">
        <v>42202</v>
      </c>
      <c r="M754" s="37" t="s">
        <v>191</v>
      </c>
      <c r="N754" s="38">
        <v>21.19</v>
      </c>
      <c r="O754" s="38">
        <v>4.29</v>
      </c>
      <c r="P754" s="38">
        <v>1.9</v>
      </c>
      <c r="Q754" s="38">
        <v>1.95</v>
      </c>
      <c r="R754" s="38">
        <v>2.52</v>
      </c>
      <c r="S754" s="38">
        <f t="shared" si="90"/>
        <v>2.5</v>
      </c>
      <c r="T754" s="38">
        <v>27.33</v>
      </c>
      <c r="U754" s="38">
        <v>1.59</v>
      </c>
      <c r="V754" s="38">
        <v>0.25</v>
      </c>
      <c r="W754" s="38">
        <v>0.15</v>
      </c>
      <c r="X754" s="38">
        <v>4.7930000000000001</v>
      </c>
      <c r="Y754" s="38">
        <f t="shared" si="91"/>
        <v>5</v>
      </c>
      <c r="Z754" s="38">
        <v>0</v>
      </c>
      <c r="AA754" s="38">
        <v>0</v>
      </c>
      <c r="AB754" s="38">
        <v>29.32</v>
      </c>
      <c r="AC754" s="38">
        <v>1.1859999999999999</v>
      </c>
      <c r="AD754" s="39">
        <v>188.52</v>
      </c>
      <c r="AE754" s="38">
        <v>265.41000000000003</v>
      </c>
      <c r="AF754" s="38">
        <f>(AD754+AE754*0.5)/(3.5*I754*1000)*100</f>
        <v>0.31300242626209479</v>
      </c>
      <c r="AG754" s="38">
        <f t="shared" si="92"/>
        <v>0.3</v>
      </c>
      <c r="AH754" s="38">
        <v>0</v>
      </c>
      <c r="AI754" s="38">
        <f>AH754/(3.5*I754*1000)*100</f>
        <v>0</v>
      </c>
      <c r="AJ754" s="38">
        <v>0</v>
      </c>
      <c r="AK754" s="38">
        <f>AJ754/(3.5*I754*1000)*100</f>
        <v>0</v>
      </c>
      <c r="AL754" s="38">
        <v>0</v>
      </c>
      <c r="AM754" s="38">
        <f>AL754/(3.5*I754*1000)*100</f>
        <v>0</v>
      </c>
      <c r="AN754" s="25"/>
      <c r="AO754" s="25">
        <f>AE754*0.5</f>
        <v>132.70500000000001</v>
      </c>
      <c r="AP754" s="25">
        <f>(AD754+AH754+AJ754+AL754+AO754)*I754</f>
        <v>9418.9594500000003</v>
      </c>
      <c r="AQ754" s="25"/>
      <c r="AR754" s="25">
        <f>SUM(N754:Q754)</f>
        <v>29.33</v>
      </c>
      <c r="AS754" s="49">
        <f>SUM(T754:W754)</f>
        <v>29.319999999999997</v>
      </c>
      <c r="AU754" s="41">
        <f>SUM(N754:Q754)</f>
        <v>29.33</v>
      </c>
      <c r="AV754" s="41">
        <f>SUM(T754:W754)</f>
        <v>29.319999999999997</v>
      </c>
      <c r="AW754" s="41">
        <f>SUM(Z754:AB754)</f>
        <v>29.32</v>
      </c>
      <c r="AX754" s="41"/>
      <c r="AY754" s="22">
        <f>I754/AU754</f>
        <v>0.99972724173201499</v>
      </c>
      <c r="AZ754" s="22">
        <f>I754/AV754</f>
        <v>1.000068212824011</v>
      </c>
      <c r="BA754" s="22">
        <f>I754/AW754</f>
        <v>1.0000682128240108</v>
      </c>
    </row>
    <row r="755" spans="1:88" s="22" customFormat="1">
      <c r="A755" s="1">
        <v>863</v>
      </c>
      <c r="B755" s="34" t="s">
        <v>1231</v>
      </c>
      <c r="C755" s="34">
        <v>615</v>
      </c>
      <c r="D755" s="34">
        <v>2397</v>
      </c>
      <c r="E755" s="34">
        <v>100</v>
      </c>
      <c r="F755" s="34" t="s">
        <v>1257</v>
      </c>
      <c r="G755" s="58">
        <v>0</v>
      </c>
      <c r="H755" s="58">
        <v>18467</v>
      </c>
      <c r="I755" s="35">
        <v>18.466999999999999</v>
      </c>
      <c r="J755" s="9">
        <v>2</v>
      </c>
      <c r="K755" s="34" t="s">
        <v>238</v>
      </c>
      <c r="L755" s="10">
        <v>42135</v>
      </c>
      <c r="M755" s="37" t="s">
        <v>191</v>
      </c>
      <c r="N755" s="38">
        <v>11.25</v>
      </c>
      <c r="O755" s="38">
        <v>5.25</v>
      </c>
      <c r="P755" s="38">
        <v>1.5</v>
      </c>
      <c r="Q755" s="38">
        <v>0.47499999999999998</v>
      </c>
      <c r="R755" s="38">
        <v>3.1359699999999999</v>
      </c>
      <c r="S755" s="38">
        <f t="shared" si="90"/>
        <v>3</v>
      </c>
      <c r="T755" s="38">
        <v>17.899999999999999</v>
      </c>
      <c r="U755" s="38">
        <v>0.3</v>
      </c>
      <c r="V755" s="38">
        <v>0.22500000000000001</v>
      </c>
      <c r="W755" s="38">
        <v>0.05</v>
      </c>
      <c r="X755" s="38">
        <v>3.7912400000000002</v>
      </c>
      <c r="Y755" s="38">
        <f t="shared" si="91"/>
        <v>4</v>
      </c>
      <c r="Z755" s="38">
        <v>0</v>
      </c>
      <c r="AA755" s="38">
        <v>0</v>
      </c>
      <c r="AB755" s="38">
        <f>N755+O755+P755+Q755</f>
        <v>18.475000000000001</v>
      </c>
      <c r="AC755" s="38">
        <v>1.2844500000000001</v>
      </c>
      <c r="AD755" s="39">
        <v>104.56</v>
      </c>
      <c r="AE755" s="38">
        <v>195.12</v>
      </c>
      <c r="AF755" s="38">
        <v>0.31270999999999999</v>
      </c>
      <c r="AG755" s="38">
        <f t="shared" si="92"/>
        <v>0.3</v>
      </c>
      <c r="AH755" s="38">
        <v>269.25</v>
      </c>
      <c r="AI755" s="38">
        <v>0.41657</v>
      </c>
      <c r="AJ755" s="38">
        <v>55.01</v>
      </c>
      <c r="AK755" s="38">
        <v>8.5109000000000004E-2</v>
      </c>
      <c r="AL755" s="38">
        <v>35.549999999999997</v>
      </c>
      <c r="AM755" s="38">
        <v>5.5E-2</v>
      </c>
      <c r="AN755" s="25"/>
      <c r="AO755" s="25">
        <f>AE755*0.5</f>
        <v>97.56</v>
      </c>
      <c r="AP755" s="25">
        <f>(AD755+AH755+AJ755+AL755+AO755)*I755</f>
        <v>10377.161310000001</v>
      </c>
      <c r="AQ755" s="25">
        <f>SUM(N755:Q755)</f>
        <v>18.475000000000001</v>
      </c>
      <c r="AR755" s="25">
        <f>SUM(T755:W755)</f>
        <v>18.475000000000001</v>
      </c>
      <c r="AS755" s="51">
        <v>18.466999999999999</v>
      </c>
      <c r="AT755" s="41"/>
      <c r="AU755" s="41"/>
      <c r="AV755" s="41"/>
      <c r="AW755" s="41"/>
    </row>
    <row r="756" spans="1:88" s="22" customFormat="1">
      <c r="A756" s="1">
        <v>617</v>
      </c>
      <c r="B756" s="34" t="s">
        <v>1017</v>
      </c>
      <c r="C756" s="34">
        <v>555</v>
      </c>
      <c r="D756" s="34">
        <v>2013</v>
      </c>
      <c r="E756" s="34">
        <v>200</v>
      </c>
      <c r="F756" s="9" t="s">
        <v>1020</v>
      </c>
      <c r="G756" s="118">
        <v>62782</v>
      </c>
      <c r="H756" s="118">
        <v>90071</v>
      </c>
      <c r="I756" s="35">
        <v>27.289000000000001</v>
      </c>
      <c r="J756" s="78">
        <v>2</v>
      </c>
      <c r="K756" s="34" t="s">
        <v>238</v>
      </c>
      <c r="L756" s="10">
        <v>42187</v>
      </c>
      <c r="M756" s="37" t="s">
        <v>191</v>
      </c>
      <c r="N756" s="38">
        <v>17.600000000000001</v>
      </c>
      <c r="O756" s="38">
        <v>5.3</v>
      </c>
      <c r="P756" s="38">
        <v>2.875</v>
      </c>
      <c r="Q756" s="38">
        <v>1.85</v>
      </c>
      <c r="R756" s="38">
        <v>2.6539999999999999</v>
      </c>
      <c r="S756" s="38">
        <f t="shared" si="90"/>
        <v>2.5</v>
      </c>
      <c r="T756" s="38">
        <v>26.625</v>
      </c>
      <c r="U756" s="38">
        <v>0.85</v>
      </c>
      <c r="V756" s="38">
        <v>0.1</v>
      </c>
      <c r="W756" s="38">
        <v>0.05</v>
      </c>
      <c r="X756" s="38">
        <v>3.7029999999999998</v>
      </c>
      <c r="Y756" s="38">
        <f t="shared" si="91"/>
        <v>3.5</v>
      </c>
      <c r="Z756" s="38">
        <v>0</v>
      </c>
      <c r="AA756" s="38">
        <v>0.05</v>
      </c>
      <c r="AB756" s="38">
        <f>N756+O756+P756+Q756</f>
        <v>27.625000000000004</v>
      </c>
      <c r="AC756" s="38">
        <v>1.1120000000000001</v>
      </c>
      <c r="AD756" s="39">
        <v>247</v>
      </c>
      <c r="AE756" s="38">
        <v>103.29</v>
      </c>
      <c r="AF756" s="38">
        <f>(AD756+AE756*0.5)/(3.5*I756*1000)*100</f>
        <v>0.31267962496662699</v>
      </c>
      <c r="AG756" s="38">
        <f t="shared" si="92"/>
        <v>0.3</v>
      </c>
      <c r="AH756" s="38">
        <v>0</v>
      </c>
      <c r="AI756" s="38">
        <f>AH756/(3.5*I756*1000)*100</f>
        <v>0</v>
      </c>
      <c r="AJ756" s="38">
        <v>1183</v>
      </c>
      <c r="AK756" s="38">
        <f>AJ756/(3.5*I756*1000)*100</f>
        <v>1.238594305397779</v>
      </c>
      <c r="AL756" s="38">
        <v>0</v>
      </c>
      <c r="AM756" s="38">
        <f>AL756/(3.5*I756*1000)*100</f>
        <v>0</v>
      </c>
      <c r="AN756" s="25"/>
      <c r="AO756" s="25">
        <f>AE756*0.5</f>
        <v>51.645000000000003</v>
      </c>
      <c r="AP756" s="25">
        <f>(AD756+AH756+AJ756+AL756+AO756)*I756</f>
        <v>40432.610404999999</v>
      </c>
      <c r="AQ756" s="25">
        <f>SUM(N756:Q756)</f>
        <v>27.625000000000004</v>
      </c>
      <c r="AR756" s="25">
        <f>SUM(T756:W756)</f>
        <v>27.625000000000004</v>
      </c>
      <c r="AS756" s="48"/>
      <c r="AT756" s="41"/>
      <c r="AU756" s="41"/>
      <c r="AV756" s="41"/>
      <c r="AW756" s="41"/>
    </row>
    <row r="757" spans="1:88" s="22" customFormat="1">
      <c r="A757" s="1">
        <v>1211</v>
      </c>
      <c r="B757" s="34" t="s">
        <v>1674</v>
      </c>
      <c r="C757" s="34">
        <v>435</v>
      </c>
      <c r="D757" s="34">
        <v>2272</v>
      </c>
      <c r="E757" s="34">
        <v>100</v>
      </c>
      <c r="F757" s="34" t="s">
        <v>1703</v>
      </c>
      <c r="G757" s="34" t="s">
        <v>92</v>
      </c>
      <c r="H757" s="34" t="s">
        <v>1704</v>
      </c>
      <c r="I757" s="55">
        <v>13.532</v>
      </c>
      <c r="J757" s="34">
        <v>2</v>
      </c>
      <c r="K757" s="181" t="s">
        <v>238</v>
      </c>
      <c r="L757" s="10">
        <v>42282</v>
      </c>
      <c r="M757" s="37" t="s">
        <v>191</v>
      </c>
      <c r="N757" s="38">
        <v>6.125</v>
      </c>
      <c r="O757" s="38">
        <v>3.6</v>
      </c>
      <c r="P757" s="38">
        <v>2.2749999999999999</v>
      </c>
      <c r="Q757" s="38">
        <v>1.5</v>
      </c>
      <c r="R757" s="38">
        <v>3.2920699999999998</v>
      </c>
      <c r="S757" s="38">
        <f t="shared" si="90"/>
        <v>3.5</v>
      </c>
      <c r="T757" s="38">
        <v>10.7</v>
      </c>
      <c r="U757" s="38">
        <v>2.1</v>
      </c>
      <c r="V757" s="38">
        <v>0.625</v>
      </c>
      <c r="W757" s="38">
        <v>7.4999999999999997E-2</v>
      </c>
      <c r="X757" s="38">
        <v>6.74057</v>
      </c>
      <c r="Y757" s="38">
        <f t="shared" si="91"/>
        <v>6.5</v>
      </c>
      <c r="Z757" s="38">
        <v>0</v>
      </c>
      <c r="AA757" s="38">
        <v>0</v>
      </c>
      <c r="AB757" s="55">
        <v>13.532</v>
      </c>
      <c r="AC757" s="38">
        <v>1.18614</v>
      </c>
      <c r="AD757" s="39">
        <v>143.65</v>
      </c>
      <c r="AE757" s="38">
        <v>8.65</v>
      </c>
      <c r="AF757" s="38">
        <f>(AD757+AE757*0.5)/(3.5*I757*1000)*100</f>
        <v>0.31243401883366412</v>
      </c>
      <c r="AG757" s="38">
        <f t="shared" si="92"/>
        <v>0.3</v>
      </c>
      <c r="AH757" s="38">
        <v>132.68</v>
      </c>
      <c r="AI757" s="38">
        <v>0.28014</v>
      </c>
      <c r="AJ757" s="38">
        <v>86.31</v>
      </c>
      <c r="AK757" s="38">
        <v>0.18223500000000001</v>
      </c>
      <c r="AL757" s="38">
        <v>0</v>
      </c>
      <c r="AM757" s="38">
        <v>0</v>
      </c>
      <c r="AN757" s="12"/>
      <c r="AO757" s="1"/>
      <c r="AP757" s="1"/>
      <c r="AQ757" s="1"/>
      <c r="AR757" s="1"/>
      <c r="AS757" s="178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</row>
    <row r="758" spans="1:88" s="22" customFormat="1">
      <c r="A758" s="1">
        <v>2036</v>
      </c>
      <c r="B758" s="34" t="s">
        <v>2678</v>
      </c>
      <c r="C758" s="34">
        <v>326</v>
      </c>
      <c r="D758" s="75">
        <v>4110</v>
      </c>
      <c r="E758" s="8">
        <v>101</v>
      </c>
      <c r="F758" s="34" t="s">
        <v>2685</v>
      </c>
      <c r="G758" s="58" t="s">
        <v>92</v>
      </c>
      <c r="H758" s="58" t="s">
        <v>2686</v>
      </c>
      <c r="I758" s="21">
        <v>47.731000000000002</v>
      </c>
      <c r="J758" s="8">
        <v>2</v>
      </c>
      <c r="K758" s="8" t="s">
        <v>238</v>
      </c>
      <c r="L758" s="18">
        <v>42125</v>
      </c>
      <c r="M758" s="37" t="s">
        <v>191</v>
      </c>
      <c r="N758" s="38">
        <v>15.175000000000001</v>
      </c>
      <c r="O758" s="38">
        <v>3.9249999999999998</v>
      </c>
      <c r="P758" s="38">
        <v>0.77500000000000002</v>
      </c>
      <c r="Q758" s="38">
        <v>0.35</v>
      </c>
      <c r="R758" s="38">
        <v>2.2227700000000001</v>
      </c>
      <c r="S758" s="38">
        <f t="shared" si="90"/>
        <v>2</v>
      </c>
      <c r="T758" s="38">
        <v>16.824999999999999</v>
      </c>
      <c r="U758" s="38">
        <v>2</v>
      </c>
      <c r="V758" s="38">
        <v>1</v>
      </c>
      <c r="W758" s="38">
        <v>0.4</v>
      </c>
      <c r="X758" s="38">
        <v>5.6563699999999999</v>
      </c>
      <c r="Y758" s="38">
        <f t="shared" si="91"/>
        <v>5.5</v>
      </c>
      <c r="Z758" s="38">
        <v>0</v>
      </c>
      <c r="AA758" s="38">
        <v>0</v>
      </c>
      <c r="AB758" s="38">
        <v>20.225000000000001</v>
      </c>
      <c r="AC758" s="38">
        <v>1.0177400000000001</v>
      </c>
      <c r="AD758" s="39">
        <v>50.41</v>
      </c>
      <c r="AE758" s="38">
        <v>942.37</v>
      </c>
      <c r="AF758" s="38">
        <f>(AD758+AE758*0.5)/(3.5*I758*1000)*100</f>
        <v>0.31222296381207781</v>
      </c>
      <c r="AG758" s="38">
        <f t="shared" si="92"/>
        <v>0.3</v>
      </c>
      <c r="AH758" s="38">
        <v>3</v>
      </c>
      <c r="AI758" s="38">
        <v>1.7668676969468528E-3</v>
      </c>
      <c r="AJ758" s="55">
        <v>10</v>
      </c>
      <c r="AK758" s="55">
        <v>5.8895589898228422E-3</v>
      </c>
      <c r="AL758" s="55">
        <v>0</v>
      </c>
      <c r="AM758" s="55">
        <f t="shared" ref="AM758:AM763" si="95">AL758/(3.5*I758*1000)*100</f>
        <v>0</v>
      </c>
      <c r="AN758" s="1"/>
      <c r="AO758" s="12"/>
      <c r="AP758" s="12"/>
      <c r="AQ758" s="1"/>
      <c r="AR758" s="1"/>
      <c r="AS758" s="178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</row>
    <row r="759" spans="1:88" s="22" customFormat="1">
      <c r="A759" s="1">
        <v>953</v>
      </c>
      <c r="B759" s="34" t="s">
        <v>1329</v>
      </c>
      <c r="C759" s="34">
        <v>611</v>
      </c>
      <c r="D759" s="161">
        <v>2246</v>
      </c>
      <c r="E759" s="34">
        <v>202</v>
      </c>
      <c r="F759" s="34" t="s">
        <v>1352</v>
      </c>
      <c r="G759" s="58">
        <v>39877</v>
      </c>
      <c r="H759" s="58">
        <v>66651</v>
      </c>
      <c r="I759" s="35">
        <v>26.774000000000001</v>
      </c>
      <c r="J759" s="71">
        <v>2</v>
      </c>
      <c r="K759" s="34" t="s">
        <v>238</v>
      </c>
      <c r="L759" s="10">
        <v>42118</v>
      </c>
      <c r="M759" s="37" t="s">
        <v>191</v>
      </c>
      <c r="N759" s="38">
        <v>13.375</v>
      </c>
      <c r="O759" s="38">
        <v>7.65</v>
      </c>
      <c r="P759" s="38">
        <v>2.9750000000000001</v>
      </c>
      <c r="Q759" s="38">
        <v>2.5750000000000002</v>
      </c>
      <c r="R759" s="38">
        <v>2.7757999999999998</v>
      </c>
      <c r="S759" s="38">
        <f t="shared" si="90"/>
        <v>3</v>
      </c>
      <c r="T759" s="38">
        <v>20.25</v>
      </c>
      <c r="U759" s="38">
        <v>5.2750000000000004</v>
      </c>
      <c r="V759" s="38">
        <v>0.95</v>
      </c>
      <c r="W759" s="38">
        <v>0.1</v>
      </c>
      <c r="X759" s="38">
        <v>6.5835900000000001</v>
      </c>
      <c r="Y759" s="38">
        <f t="shared" si="91"/>
        <v>6.5</v>
      </c>
      <c r="Z759" s="38">
        <v>0</v>
      </c>
      <c r="AA759" s="38">
        <v>0</v>
      </c>
      <c r="AB759" s="38">
        <v>26.774000000000001</v>
      </c>
      <c r="AC759" s="38">
        <v>1.4149700000000001</v>
      </c>
      <c r="AD759" s="39">
        <v>292.05</v>
      </c>
      <c r="AE759" s="38">
        <v>0</v>
      </c>
      <c r="AF759" s="38">
        <f>(AD759+AE759*0.5)/(3.5*I759*1000)*100</f>
        <v>0.31165629768752201</v>
      </c>
      <c r="AG759" s="38">
        <f t="shared" si="92"/>
        <v>0.3</v>
      </c>
      <c r="AH759" s="38">
        <v>0</v>
      </c>
      <c r="AI759" s="38">
        <f>AH759/(3.5*I759*1000)*100</f>
        <v>0</v>
      </c>
      <c r="AJ759" s="38">
        <v>0</v>
      </c>
      <c r="AK759" s="38">
        <f>AJ759/(3.5*I759*1000)*100</f>
        <v>0</v>
      </c>
      <c r="AL759" s="38">
        <v>0</v>
      </c>
      <c r="AM759" s="38">
        <f t="shared" si="95"/>
        <v>0</v>
      </c>
      <c r="AN759" s="25"/>
      <c r="AO759" s="25">
        <f>AE759*0.5</f>
        <v>0</v>
      </c>
      <c r="AP759" s="25">
        <f>(AD759+AH759+AJ759+AL759+AO759)*I759</f>
        <v>7819.346700000001</v>
      </c>
      <c r="AQ759" s="25"/>
      <c r="AR759" s="25">
        <f>SUM(N759:Q759)</f>
        <v>26.574999999999999</v>
      </c>
      <c r="AS759" s="49">
        <f>SUM(T759:W759)</f>
        <v>26.574999999999999</v>
      </c>
      <c r="AT759" s="268">
        <v>26.774000000000001</v>
      </c>
      <c r="AU759" s="41"/>
      <c r="AV759" s="41"/>
      <c r="AW759" s="41"/>
    </row>
    <row r="760" spans="1:88" s="100" customFormat="1">
      <c r="A760" s="1">
        <v>626</v>
      </c>
      <c r="B760" s="34" t="s">
        <v>1017</v>
      </c>
      <c r="C760" s="34">
        <v>555</v>
      </c>
      <c r="D760" s="34">
        <v>2399</v>
      </c>
      <c r="E760" s="34">
        <v>101</v>
      </c>
      <c r="F760" s="9" t="s">
        <v>1029</v>
      </c>
      <c r="G760" s="118">
        <v>0</v>
      </c>
      <c r="H760" s="118">
        <v>16909</v>
      </c>
      <c r="I760" s="35">
        <v>16.908999999999999</v>
      </c>
      <c r="J760" s="71">
        <v>2</v>
      </c>
      <c r="K760" s="34" t="s">
        <v>238</v>
      </c>
      <c r="L760" s="10">
        <v>42188</v>
      </c>
      <c r="M760" s="37" t="s">
        <v>191</v>
      </c>
      <c r="N760" s="38">
        <v>6.5</v>
      </c>
      <c r="O760" s="38">
        <v>5.45</v>
      </c>
      <c r="P760" s="38">
        <v>3.15</v>
      </c>
      <c r="Q760" s="38">
        <v>1.7749999999999999</v>
      </c>
      <c r="R760" s="38">
        <v>3.23671</v>
      </c>
      <c r="S760" s="38">
        <f t="shared" si="90"/>
        <v>3</v>
      </c>
      <c r="T760" s="38">
        <v>16.475000000000001</v>
      </c>
      <c r="U760" s="38">
        <v>0.35</v>
      </c>
      <c r="V760" s="38">
        <v>2.5000000000000001E-2</v>
      </c>
      <c r="W760" s="38">
        <v>2.5000000000000001E-2</v>
      </c>
      <c r="X760" s="38">
        <v>2.6511900000000002</v>
      </c>
      <c r="Y760" s="38">
        <f t="shared" si="91"/>
        <v>2.5</v>
      </c>
      <c r="Z760" s="38">
        <v>0</v>
      </c>
      <c r="AA760" s="38">
        <v>0</v>
      </c>
      <c r="AB760" s="38">
        <f>N760+O760+P760+Q760</f>
        <v>16.875</v>
      </c>
      <c r="AC760" s="38">
        <v>1.1974899999999999</v>
      </c>
      <c r="AD760" s="39">
        <v>177</v>
      </c>
      <c r="AE760" s="38">
        <v>14.64</v>
      </c>
      <c r="AF760" s="38">
        <f>(AD760+AE760*0.5)/(3.5*I760*1000)*100</f>
        <v>0.31144867906355872</v>
      </c>
      <c r="AG760" s="38">
        <f t="shared" si="92"/>
        <v>0.3</v>
      </c>
      <c r="AH760" s="38">
        <v>0</v>
      </c>
      <c r="AI760" s="38">
        <f>AH760/(3.5*I760*1000)*100</f>
        <v>0</v>
      </c>
      <c r="AJ760" s="38">
        <v>194</v>
      </c>
      <c r="AK760" s="38">
        <f>AJ760/(3.5*I760*1000)*100</f>
        <v>0.3278051418095182</v>
      </c>
      <c r="AL760" s="38">
        <v>0</v>
      </c>
      <c r="AM760" s="38">
        <f t="shared" si="95"/>
        <v>0</v>
      </c>
      <c r="AN760" s="25"/>
      <c r="AO760" s="25">
        <f>AE760*0.5</f>
        <v>7.32</v>
      </c>
      <c r="AP760" s="25">
        <f>(AD760+AH760+AJ760+AL760+AO760)*I760</f>
        <v>6397.0128799999993</v>
      </c>
      <c r="AQ760" s="25">
        <f>SUM(N760:Q760)</f>
        <v>16.875</v>
      </c>
      <c r="AR760" s="25">
        <f>SUM(T760:W760)</f>
        <v>16.875</v>
      </c>
      <c r="AS760" s="48"/>
      <c r="AT760" s="41"/>
      <c r="AU760" s="41"/>
      <c r="AV760" s="41"/>
      <c r="AW760" s="41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  <c r="CI760" s="22"/>
      <c r="CJ760" s="22"/>
    </row>
    <row r="761" spans="1:88" s="22" customFormat="1">
      <c r="A761" s="1">
        <v>1971</v>
      </c>
      <c r="B761" s="34" t="s">
        <v>2615</v>
      </c>
      <c r="C761" s="34">
        <v>322</v>
      </c>
      <c r="D761" s="75">
        <v>403</v>
      </c>
      <c r="E761" s="8">
        <v>301</v>
      </c>
      <c r="F761" s="34" t="s">
        <v>2616</v>
      </c>
      <c r="G761" s="58">
        <v>82997</v>
      </c>
      <c r="H761" s="58">
        <v>67076</v>
      </c>
      <c r="I761" s="21">
        <v>15.920999999999999</v>
      </c>
      <c r="J761" s="8">
        <v>4</v>
      </c>
      <c r="K761" s="8" t="s">
        <v>96</v>
      </c>
      <c r="L761" s="18">
        <v>42126</v>
      </c>
      <c r="M761" s="37" t="s">
        <v>191</v>
      </c>
      <c r="N761" s="38">
        <v>10.975</v>
      </c>
      <c r="O761" s="38">
        <v>3.1</v>
      </c>
      <c r="P761" s="38">
        <v>1.05</v>
      </c>
      <c r="Q761" s="38">
        <v>0.7</v>
      </c>
      <c r="R761" s="38">
        <v>2.44381</v>
      </c>
      <c r="S761" s="38">
        <f t="shared" si="90"/>
        <v>2.5</v>
      </c>
      <c r="T761" s="38">
        <v>12.525</v>
      </c>
      <c r="U761" s="38">
        <v>2.85</v>
      </c>
      <c r="V761" s="38">
        <v>0.375</v>
      </c>
      <c r="W761" s="38">
        <v>7.4999999999999997E-2</v>
      </c>
      <c r="X761" s="38">
        <v>7.2579000000000002</v>
      </c>
      <c r="Y761" s="38">
        <f t="shared" si="91"/>
        <v>7.5</v>
      </c>
      <c r="Z761" s="38">
        <v>0</v>
      </c>
      <c r="AA761" s="38">
        <v>0</v>
      </c>
      <c r="AB761" s="38">
        <v>15.824999999999999</v>
      </c>
      <c r="AC761" s="38">
        <v>1.14018</v>
      </c>
      <c r="AD761" s="39">
        <v>172.76</v>
      </c>
      <c r="AE761" s="38">
        <v>0</v>
      </c>
      <c r="AF761" s="38">
        <v>0.31003077696124615</v>
      </c>
      <c r="AG761" s="38">
        <f t="shared" si="92"/>
        <v>0.3</v>
      </c>
      <c r="AH761" s="38">
        <v>87.31</v>
      </c>
      <c r="AI761" s="38">
        <v>0.15668434323041447</v>
      </c>
      <c r="AJ761" s="38">
        <v>162.88</v>
      </c>
      <c r="AK761" s="38">
        <v>0.29230037596346242</v>
      </c>
      <c r="AL761" s="38">
        <v>0</v>
      </c>
      <c r="AM761" s="38">
        <f t="shared" si="95"/>
        <v>0</v>
      </c>
      <c r="AN761" s="72"/>
      <c r="AO761" s="41"/>
      <c r="AP761" s="41"/>
      <c r="AQ761" s="73"/>
      <c r="AR761" s="73"/>
      <c r="AS761" s="48"/>
      <c r="AT761" s="73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</row>
    <row r="762" spans="1:88" s="22" customFormat="1">
      <c r="A762" s="1">
        <v>102</v>
      </c>
      <c r="B762" s="4" t="s">
        <v>61</v>
      </c>
      <c r="C762" s="14">
        <v>526</v>
      </c>
      <c r="D762" s="19">
        <v>1395</v>
      </c>
      <c r="E762" s="16">
        <v>100</v>
      </c>
      <c r="F762" s="14" t="s">
        <v>76</v>
      </c>
      <c r="G762" s="27" t="s">
        <v>92</v>
      </c>
      <c r="H762" s="27" t="s">
        <v>165</v>
      </c>
      <c r="I762" s="28">
        <v>1.625</v>
      </c>
      <c r="J762" s="16">
        <v>2</v>
      </c>
      <c r="K762" s="14" t="s">
        <v>238</v>
      </c>
      <c r="L762" s="29">
        <v>42243</v>
      </c>
      <c r="M762" s="246" t="s">
        <v>191</v>
      </c>
      <c r="N762" s="30">
        <v>0.08</v>
      </c>
      <c r="O762" s="30">
        <v>0.69</v>
      </c>
      <c r="P762" s="30">
        <v>0.69</v>
      </c>
      <c r="Q762" s="30">
        <v>0.16</v>
      </c>
      <c r="R762" s="30">
        <v>3.8367200000000001</v>
      </c>
      <c r="S762" s="38">
        <f t="shared" si="90"/>
        <v>4</v>
      </c>
      <c r="T762" s="30">
        <v>1.63</v>
      </c>
      <c r="U762" s="30">
        <v>0</v>
      </c>
      <c r="V762" s="30">
        <v>0</v>
      </c>
      <c r="W762" s="30">
        <v>0</v>
      </c>
      <c r="X762" s="30">
        <v>3.0580699999999998</v>
      </c>
      <c r="Y762" s="38">
        <f t="shared" si="91"/>
        <v>3</v>
      </c>
      <c r="Z762" s="30">
        <v>0</v>
      </c>
      <c r="AA762" s="30">
        <v>0</v>
      </c>
      <c r="AB762" s="30">
        <v>1.63</v>
      </c>
      <c r="AC762" s="30">
        <v>1.25905</v>
      </c>
      <c r="AD762" s="256">
        <v>14.3</v>
      </c>
      <c r="AE762" s="30">
        <v>6.3250000000000002</v>
      </c>
      <c r="AF762" s="30">
        <f>(AD762+AE762*0.5)/(3.5*I762*1000)*100</f>
        <v>0.30703296703296706</v>
      </c>
      <c r="AG762" s="38">
        <f t="shared" si="92"/>
        <v>0.3</v>
      </c>
      <c r="AH762" s="30">
        <v>0</v>
      </c>
      <c r="AI762" s="30">
        <f>AH762/(3.5*I762*1000)*100</f>
        <v>0</v>
      </c>
      <c r="AJ762" s="30">
        <v>0</v>
      </c>
      <c r="AK762" s="30">
        <f>AJ762/(3.5*I762*1000)*100</f>
        <v>0</v>
      </c>
      <c r="AL762" s="30">
        <v>1.32</v>
      </c>
      <c r="AM762" s="30">
        <f t="shared" si="95"/>
        <v>2.3208791208791209E-2</v>
      </c>
      <c r="AO762" s="25"/>
      <c r="AP762" s="25">
        <f>N762+O762+P762+Q762</f>
        <v>1.6199999999999999</v>
      </c>
      <c r="AQ762" s="25">
        <f>T762+U762+V762+W762</f>
        <v>1.63</v>
      </c>
      <c r="AR762" s="25">
        <f>Z762+AA762+AB762</f>
        <v>1.63</v>
      </c>
      <c r="AS762" s="48"/>
      <c r="AT762" s="22">
        <f>I762/AP762</f>
        <v>1.0030864197530864</v>
      </c>
      <c r="AU762" s="22">
        <f>I762/AQ762</f>
        <v>0.99693251533742333</v>
      </c>
      <c r="AV762" s="22">
        <f>I762/AR762</f>
        <v>0.99693251533742333</v>
      </c>
    </row>
    <row r="763" spans="1:88" s="22" customFormat="1">
      <c r="A763" s="1">
        <v>561</v>
      </c>
      <c r="B763" s="34" t="s">
        <v>948</v>
      </c>
      <c r="C763" s="34">
        <v>551</v>
      </c>
      <c r="D763" s="34">
        <v>2275</v>
      </c>
      <c r="E763" s="34">
        <v>302</v>
      </c>
      <c r="F763" s="9" t="s">
        <v>962</v>
      </c>
      <c r="G763" s="118">
        <v>177738</v>
      </c>
      <c r="H763" s="118">
        <v>194778</v>
      </c>
      <c r="I763" s="35">
        <v>17.04</v>
      </c>
      <c r="J763" s="71">
        <v>2</v>
      </c>
      <c r="K763" s="34" t="s">
        <v>237</v>
      </c>
      <c r="L763" s="10">
        <v>42223</v>
      </c>
      <c r="M763" s="37" t="s">
        <v>191</v>
      </c>
      <c r="N763" s="38">
        <v>11.72</v>
      </c>
      <c r="O763" s="38">
        <v>3.74</v>
      </c>
      <c r="P763" s="38">
        <v>1.1200000000000001</v>
      </c>
      <c r="Q763" s="38">
        <v>0.47</v>
      </c>
      <c r="R763" s="38">
        <v>2.5026000000000002</v>
      </c>
      <c r="S763" s="38">
        <f t="shared" si="90"/>
        <v>2.5</v>
      </c>
      <c r="T763" s="38">
        <v>16.77</v>
      </c>
      <c r="U763" s="38">
        <v>0.27</v>
      </c>
      <c r="V763" s="38">
        <v>0</v>
      </c>
      <c r="W763" s="38">
        <v>0</v>
      </c>
      <c r="X763" s="38">
        <v>4.2629999999999999</v>
      </c>
      <c r="Y763" s="38">
        <f t="shared" si="91"/>
        <v>4.5</v>
      </c>
      <c r="Z763" s="38">
        <v>0</v>
      </c>
      <c r="AA763" s="38">
        <v>0</v>
      </c>
      <c r="AB763" s="38">
        <f>T763+U763+V763+W763</f>
        <v>17.04</v>
      </c>
      <c r="AC763" s="38">
        <v>1.0189999999999999</v>
      </c>
      <c r="AD763" s="39">
        <v>0</v>
      </c>
      <c r="AE763" s="38">
        <v>360.93</v>
      </c>
      <c r="AF763" s="38">
        <f>(AD763+AE763*0.5)/(3.5*I763*1000)*100</f>
        <v>0.30259054325955737</v>
      </c>
      <c r="AG763" s="38">
        <f t="shared" si="92"/>
        <v>0.3</v>
      </c>
      <c r="AH763" s="38">
        <v>22</v>
      </c>
      <c r="AI763" s="38">
        <f>AH763/(3.5*I763*1000)*100</f>
        <v>3.6887994634473509E-2</v>
      </c>
      <c r="AJ763" s="38">
        <v>0</v>
      </c>
      <c r="AK763" s="38">
        <f>AJ763/(3.5*I763*1000)*100</f>
        <v>0</v>
      </c>
      <c r="AL763" s="38">
        <v>642</v>
      </c>
      <c r="AM763" s="38">
        <f t="shared" si="95"/>
        <v>1.0764587525150906</v>
      </c>
      <c r="AN763" s="25"/>
      <c r="AO763" s="25">
        <f>AE763*0.5</f>
        <v>180.465</v>
      </c>
      <c r="AP763" s="25">
        <f>(AD763+AH763+AJ763+AL763+AO763)*I763</f>
        <v>14389.6836</v>
      </c>
      <c r="AQ763" s="25">
        <f>SUM(N763:Q763)</f>
        <v>17.05</v>
      </c>
      <c r="AR763" s="25">
        <f>SUM(T763:W763)</f>
        <v>17.04</v>
      </c>
      <c r="AS763" s="51">
        <v>17.04</v>
      </c>
      <c r="AT763" s="41"/>
      <c r="AU763" s="41">
        <f>SUM(N763:Q763)</f>
        <v>17.05</v>
      </c>
      <c r="AV763" s="41">
        <f>SUM(T763:W763)</f>
        <v>17.04</v>
      </c>
      <c r="AW763" s="41">
        <f>SUM(Z763:AB763)</f>
        <v>17.04</v>
      </c>
      <c r="AY763" s="22">
        <f>I763/AU763</f>
        <v>0.99941348973607025</v>
      </c>
      <c r="AZ763" s="22">
        <f>I763/AV763</f>
        <v>1</v>
      </c>
      <c r="BA763" s="22">
        <f>I763/AW763</f>
        <v>1</v>
      </c>
    </row>
    <row r="764" spans="1:88" s="22" customFormat="1">
      <c r="A764" s="1">
        <v>1720</v>
      </c>
      <c r="B764" s="34" t="s">
        <v>2308</v>
      </c>
      <c r="C764" s="34">
        <v>422</v>
      </c>
      <c r="D764" s="8">
        <v>3289</v>
      </c>
      <c r="E764" s="34">
        <v>100</v>
      </c>
      <c r="F764" s="34" t="s">
        <v>2318</v>
      </c>
      <c r="G764" s="58">
        <v>0</v>
      </c>
      <c r="H764" s="58">
        <v>8732</v>
      </c>
      <c r="I764" s="206">
        <v>8.7319999999999993</v>
      </c>
      <c r="J764" s="9">
        <v>2</v>
      </c>
      <c r="K764" s="34" t="s">
        <v>238</v>
      </c>
      <c r="L764" s="10">
        <v>42229</v>
      </c>
      <c r="M764" s="37" t="s">
        <v>191</v>
      </c>
      <c r="N764" s="38">
        <v>1.3</v>
      </c>
      <c r="O764" s="38">
        <v>1.87</v>
      </c>
      <c r="P764" s="38">
        <v>2.38</v>
      </c>
      <c r="Q764" s="38">
        <v>3.18</v>
      </c>
      <c r="R764" s="38">
        <v>2.92116</v>
      </c>
      <c r="S764" s="38">
        <f t="shared" si="90"/>
        <v>3</v>
      </c>
      <c r="T764" s="38">
        <v>7.41</v>
      </c>
      <c r="U764" s="38">
        <v>0.98</v>
      </c>
      <c r="V764" s="38">
        <v>0.23</v>
      </c>
      <c r="W764" s="38">
        <v>0.13</v>
      </c>
      <c r="X764" s="38">
        <v>6.9689399999999999</v>
      </c>
      <c r="Y764" s="38">
        <f t="shared" si="91"/>
        <v>7</v>
      </c>
      <c r="Z764" s="38">
        <v>0</v>
      </c>
      <c r="AA764" s="38">
        <v>0</v>
      </c>
      <c r="AB764" s="206">
        <v>8.7319999999999993</v>
      </c>
      <c r="AC764" s="38">
        <v>1.02633</v>
      </c>
      <c r="AD764" s="39">
        <v>89.8</v>
      </c>
      <c r="AE764" s="38">
        <v>5.13</v>
      </c>
      <c r="AF764" s="38">
        <v>0.30221999999999999</v>
      </c>
      <c r="AG764" s="38">
        <f t="shared" si="92"/>
        <v>0.3</v>
      </c>
      <c r="AH764" s="38">
        <v>0</v>
      </c>
      <c r="AI764" s="38">
        <v>0</v>
      </c>
      <c r="AJ764" s="38">
        <v>0</v>
      </c>
      <c r="AK764" s="38">
        <v>0</v>
      </c>
      <c r="AL764" s="38">
        <v>0</v>
      </c>
      <c r="AM764" s="55">
        <v>0</v>
      </c>
      <c r="AO764" s="22">
        <f>AE764*0.5</f>
        <v>2.5649999999999999</v>
      </c>
      <c r="AP764" s="41">
        <f>(AD764+AH764+AJ764+AL764+AO764)*I764</f>
        <v>806.53117999999984</v>
      </c>
      <c r="AQ764" s="25">
        <f>SUM(N764:Q764)</f>
        <v>8.73</v>
      </c>
      <c r="AR764" s="25">
        <f>SUM(T764:W764)</f>
        <v>8.7500000000000018</v>
      </c>
      <c r="AS764" s="51">
        <v>8.7319999999999993</v>
      </c>
      <c r="AU764" s="25">
        <f>AS764-AQ764</f>
        <v>1.9999999999988916E-3</v>
      </c>
      <c r="AV764" s="41">
        <f>SUM(N764:Q764)</f>
        <v>8.73</v>
      </c>
      <c r="AW764" s="41">
        <f>SUM(T764:W764)</f>
        <v>8.7500000000000018</v>
      </c>
      <c r="AX764" s="41">
        <f>SUM(Z764:AB764)</f>
        <v>8.7319999999999993</v>
      </c>
      <c r="AZ764" s="22">
        <f>I764/AV764</f>
        <v>1.0002290950744557</v>
      </c>
      <c r="BA764" s="22">
        <f>I764/AW764</f>
        <v>0.99794285714285691</v>
      </c>
      <c r="BB764" s="22">
        <f>I764/AX764</f>
        <v>1</v>
      </c>
    </row>
    <row r="765" spans="1:88" s="22" customFormat="1">
      <c r="A765" s="1">
        <v>1152</v>
      </c>
      <c r="B765" s="74" t="s">
        <v>1577</v>
      </c>
      <c r="C765" s="34">
        <v>432</v>
      </c>
      <c r="D765" s="34">
        <v>3048</v>
      </c>
      <c r="E765" s="34">
        <v>100</v>
      </c>
      <c r="F765" s="34" t="s">
        <v>1609</v>
      </c>
      <c r="G765" s="34" t="s">
        <v>92</v>
      </c>
      <c r="H765" s="34" t="s">
        <v>1610</v>
      </c>
      <c r="I765" s="55">
        <v>13.058999999999999</v>
      </c>
      <c r="J765" s="5">
        <v>4</v>
      </c>
      <c r="K765" s="181" t="s">
        <v>238</v>
      </c>
      <c r="L765" s="10">
        <v>42282</v>
      </c>
      <c r="M765" s="37" t="s">
        <v>191</v>
      </c>
      <c r="N765" s="38">
        <v>9.875</v>
      </c>
      <c r="O765" s="38">
        <v>2.4750000000000001</v>
      </c>
      <c r="P765" s="38">
        <v>0.57499999999999996</v>
      </c>
      <c r="Q765" s="38">
        <v>0.35</v>
      </c>
      <c r="R765" s="38">
        <v>2.2399399999999998</v>
      </c>
      <c r="S765" s="38">
        <f t="shared" si="90"/>
        <v>2</v>
      </c>
      <c r="T765" s="38">
        <v>11.324999999999999</v>
      </c>
      <c r="U765" s="38">
        <v>1.125</v>
      </c>
      <c r="V765" s="38">
        <v>0.45</v>
      </c>
      <c r="W765" s="38">
        <v>0.375</v>
      </c>
      <c r="X765" s="38">
        <v>6.0753399999999997</v>
      </c>
      <c r="Y765" s="38">
        <f t="shared" si="91"/>
        <v>6</v>
      </c>
      <c r="Z765" s="38">
        <v>0</v>
      </c>
      <c r="AA765" s="38">
        <v>0</v>
      </c>
      <c r="AB765" s="38">
        <v>13.274999999999999</v>
      </c>
      <c r="AC765" s="38">
        <v>1.47986</v>
      </c>
      <c r="AD765" s="39">
        <v>135.97999999999999</v>
      </c>
      <c r="AE765" s="38">
        <v>4.0999999999999996</v>
      </c>
      <c r="AF765" s="38">
        <v>0.30199199999999998</v>
      </c>
      <c r="AG765" s="38">
        <f t="shared" si="92"/>
        <v>0.3</v>
      </c>
      <c r="AH765" s="38">
        <v>89.65</v>
      </c>
      <c r="AI765" s="38">
        <v>0.19614300000000001</v>
      </c>
      <c r="AJ765" s="38">
        <v>0</v>
      </c>
      <c r="AK765" s="38">
        <v>0</v>
      </c>
      <c r="AL765" s="38">
        <v>0</v>
      </c>
      <c r="AM765" s="38">
        <v>0</v>
      </c>
      <c r="AN765" s="114"/>
      <c r="AO765" s="73"/>
      <c r="AS765" s="48"/>
    </row>
    <row r="766" spans="1:88" s="22" customFormat="1">
      <c r="A766" s="1">
        <v>523</v>
      </c>
      <c r="B766" s="88" t="s">
        <v>871</v>
      </c>
      <c r="C766" s="88">
        <v>557</v>
      </c>
      <c r="D766" s="88">
        <v>1214</v>
      </c>
      <c r="E766" s="88">
        <v>101</v>
      </c>
      <c r="F766" s="88" t="s">
        <v>897</v>
      </c>
      <c r="G766" s="88" t="s">
        <v>898</v>
      </c>
      <c r="H766" s="88" t="s">
        <v>92</v>
      </c>
      <c r="I766" s="115">
        <v>12.682</v>
      </c>
      <c r="J766" s="88" t="s">
        <v>96</v>
      </c>
      <c r="K766" s="88">
        <v>2</v>
      </c>
      <c r="L766" s="116">
        <v>42270</v>
      </c>
      <c r="M766" s="37" t="s">
        <v>191</v>
      </c>
      <c r="N766" s="38">
        <v>8.3000000000000007</v>
      </c>
      <c r="O766" s="38">
        <v>3.3</v>
      </c>
      <c r="P766" s="38">
        <v>0.67500000000000004</v>
      </c>
      <c r="Q766" s="38">
        <v>0.08</v>
      </c>
      <c r="R766" s="38">
        <v>2.3424700000000001</v>
      </c>
      <c r="S766" s="38">
        <f t="shared" si="90"/>
        <v>2.5</v>
      </c>
      <c r="T766" s="38">
        <v>12.2</v>
      </c>
      <c r="U766" s="38">
        <f>0.1*1.162</f>
        <v>0.1162</v>
      </c>
      <c r="V766" s="38">
        <v>0.05</v>
      </c>
      <c r="W766" s="38">
        <v>0</v>
      </c>
      <c r="X766" s="38">
        <v>3.06433</v>
      </c>
      <c r="Y766" s="38">
        <f t="shared" si="91"/>
        <v>3</v>
      </c>
      <c r="Z766" s="117">
        <v>0</v>
      </c>
      <c r="AA766" s="117">
        <v>0</v>
      </c>
      <c r="AB766" s="117">
        <v>12.355000000000002</v>
      </c>
      <c r="AC766" s="117">
        <v>1.0858399999999999</v>
      </c>
      <c r="AD766" s="254">
        <v>118.24</v>
      </c>
      <c r="AE766" s="117">
        <v>25.158000000000001</v>
      </c>
      <c r="AF766" s="117">
        <v>0.30191299999999999</v>
      </c>
      <c r="AG766" s="38">
        <f t="shared" si="92"/>
        <v>0.3</v>
      </c>
      <c r="AH766" s="117">
        <v>96.74</v>
      </c>
      <c r="AI766" s="117">
        <v>0.22326299999999999</v>
      </c>
      <c r="AJ766" s="117">
        <v>0.45</v>
      </c>
      <c r="AK766" s="117">
        <v>1.039E-3</v>
      </c>
      <c r="AL766" s="117">
        <v>0</v>
      </c>
      <c r="AM766" s="117">
        <v>0</v>
      </c>
      <c r="AN766" s="25"/>
      <c r="AO766" s="25"/>
      <c r="AR766" s="1"/>
      <c r="AS766" s="178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</row>
    <row r="767" spans="1:88" s="22" customFormat="1">
      <c r="A767" s="1">
        <v>1483</v>
      </c>
      <c r="B767" s="34" t="s">
        <v>2016</v>
      </c>
      <c r="C767" s="34">
        <v>411</v>
      </c>
      <c r="D767" s="69">
        <v>3701</v>
      </c>
      <c r="E767" s="34">
        <v>100</v>
      </c>
      <c r="F767" s="34" t="s">
        <v>2039</v>
      </c>
      <c r="G767" s="20" t="s">
        <v>2040</v>
      </c>
      <c r="H767" s="20" t="s">
        <v>2041</v>
      </c>
      <c r="I767" s="188">
        <v>5.4729999999999999</v>
      </c>
      <c r="J767" s="34">
        <v>2</v>
      </c>
      <c r="K767" s="34" t="s">
        <v>238</v>
      </c>
      <c r="L767" s="10">
        <v>42248</v>
      </c>
      <c r="M767" s="37" t="s">
        <v>191</v>
      </c>
      <c r="N767" s="38">
        <v>2.4</v>
      </c>
      <c r="O767" s="38">
        <v>1.3</v>
      </c>
      <c r="P767" s="38">
        <v>1</v>
      </c>
      <c r="Q767" s="38">
        <v>0.7</v>
      </c>
      <c r="R767" s="38">
        <v>3.1909999999999998</v>
      </c>
      <c r="S767" s="38">
        <f t="shared" si="90"/>
        <v>3</v>
      </c>
      <c r="T767" s="38">
        <v>4.55</v>
      </c>
      <c r="U767" s="38">
        <v>0.77500000000000002</v>
      </c>
      <c r="V767" s="38">
        <v>7.4999999999999997E-2</v>
      </c>
      <c r="W767" s="38">
        <v>0</v>
      </c>
      <c r="X767" s="38">
        <v>6.1120000000000001</v>
      </c>
      <c r="Y767" s="38">
        <f t="shared" si="91"/>
        <v>6</v>
      </c>
      <c r="Z767" s="38">
        <v>0</v>
      </c>
      <c r="AA767" s="38">
        <v>0</v>
      </c>
      <c r="AB767" s="38">
        <f>SUM(T767:W767)</f>
        <v>5.4</v>
      </c>
      <c r="AC767" s="38">
        <v>1.1499999999999999</v>
      </c>
      <c r="AD767" s="39">
        <v>36</v>
      </c>
      <c r="AE767" s="38">
        <v>43.66</v>
      </c>
      <c r="AF767" s="38">
        <f>(AD767+AE767*0.5)/(3.5*I767*1000)*100</f>
        <v>0.30189762731330427</v>
      </c>
      <c r="AG767" s="38">
        <f t="shared" si="92"/>
        <v>0.3</v>
      </c>
      <c r="AH767" s="38">
        <v>9689</v>
      </c>
      <c r="AI767" s="38">
        <f>AH767/(3.5*I767*1000)*100</f>
        <v>50.580773146093819</v>
      </c>
      <c r="AJ767" s="38">
        <v>517.75</v>
      </c>
      <c r="AK767" s="38">
        <f>AJ767/(3.5*I767*1000)*100</f>
        <v>2.7028790686747928</v>
      </c>
      <c r="AL767" s="38">
        <v>4</v>
      </c>
      <c r="AM767" s="38">
        <f>AL767/(3.5*I767*1000)*100</f>
        <v>2.0881731095507818E-2</v>
      </c>
      <c r="AN767" s="60"/>
      <c r="AO767" s="60">
        <f>AE767*0.5</f>
        <v>21.83</v>
      </c>
      <c r="AP767" s="60">
        <f>(AD767+AH767+AJ767+AL767+AO767)*I767</f>
        <v>56199.938340000001</v>
      </c>
      <c r="AQ767" s="60"/>
      <c r="AR767" s="60"/>
      <c r="AS767" s="55"/>
      <c r="AT767" s="60"/>
      <c r="AU767" s="61"/>
      <c r="AV767" s="40"/>
      <c r="AW767" s="40"/>
      <c r="AX767" s="40"/>
      <c r="AY767" s="40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</row>
    <row r="768" spans="1:88" s="22" customFormat="1">
      <c r="A768" s="1">
        <v>1138</v>
      </c>
      <c r="B768" s="74" t="s">
        <v>1577</v>
      </c>
      <c r="C768" s="34">
        <v>432</v>
      </c>
      <c r="D768" s="34">
        <v>2089</v>
      </c>
      <c r="E768" s="34">
        <v>100</v>
      </c>
      <c r="F768" s="34" t="s">
        <v>1583</v>
      </c>
      <c r="G768" s="34" t="s">
        <v>194</v>
      </c>
      <c r="H768" s="34" t="s">
        <v>1586</v>
      </c>
      <c r="I768" s="55">
        <v>15.324999999999999</v>
      </c>
      <c r="J768" s="5">
        <v>2</v>
      </c>
      <c r="K768" s="34" t="s">
        <v>12</v>
      </c>
      <c r="L768" s="10">
        <v>42282</v>
      </c>
      <c r="M768" s="37" t="s">
        <v>191</v>
      </c>
      <c r="N768" s="38">
        <v>10.25</v>
      </c>
      <c r="O768" s="38">
        <v>3.4</v>
      </c>
      <c r="P768" s="38">
        <v>1.35</v>
      </c>
      <c r="Q768" s="38">
        <v>0.67500000000000004</v>
      </c>
      <c r="R768" s="38">
        <v>2.5606900000000001</v>
      </c>
      <c r="S768" s="38">
        <f t="shared" si="90"/>
        <v>2.5</v>
      </c>
      <c r="T768" s="38">
        <v>14.824999999999999</v>
      </c>
      <c r="U768" s="38">
        <v>0.8</v>
      </c>
      <c r="V768" s="38">
        <v>0.05</v>
      </c>
      <c r="W768" s="38">
        <v>0</v>
      </c>
      <c r="X768" s="38">
        <v>5.0292500000000002</v>
      </c>
      <c r="Y768" s="38">
        <f t="shared" si="91"/>
        <v>5</v>
      </c>
      <c r="Z768" s="38">
        <v>0</v>
      </c>
      <c r="AA768" s="38">
        <v>0</v>
      </c>
      <c r="AB768" s="38">
        <v>15.675000000000001</v>
      </c>
      <c r="AC768" s="38">
        <v>1.7336100000000001</v>
      </c>
      <c r="AD768" s="39">
        <v>158.6</v>
      </c>
      <c r="AE768" s="38">
        <v>6.3</v>
      </c>
      <c r="AF768" s="38">
        <v>0.30156100000000002</v>
      </c>
      <c r="AG768" s="38">
        <f t="shared" si="92"/>
        <v>0.3</v>
      </c>
      <c r="AH768" s="38">
        <v>96.325000000000003</v>
      </c>
      <c r="AI768" s="38">
        <v>0.17958499999999999</v>
      </c>
      <c r="AJ768" s="38">
        <v>1.68</v>
      </c>
      <c r="AK768" s="38">
        <v>3.1319999999999998E-3</v>
      </c>
      <c r="AL768" s="38">
        <v>0</v>
      </c>
      <c r="AM768" s="38">
        <v>0</v>
      </c>
      <c r="AN768" s="114"/>
      <c r="AO768" s="73"/>
      <c r="AS768" s="48"/>
    </row>
    <row r="769" spans="1:88" s="22" customFormat="1">
      <c r="A769" s="1">
        <v>712</v>
      </c>
      <c r="B769" s="34" t="s">
        <v>1106</v>
      </c>
      <c r="C769" s="34">
        <v>626</v>
      </c>
      <c r="D769" s="34">
        <v>2359</v>
      </c>
      <c r="E769" s="34">
        <v>101</v>
      </c>
      <c r="F769" s="34" t="s">
        <v>1121</v>
      </c>
      <c r="G769" s="58">
        <v>41628</v>
      </c>
      <c r="H769" s="58">
        <v>0</v>
      </c>
      <c r="I769" s="35">
        <v>41.628</v>
      </c>
      <c r="J769" s="127">
        <v>2</v>
      </c>
      <c r="K769" s="34" t="s">
        <v>12</v>
      </c>
      <c r="L769" s="10">
        <v>42174</v>
      </c>
      <c r="M769" s="37" t="s">
        <v>191</v>
      </c>
      <c r="N769" s="38">
        <v>19.975000000000001</v>
      </c>
      <c r="O769" s="38">
        <v>13.275</v>
      </c>
      <c r="P769" s="38">
        <v>5.4749999999999996</v>
      </c>
      <c r="Q769" s="38">
        <v>2.6</v>
      </c>
      <c r="R769" s="38">
        <v>2.87921</v>
      </c>
      <c r="S769" s="38">
        <f t="shared" si="90"/>
        <v>3</v>
      </c>
      <c r="T769" s="38">
        <v>38.75</v>
      </c>
      <c r="U769" s="38">
        <v>1.825</v>
      </c>
      <c r="V769" s="38">
        <v>0.52500000000000002</v>
      </c>
      <c r="W769" s="38">
        <v>0.22500000000000001</v>
      </c>
      <c r="X769" s="38">
        <v>4.6279700000000004</v>
      </c>
      <c r="Y769" s="38">
        <f t="shared" si="91"/>
        <v>4.5</v>
      </c>
      <c r="Z769" s="38">
        <v>0</v>
      </c>
      <c r="AA769" s="38">
        <v>0</v>
      </c>
      <c r="AB769" s="38">
        <f>N769+O769+P769+Q769</f>
        <v>41.325000000000003</v>
      </c>
      <c r="AC769" s="38">
        <v>1.1413599999999999</v>
      </c>
      <c r="AD769" s="39">
        <v>434.93</v>
      </c>
      <c r="AE769" s="38">
        <v>7.12</v>
      </c>
      <c r="AF769" s="38">
        <f>(AD769+AE769*0.5)/(3.5*I769*1000)*100</f>
        <v>0.30095814630262602</v>
      </c>
      <c r="AG769" s="38">
        <f t="shared" si="92"/>
        <v>0.3</v>
      </c>
      <c r="AH769" s="38">
        <v>0</v>
      </c>
      <c r="AI769" s="38">
        <f>AH769/(3.5*I769*1000)*100</f>
        <v>0</v>
      </c>
      <c r="AJ769" s="38">
        <v>329.03</v>
      </c>
      <c r="AK769" s="38">
        <f>AJ769/(3.5*I769*1000)*100</f>
        <v>0.22583014180016198</v>
      </c>
      <c r="AL769" s="38">
        <v>0</v>
      </c>
      <c r="AM769" s="38">
        <f>AL769/(3.5*I769*1000)*100</f>
        <v>0</v>
      </c>
      <c r="AN769" s="25"/>
      <c r="AO769" s="25">
        <f>AE769*0.5</f>
        <v>3.56</v>
      </c>
      <c r="AP769" s="25">
        <f>(AD769+AH769+AJ769+AL769+AO769)*I769</f>
        <v>31950.322560000001</v>
      </c>
      <c r="AQ769" s="25">
        <f>SUM(N769:Q769)</f>
        <v>41.325000000000003</v>
      </c>
      <c r="AR769" s="25">
        <f>SUM(T769:W769)</f>
        <v>41.325000000000003</v>
      </c>
      <c r="AS769" s="51">
        <v>41.628</v>
      </c>
      <c r="AT769" s="41"/>
      <c r="AU769" s="41"/>
      <c r="AV769" s="41"/>
      <c r="AW769" s="41"/>
    </row>
    <row r="770" spans="1:88" s="22" customFormat="1">
      <c r="A770" s="1">
        <v>760</v>
      </c>
      <c r="B770" s="34" t="s">
        <v>1106</v>
      </c>
      <c r="C770" s="34">
        <v>626</v>
      </c>
      <c r="D770" s="34">
        <v>2359</v>
      </c>
      <c r="E770" s="34">
        <v>101</v>
      </c>
      <c r="F770" s="34" t="s">
        <v>1121</v>
      </c>
      <c r="G770" s="58">
        <v>41628</v>
      </c>
      <c r="H770" s="58">
        <v>0</v>
      </c>
      <c r="I770" s="35">
        <v>41.628</v>
      </c>
      <c r="J770" s="127">
        <v>2</v>
      </c>
      <c r="K770" s="34" t="s">
        <v>12</v>
      </c>
      <c r="L770" s="10">
        <v>42174</v>
      </c>
      <c r="M770" s="37" t="s">
        <v>191</v>
      </c>
      <c r="N770" s="38">
        <v>19.975000000000001</v>
      </c>
      <c r="O770" s="38">
        <v>13.275</v>
      </c>
      <c r="P770" s="38">
        <v>5.4749999999999996</v>
      </c>
      <c r="Q770" s="38">
        <v>2.6</v>
      </c>
      <c r="R770" s="38">
        <v>2.87921</v>
      </c>
      <c r="S770" s="38">
        <f t="shared" si="90"/>
        <v>3</v>
      </c>
      <c r="T770" s="38">
        <v>38.75</v>
      </c>
      <c r="U770" s="38">
        <v>1.825</v>
      </c>
      <c r="V770" s="38">
        <v>0.52500000000000002</v>
      </c>
      <c r="W770" s="38">
        <v>0.22500000000000001</v>
      </c>
      <c r="X770" s="38">
        <v>4.6279700000000004</v>
      </c>
      <c r="Y770" s="38">
        <f t="shared" si="91"/>
        <v>4.5</v>
      </c>
      <c r="Z770" s="38">
        <v>0</v>
      </c>
      <c r="AA770" s="38">
        <v>0</v>
      </c>
      <c r="AB770" s="38">
        <f>N770+O770+P770+Q770</f>
        <v>41.325000000000003</v>
      </c>
      <c r="AC770" s="38">
        <v>1.1413599999999999</v>
      </c>
      <c r="AD770" s="39">
        <v>434.93</v>
      </c>
      <c r="AE770" s="38">
        <v>7.12</v>
      </c>
      <c r="AF770" s="38">
        <f>(AD770+AE770*0.5)/(3.5*I770*1000)*100</f>
        <v>0.30095814630262602</v>
      </c>
      <c r="AG770" s="38">
        <f t="shared" si="92"/>
        <v>0.3</v>
      </c>
      <c r="AH770" s="38">
        <v>0</v>
      </c>
      <c r="AI770" s="38">
        <f>AH770/(3.5*I770*1000)*100</f>
        <v>0</v>
      </c>
      <c r="AJ770" s="38">
        <v>329.03</v>
      </c>
      <c r="AK770" s="38">
        <f>AJ770/(3.5*I770*1000)*100</f>
        <v>0.22583014180016198</v>
      </c>
      <c r="AL770" s="38">
        <v>0</v>
      </c>
      <c r="AM770" s="38">
        <f>AL770/(3.5*I770*1000)*100</f>
        <v>0</v>
      </c>
      <c r="AN770" s="25"/>
      <c r="AO770" s="25">
        <f>AE770*0.5</f>
        <v>3.56</v>
      </c>
      <c r="AP770" s="25">
        <f>(AD770+AH770+AJ770+AL770+AO770)*I770</f>
        <v>31950.322560000001</v>
      </c>
      <c r="AQ770" s="25">
        <f>SUM(N770:Q770)</f>
        <v>41.325000000000003</v>
      </c>
      <c r="AR770" s="25">
        <f>SUM(T770:W770)</f>
        <v>41.325000000000003</v>
      </c>
      <c r="AS770" s="51">
        <v>41.628</v>
      </c>
      <c r="AT770" s="41"/>
      <c r="AU770" s="41"/>
      <c r="AV770" s="41"/>
      <c r="AW770" s="41"/>
    </row>
    <row r="771" spans="1:88" s="22" customFormat="1">
      <c r="A771" s="1">
        <v>415</v>
      </c>
      <c r="B771" s="74" t="s">
        <v>699</v>
      </c>
      <c r="C771" s="34">
        <v>513</v>
      </c>
      <c r="D771" s="75">
        <v>101</v>
      </c>
      <c r="E771" s="69">
        <v>301</v>
      </c>
      <c r="F771" s="76" t="s">
        <v>700</v>
      </c>
      <c r="G771" s="20" t="s">
        <v>573</v>
      </c>
      <c r="H771" s="20" t="s">
        <v>701</v>
      </c>
      <c r="I771" s="21">
        <v>38.518000000000001</v>
      </c>
      <c r="J771" s="5" t="s">
        <v>238</v>
      </c>
      <c r="K771" s="34">
        <v>2</v>
      </c>
      <c r="L771" s="18">
        <v>42262</v>
      </c>
      <c r="M771" s="37" t="s">
        <v>191</v>
      </c>
      <c r="N771" s="38">
        <v>19.91</v>
      </c>
      <c r="O771" s="38">
        <v>7.94</v>
      </c>
      <c r="P771" s="38">
        <v>5.72</v>
      </c>
      <c r="Q771" s="38">
        <v>4.95</v>
      </c>
      <c r="R771" s="38">
        <v>3.01</v>
      </c>
      <c r="S771" s="38">
        <f t="shared" ref="S771:S834" si="96">ROUND(R771/5,1)*5</f>
        <v>3</v>
      </c>
      <c r="T771" s="38">
        <v>35.15</v>
      </c>
      <c r="U771" s="38">
        <v>2.35</v>
      </c>
      <c r="V771" s="38">
        <v>0.92</v>
      </c>
      <c r="W771" s="38">
        <v>0.1</v>
      </c>
      <c r="X771" s="38">
        <v>4.5960000000000001</v>
      </c>
      <c r="Y771" s="38">
        <f t="shared" ref="Y771:Y834" si="97">ROUND(X771/5,1)*5</f>
        <v>4.5</v>
      </c>
      <c r="Z771" s="38">
        <v>0</v>
      </c>
      <c r="AA771" s="38">
        <v>0</v>
      </c>
      <c r="AB771" s="38">
        <v>38.520000000000003</v>
      </c>
      <c r="AC771" s="38">
        <v>1.103</v>
      </c>
      <c r="AD771" s="39">
        <v>339.23099999999999</v>
      </c>
      <c r="AE771" s="38">
        <v>128.32</v>
      </c>
      <c r="AF771" s="38">
        <f>(AD771+AE771*0.5)/(3.5*I771*1000)*100</f>
        <v>0.29922262689799944</v>
      </c>
      <c r="AG771" s="38">
        <f t="shared" ref="AG771:AG834" si="98">ROUND(AF771,1)</f>
        <v>0.3</v>
      </c>
      <c r="AH771" s="38">
        <v>136.32</v>
      </c>
      <c r="AI771" s="38">
        <f>AH771/(3.5*I771*1000)*100</f>
        <v>0.10111784471823933</v>
      </c>
      <c r="AJ771" s="38">
        <v>20.56</v>
      </c>
      <c r="AK771" s="38">
        <f>AJ771/(3.5*I771*1000)*100</f>
        <v>1.5250754749171074E-2</v>
      </c>
      <c r="AL771" s="38">
        <v>2.6</v>
      </c>
      <c r="AM771" s="38">
        <f>AL771/(3.5*I771*1000)*100</f>
        <v>1.9285973904593771E-3</v>
      </c>
      <c r="AN771" s="41"/>
      <c r="AO771" s="41"/>
      <c r="AP771" s="73"/>
      <c r="AQ771" s="41">
        <f>SUM(N771:Q771)</f>
        <v>38.520000000000003</v>
      </c>
      <c r="AR771" s="41">
        <f>SUM(T771:W771)</f>
        <v>38.520000000000003</v>
      </c>
      <c r="AS771" s="49">
        <f>SUM(Z771:AB771)</f>
        <v>38.520000000000003</v>
      </c>
      <c r="AU771" s="22">
        <f>I771/AQ771</f>
        <v>0.99994807892004145</v>
      </c>
      <c r="AV771" s="22">
        <f>I771/AR771</f>
        <v>0.99994807892004145</v>
      </c>
      <c r="AW771" s="22">
        <f>I771/AS771</f>
        <v>0.99994807892004145</v>
      </c>
      <c r="AX771" s="73"/>
      <c r="AY771" s="73"/>
      <c r="AZ771" s="73"/>
      <c r="BA771" s="73"/>
      <c r="BB771" s="73"/>
      <c r="BC771" s="73"/>
      <c r="BD771" s="73"/>
      <c r="BE771" s="73"/>
      <c r="BF771" s="73"/>
      <c r="BG771" s="73"/>
      <c r="BH771" s="73"/>
      <c r="BI771" s="73"/>
      <c r="BJ771" s="73"/>
      <c r="BK771" s="73"/>
      <c r="BL771" s="73"/>
      <c r="BM771" s="73"/>
      <c r="BN771" s="73"/>
      <c r="BO771" s="73"/>
      <c r="BP771" s="73"/>
      <c r="BQ771" s="73"/>
      <c r="BR771" s="73"/>
      <c r="BS771" s="73"/>
      <c r="BT771" s="73"/>
      <c r="BU771" s="73"/>
      <c r="BV771" s="73"/>
      <c r="BW771" s="73"/>
      <c r="BX771" s="73"/>
      <c r="BY771" s="73"/>
      <c r="BZ771" s="73"/>
      <c r="CA771" s="73"/>
      <c r="CB771" s="73"/>
      <c r="CC771" s="73"/>
      <c r="CD771" s="73"/>
      <c r="CE771" s="73"/>
      <c r="CF771" s="73"/>
      <c r="CG771" s="73"/>
      <c r="CH771" s="73"/>
      <c r="CI771" s="73"/>
      <c r="CJ771" s="73"/>
    </row>
    <row r="772" spans="1:88" s="22" customFormat="1">
      <c r="A772" s="1">
        <v>806</v>
      </c>
      <c r="B772" s="34" t="s">
        <v>1186</v>
      </c>
      <c r="C772" s="34">
        <v>635</v>
      </c>
      <c r="D772" s="8">
        <v>2327</v>
      </c>
      <c r="E772" s="34">
        <v>100</v>
      </c>
      <c r="F772" s="34" t="s">
        <v>1198</v>
      </c>
      <c r="G772" s="58">
        <v>0</v>
      </c>
      <c r="H772" s="58">
        <v>6500</v>
      </c>
      <c r="I772" s="35">
        <v>6.5</v>
      </c>
      <c r="J772" s="9">
        <v>2</v>
      </c>
      <c r="K772" s="34" t="s">
        <v>238</v>
      </c>
      <c r="L772" s="10">
        <v>42151</v>
      </c>
      <c r="M772" s="37" t="s">
        <v>191</v>
      </c>
      <c r="N772" s="38">
        <v>4.0750000000000002</v>
      </c>
      <c r="O772" s="38">
        <v>1.325</v>
      </c>
      <c r="P772" s="38">
        <v>0.85000000000000009</v>
      </c>
      <c r="Q772" s="38">
        <v>0.25</v>
      </c>
      <c r="R772" s="38">
        <v>3.3319000000000001</v>
      </c>
      <c r="S772" s="38">
        <f t="shared" si="96"/>
        <v>3.5</v>
      </c>
      <c r="T772" s="38">
        <v>6.5</v>
      </c>
      <c r="U772" s="38">
        <v>0</v>
      </c>
      <c r="V772" s="38">
        <v>0</v>
      </c>
      <c r="W772" s="38">
        <v>0</v>
      </c>
      <c r="X772" s="38">
        <v>2.9268000000000001</v>
      </c>
      <c r="Y772" s="38">
        <f t="shared" si="97"/>
        <v>3</v>
      </c>
      <c r="Z772" s="38">
        <v>0</v>
      </c>
      <c r="AA772" s="38">
        <v>0</v>
      </c>
      <c r="AB772" s="35">
        <v>6.5</v>
      </c>
      <c r="AC772" s="38">
        <v>1.3429</v>
      </c>
      <c r="AD772" s="39">
        <v>0</v>
      </c>
      <c r="AE772" s="38">
        <v>136</v>
      </c>
      <c r="AF772" s="38">
        <v>0.2989</v>
      </c>
      <c r="AG772" s="38">
        <f t="shared" si="98"/>
        <v>0.3</v>
      </c>
      <c r="AH772" s="38">
        <v>0</v>
      </c>
      <c r="AI772" s="38">
        <v>0</v>
      </c>
      <c r="AJ772" s="38">
        <v>0</v>
      </c>
      <c r="AK772" s="38">
        <v>0</v>
      </c>
      <c r="AL772" s="38">
        <v>0</v>
      </c>
      <c r="AM772" s="38">
        <v>0</v>
      </c>
      <c r="AN772" s="25"/>
      <c r="AO772" s="25">
        <f>AE772*0.5</f>
        <v>68</v>
      </c>
      <c r="AP772" s="25">
        <f>(AD772+AH772+AJ772+AL772+AO772)*I772</f>
        <v>442</v>
      </c>
      <c r="AQ772" s="25">
        <f>SUM(N772:Q772)</f>
        <v>6.5</v>
      </c>
      <c r="AR772" s="25">
        <f>SUM(T772:W772)</f>
        <v>6.5</v>
      </c>
      <c r="AS772" s="48"/>
      <c r="AT772" s="41"/>
      <c r="AU772" s="41"/>
      <c r="AV772" s="41"/>
      <c r="AW772" s="41"/>
    </row>
    <row r="773" spans="1:88" s="22" customFormat="1">
      <c r="A773" s="1">
        <v>321</v>
      </c>
      <c r="B773" s="34" t="s">
        <v>542</v>
      </c>
      <c r="C773" s="34">
        <v>644</v>
      </c>
      <c r="D773" s="34">
        <v>2276</v>
      </c>
      <c r="E773" s="34">
        <v>100</v>
      </c>
      <c r="F773" s="34" t="s">
        <v>553</v>
      </c>
      <c r="G773" s="58">
        <v>0</v>
      </c>
      <c r="H773" s="58">
        <v>40090</v>
      </c>
      <c r="I773" s="35">
        <v>39.819000000000003</v>
      </c>
      <c r="J773" s="62">
        <v>2</v>
      </c>
      <c r="K773" s="34" t="s">
        <v>238</v>
      </c>
      <c r="L773" s="10">
        <v>42158</v>
      </c>
      <c r="M773" s="37" t="s">
        <v>191</v>
      </c>
      <c r="N773" s="38">
        <v>26.79</v>
      </c>
      <c r="O773" s="38">
        <v>8.5399999999999991</v>
      </c>
      <c r="P773" s="38">
        <v>3.15</v>
      </c>
      <c r="Q773" s="38">
        <v>1.35</v>
      </c>
      <c r="R773" s="38">
        <v>2.4428200000000002</v>
      </c>
      <c r="S773" s="38">
        <f t="shared" si="96"/>
        <v>2.5</v>
      </c>
      <c r="T773" s="38">
        <v>37.479999999999997</v>
      </c>
      <c r="U773" s="38">
        <v>1.75</v>
      </c>
      <c r="V773" s="38">
        <v>0.43</v>
      </c>
      <c r="W773" s="38">
        <v>0.18</v>
      </c>
      <c r="X773" s="38">
        <v>3.6278100000000002</v>
      </c>
      <c r="Y773" s="38">
        <f t="shared" si="97"/>
        <v>3.5</v>
      </c>
      <c r="Z773" s="38">
        <v>0</v>
      </c>
      <c r="AA773" s="38">
        <v>0.03</v>
      </c>
      <c r="AB773" s="38">
        <v>39.79</v>
      </c>
      <c r="AC773" s="38">
        <v>1.30836</v>
      </c>
      <c r="AD773" s="39">
        <v>349</v>
      </c>
      <c r="AE773" s="38">
        <v>140</v>
      </c>
      <c r="AF773" s="38">
        <v>0.29860999999999999</v>
      </c>
      <c r="AG773" s="38">
        <f t="shared" si="98"/>
        <v>0.3</v>
      </c>
      <c r="AH773" s="38">
        <v>60.03</v>
      </c>
      <c r="AI773" s="38">
        <v>4.2779999999999999E-2</v>
      </c>
      <c r="AJ773" s="38">
        <v>0</v>
      </c>
      <c r="AK773" s="38">
        <v>0</v>
      </c>
      <c r="AL773" s="38">
        <v>2</v>
      </c>
      <c r="AM773" s="38">
        <v>1.4300000000000001E-3</v>
      </c>
      <c r="AN773" s="60"/>
      <c r="AO773" s="60">
        <f>AE773*0.5</f>
        <v>70</v>
      </c>
      <c r="AP773" s="60">
        <f>(AD773+AH773+AJ773+AL773+AO773)*I773</f>
        <v>19154.133570000002</v>
      </c>
      <c r="AQ773" s="25">
        <f>SUM(N773:Q773)</f>
        <v>39.83</v>
      </c>
      <c r="AR773" s="25">
        <f>SUM(T773:W773)</f>
        <v>39.839999999999996</v>
      </c>
      <c r="AS773" s="51">
        <v>39.819000000000003</v>
      </c>
      <c r="AT773" s="40"/>
      <c r="AU773" s="41">
        <f>SUM(N773:Q773)</f>
        <v>39.83</v>
      </c>
      <c r="AV773" s="41">
        <f>SUM(T773:W773)</f>
        <v>39.839999999999996</v>
      </c>
      <c r="AW773" s="41">
        <f>SUM(Z773:AB773)</f>
        <v>39.82</v>
      </c>
      <c r="AY773" s="22">
        <f>I773/AU773</f>
        <v>0.99972382626161194</v>
      </c>
      <c r="AZ773" s="22">
        <f>I773/AV773</f>
        <v>0.99947289156626518</v>
      </c>
      <c r="BA773" s="22">
        <f>I773/AW773</f>
        <v>0.99997488699146164</v>
      </c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</row>
    <row r="774" spans="1:88" s="22" customFormat="1">
      <c r="A774" s="1">
        <v>349</v>
      </c>
      <c r="B774" s="74" t="s">
        <v>571</v>
      </c>
      <c r="C774" s="34">
        <v>512</v>
      </c>
      <c r="D774" s="75">
        <v>1107</v>
      </c>
      <c r="E774" s="69">
        <v>101</v>
      </c>
      <c r="F774" s="76" t="s">
        <v>577</v>
      </c>
      <c r="G774" s="20" t="s">
        <v>92</v>
      </c>
      <c r="H774" s="20" t="s">
        <v>578</v>
      </c>
      <c r="I774" s="21">
        <v>12</v>
      </c>
      <c r="J774" s="8">
        <v>2</v>
      </c>
      <c r="K774" s="34" t="s">
        <v>238</v>
      </c>
      <c r="L774" s="18">
        <v>42258</v>
      </c>
      <c r="M774" s="123" t="s">
        <v>191</v>
      </c>
      <c r="N774" s="38">
        <v>4.1500000000000004</v>
      </c>
      <c r="O774" s="38">
        <v>4.46</v>
      </c>
      <c r="P774" s="38">
        <v>1.93</v>
      </c>
      <c r="Q774" s="38">
        <v>1.5</v>
      </c>
      <c r="R774" s="38">
        <v>3.024</v>
      </c>
      <c r="S774" s="38">
        <f t="shared" si="96"/>
        <v>3</v>
      </c>
      <c r="T774" s="38">
        <f>24.1*0.494</f>
        <v>11.9054</v>
      </c>
      <c r="U774" s="38">
        <f>0.2*0.494</f>
        <v>9.8799999999999999E-2</v>
      </c>
      <c r="V774" s="38">
        <v>0</v>
      </c>
      <c r="W774" s="38">
        <v>0</v>
      </c>
      <c r="X774" s="38">
        <v>3.1520000000000001</v>
      </c>
      <c r="Y774" s="38">
        <f t="shared" si="97"/>
        <v>3</v>
      </c>
      <c r="Z774" s="38">
        <v>0</v>
      </c>
      <c r="AA774" s="38">
        <v>0</v>
      </c>
      <c r="AB774" s="38">
        <v>12</v>
      </c>
      <c r="AC774" s="38">
        <v>1.157</v>
      </c>
      <c r="AD774" s="39">
        <v>112.21</v>
      </c>
      <c r="AE774" s="38">
        <v>26.25</v>
      </c>
      <c r="AF774" s="38">
        <f>(AD774+AE774*0.5)/(3.5*I774*1000)*100</f>
        <v>0.29841666666666666</v>
      </c>
      <c r="AG774" s="38">
        <f t="shared" si="98"/>
        <v>0.3</v>
      </c>
      <c r="AH774" s="38">
        <v>78.650000000000006</v>
      </c>
      <c r="AI774" s="38">
        <f>AH774/(3.5*I774*1000)*100</f>
        <v>0.18726190476190477</v>
      </c>
      <c r="AJ774" s="38">
        <v>0.84</v>
      </c>
      <c r="AK774" s="38">
        <f>AJ774/(3.5*I774*1000)*100</f>
        <v>2E-3</v>
      </c>
      <c r="AL774" s="38">
        <v>0</v>
      </c>
      <c r="AM774" s="38">
        <f>AL774/(3.5*I774*1000)*100</f>
        <v>0</v>
      </c>
      <c r="AN774" s="72"/>
      <c r="AO774" s="41"/>
      <c r="AP774" s="41"/>
      <c r="AQ774" s="73"/>
      <c r="AR774" s="73"/>
      <c r="AS774" s="48"/>
      <c r="AT774" s="73"/>
    </row>
    <row r="775" spans="1:88" s="22" customFormat="1">
      <c r="A775" s="1">
        <v>1221</v>
      </c>
      <c r="B775" s="34" t="s">
        <v>1674</v>
      </c>
      <c r="C775" s="88">
        <v>435</v>
      </c>
      <c r="D775" s="88">
        <v>3623</v>
      </c>
      <c r="E775" s="88">
        <v>100</v>
      </c>
      <c r="F775" s="88" t="s">
        <v>1722</v>
      </c>
      <c r="G775" s="88" t="s">
        <v>92</v>
      </c>
      <c r="H775" s="88" t="s">
        <v>1723</v>
      </c>
      <c r="I775" s="115">
        <v>1.81</v>
      </c>
      <c r="J775" s="34">
        <v>2</v>
      </c>
      <c r="K775" s="181" t="s">
        <v>238</v>
      </c>
      <c r="L775" s="116">
        <v>42282</v>
      </c>
      <c r="M775" s="37" t="s">
        <v>191</v>
      </c>
      <c r="N775" s="117">
        <v>0.17499999999999999</v>
      </c>
      <c r="O775" s="117">
        <v>0.875</v>
      </c>
      <c r="P775" s="117">
        <v>0.625</v>
      </c>
      <c r="Q775" s="117">
        <v>0.25</v>
      </c>
      <c r="R775" s="117">
        <v>3.6679200000000001</v>
      </c>
      <c r="S775" s="38">
        <f t="shared" si="96"/>
        <v>3.5</v>
      </c>
      <c r="T775" s="117">
        <v>1.9</v>
      </c>
      <c r="U775" s="117">
        <v>2.5000000000000001E-2</v>
      </c>
      <c r="V775" s="117">
        <v>0</v>
      </c>
      <c r="W775" s="117">
        <v>0</v>
      </c>
      <c r="X775" s="38">
        <v>2.7004800000000002</v>
      </c>
      <c r="Y775" s="38">
        <f t="shared" si="97"/>
        <v>2.5</v>
      </c>
      <c r="Z775" s="38">
        <v>0</v>
      </c>
      <c r="AA775" s="38">
        <v>0</v>
      </c>
      <c r="AB775" s="55">
        <v>1.81</v>
      </c>
      <c r="AC775" s="117">
        <v>1.2795700000000001</v>
      </c>
      <c r="AD775" s="254">
        <v>15</v>
      </c>
      <c r="AE775" s="117">
        <v>7.74</v>
      </c>
      <c r="AF775" s="38">
        <f>(AD775+AE775*0.5)/(3.5*I775*1000)*100</f>
        <v>0.29786898184688243</v>
      </c>
      <c r="AG775" s="38">
        <f t="shared" si="98"/>
        <v>0.3</v>
      </c>
      <c r="AH775" s="117">
        <v>18.326000000000001</v>
      </c>
      <c r="AI775" s="117">
        <v>0.28928199999999998</v>
      </c>
      <c r="AJ775" s="117">
        <v>1.78</v>
      </c>
      <c r="AK775" s="117">
        <v>2.8098000000000001E-2</v>
      </c>
      <c r="AL775" s="117">
        <v>0</v>
      </c>
      <c r="AM775" s="117">
        <v>0</v>
      </c>
      <c r="AN775" s="12"/>
      <c r="AO775" s="1"/>
      <c r="AP775" s="1"/>
      <c r="AQ775" s="1"/>
      <c r="AR775" s="1"/>
      <c r="AS775" s="178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</row>
    <row r="776" spans="1:88" s="22" customFormat="1">
      <c r="A776" s="1">
        <v>207</v>
      </c>
      <c r="B776" s="34" t="s">
        <v>383</v>
      </c>
      <c r="C776" s="34">
        <v>535</v>
      </c>
      <c r="D776" s="34">
        <v>1193</v>
      </c>
      <c r="E776" s="34">
        <v>100</v>
      </c>
      <c r="F776" s="34" t="s">
        <v>401</v>
      </c>
      <c r="G776" s="20">
        <v>700</v>
      </c>
      <c r="H776" s="20">
        <v>35245</v>
      </c>
      <c r="I776" s="35">
        <v>34.545000000000002</v>
      </c>
      <c r="J776" s="36">
        <v>2</v>
      </c>
      <c r="K776" s="34" t="s">
        <v>238</v>
      </c>
      <c r="L776" s="18">
        <v>42210</v>
      </c>
      <c r="M776" s="37" t="s">
        <v>191</v>
      </c>
      <c r="N776" s="38">
        <v>27.87</v>
      </c>
      <c r="O776" s="38">
        <v>4.6500000000000004</v>
      </c>
      <c r="P776" s="38">
        <v>1.39</v>
      </c>
      <c r="Q776" s="38">
        <v>0.65</v>
      </c>
      <c r="R776" s="38">
        <v>2.14012</v>
      </c>
      <c r="S776" s="38">
        <f t="shared" si="96"/>
        <v>2</v>
      </c>
      <c r="T776" s="38">
        <v>31.96</v>
      </c>
      <c r="U776" s="38">
        <v>2.21</v>
      </c>
      <c r="V776" s="38">
        <v>0.38</v>
      </c>
      <c r="W776" s="38">
        <v>0</v>
      </c>
      <c r="X776" s="38">
        <v>5.4292600000000002</v>
      </c>
      <c r="Y776" s="38">
        <f t="shared" si="97"/>
        <v>5.5</v>
      </c>
      <c r="Z776" s="38">
        <v>0</v>
      </c>
      <c r="AA776" s="38">
        <v>0</v>
      </c>
      <c r="AB776" s="38">
        <v>34.54</v>
      </c>
      <c r="AC776" s="38">
        <v>1.1951099999999999</v>
      </c>
      <c r="AD776" s="39">
        <v>338</v>
      </c>
      <c r="AE776" s="38">
        <v>43.75</v>
      </c>
      <c r="AF776" s="38">
        <f>(AD776+AE776*0.5)/(3.5*I776*1000)*100</f>
        <v>0.29764489382379095</v>
      </c>
      <c r="AG776" s="38">
        <f t="shared" si="98"/>
        <v>0.3</v>
      </c>
      <c r="AH776" s="38">
        <v>64</v>
      </c>
      <c r="AI776" s="38">
        <f>AH776/(3.5*I776*1000)*100</f>
        <v>5.2933027314269167E-2</v>
      </c>
      <c r="AJ776" s="38">
        <v>332</v>
      </c>
      <c r="AK776" s="38">
        <f>AJ776/(3.5*I776*1000)*100</f>
        <v>0.27459007919277134</v>
      </c>
      <c r="AL776" s="38">
        <v>0</v>
      </c>
      <c r="AM776" s="38">
        <f t="shared" ref="AM776:AM783" si="99">AL776/(3.5*I776*1000)*100</f>
        <v>0</v>
      </c>
      <c r="AN776" s="25"/>
      <c r="AO776" s="25"/>
      <c r="AP776" s="25">
        <f>AE776*0.5</f>
        <v>21.875</v>
      </c>
      <c r="AQ776" s="25">
        <f>(AD776+AH776+AJ776+AL776+AP776)*I776</f>
        <v>26111.701875000002</v>
      </c>
      <c r="AR776" s="25"/>
      <c r="AS776" s="49"/>
      <c r="AT776" s="25"/>
      <c r="AU776" s="41">
        <f>SUM(N776:Q776)</f>
        <v>34.56</v>
      </c>
      <c r="AV776" s="41">
        <f>SUM(T776:W776)</f>
        <v>34.550000000000004</v>
      </c>
      <c r="AW776" s="41">
        <f>SUM(Z776:AB776)</f>
        <v>34.54</v>
      </c>
      <c r="AX776" s="41"/>
      <c r="AY776" s="22">
        <f>I776/AU776</f>
        <v>0.99956597222222221</v>
      </c>
      <c r="AZ776" s="22">
        <f>I776/AV776</f>
        <v>0.99985528219971054</v>
      </c>
      <c r="BA776" s="22">
        <f>I776/AW776</f>
        <v>1.0001447596988999</v>
      </c>
    </row>
    <row r="777" spans="1:88" s="22" customFormat="1">
      <c r="A777" s="1">
        <v>1796</v>
      </c>
      <c r="B777" s="34" t="s">
        <v>2382</v>
      </c>
      <c r="C777" s="34">
        <v>428</v>
      </c>
      <c r="D777" s="8">
        <v>3241</v>
      </c>
      <c r="E777" s="34">
        <v>102</v>
      </c>
      <c r="F777" s="34" t="s">
        <v>2399</v>
      </c>
      <c r="G777" s="58">
        <v>14000</v>
      </c>
      <c r="H777" s="58">
        <v>27009</v>
      </c>
      <c r="I777" s="35">
        <v>13.009</v>
      </c>
      <c r="J777" s="9">
        <v>2</v>
      </c>
      <c r="K777" s="34" t="s">
        <v>238</v>
      </c>
      <c r="L777" s="10">
        <v>42230</v>
      </c>
      <c r="M777" s="37" t="s">
        <v>191</v>
      </c>
      <c r="N777" s="38">
        <v>7.3</v>
      </c>
      <c r="O777" s="38">
        <v>3.5249999999999999</v>
      </c>
      <c r="P777" s="38">
        <v>1.075</v>
      </c>
      <c r="Q777" s="38">
        <v>0.35</v>
      </c>
      <c r="R777" s="38">
        <v>2.5157099999999999</v>
      </c>
      <c r="S777" s="38">
        <f t="shared" si="96"/>
        <v>2.5</v>
      </c>
      <c r="T777" s="38">
        <v>10.525</v>
      </c>
      <c r="U777" s="38">
        <v>1.675</v>
      </c>
      <c r="V777" s="38">
        <v>0.05</v>
      </c>
      <c r="W777" s="38">
        <v>0</v>
      </c>
      <c r="X777" s="38">
        <v>7.2427900000000003</v>
      </c>
      <c r="Y777" s="38">
        <f t="shared" si="97"/>
        <v>7</v>
      </c>
      <c r="Z777" s="38">
        <v>0</v>
      </c>
      <c r="AA777" s="38">
        <v>0</v>
      </c>
      <c r="AB777" s="38">
        <f>SUM(N777:Q777)</f>
        <v>12.249999999999998</v>
      </c>
      <c r="AC777" s="38">
        <v>1.2768600000000001</v>
      </c>
      <c r="AD777" s="39">
        <v>134.66999999999999</v>
      </c>
      <c r="AE777" s="38">
        <v>0</v>
      </c>
      <c r="AF777" s="38">
        <f>(AD777+AE777*0.5)/(3.5*I777*1000)*100</f>
        <v>0.29577325587779885</v>
      </c>
      <c r="AG777" s="38">
        <f t="shared" si="98"/>
        <v>0.3</v>
      </c>
      <c r="AH777" s="38">
        <v>0</v>
      </c>
      <c r="AI777" s="38">
        <f>AH777/(3.5*I777*1000)*100</f>
        <v>0</v>
      </c>
      <c r="AJ777" s="38">
        <v>0</v>
      </c>
      <c r="AK777" s="38">
        <f>AJ777/(3.5*I777*1000)*100</f>
        <v>0</v>
      </c>
      <c r="AL777" s="38">
        <v>0</v>
      </c>
      <c r="AM777" s="38">
        <f t="shared" si="99"/>
        <v>0</v>
      </c>
      <c r="AN777" s="25"/>
      <c r="AO777" s="25">
        <f>AE777*0.5</f>
        <v>0</v>
      </c>
      <c r="AP777" s="25">
        <f>(AD777+AH777+AJ777+AL777+AO777)*I777</f>
        <v>1751.9220299999999</v>
      </c>
      <c r="AQ777" s="25">
        <f>SUM(N777:Q777)</f>
        <v>12.249999999999998</v>
      </c>
      <c r="AR777" s="25">
        <f>SUM(T777:W777)</f>
        <v>12.250000000000002</v>
      </c>
      <c r="AS777" s="48"/>
      <c r="AT777" s="41"/>
      <c r="AU777" s="41"/>
      <c r="AV777" s="41"/>
      <c r="AW777" s="41"/>
    </row>
    <row r="778" spans="1:88" s="22" customFormat="1">
      <c r="A778" s="1">
        <v>1992</v>
      </c>
      <c r="B778" s="34" t="s">
        <v>2615</v>
      </c>
      <c r="C778" s="34">
        <v>322</v>
      </c>
      <c r="D778" s="75">
        <v>4261</v>
      </c>
      <c r="E778" s="8">
        <v>100</v>
      </c>
      <c r="F778" s="34" t="s">
        <v>2633</v>
      </c>
      <c r="G778" s="58">
        <v>0</v>
      </c>
      <c r="H778" s="58">
        <v>12523</v>
      </c>
      <c r="I778" s="21">
        <v>12.523</v>
      </c>
      <c r="J778" s="8">
        <v>2</v>
      </c>
      <c r="K778" s="8" t="s">
        <v>96</v>
      </c>
      <c r="L778" s="18">
        <v>42130</v>
      </c>
      <c r="M778" s="37" t="s">
        <v>191</v>
      </c>
      <c r="N778" s="38">
        <v>8.3249999999999993</v>
      </c>
      <c r="O778" s="38">
        <v>2.625</v>
      </c>
      <c r="P778" s="38">
        <v>1.1000000000000001</v>
      </c>
      <c r="Q778" s="38">
        <v>0.55000000000000004</v>
      </c>
      <c r="R778" s="38">
        <v>2.5036900000000002</v>
      </c>
      <c r="S778" s="38">
        <f t="shared" si="96"/>
        <v>2.5</v>
      </c>
      <c r="T778" s="38">
        <v>12.5</v>
      </c>
      <c r="U778" s="38">
        <v>0.1</v>
      </c>
      <c r="V778" s="38">
        <v>0</v>
      </c>
      <c r="W778" s="38">
        <v>0</v>
      </c>
      <c r="X778" s="38">
        <v>1.9132199999999999</v>
      </c>
      <c r="Y778" s="38">
        <f t="shared" si="97"/>
        <v>2</v>
      </c>
      <c r="Z778" s="38">
        <v>0</v>
      </c>
      <c r="AA778" s="38">
        <v>0</v>
      </c>
      <c r="AB778" s="38">
        <v>12.6</v>
      </c>
      <c r="AC778" s="38">
        <v>1.3486400000000001</v>
      </c>
      <c r="AD778" s="39">
        <v>125.57</v>
      </c>
      <c r="AE778" s="38">
        <v>8</v>
      </c>
      <c r="AF778" s="38">
        <v>0.29561606643775451</v>
      </c>
      <c r="AG778" s="38">
        <f t="shared" si="98"/>
        <v>0.3</v>
      </c>
      <c r="AH778" s="38">
        <v>36.58</v>
      </c>
      <c r="AI778" s="38">
        <v>8.34578660978086E-2</v>
      </c>
      <c r="AJ778" s="38">
        <v>0</v>
      </c>
      <c r="AK778" s="38">
        <v>0</v>
      </c>
      <c r="AL778" s="38">
        <v>0</v>
      </c>
      <c r="AM778" s="38">
        <f t="shared" si="99"/>
        <v>0</v>
      </c>
      <c r="AN778" s="72"/>
      <c r="AO778" s="41"/>
      <c r="AP778" s="41"/>
      <c r="AQ778" s="73"/>
      <c r="AR778" s="73"/>
      <c r="AS778" s="48"/>
      <c r="AT778" s="73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</row>
    <row r="779" spans="1:88" s="22" customFormat="1">
      <c r="A779" s="1">
        <v>23</v>
      </c>
      <c r="B779" s="4" t="s">
        <v>21</v>
      </c>
      <c r="C779" s="14">
        <v>522</v>
      </c>
      <c r="D779" s="19">
        <v>107</v>
      </c>
      <c r="E779" s="16">
        <v>100</v>
      </c>
      <c r="F779" s="16" t="s">
        <v>169</v>
      </c>
      <c r="G779" s="20">
        <v>17915</v>
      </c>
      <c r="H779" s="20" t="s">
        <v>214</v>
      </c>
      <c r="I779" s="21">
        <v>13.891999999999999</v>
      </c>
      <c r="J779" s="8">
        <v>4</v>
      </c>
      <c r="K779" s="9" t="s">
        <v>237</v>
      </c>
      <c r="L779" s="24">
        <v>42234</v>
      </c>
      <c r="M779" s="37" t="s">
        <v>191</v>
      </c>
      <c r="N779" s="11">
        <v>3.55</v>
      </c>
      <c r="O779" s="11">
        <v>3.9</v>
      </c>
      <c r="P779" s="11">
        <v>2.85</v>
      </c>
      <c r="Q779" s="11">
        <v>3.5</v>
      </c>
      <c r="R779" s="11">
        <v>4.1368099999999997</v>
      </c>
      <c r="S779" s="38">
        <f t="shared" si="96"/>
        <v>4</v>
      </c>
      <c r="T779" s="11">
        <v>13.8</v>
      </c>
      <c r="U779" s="11">
        <v>0</v>
      </c>
      <c r="V779" s="11">
        <v>0</v>
      </c>
      <c r="W779" s="11">
        <v>0</v>
      </c>
      <c r="X779" s="11">
        <v>2.2136399999999998</v>
      </c>
      <c r="Y779" s="38">
        <f t="shared" si="97"/>
        <v>2</v>
      </c>
      <c r="Z779" s="11">
        <v>0</v>
      </c>
      <c r="AA779" s="11">
        <v>0</v>
      </c>
      <c r="AB779" s="11">
        <f>SUM(N779:Q779)</f>
        <v>13.799999999999999</v>
      </c>
      <c r="AC779" s="11">
        <v>1.1223399999999999</v>
      </c>
      <c r="AD779" s="164">
        <v>132.05000000000001</v>
      </c>
      <c r="AE779" s="11">
        <v>21.44</v>
      </c>
      <c r="AF779" s="11">
        <f t="shared" ref="AF779:AF788" si="100">(AD779+AE779*0.5)/(3.5*I779*1000)*100</f>
        <v>0.29363251203159069</v>
      </c>
      <c r="AG779" s="38">
        <f t="shared" si="98"/>
        <v>0.3</v>
      </c>
      <c r="AH779" s="11">
        <v>125.44</v>
      </c>
      <c r="AI779" s="11">
        <f t="shared" ref="AI779:AI788" si="101">AH779/(3.5*I779*1000)*100</f>
        <v>0.25799021019291679</v>
      </c>
      <c r="AJ779" s="11">
        <v>0</v>
      </c>
      <c r="AK779" s="11">
        <f t="shared" ref="AK779:AK788" si="102">AJ779/(3.5*I779*1000)*100</f>
        <v>0</v>
      </c>
      <c r="AL779" s="11">
        <v>0</v>
      </c>
      <c r="AM779" s="11">
        <f t="shared" si="99"/>
        <v>0</v>
      </c>
      <c r="AO779" s="25"/>
      <c r="AP779" s="25"/>
      <c r="AS779" s="48"/>
    </row>
    <row r="780" spans="1:88">
      <c r="A780" s="1">
        <v>1507</v>
      </c>
      <c r="B780" s="34" t="s">
        <v>2069</v>
      </c>
      <c r="C780" s="34">
        <v>413</v>
      </c>
      <c r="D780" s="69">
        <v>347</v>
      </c>
      <c r="E780" s="34">
        <v>200</v>
      </c>
      <c r="F780" s="34" t="s">
        <v>2076</v>
      </c>
      <c r="G780" s="58" t="s">
        <v>2077</v>
      </c>
      <c r="H780" s="58" t="s">
        <v>1999</v>
      </c>
      <c r="I780" s="35">
        <v>9</v>
      </c>
      <c r="J780" s="34">
        <v>4</v>
      </c>
      <c r="K780" s="34" t="s">
        <v>96</v>
      </c>
      <c r="L780" s="10">
        <v>42264</v>
      </c>
      <c r="M780" s="37" t="s">
        <v>191</v>
      </c>
      <c r="N780" s="38">
        <v>1.65</v>
      </c>
      <c r="O780" s="38">
        <v>4.4749999999999996</v>
      </c>
      <c r="P780" s="38">
        <v>2.0499999999999998</v>
      </c>
      <c r="Q780" s="38">
        <v>0.92500000000000004</v>
      </c>
      <c r="R780" s="38">
        <v>3.7440000000000002</v>
      </c>
      <c r="S780" s="38">
        <f t="shared" si="96"/>
        <v>3.5</v>
      </c>
      <c r="T780" s="38">
        <v>7.4</v>
      </c>
      <c r="U780" s="38">
        <v>0.97499999999999998</v>
      </c>
      <c r="V780" s="38">
        <v>0.42499999999999999</v>
      </c>
      <c r="W780" s="38">
        <v>0.3</v>
      </c>
      <c r="X780" s="38">
        <v>4.8899999999999997</v>
      </c>
      <c r="Y780" s="38">
        <f t="shared" si="97"/>
        <v>5</v>
      </c>
      <c r="Z780" s="38">
        <v>0</v>
      </c>
      <c r="AA780" s="38">
        <v>0</v>
      </c>
      <c r="AB780" s="196">
        <v>9</v>
      </c>
      <c r="AC780" s="38">
        <v>1.405</v>
      </c>
      <c r="AD780" s="39">
        <v>62</v>
      </c>
      <c r="AE780" s="38">
        <v>60.2</v>
      </c>
      <c r="AF780" s="38">
        <f t="shared" si="100"/>
        <v>0.29238095238095241</v>
      </c>
      <c r="AG780" s="38">
        <f t="shared" si="98"/>
        <v>0.3</v>
      </c>
      <c r="AH780" s="38">
        <v>0</v>
      </c>
      <c r="AI780" s="38">
        <f t="shared" si="101"/>
        <v>0</v>
      </c>
      <c r="AJ780" s="38">
        <v>37.89</v>
      </c>
      <c r="AK780" s="38">
        <f t="shared" si="102"/>
        <v>0.12028571428571429</v>
      </c>
      <c r="AL780" s="38">
        <v>0</v>
      </c>
      <c r="AM780" s="38">
        <f t="shared" si="99"/>
        <v>0</v>
      </c>
      <c r="AN780" s="25"/>
      <c r="AO780" s="25">
        <f>AE780*0.5</f>
        <v>30.1</v>
      </c>
      <c r="AP780" s="25">
        <f>(AD780+AH780+AJ780+AL780+AO780)*I780</f>
        <v>1169.9100000000001</v>
      </c>
      <c r="AQ780" s="25">
        <f>(AD780+AH780+AJ780+AL780)*I780</f>
        <v>899.01</v>
      </c>
      <c r="AR780" s="25"/>
      <c r="AS780" s="25"/>
      <c r="AT780" s="22"/>
      <c r="AU780" s="275">
        <v>9</v>
      </c>
      <c r="AV780" s="41">
        <f>SUM(N780:Q780)</f>
        <v>9.1000000000000014</v>
      </c>
      <c r="AW780" s="41">
        <f>SUM(T780:W780)</f>
        <v>9.1000000000000014</v>
      </c>
      <c r="AX780" s="41">
        <f>SUM(Z780:AB780)</f>
        <v>9</v>
      </c>
      <c r="AY780" s="22"/>
      <c r="AZ780" s="22">
        <f>I780/AV780</f>
        <v>0.98901098901098883</v>
      </c>
      <c r="BA780" s="22">
        <f>I780/AW780</f>
        <v>0.98901098901098883</v>
      </c>
      <c r="BB780" s="22">
        <f>I780/AX780</f>
        <v>1</v>
      </c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  <c r="CH780" s="22"/>
      <c r="CI780" s="22"/>
      <c r="CJ780" s="22"/>
    </row>
    <row r="781" spans="1:88" s="22" customFormat="1">
      <c r="A781" s="1">
        <v>37</v>
      </c>
      <c r="B781" s="4" t="s">
        <v>21</v>
      </c>
      <c r="C781" s="14">
        <v>522</v>
      </c>
      <c r="D781" s="19">
        <v>1230</v>
      </c>
      <c r="E781" s="16">
        <v>100</v>
      </c>
      <c r="F781" s="16" t="s">
        <v>32</v>
      </c>
      <c r="G781" s="20" t="s">
        <v>92</v>
      </c>
      <c r="H781" s="20" t="s">
        <v>199</v>
      </c>
      <c r="I781" s="21">
        <v>20.734000000000002</v>
      </c>
      <c r="J781" s="8">
        <v>2</v>
      </c>
      <c r="K781" s="9" t="s">
        <v>238</v>
      </c>
      <c r="L781" s="24">
        <v>42238</v>
      </c>
      <c r="M781" s="37" t="s">
        <v>191</v>
      </c>
      <c r="N781" s="11">
        <v>2.625</v>
      </c>
      <c r="O781" s="11">
        <v>2.6749999999999998</v>
      </c>
      <c r="P781" s="11">
        <v>5.5</v>
      </c>
      <c r="Q781" s="11">
        <v>9.9250000000000007</v>
      </c>
      <c r="R781" s="11">
        <v>5.6279500000000002</v>
      </c>
      <c r="S781" s="38">
        <f t="shared" si="96"/>
        <v>5.5</v>
      </c>
      <c r="T781" s="11">
        <v>15.225</v>
      </c>
      <c r="U781" s="11">
        <v>2.2000000000000002</v>
      </c>
      <c r="V781" s="11">
        <v>1.0249999999999999</v>
      </c>
      <c r="W781" s="11">
        <v>2.2749999999999999</v>
      </c>
      <c r="X781" s="11">
        <v>8.7755700000000001</v>
      </c>
      <c r="Y781" s="38">
        <f t="shared" si="97"/>
        <v>9</v>
      </c>
      <c r="Z781" s="11">
        <v>0</v>
      </c>
      <c r="AA781" s="11">
        <v>0</v>
      </c>
      <c r="AB781" s="11">
        <f>SUM(N781:Q781)</f>
        <v>20.725000000000001</v>
      </c>
      <c r="AC781" s="11">
        <v>2.4024299999999998</v>
      </c>
      <c r="AD781" s="164">
        <v>43.15</v>
      </c>
      <c r="AE781" s="11">
        <v>337.72</v>
      </c>
      <c r="AF781" s="11">
        <f t="shared" si="100"/>
        <v>0.29214954043737684</v>
      </c>
      <c r="AG781" s="38">
        <f t="shared" si="98"/>
        <v>0.3</v>
      </c>
      <c r="AH781" s="11">
        <v>10584.09</v>
      </c>
      <c r="AI781" s="11">
        <f t="shared" si="101"/>
        <v>14.584864060411471</v>
      </c>
      <c r="AJ781" s="11">
        <v>618</v>
      </c>
      <c r="AK781" s="11">
        <f t="shared" si="102"/>
        <v>0.85160330168529264</v>
      </c>
      <c r="AL781" s="11">
        <v>57.7</v>
      </c>
      <c r="AM781" s="11">
        <f t="shared" si="99"/>
        <v>7.9510534801361457E-2</v>
      </c>
      <c r="AO781" s="25"/>
      <c r="AP781" s="25"/>
    </row>
    <row r="782" spans="1:88" s="22" customFormat="1">
      <c r="A782" s="1">
        <v>197</v>
      </c>
      <c r="B782" s="34" t="s">
        <v>383</v>
      </c>
      <c r="C782" s="34">
        <v>535</v>
      </c>
      <c r="D782" s="34">
        <v>1091</v>
      </c>
      <c r="E782" s="34">
        <v>101</v>
      </c>
      <c r="F782" s="34" t="s">
        <v>388</v>
      </c>
      <c r="G782" s="20" t="s">
        <v>92</v>
      </c>
      <c r="H782" s="20" t="s">
        <v>389</v>
      </c>
      <c r="I782" s="35">
        <v>22</v>
      </c>
      <c r="J782" s="36">
        <v>2</v>
      </c>
      <c r="K782" s="34" t="s">
        <v>12</v>
      </c>
      <c r="L782" s="18">
        <v>42209</v>
      </c>
      <c r="M782" s="37" t="s">
        <v>191</v>
      </c>
      <c r="N782" s="38">
        <v>18.71</v>
      </c>
      <c r="O782" s="38">
        <v>2.54</v>
      </c>
      <c r="P782" s="38">
        <v>0.57999999999999996</v>
      </c>
      <c r="Q782" s="38">
        <v>0.18</v>
      </c>
      <c r="R782" s="38">
        <v>1.865</v>
      </c>
      <c r="S782" s="38">
        <f t="shared" si="96"/>
        <v>2</v>
      </c>
      <c r="T782" s="38">
        <v>21.75</v>
      </c>
      <c r="U782" s="38">
        <v>0.18</v>
      </c>
      <c r="V782" s="38">
        <v>0.08</v>
      </c>
      <c r="W782" s="38">
        <v>0</v>
      </c>
      <c r="X782" s="38">
        <v>2.8769999999999998</v>
      </c>
      <c r="Y782" s="38">
        <f t="shared" si="97"/>
        <v>3</v>
      </c>
      <c r="Z782" s="38">
        <v>0</v>
      </c>
      <c r="AA782" s="38">
        <v>0</v>
      </c>
      <c r="AB782" s="38">
        <v>22.01</v>
      </c>
      <c r="AC782" s="38">
        <v>1.1890000000000001</v>
      </c>
      <c r="AD782" s="39">
        <v>0</v>
      </c>
      <c r="AE782" s="38">
        <v>448.14</v>
      </c>
      <c r="AF782" s="38">
        <f t="shared" si="100"/>
        <v>0.29099999999999998</v>
      </c>
      <c r="AG782" s="38">
        <f t="shared" si="98"/>
        <v>0.3</v>
      </c>
      <c r="AH782" s="38">
        <v>0.73</v>
      </c>
      <c r="AI782" s="38">
        <f t="shared" si="101"/>
        <v>9.4805194805194803E-4</v>
      </c>
      <c r="AJ782" s="38">
        <v>0</v>
      </c>
      <c r="AK782" s="38">
        <f t="shared" si="102"/>
        <v>0</v>
      </c>
      <c r="AL782" s="38">
        <v>0</v>
      </c>
      <c r="AM782" s="38">
        <f t="shared" si="99"/>
        <v>0</v>
      </c>
      <c r="AN782" s="25"/>
      <c r="AO782" s="25"/>
      <c r="AP782" s="25">
        <f>AE782*0.5</f>
        <v>224.07</v>
      </c>
      <c r="AQ782" s="25">
        <f>(AD782+AH782+AJ782+AL782+AP782)*I782</f>
        <v>4945.5999999999995</v>
      </c>
      <c r="AR782" s="25"/>
      <c r="AS782" s="25"/>
      <c r="AT782" s="25"/>
      <c r="AU782" s="41">
        <f>SUM(N782:Q782)</f>
        <v>22.009999999999998</v>
      </c>
      <c r="AV782" s="41">
        <f>SUM(T782:W782)</f>
        <v>22.009999999999998</v>
      </c>
      <c r="AW782" s="41">
        <f>SUM(Z782:AB782)</f>
        <v>22.01</v>
      </c>
      <c r="AX782" s="41"/>
      <c r="AY782" s="22">
        <f>I782/AU782</f>
        <v>0.99954566106315323</v>
      </c>
      <c r="AZ782" s="22">
        <f>I782/AV782</f>
        <v>0.99954566106315323</v>
      </c>
      <c r="BA782" s="22">
        <f>I782/AW782</f>
        <v>0.99954566106315301</v>
      </c>
    </row>
    <row r="783" spans="1:88" s="22" customFormat="1">
      <c r="A783" s="1">
        <v>1068</v>
      </c>
      <c r="B783" s="88" t="s">
        <v>1467</v>
      </c>
      <c r="C783" s="88">
        <v>619</v>
      </c>
      <c r="D783" s="8">
        <v>359</v>
      </c>
      <c r="E783" s="88">
        <v>102</v>
      </c>
      <c r="F783" s="34" t="s">
        <v>1472</v>
      </c>
      <c r="G783" s="58">
        <v>10396</v>
      </c>
      <c r="H783" s="58">
        <v>26793</v>
      </c>
      <c r="I783" s="35">
        <v>16.396999999999998</v>
      </c>
      <c r="J783" s="9">
        <v>4</v>
      </c>
      <c r="K783" s="88" t="s">
        <v>237</v>
      </c>
      <c r="L783" s="116">
        <v>42094</v>
      </c>
      <c r="M783" s="37" t="s">
        <v>191</v>
      </c>
      <c r="N783" s="117">
        <v>13.69</v>
      </c>
      <c r="O783" s="117">
        <v>2</v>
      </c>
      <c r="P783" s="117">
        <v>0.34</v>
      </c>
      <c r="Q783" s="117">
        <v>0.37</v>
      </c>
      <c r="R783" s="117">
        <v>2.11843</v>
      </c>
      <c r="S783" s="38">
        <f t="shared" si="96"/>
        <v>2</v>
      </c>
      <c r="T783" s="117">
        <v>15.46</v>
      </c>
      <c r="U783" s="117">
        <v>0.79</v>
      </c>
      <c r="V783" s="117">
        <v>0.15</v>
      </c>
      <c r="W783" s="117">
        <v>0</v>
      </c>
      <c r="X783" s="117">
        <v>6.4491500000000004</v>
      </c>
      <c r="Y783" s="38">
        <f t="shared" si="97"/>
        <v>6.5</v>
      </c>
      <c r="Z783" s="117">
        <v>0</v>
      </c>
      <c r="AA783" s="117">
        <v>0</v>
      </c>
      <c r="AB783" s="117">
        <v>16.399999999999999</v>
      </c>
      <c r="AC783" s="117">
        <v>1.46872</v>
      </c>
      <c r="AD783" s="39">
        <v>167</v>
      </c>
      <c r="AE783" s="38">
        <v>0</v>
      </c>
      <c r="AF783" s="169">
        <f t="shared" si="100"/>
        <v>0.29099399715975915</v>
      </c>
      <c r="AG783" s="38">
        <f t="shared" si="98"/>
        <v>0.3</v>
      </c>
      <c r="AH783" s="38">
        <v>0</v>
      </c>
      <c r="AI783" s="99">
        <f t="shared" si="101"/>
        <v>0</v>
      </c>
      <c r="AJ783" s="38">
        <v>0</v>
      </c>
      <c r="AK783" s="99">
        <f t="shared" si="102"/>
        <v>0</v>
      </c>
      <c r="AL783" s="38">
        <v>0</v>
      </c>
      <c r="AM783" s="99">
        <f t="shared" si="99"/>
        <v>0</v>
      </c>
      <c r="AN783" s="12"/>
      <c r="AO783" s="12"/>
      <c r="AP783" s="12">
        <f>AE783*0.5</f>
        <v>0</v>
      </c>
      <c r="AQ783" s="12">
        <f>(AD783+AH783+AJ783+AL783+AP783)*I783</f>
        <v>2738.2989999999995</v>
      </c>
      <c r="AR783" s="12"/>
      <c r="AS783" s="25">
        <f>SUM(N783:Q783)</f>
        <v>16.400000000000002</v>
      </c>
      <c r="AT783" s="22">
        <f>SUM(T783:W783)</f>
        <v>16.399999999999999</v>
      </c>
      <c r="AU783" s="268">
        <v>16.396999999999998</v>
      </c>
      <c r="AV783" s="41">
        <f>SUM(N783:Q783)</f>
        <v>16.400000000000002</v>
      </c>
      <c r="AW783" s="41">
        <f>SUM(T783:W783)</f>
        <v>16.399999999999999</v>
      </c>
      <c r="AX783" s="41">
        <f>SUM(Z783:AB783)</f>
        <v>16.399999999999999</v>
      </c>
      <c r="AZ783" s="22">
        <f>I783/AV783</f>
        <v>0.99981707317073143</v>
      </c>
      <c r="BA783" s="22">
        <f>I783/AW783</f>
        <v>0.99981707317073165</v>
      </c>
      <c r="BB783" s="22">
        <f>I783/AX783</f>
        <v>0.99981707317073165</v>
      </c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</row>
    <row r="784" spans="1:88" s="22" customFormat="1">
      <c r="A784" s="1">
        <v>1175</v>
      </c>
      <c r="B784" s="34" t="s">
        <v>1639</v>
      </c>
      <c r="C784" s="34">
        <v>433</v>
      </c>
      <c r="D784" s="34">
        <v>311</v>
      </c>
      <c r="E784" s="34">
        <v>201</v>
      </c>
      <c r="F784" s="34" t="s">
        <v>1645</v>
      </c>
      <c r="G784" s="58" t="s">
        <v>1648</v>
      </c>
      <c r="H784" s="58" t="s">
        <v>1647</v>
      </c>
      <c r="I784" s="55">
        <v>11.701000000000001</v>
      </c>
      <c r="J784" s="34">
        <v>4</v>
      </c>
      <c r="K784" s="34" t="s">
        <v>1521</v>
      </c>
      <c r="L784" s="10">
        <v>42282</v>
      </c>
      <c r="M784" s="37" t="s">
        <v>191</v>
      </c>
      <c r="N784" s="38">
        <v>8.1</v>
      </c>
      <c r="O784" s="38">
        <v>2.3250000000000002</v>
      </c>
      <c r="P784" s="38">
        <v>0.75</v>
      </c>
      <c r="Q784" s="38">
        <v>0.57499999999999996</v>
      </c>
      <c r="R784" s="38">
        <v>2.6793999999999998</v>
      </c>
      <c r="S784" s="38">
        <f t="shared" si="96"/>
        <v>2.5</v>
      </c>
      <c r="T784" s="38">
        <v>11.475</v>
      </c>
      <c r="U784" s="38">
        <v>0.25</v>
      </c>
      <c r="V784" s="38">
        <v>2.5000000000000001E-2</v>
      </c>
      <c r="W784" s="38">
        <v>0</v>
      </c>
      <c r="X784" s="38">
        <v>4.3825599999999998</v>
      </c>
      <c r="Y784" s="38">
        <f t="shared" si="97"/>
        <v>4.5</v>
      </c>
      <c r="Z784" s="38">
        <v>0</v>
      </c>
      <c r="AA784" s="38">
        <v>0</v>
      </c>
      <c r="AB784" s="38">
        <v>11.701000000000001</v>
      </c>
      <c r="AC784" s="38">
        <v>1.1644699999999999</v>
      </c>
      <c r="AD784" s="39">
        <v>118</v>
      </c>
      <c r="AE784" s="38">
        <v>1.2</v>
      </c>
      <c r="AF784" s="38">
        <f t="shared" si="100"/>
        <v>0.28959673776356104</v>
      </c>
      <c r="AG784" s="38">
        <f t="shared" si="98"/>
        <v>0.3</v>
      </c>
      <c r="AH784" s="38">
        <v>75.599999999999994</v>
      </c>
      <c r="AI784" s="38">
        <f t="shared" si="101"/>
        <v>0.18459960687120755</v>
      </c>
      <c r="AJ784" s="38">
        <v>0</v>
      </c>
      <c r="AK784" s="38">
        <f t="shared" si="102"/>
        <v>0</v>
      </c>
      <c r="AL784" s="38">
        <v>0</v>
      </c>
      <c r="AM784" s="38">
        <f>AJ784/(3.5*I784*1000)*100</f>
        <v>0</v>
      </c>
      <c r="AN784" s="25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</row>
    <row r="785" spans="1:88" s="22" customFormat="1">
      <c r="A785" s="1">
        <v>1897</v>
      </c>
      <c r="B785" s="34" t="s">
        <v>2528</v>
      </c>
      <c r="C785" s="34">
        <v>336</v>
      </c>
      <c r="D785" s="75">
        <v>3274</v>
      </c>
      <c r="E785" s="8">
        <v>100</v>
      </c>
      <c r="F785" s="9" t="s">
        <v>2537</v>
      </c>
      <c r="G785" s="20" t="s">
        <v>2538</v>
      </c>
      <c r="H785" s="20" t="s">
        <v>92</v>
      </c>
      <c r="I785" s="21">
        <v>6.1779999999999999</v>
      </c>
      <c r="J785" s="8">
        <v>2</v>
      </c>
      <c r="K785" s="8" t="s">
        <v>12</v>
      </c>
      <c r="L785" s="18">
        <v>42102</v>
      </c>
      <c r="M785" s="247" t="s">
        <v>191</v>
      </c>
      <c r="N785" s="26">
        <v>4.2300000000000004</v>
      </c>
      <c r="O785" s="26">
        <v>1.1000000000000001</v>
      </c>
      <c r="P785" s="26">
        <v>0.28000000000000003</v>
      </c>
      <c r="Q785" s="26">
        <v>0.57999999999999996</v>
      </c>
      <c r="R785" s="26">
        <v>2.77583</v>
      </c>
      <c r="S785" s="38">
        <f t="shared" si="96"/>
        <v>3</v>
      </c>
      <c r="T785" s="26">
        <v>5.7</v>
      </c>
      <c r="U785" s="26">
        <v>0.45</v>
      </c>
      <c r="V785" s="26">
        <v>0.03</v>
      </c>
      <c r="W785" s="26">
        <v>0</v>
      </c>
      <c r="X785" s="26">
        <v>5.6795</v>
      </c>
      <c r="Y785" s="38">
        <f t="shared" si="97"/>
        <v>5.5</v>
      </c>
      <c r="Z785" s="11">
        <v>0</v>
      </c>
      <c r="AA785" s="11">
        <v>0</v>
      </c>
      <c r="AB785" s="11">
        <v>6.18</v>
      </c>
      <c r="AC785" s="11">
        <v>1.17065</v>
      </c>
      <c r="AD785" s="164">
        <v>55.88</v>
      </c>
      <c r="AE785" s="11">
        <v>12.43</v>
      </c>
      <c r="AF785" s="38">
        <f t="shared" si="100"/>
        <v>0.28717106784442492</v>
      </c>
      <c r="AG785" s="38">
        <f t="shared" si="98"/>
        <v>0.3</v>
      </c>
      <c r="AH785" s="38">
        <v>345.08</v>
      </c>
      <c r="AI785" s="38">
        <f t="shared" si="101"/>
        <v>1.59589326180456</v>
      </c>
      <c r="AJ785" s="38">
        <v>0</v>
      </c>
      <c r="AK785" s="38">
        <f t="shared" si="102"/>
        <v>0</v>
      </c>
      <c r="AL785" s="38">
        <v>2.29</v>
      </c>
      <c r="AM785" s="38">
        <f>AL785/(3.5*I785*1000)*100</f>
        <v>1.0590574850853258E-2</v>
      </c>
      <c r="AN785" s="1"/>
      <c r="AO785" s="1"/>
      <c r="AQ785" s="41">
        <f>SUM(N785:Q785)</f>
        <v>6.19</v>
      </c>
      <c r="AR785" s="41">
        <f>SUM(T785:W785)</f>
        <v>6.1800000000000006</v>
      </c>
      <c r="AS785" s="12">
        <f>SUM(Z785:AB785)</f>
        <v>6.18</v>
      </c>
      <c r="AT785" s="1"/>
      <c r="AU785" s="1">
        <f>I785/AQ785</f>
        <v>0.99806138933764132</v>
      </c>
      <c r="AV785" s="1">
        <f>I785/AR785</f>
        <v>0.99967637540453058</v>
      </c>
      <c r="AW785" s="1">
        <f>I785/AS785</f>
        <v>0.9996763754045308</v>
      </c>
    </row>
    <row r="786" spans="1:88" s="22" customFormat="1">
      <c r="A786" s="1">
        <v>1111</v>
      </c>
      <c r="B786" s="9" t="s">
        <v>1513</v>
      </c>
      <c r="C786" s="34">
        <v>431</v>
      </c>
      <c r="D786" s="75">
        <v>3017</v>
      </c>
      <c r="E786" s="69">
        <v>101</v>
      </c>
      <c r="F786" s="34" t="s">
        <v>1540</v>
      </c>
      <c r="G786" s="20" t="s">
        <v>1541</v>
      </c>
      <c r="H786" s="20" t="s">
        <v>92</v>
      </c>
      <c r="I786" s="21">
        <v>12.99</v>
      </c>
      <c r="J786" s="8">
        <v>4</v>
      </c>
      <c r="K786" s="5" t="s">
        <v>12</v>
      </c>
      <c r="L786" s="18">
        <v>42282</v>
      </c>
      <c r="M786" s="37" t="s">
        <v>191</v>
      </c>
      <c r="N786" s="38">
        <v>4.3</v>
      </c>
      <c r="O786" s="38">
        <v>1.35</v>
      </c>
      <c r="P786" s="38">
        <v>0.65</v>
      </c>
      <c r="Q786" s="38">
        <v>0.2</v>
      </c>
      <c r="R786" s="38">
        <v>2.4281899999999998</v>
      </c>
      <c r="S786" s="38">
        <f t="shared" si="96"/>
        <v>2.5</v>
      </c>
      <c r="T786" s="38">
        <v>6.0250000000000004</v>
      </c>
      <c r="U786" s="38">
        <v>0.05</v>
      </c>
      <c r="V786" s="38">
        <v>0.1</v>
      </c>
      <c r="W786" s="38">
        <v>0.32500000000000001</v>
      </c>
      <c r="X786" s="38">
        <v>4.1602300000000003</v>
      </c>
      <c r="Y786" s="38">
        <f t="shared" si="97"/>
        <v>4</v>
      </c>
      <c r="Z786" s="38">
        <v>0</v>
      </c>
      <c r="AA786" s="38">
        <v>0</v>
      </c>
      <c r="AB786" s="38">
        <v>12.99</v>
      </c>
      <c r="AC786" s="38">
        <v>1.15909</v>
      </c>
      <c r="AD786" s="39">
        <v>129.87</v>
      </c>
      <c r="AE786" s="38">
        <v>1.36</v>
      </c>
      <c r="AF786" s="38">
        <f t="shared" si="100"/>
        <v>0.28714395688991534</v>
      </c>
      <c r="AG786" s="38">
        <f t="shared" si="98"/>
        <v>0.3</v>
      </c>
      <c r="AH786" s="38">
        <v>14.36</v>
      </c>
      <c r="AI786" s="38">
        <f t="shared" si="101"/>
        <v>3.1584735510832511E-2</v>
      </c>
      <c r="AJ786" s="38">
        <v>0</v>
      </c>
      <c r="AK786" s="38">
        <f t="shared" si="102"/>
        <v>0</v>
      </c>
      <c r="AL786" s="38">
        <v>0</v>
      </c>
      <c r="AM786" s="38">
        <f>AL786/(3.5*I786*1000)*100</f>
        <v>0</v>
      </c>
      <c r="AN786" s="41"/>
      <c r="AO786" s="72"/>
      <c r="AP786" s="73"/>
      <c r="AQ786" s="73"/>
    </row>
    <row r="787" spans="1:88" s="22" customFormat="1">
      <c r="A787" s="1">
        <v>713</v>
      </c>
      <c r="B787" s="34" t="s">
        <v>1106</v>
      </c>
      <c r="C787" s="34">
        <v>626</v>
      </c>
      <c r="D787" s="34">
        <v>2359</v>
      </c>
      <c r="E787" s="34">
        <v>102</v>
      </c>
      <c r="F787" s="34" t="s">
        <v>1122</v>
      </c>
      <c r="G787" s="58">
        <v>41628</v>
      </c>
      <c r="H787" s="58">
        <v>77482</v>
      </c>
      <c r="I787" s="35">
        <v>35.853999999999999</v>
      </c>
      <c r="J787" s="127">
        <v>2</v>
      </c>
      <c r="K787" s="34" t="s">
        <v>238</v>
      </c>
      <c r="L787" s="10">
        <v>42174</v>
      </c>
      <c r="M787" s="37" t="s">
        <v>191</v>
      </c>
      <c r="N787" s="38">
        <v>16.425000000000001</v>
      </c>
      <c r="O787" s="38">
        <v>11.2</v>
      </c>
      <c r="P787" s="38">
        <v>4.6500000000000004</v>
      </c>
      <c r="Q787" s="38">
        <v>3.35</v>
      </c>
      <c r="R787" s="38">
        <v>3.0196100000000001</v>
      </c>
      <c r="S787" s="38">
        <f t="shared" si="96"/>
        <v>3</v>
      </c>
      <c r="T787" s="38">
        <v>32.924999999999997</v>
      </c>
      <c r="U787" s="38">
        <v>1.65</v>
      </c>
      <c r="V787" s="38">
        <v>0.65</v>
      </c>
      <c r="W787" s="38">
        <v>0.4</v>
      </c>
      <c r="X787" s="38">
        <v>4.8288399999999996</v>
      </c>
      <c r="Y787" s="38">
        <f t="shared" si="97"/>
        <v>5</v>
      </c>
      <c r="Z787" s="38">
        <v>0</v>
      </c>
      <c r="AA787" s="38">
        <v>0</v>
      </c>
      <c r="AB787" s="38">
        <f>N787+O787+P787+Q787</f>
        <v>35.625</v>
      </c>
      <c r="AC787" s="38">
        <v>1.17316</v>
      </c>
      <c r="AD787" s="39">
        <v>356.64</v>
      </c>
      <c r="AE787" s="38">
        <v>5.84</v>
      </c>
      <c r="AF787" s="38">
        <f t="shared" si="100"/>
        <v>0.28652710596147868</v>
      </c>
      <c r="AG787" s="38">
        <f t="shared" si="98"/>
        <v>0.3</v>
      </c>
      <c r="AH787" s="38">
        <v>0</v>
      </c>
      <c r="AI787" s="38">
        <f t="shared" si="101"/>
        <v>0</v>
      </c>
      <c r="AJ787" s="38">
        <v>269.8</v>
      </c>
      <c r="AK787" s="38">
        <f t="shared" si="102"/>
        <v>0.21499892420849637</v>
      </c>
      <c r="AL787" s="38">
        <v>0</v>
      </c>
      <c r="AM787" s="38">
        <f>AL787/(3.5*I787*1000)*100</f>
        <v>0</v>
      </c>
      <c r="AN787" s="25"/>
      <c r="AO787" s="25">
        <f>AE787*0.5</f>
        <v>2.92</v>
      </c>
      <c r="AP787" s="25">
        <f>(AD787+AH787+AJ787+AL787+AO787)*I787</f>
        <v>22565.07344</v>
      </c>
      <c r="AQ787" s="25">
        <f>SUM(N787:Q787)</f>
        <v>35.625</v>
      </c>
      <c r="AR787" s="25">
        <f>SUM(T787:W787)</f>
        <v>35.624999999999993</v>
      </c>
      <c r="AS787" s="268">
        <v>35.853999999999999</v>
      </c>
      <c r="AT787" s="41"/>
      <c r="AU787" s="41"/>
      <c r="AV787" s="41"/>
      <c r="AW787" s="41"/>
    </row>
    <row r="788" spans="1:88" s="22" customFormat="1">
      <c r="A788" s="1">
        <v>761</v>
      </c>
      <c r="B788" s="34" t="s">
        <v>1106</v>
      </c>
      <c r="C788" s="34">
        <v>626</v>
      </c>
      <c r="D788" s="34">
        <v>2359</v>
      </c>
      <c r="E788" s="34">
        <v>102</v>
      </c>
      <c r="F788" s="34" t="s">
        <v>1122</v>
      </c>
      <c r="G788" s="58">
        <v>41628</v>
      </c>
      <c r="H788" s="58">
        <v>77482</v>
      </c>
      <c r="I788" s="35">
        <v>35.853999999999999</v>
      </c>
      <c r="J788" s="127">
        <v>2</v>
      </c>
      <c r="K788" s="34" t="s">
        <v>238</v>
      </c>
      <c r="L788" s="10">
        <v>42174</v>
      </c>
      <c r="M788" s="37" t="s">
        <v>191</v>
      </c>
      <c r="N788" s="38">
        <v>16.425000000000001</v>
      </c>
      <c r="O788" s="38">
        <v>11.2</v>
      </c>
      <c r="P788" s="38">
        <v>4.6500000000000004</v>
      </c>
      <c r="Q788" s="38">
        <v>3.35</v>
      </c>
      <c r="R788" s="38">
        <v>3.0196100000000001</v>
      </c>
      <c r="S788" s="38">
        <f t="shared" si="96"/>
        <v>3</v>
      </c>
      <c r="T788" s="38">
        <v>32.924999999999997</v>
      </c>
      <c r="U788" s="38">
        <v>1.65</v>
      </c>
      <c r="V788" s="38">
        <v>0.65</v>
      </c>
      <c r="W788" s="38">
        <v>0.4</v>
      </c>
      <c r="X788" s="38">
        <v>4.8288399999999996</v>
      </c>
      <c r="Y788" s="38">
        <f t="shared" si="97"/>
        <v>5</v>
      </c>
      <c r="Z788" s="38">
        <v>0</v>
      </c>
      <c r="AA788" s="38">
        <v>0</v>
      </c>
      <c r="AB788" s="38">
        <f>N788+O788+P788+Q788</f>
        <v>35.625</v>
      </c>
      <c r="AC788" s="38">
        <v>1.17316</v>
      </c>
      <c r="AD788" s="39">
        <v>356.64</v>
      </c>
      <c r="AE788" s="38">
        <v>5.84</v>
      </c>
      <c r="AF788" s="38">
        <f t="shared" si="100"/>
        <v>0.28652710596147868</v>
      </c>
      <c r="AG788" s="38">
        <f t="shared" si="98"/>
        <v>0.3</v>
      </c>
      <c r="AH788" s="38">
        <v>0</v>
      </c>
      <c r="AI788" s="38">
        <f t="shared" si="101"/>
        <v>0</v>
      </c>
      <c r="AJ788" s="38">
        <v>269.8</v>
      </c>
      <c r="AK788" s="38">
        <f t="shared" si="102"/>
        <v>0.21499892420849637</v>
      </c>
      <c r="AL788" s="38">
        <v>0</v>
      </c>
      <c r="AM788" s="38">
        <f>AL788/(3.5*I788*1000)*100</f>
        <v>0</v>
      </c>
      <c r="AN788" s="25"/>
      <c r="AO788" s="25">
        <f>AE788*0.5</f>
        <v>2.92</v>
      </c>
      <c r="AP788" s="25">
        <f>(AD788+AH788+AJ788+AL788+AO788)*I788</f>
        <v>22565.07344</v>
      </c>
      <c r="AQ788" s="25">
        <f>SUM(N788:Q788)</f>
        <v>35.625</v>
      </c>
      <c r="AR788" s="25">
        <f>SUM(T788:W788)</f>
        <v>35.624999999999993</v>
      </c>
      <c r="AS788" s="268">
        <v>35.853999999999999</v>
      </c>
      <c r="AT788" s="41"/>
      <c r="AU788" s="41"/>
      <c r="AV788" s="41"/>
      <c r="AW788" s="41"/>
    </row>
    <row r="789" spans="1:88" s="22" customFormat="1">
      <c r="A789" s="1">
        <v>794</v>
      </c>
      <c r="B789" s="34" t="s">
        <v>1186</v>
      </c>
      <c r="C789" s="34">
        <v>635</v>
      </c>
      <c r="D789" s="8">
        <v>202</v>
      </c>
      <c r="E789" s="34">
        <v>501</v>
      </c>
      <c r="F789" s="34" t="s">
        <v>1187</v>
      </c>
      <c r="G789" s="58" t="s">
        <v>1188</v>
      </c>
      <c r="H789" s="58">
        <v>184580</v>
      </c>
      <c r="I789" s="35">
        <v>22.18</v>
      </c>
      <c r="J789" s="9">
        <v>4</v>
      </c>
      <c r="K789" s="34" t="s">
        <v>238</v>
      </c>
      <c r="L789" s="10">
        <v>42150</v>
      </c>
      <c r="M789" s="37" t="s">
        <v>191</v>
      </c>
      <c r="N789" s="38">
        <v>10.75</v>
      </c>
      <c r="O789" s="38">
        <v>6.7910000000000004</v>
      </c>
      <c r="P789" s="38">
        <v>3.3540000000000001</v>
      </c>
      <c r="Q789" s="38">
        <v>1.284</v>
      </c>
      <c r="R789" s="38">
        <v>2.8287550000000001</v>
      </c>
      <c r="S789" s="38">
        <f t="shared" si="96"/>
        <v>3</v>
      </c>
      <c r="T789" s="38">
        <v>18.670000000000002</v>
      </c>
      <c r="U789" s="38">
        <v>2.798</v>
      </c>
      <c r="V789" s="38">
        <v>0.60399999999999998</v>
      </c>
      <c r="W789" s="38">
        <v>0.108</v>
      </c>
      <c r="X789" s="38">
        <v>5.3049999999999997</v>
      </c>
      <c r="Y789" s="38">
        <f t="shared" si="97"/>
        <v>5.5</v>
      </c>
      <c r="Z789" s="38">
        <v>0</v>
      </c>
      <c r="AA789" s="38">
        <v>0</v>
      </c>
      <c r="AB789" s="35">
        <v>22.18</v>
      </c>
      <c r="AC789" s="38">
        <v>1.2749999999999999</v>
      </c>
      <c r="AD789" s="39">
        <v>269</v>
      </c>
      <c r="AE789" s="38">
        <v>0</v>
      </c>
      <c r="AF789" s="38">
        <v>0.28645999999999999</v>
      </c>
      <c r="AG789" s="38">
        <f t="shared" si="98"/>
        <v>0.3</v>
      </c>
      <c r="AH789" s="38">
        <v>6</v>
      </c>
      <c r="AI789" s="38">
        <v>6.3899999999999998E-3</v>
      </c>
      <c r="AJ789" s="38">
        <v>150</v>
      </c>
      <c r="AK789" s="38">
        <v>0.15973599999999999</v>
      </c>
      <c r="AL789" s="38">
        <v>0</v>
      </c>
      <c r="AM789" s="38">
        <v>0</v>
      </c>
      <c r="AN789" s="25"/>
      <c r="AO789" s="25">
        <f>AE789*0.5</f>
        <v>0</v>
      </c>
      <c r="AP789" s="25">
        <f>(AD789+AH789+AJ789+AL789+AO789)*I789</f>
        <v>9426.5</v>
      </c>
      <c r="AQ789" s="25">
        <f>SUM(N789:Q789)</f>
        <v>22.178999999999998</v>
      </c>
      <c r="AR789" s="25">
        <f>SUM(T789:W789)</f>
        <v>22.180000000000003</v>
      </c>
      <c r="AT789" s="41"/>
      <c r="AU789" s="41"/>
      <c r="AV789" s="41"/>
      <c r="AW789" s="41"/>
    </row>
    <row r="790" spans="1:88" s="22" customFormat="1">
      <c r="A790" s="1">
        <v>2078</v>
      </c>
      <c r="B790" s="34" t="s">
        <v>2715</v>
      </c>
      <c r="C790" s="34">
        <v>329</v>
      </c>
      <c r="D790" s="75">
        <v>4133</v>
      </c>
      <c r="E790" s="8">
        <v>102</v>
      </c>
      <c r="F790" s="34" t="s">
        <v>2724</v>
      </c>
      <c r="G790" s="58">
        <v>42300</v>
      </c>
      <c r="H790" s="58">
        <v>56772</v>
      </c>
      <c r="I790" s="21">
        <v>14.472</v>
      </c>
      <c r="J790" s="8">
        <v>2</v>
      </c>
      <c r="K790" s="8" t="s">
        <v>238</v>
      </c>
      <c r="L790" s="18">
        <v>42121</v>
      </c>
      <c r="M790" s="37" t="s">
        <v>191</v>
      </c>
      <c r="N790" s="38">
        <v>8.75</v>
      </c>
      <c r="O790" s="38">
        <v>3.9</v>
      </c>
      <c r="P790" s="38">
        <v>1.2749999999999999</v>
      </c>
      <c r="Q790" s="38">
        <v>0.35</v>
      </c>
      <c r="R790" s="38">
        <v>2.5021200000000001</v>
      </c>
      <c r="S790" s="38">
        <f t="shared" si="96"/>
        <v>2.5</v>
      </c>
      <c r="T790" s="38">
        <v>13.1</v>
      </c>
      <c r="U790" s="38">
        <v>0.97499999999999998</v>
      </c>
      <c r="V790" s="38">
        <v>0.2</v>
      </c>
      <c r="W790" s="38">
        <v>0</v>
      </c>
      <c r="X790" s="38">
        <v>4.1819699999999997</v>
      </c>
      <c r="Y790" s="38">
        <f t="shared" si="97"/>
        <v>4</v>
      </c>
      <c r="Z790" s="38">
        <v>0</v>
      </c>
      <c r="AA790" s="38">
        <v>0</v>
      </c>
      <c r="AB790" s="38">
        <v>14.275</v>
      </c>
      <c r="AC790" s="38">
        <v>1.50464</v>
      </c>
      <c r="AD790" s="39">
        <v>138.02000000000001</v>
      </c>
      <c r="AE790" s="38">
        <v>13.27</v>
      </c>
      <c r="AF790" s="38">
        <v>0.28558595909342177</v>
      </c>
      <c r="AG790" s="38">
        <f t="shared" si="98"/>
        <v>0.3</v>
      </c>
      <c r="AH790" s="38">
        <v>0</v>
      </c>
      <c r="AI790" s="38">
        <v>0</v>
      </c>
      <c r="AJ790" s="38">
        <v>0</v>
      </c>
      <c r="AK790" s="38">
        <v>0</v>
      </c>
      <c r="AL790" s="38">
        <v>0</v>
      </c>
      <c r="AM790" s="38">
        <f>AL790/(3.5*I790*1000)*100</f>
        <v>0</v>
      </c>
      <c r="AN790" s="12"/>
      <c r="AO790" s="12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</row>
    <row r="791" spans="1:88" s="22" customFormat="1">
      <c r="A791" s="1">
        <v>1310</v>
      </c>
      <c r="B791" s="74" t="s">
        <v>1851</v>
      </c>
      <c r="C791" s="34">
        <v>444</v>
      </c>
      <c r="D791" s="75">
        <v>323</v>
      </c>
      <c r="E791" s="69">
        <v>203</v>
      </c>
      <c r="F791" s="34" t="s">
        <v>1854</v>
      </c>
      <c r="G791" s="20">
        <v>64416</v>
      </c>
      <c r="H791" s="20">
        <v>64850</v>
      </c>
      <c r="I791" s="21">
        <v>0.434</v>
      </c>
      <c r="J791" s="8">
        <v>6</v>
      </c>
      <c r="K791" s="34" t="s">
        <v>1520</v>
      </c>
      <c r="L791" s="10">
        <v>42209</v>
      </c>
      <c r="M791" s="37" t="s">
        <v>191</v>
      </c>
      <c r="N791" s="38">
        <v>0.45</v>
      </c>
      <c r="O791" s="38">
        <v>0</v>
      </c>
      <c r="P791" s="38">
        <v>0</v>
      </c>
      <c r="Q791" s="38">
        <v>0</v>
      </c>
      <c r="R791" s="38">
        <v>0.94111100000000003</v>
      </c>
      <c r="S791" s="38">
        <f t="shared" si="96"/>
        <v>1</v>
      </c>
      <c r="T791" s="38">
        <v>0.45</v>
      </c>
      <c r="U791" s="38">
        <v>0</v>
      </c>
      <c r="V791" s="38">
        <v>0</v>
      </c>
      <c r="W791" s="38">
        <v>0</v>
      </c>
      <c r="X791" s="38">
        <v>0.70150000000000001</v>
      </c>
      <c r="Y791" s="38">
        <f t="shared" si="97"/>
        <v>0.5</v>
      </c>
      <c r="Z791" s="38">
        <v>0</v>
      </c>
      <c r="AA791" s="38">
        <v>0</v>
      </c>
      <c r="AB791" s="38">
        <v>0.45</v>
      </c>
      <c r="AC791" s="38">
        <v>0.79166700000000001</v>
      </c>
      <c r="AD791" s="39">
        <v>2.5</v>
      </c>
      <c r="AE791" s="38">
        <v>3.66</v>
      </c>
      <c r="AF791" s="38">
        <v>0.28505595786701776</v>
      </c>
      <c r="AG791" s="38">
        <f t="shared" si="98"/>
        <v>0.3</v>
      </c>
      <c r="AH791" s="38">
        <v>0</v>
      </c>
      <c r="AI791" s="38">
        <v>0</v>
      </c>
      <c r="AJ791" s="38">
        <v>1.54</v>
      </c>
      <c r="AK791" s="38">
        <v>0.10138248847926268</v>
      </c>
      <c r="AL791" s="38">
        <v>0</v>
      </c>
      <c r="AM791" s="38">
        <v>0</v>
      </c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</row>
    <row r="792" spans="1:88" s="22" customFormat="1">
      <c r="A792" s="1">
        <v>505</v>
      </c>
      <c r="B792" s="88" t="s">
        <v>821</v>
      </c>
      <c r="C792" s="88">
        <v>519</v>
      </c>
      <c r="D792" s="88">
        <v>1301</v>
      </c>
      <c r="E792" s="88">
        <v>100</v>
      </c>
      <c r="F792" s="88" t="s">
        <v>861</v>
      </c>
      <c r="G792" s="88" t="s">
        <v>92</v>
      </c>
      <c r="H792" s="88" t="s">
        <v>862</v>
      </c>
      <c r="I792" s="115">
        <v>6.2549999999999999</v>
      </c>
      <c r="J792" s="88" t="s">
        <v>238</v>
      </c>
      <c r="K792" s="34">
        <v>2</v>
      </c>
      <c r="L792" s="10">
        <v>42276</v>
      </c>
      <c r="M792" s="37" t="s">
        <v>191</v>
      </c>
      <c r="N792" s="38">
        <v>3.83</v>
      </c>
      <c r="O792" s="38">
        <v>1.18</v>
      </c>
      <c r="P792" s="38">
        <v>0.73</v>
      </c>
      <c r="Q792" s="38">
        <v>0.48</v>
      </c>
      <c r="R792" s="38">
        <v>3.0051600000000001</v>
      </c>
      <c r="S792" s="38">
        <f t="shared" si="96"/>
        <v>3</v>
      </c>
      <c r="T792" s="38">
        <v>5.6</v>
      </c>
      <c r="U792" s="38">
        <v>0.39</v>
      </c>
      <c r="V792" s="38">
        <v>0.14000000000000001</v>
      </c>
      <c r="W792" s="38">
        <v>0.09</v>
      </c>
      <c r="X792" s="38">
        <v>6.5727200000000003</v>
      </c>
      <c r="Y792" s="38">
        <f t="shared" si="97"/>
        <v>6.5</v>
      </c>
      <c r="Z792" s="38">
        <v>0</v>
      </c>
      <c r="AA792" s="117">
        <v>0</v>
      </c>
      <c r="AB792" s="117">
        <v>9.15</v>
      </c>
      <c r="AC792" s="117">
        <v>1.45262</v>
      </c>
      <c r="AD792" s="254">
        <v>55.24</v>
      </c>
      <c r="AE792" s="117">
        <v>14.28</v>
      </c>
      <c r="AF792" s="117">
        <v>0.28493800000000002</v>
      </c>
      <c r="AG792" s="38">
        <f t="shared" si="98"/>
        <v>0.3</v>
      </c>
      <c r="AH792" s="117">
        <v>85.47</v>
      </c>
      <c r="AI792" s="117">
        <v>0.39040799999999998</v>
      </c>
      <c r="AJ792" s="117">
        <v>0</v>
      </c>
      <c r="AK792" s="117">
        <v>0</v>
      </c>
      <c r="AL792" s="117">
        <v>0</v>
      </c>
      <c r="AM792" s="117">
        <v>0</v>
      </c>
      <c r="AN792" s="41"/>
      <c r="AO792" s="41"/>
      <c r="AP792" s="41"/>
      <c r="AQ792" s="41">
        <f>SUM(N792:Q792)</f>
        <v>6.2200000000000006</v>
      </c>
      <c r="AR792" s="41">
        <f>SUM(T792:W792)</f>
        <v>6.2199999999999989</v>
      </c>
      <c r="AS792" s="41">
        <f>SUM(Z792:AB792)</f>
        <v>9.15</v>
      </c>
      <c r="AU792" s="22">
        <f>I792/AQ792</f>
        <v>1.005627009646302</v>
      </c>
      <c r="AV792" s="22">
        <f>I792/AR792</f>
        <v>1.0056270096463025</v>
      </c>
      <c r="AW792" s="22">
        <f>I792/AS792</f>
        <v>0.68360655737704912</v>
      </c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</row>
    <row r="793" spans="1:88" s="22" customFormat="1">
      <c r="A793" s="1">
        <v>1094</v>
      </c>
      <c r="B793" s="9" t="s">
        <v>1513</v>
      </c>
      <c r="C793" s="34">
        <v>431</v>
      </c>
      <c r="D793" s="75">
        <v>205</v>
      </c>
      <c r="E793" s="69">
        <v>101</v>
      </c>
      <c r="F793" s="34" t="s">
        <v>1514</v>
      </c>
      <c r="G793" s="20" t="s">
        <v>92</v>
      </c>
      <c r="H793" s="20" t="s">
        <v>1515</v>
      </c>
      <c r="I793" s="21">
        <v>9.8000000000000007</v>
      </c>
      <c r="J793" s="8">
        <v>4</v>
      </c>
      <c r="K793" s="181" t="s">
        <v>237</v>
      </c>
      <c r="L793" s="18">
        <v>42282</v>
      </c>
      <c r="M793" s="37" t="s">
        <v>191</v>
      </c>
      <c r="N793" s="38">
        <v>4.3499999999999996</v>
      </c>
      <c r="O793" s="38">
        <v>2.2999999999999998</v>
      </c>
      <c r="P793" s="38">
        <v>1.7250000000000001</v>
      </c>
      <c r="Q793" s="38">
        <v>1.4750000000000001</v>
      </c>
      <c r="R793" s="38">
        <v>3.2867000000000002</v>
      </c>
      <c r="S793" s="38">
        <f t="shared" si="96"/>
        <v>3.5</v>
      </c>
      <c r="T793" s="38">
        <v>8.375</v>
      </c>
      <c r="U793" s="38">
        <v>1.075</v>
      </c>
      <c r="V793" s="38">
        <v>0.22500000000000001</v>
      </c>
      <c r="W793" s="38">
        <v>0.17499999999999999</v>
      </c>
      <c r="X793" s="38">
        <v>5.6875099999999996</v>
      </c>
      <c r="Y793" s="38">
        <f t="shared" si="97"/>
        <v>5.5</v>
      </c>
      <c r="Z793" s="38">
        <v>0</v>
      </c>
      <c r="AA793" s="38">
        <v>0</v>
      </c>
      <c r="AB793" s="38">
        <v>9.85</v>
      </c>
      <c r="AC793" s="38">
        <v>1.2350300000000001</v>
      </c>
      <c r="AD793" s="39">
        <v>96.668000000000006</v>
      </c>
      <c r="AE793" s="38">
        <v>1.6</v>
      </c>
      <c r="AF793" s="38">
        <f>(AD793+AE793*0.5)/(3.5*I793*1000)*100</f>
        <v>0.2841632653061224</v>
      </c>
      <c r="AG793" s="38">
        <f t="shared" si="98"/>
        <v>0.3</v>
      </c>
      <c r="AH793" s="38">
        <v>15.26</v>
      </c>
      <c r="AI793" s="38">
        <f>AH793/(3.5*I793*1000)*100</f>
        <v>4.4489795918367339E-2</v>
      </c>
      <c r="AJ793" s="38">
        <v>3.25</v>
      </c>
      <c r="AK793" s="38">
        <f>AJ793/(3.5*I793*1000)*100</f>
        <v>9.4752186588921272E-3</v>
      </c>
      <c r="AL793" s="38">
        <v>0</v>
      </c>
      <c r="AM793" s="38">
        <f>AL793/(3.5*I793*1000)*100</f>
        <v>0</v>
      </c>
      <c r="AN793" s="41"/>
      <c r="AO793" s="72"/>
      <c r="AP793" s="73"/>
      <c r="AQ793" s="73"/>
    </row>
    <row r="794" spans="1:88" s="22" customFormat="1">
      <c r="A794" s="1">
        <v>1165</v>
      </c>
      <c r="B794" s="74" t="s">
        <v>1577</v>
      </c>
      <c r="C794" s="34">
        <v>432</v>
      </c>
      <c r="D794" s="34">
        <v>3385</v>
      </c>
      <c r="E794" s="34">
        <v>100</v>
      </c>
      <c r="F794" s="34" t="s">
        <v>1631</v>
      </c>
      <c r="G794" s="34" t="s">
        <v>1632</v>
      </c>
      <c r="H794" s="34" t="s">
        <v>92</v>
      </c>
      <c r="I794" s="55">
        <v>2.35</v>
      </c>
      <c r="J794" s="34">
        <v>4</v>
      </c>
      <c r="K794" s="34" t="s">
        <v>96</v>
      </c>
      <c r="L794" s="10">
        <v>42282</v>
      </c>
      <c r="M794" s="37" t="s">
        <v>191</v>
      </c>
      <c r="N794" s="38">
        <v>1.175</v>
      </c>
      <c r="O794" s="38">
        <v>0.82499999999999996</v>
      </c>
      <c r="P794" s="38">
        <v>0.22500000000000001</v>
      </c>
      <c r="Q794" s="38">
        <v>0.125</v>
      </c>
      <c r="R794" s="38">
        <v>2.7910599999999999</v>
      </c>
      <c r="S794" s="38">
        <f t="shared" si="96"/>
        <v>3</v>
      </c>
      <c r="T794" s="38">
        <v>1.45</v>
      </c>
      <c r="U794" s="38">
        <v>0.47499999999999998</v>
      </c>
      <c r="V794" s="38">
        <v>0.25</v>
      </c>
      <c r="W794" s="38">
        <v>0.17499999999999999</v>
      </c>
      <c r="X794" s="38">
        <v>9.8272700000000004</v>
      </c>
      <c r="Y794" s="38">
        <f t="shared" si="97"/>
        <v>10</v>
      </c>
      <c r="Z794" s="38">
        <v>0</v>
      </c>
      <c r="AA794" s="38">
        <v>0</v>
      </c>
      <c r="AB794" s="38">
        <v>2.35</v>
      </c>
      <c r="AC794" s="38">
        <v>1.37293</v>
      </c>
      <c r="AD794" s="39">
        <v>20.69</v>
      </c>
      <c r="AE794" s="38">
        <v>4.9800000000000004</v>
      </c>
      <c r="AF794" s="38">
        <v>0.28182400000000002</v>
      </c>
      <c r="AG794" s="38">
        <f t="shared" si="98"/>
        <v>0.3</v>
      </c>
      <c r="AH794" s="38">
        <v>2.3199999999999998</v>
      </c>
      <c r="AI794" s="38">
        <v>2.8206999999999999E-2</v>
      </c>
      <c r="AJ794" s="38">
        <v>0</v>
      </c>
      <c r="AK794" s="38">
        <v>0</v>
      </c>
      <c r="AL794" s="38">
        <v>0</v>
      </c>
      <c r="AM794" s="38">
        <v>0</v>
      </c>
      <c r="AN794" s="114"/>
      <c r="AO794" s="73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</row>
    <row r="795" spans="1:88" s="22" customFormat="1">
      <c r="A795" s="1">
        <v>1980</v>
      </c>
      <c r="B795" s="34" t="s">
        <v>2615</v>
      </c>
      <c r="C795" s="34">
        <v>322</v>
      </c>
      <c r="D795" s="75">
        <v>4045</v>
      </c>
      <c r="E795" s="8">
        <v>100</v>
      </c>
      <c r="F795" s="34" t="s">
        <v>2621</v>
      </c>
      <c r="G795" s="58">
        <v>0</v>
      </c>
      <c r="H795" s="58">
        <v>5294</v>
      </c>
      <c r="I795" s="21">
        <v>5.2939999999999996</v>
      </c>
      <c r="J795" s="8">
        <v>4</v>
      </c>
      <c r="K795" s="8" t="s">
        <v>671</v>
      </c>
      <c r="L795" s="18">
        <v>42131</v>
      </c>
      <c r="M795" s="37" t="s">
        <v>191</v>
      </c>
      <c r="N795" s="38">
        <v>2.5499999999999998</v>
      </c>
      <c r="O795" s="38">
        <v>1.3</v>
      </c>
      <c r="P795" s="38">
        <v>0.77500000000000002</v>
      </c>
      <c r="Q795" s="38">
        <v>0.625</v>
      </c>
      <c r="R795" s="38">
        <v>3.0567099999999998</v>
      </c>
      <c r="S795" s="38">
        <f t="shared" si="96"/>
        <v>3</v>
      </c>
      <c r="T795" s="38">
        <v>5.0999999999999996</v>
      </c>
      <c r="U795" s="38">
        <v>0.125</v>
      </c>
      <c r="V795" s="38">
        <v>2.5000000000000001E-2</v>
      </c>
      <c r="W795" s="38">
        <v>0</v>
      </c>
      <c r="X795" s="38">
        <v>3.8528600000000002</v>
      </c>
      <c r="Y795" s="38">
        <f t="shared" si="97"/>
        <v>4</v>
      </c>
      <c r="Z795" s="38">
        <v>0</v>
      </c>
      <c r="AA795" s="38">
        <v>0</v>
      </c>
      <c r="AB795" s="38">
        <v>5.25</v>
      </c>
      <c r="AC795" s="38">
        <v>1.15852</v>
      </c>
      <c r="AD795" s="38">
        <v>50.14</v>
      </c>
      <c r="AE795" s="38">
        <v>4.12</v>
      </c>
      <c r="AF795" s="38">
        <v>0.28172054617086734</v>
      </c>
      <c r="AG795" s="38">
        <f t="shared" si="98"/>
        <v>0.3</v>
      </c>
      <c r="AH795" s="38">
        <v>15.3</v>
      </c>
      <c r="AI795" s="38">
        <v>8.2573263532840419E-2</v>
      </c>
      <c r="AJ795" s="38">
        <v>0</v>
      </c>
      <c r="AK795" s="38">
        <v>0</v>
      </c>
      <c r="AL795" s="38">
        <v>0</v>
      </c>
      <c r="AM795" s="38">
        <f t="shared" ref="AM795:AM802" si="103">AL795/(3.5*I795*1000)*100</f>
        <v>0</v>
      </c>
      <c r="AN795" s="72"/>
      <c r="AO795" s="41"/>
      <c r="AP795" s="41"/>
      <c r="AQ795" s="73"/>
      <c r="AR795" s="73"/>
      <c r="AS795" s="73"/>
      <c r="AT795" s="73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</row>
    <row r="796" spans="1:88" s="22" customFormat="1">
      <c r="A796" s="1">
        <v>1128</v>
      </c>
      <c r="B796" s="9" t="s">
        <v>1513</v>
      </c>
      <c r="C796" s="34">
        <v>431</v>
      </c>
      <c r="D796" s="75">
        <v>3562</v>
      </c>
      <c r="E796" s="69">
        <v>100</v>
      </c>
      <c r="F796" s="34" t="s">
        <v>1568</v>
      </c>
      <c r="G796" s="58" t="s">
        <v>1569</v>
      </c>
      <c r="H796" s="58" t="s">
        <v>1570</v>
      </c>
      <c r="I796" s="34">
        <v>4.25</v>
      </c>
      <c r="J796" s="5">
        <v>4</v>
      </c>
      <c r="K796" s="5" t="s">
        <v>238</v>
      </c>
      <c r="L796" s="18">
        <v>42282</v>
      </c>
      <c r="M796" s="37" t="s">
        <v>191</v>
      </c>
      <c r="N796" s="38">
        <v>3.0750000000000002</v>
      </c>
      <c r="O796" s="38">
        <v>0.72499999999999998</v>
      </c>
      <c r="P796" s="38">
        <v>0.3</v>
      </c>
      <c r="Q796" s="38">
        <v>0.25</v>
      </c>
      <c r="R796" s="38">
        <v>2.5718999999999999</v>
      </c>
      <c r="S796" s="38">
        <f t="shared" si="96"/>
        <v>2.5</v>
      </c>
      <c r="T796" s="38">
        <v>4.3250000000000002</v>
      </c>
      <c r="U796" s="38">
        <v>2.5000000000000001E-2</v>
      </c>
      <c r="V796" s="38">
        <v>0</v>
      </c>
      <c r="W796" s="38">
        <v>0</v>
      </c>
      <c r="X796" s="38">
        <v>3.1273300000000002</v>
      </c>
      <c r="Y796" s="38">
        <f t="shared" si="97"/>
        <v>3</v>
      </c>
      <c r="Z796" s="38">
        <v>0</v>
      </c>
      <c r="AA796" s="38">
        <v>0</v>
      </c>
      <c r="AB796" s="38">
        <v>4.3500000000000005</v>
      </c>
      <c r="AC796" s="38">
        <v>1.1925300000000001</v>
      </c>
      <c r="AD796" s="38">
        <v>41.863</v>
      </c>
      <c r="AE796" s="38">
        <v>0.05</v>
      </c>
      <c r="AF796" s="38">
        <f>(AD796+AE796*0.5)/(3.5*I796*1000)*100</f>
        <v>0.28160000000000002</v>
      </c>
      <c r="AG796" s="38">
        <f t="shared" si="98"/>
        <v>0.3</v>
      </c>
      <c r="AH796" s="38">
        <v>34.979999999999997</v>
      </c>
      <c r="AI796" s="38">
        <f>AH796/(3.5*I796*1000)*100</f>
        <v>0.23515966386554618</v>
      </c>
      <c r="AJ796" s="38">
        <v>0</v>
      </c>
      <c r="AK796" s="38">
        <f>AJ796/(3.5*I796*1000)*100</f>
        <v>0</v>
      </c>
      <c r="AL796" s="38">
        <v>0</v>
      </c>
      <c r="AM796" s="38">
        <f t="shared" si="103"/>
        <v>0</v>
      </c>
      <c r="AN796" s="41"/>
      <c r="AO796" s="114"/>
      <c r="AP796" s="73"/>
      <c r="AQ796" s="73"/>
    </row>
    <row r="797" spans="1:88" s="22" customFormat="1">
      <c r="A797" s="1">
        <v>1621</v>
      </c>
      <c r="B797" s="9" t="s">
        <v>2182</v>
      </c>
      <c r="C797" s="9">
        <v>417</v>
      </c>
      <c r="D797" s="8">
        <v>370</v>
      </c>
      <c r="E797" s="9">
        <v>100</v>
      </c>
      <c r="F797" s="9" t="s">
        <v>2190</v>
      </c>
      <c r="G797" s="20" t="s">
        <v>2191</v>
      </c>
      <c r="H797" s="20" t="s">
        <v>92</v>
      </c>
      <c r="I797" s="35">
        <v>2.742</v>
      </c>
      <c r="J797" s="9">
        <v>4</v>
      </c>
      <c r="K797" s="9" t="s">
        <v>96</v>
      </c>
      <c r="L797" s="18">
        <v>42240</v>
      </c>
      <c r="M797" s="37" t="s">
        <v>191</v>
      </c>
      <c r="N797" s="11">
        <v>0.85</v>
      </c>
      <c r="O797" s="11">
        <v>0.95</v>
      </c>
      <c r="P797" s="11">
        <v>0.45</v>
      </c>
      <c r="Q797" s="11">
        <v>0.47499999999999998</v>
      </c>
      <c r="R797" s="11">
        <v>3.641</v>
      </c>
      <c r="S797" s="38">
        <f t="shared" si="96"/>
        <v>3.5</v>
      </c>
      <c r="T797" s="11">
        <v>2.2000000000000002</v>
      </c>
      <c r="U797" s="11">
        <v>0.47499999999999998</v>
      </c>
      <c r="V797" s="11">
        <v>0.05</v>
      </c>
      <c r="W797" s="11">
        <v>0</v>
      </c>
      <c r="X797" s="11">
        <v>7.8330000000000002</v>
      </c>
      <c r="Y797" s="38">
        <f t="shared" si="97"/>
        <v>8</v>
      </c>
      <c r="Z797" s="11">
        <v>0</v>
      </c>
      <c r="AA797" s="11">
        <v>0</v>
      </c>
      <c r="AB797" s="11">
        <f>SUM(N797:Q797)</f>
        <v>2.7250000000000001</v>
      </c>
      <c r="AC797" s="11">
        <v>1.2809999999999999</v>
      </c>
      <c r="AD797" s="11">
        <v>27</v>
      </c>
      <c r="AE797" s="11">
        <v>0</v>
      </c>
      <c r="AF797" s="11">
        <f>(AD797+AE797*0.5)/(3.5*I797*1000)*100</f>
        <v>0.28133791809940606</v>
      </c>
      <c r="AG797" s="38">
        <f t="shared" si="98"/>
        <v>0.3</v>
      </c>
      <c r="AH797" s="11">
        <v>0</v>
      </c>
      <c r="AI797" s="11">
        <f>AH797/(3.5*I797*1000)*100</f>
        <v>0</v>
      </c>
      <c r="AJ797" s="11">
        <v>0</v>
      </c>
      <c r="AK797" s="38">
        <f>AJ797/(3.5*I797*1000)*100</f>
        <v>0</v>
      </c>
      <c r="AL797" s="11">
        <v>0</v>
      </c>
      <c r="AM797" s="38">
        <f t="shared" si="103"/>
        <v>0</v>
      </c>
      <c r="AN797" s="25">
        <f>IF(G797=G798,1,0)</f>
        <v>0</v>
      </c>
      <c r="AO797" s="25">
        <f>AE797*0.5</f>
        <v>0</v>
      </c>
      <c r="AP797" s="25">
        <f>(AD797+AH797+AJ797+AL797+AO797)*I797</f>
        <v>74.034000000000006</v>
      </c>
      <c r="AQ797" s="25">
        <f>(AD797+AH797+AJ797+AL797)*I797</f>
        <v>74.034000000000006</v>
      </c>
      <c r="AR797" s="25">
        <f>SUM(N797:Q797)</f>
        <v>2.7250000000000001</v>
      </c>
      <c r="AS797" s="25">
        <f>SUM(T797:W797)</f>
        <v>2.7250000000000001</v>
      </c>
      <c r="AU797" s="41"/>
      <c r="AV797" s="275">
        <v>2.742</v>
      </c>
      <c r="AW797" s="41"/>
      <c r="AX797" s="41"/>
    </row>
    <row r="798" spans="1:88" s="22" customFormat="1">
      <c r="A798" s="1">
        <v>1471</v>
      </c>
      <c r="B798" s="34" t="s">
        <v>2016</v>
      </c>
      <c r="C798" s="34">
        <v>411</v>
      </c>
      <c r="D798" s="69">
        <v>304</v>
      </c>
      <c r="E798" s="34">
        <v>201</v>
      </c>
      <c r="F798" s="34" t="s">
        <v>2021</v>
      </c>
      <c r="G798" s="58" t="s">
        <v>2022</v>
      </c>
      <c r="H798" s="58" t="s">
        <v>2023</v>
      </c>
      <c r="I798" s="35">
        <v>11.683999999999999</v>
      </c>
      <c r="J798" s="34">
        <v>8</v>
      </c>
      <c r="K798" s="34" t="s">
        <v>96</v>
      </c>
      <c r="L798" s="10">
        <v>42247</v>
      </c>
      <c r="M798" s="37" t="s">
        <v>191</v>
      </c>
      <c r="N798" s="38">
        <v>0.8</v>
      </c>
      <c r="O798" s="38">
        <v>3.4</v>
      </c>
      <c r="P798" s="38">
        <v>5.2249999999999996</v>
      </c>
      <c r="Q798" s="38">
        <v>2.2250000000000001</v>
      </c>
      <c r="R798" s="38">
        <v>4.407</v>
      </c>
      <c r="S798" s="38">
        <f t="shared" si="96"/>
        <v>4.5</v>
      </c>
      <c r="T798" s="38">
        <v>11.475</v>
      </c>
      <c r="U798" s="38">
        <v>0.17499999999999999</v>
      </c>
      <c r="V798" s="38">
        <v>0</v>
      </c>
      <c r="W798" s="38">
        <v>0</v>
      </c>
      <c r="X798" s="38">
        <v>4.0229999999999997</v>
      </c>
      <c r="Y798" s="38">
        <f t="shared" si="97"/>
        <v>4</v>
      </c>
      <c r="Z798" s="38">
        <v>0</v>
      </c>
      <c r="AA798" s="38">
        <v>7.4999999999999997E-2</v>
      </c>
      <c r="AB798" s="38">
        <v>11.574999999999999</v>
      </c>
      <c r="AC798" s="38">
        <v>1.087</v>
      </c>
      <c r="AD798" s="38">
        <v>0</v>
      </c>
      <c r="AE798" s="38">
        <v>229.35</v>
      </c>
      <c r="AF798" s="38">
        <f>(AD798+AE798*0.5)/(3.5*I798*1000)*100</f>
        <v>0.28042011052966204</v>
      </c>
      <c r="AG798" s="38">
        <f t="shared" si="98"/>
        <v>0.3</v>
      </c>
      <c r="AH798" s="38">
        <v>0</v>
      </c>
      <c r="AI798" s="38">
        <f>AH798/(3.5*I798*1000)*100</f>
        <v>0</v>
      </c>
      <c r="AJ798" s="38">
        <v>3.59</v>
      </c>
      <c r="AK798" s="38">
        <f>AJ798/(3.5*I798*1000)*100</f>
        <v>8.7787939551034373E-3</v>
      </c>
      <c r="AL798" s="38">
        <v>0</v>
      </c>
      <c r="AM798" s="38">
        <f t="shared" si="103"/>
        <v>0</v>
      </c>
      <c r="AN798" s="60"/>
      <c r="AO798" s="60">
        <f>AE798*0.5</f>
        <v>114.675</v>
      </c>
      <c r="AP798" s="60">
        <f>(AD798+AH798+AJ798+AL798+AO798)*I798</f>
        <v>1381.80826</v>
      </c>
      <c r="AQ798" s="60"/>
      <c r="AR798" s="60"/>
      <c r="AS798" s="60"/>
      <c r="AT798" s="60"/>
      <c r="AU798" s="61"/>
      <c r="AV798" s="40"/>
      <c r="AW798" s="40"/>
      <c r="AX798" s="40"/>
      <c r="AY798" s="40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</row>
    <row r="799" spans="1:88" s="22" customFormat="1">
      <c r="A799" s="1">
        <v>2140</v>
      </c>
      <c r="B799" s="34" t="s">
        <v>2780</v>
      </c>
      <c r="C799" s="34">
        <v>327</v>
      </c>
      <c r="D799" s="75">
        <v>401</v>
      </c>
      <c r="E799" s="8">
        <v>100</v>
      </c>
      <c r="F799" s="9" t="s">
        <v>2781</v>
      </c>
      <c r="G799" s="20">
        <v>73742</v>
      </c>
      <c r="H799" s="20" t="s">
        <v>2782</v>
      </c>
      <c r="I799" s="21">
        <v>41.25</v>
      </c>
      <c r="J799" s="9">
        <v>2</v>
      </c>
      <c r="K799" s="9" t="s">
        <v>12</v>
      </c>
      <c r="L799" s="18">
        <v>42135</v>
      </c>
      <c r="M799" s="37" t="s">
        <v>191</v>
      </c>
      <c r="N799" s="38">
        <v>26.95</v>
      </c>
      <c r="O799" s="38">
        <v>8.85</v>
      </c>
      <c r="P799" s="38">
        <v>4.4000000000000004</v>
      </c>
      <c r="Q799" s="38">
        <v>1.7250000000000001</v>
      </c>
      <c r="R799" s="38">
        <v>2.4729999999999999</v>
      </c>
      <c r="S799" s="38">
        <f t="shared" si="96"/>
        <v>2.5</v>
      </c>
      <c r="T799" s="38">
        <v>40.375</v>
      </c>
      <c r="U799" s="38">
        <v>1.375</v>
      </c>
      <c r="V799" s="38">
        <v>0.17499999999999999</v>
      </c>
      <c r="W799" s="38">
        <v>0</v>
      </c>
      <c r="X799" s="38">
        <v>3.484</v>
      </c>
      <c r="Y799" s="38">
        <f t="shared" si="97"/>
        <v>3.5</v>
      </c>
      <c r="Z799" s="38">
        <v>0</v>
      </c>
      <c r="AA799" s="38">
        <v>0</v>
      </c>
      <c r="AB799" s="38">
        <v>41.924999999999997</v>
      </c>
      <c r="AC799" s="38">
        <v>1.3520000000000001</v>
      </c>
      <c r="AD799" s="38">
        <v>372</v>
      </c>
      <c r="AE799" s="38">
        <v>62</v>
      </c>
      <c r="AF799" s="38">
        <f>(AD799+AE799*0.5)/(3.5*I799*1000)*100</f>
        <v>0.27913419913419912</v>
      </c>
      <c r="AG799" s="38">
        <f t="shared" si="98"/>
        <v>0.3</v>
      </c>
      <c r="AH799" s="38">
        <v>0</v>
      </c>
      <c r="AI799" s="38">
        <f>AH799/(3.5*I799*1000)*100</f>
        <v>0</v>
      </c>
      <c r="AJ799" s="38">
        <v>40</v>
      </c>
      <c r="AK799" s="38">
        <f>AJ799/(3.5*I799*1000)*100</f>
        <v>2.7705627705627702E-2</v>
      </c>
      <c r="AL799" s="38">
        <v>0</v>
      </c>
      <c r="AM799" s="38">
        <f t="shared" si="103"/>
        <v>0</v>
      </c>
      <c r="AN799" s="25"/>
      <c r="AO799" s="25"/>
    </row>
    <row r="800" spans="1:88" s="22" customFormat="1">
      <c r="A800" s="1">
        <v>611</v>
      </c>
      <c r="B800" s="34" t="s">
        <v>994</v>
      </c>
      <c r="C800" s="34">
        <v>554</v>
      </c>
      <c r="D800" s="34">
        <v>2348</v>
      </c>
      <c r="E800" s="34">
        <v>200</v>
      </c>
      <c r="F800" s="9" t="s">
        <v>1013</v>
      </c>
      <c r="G800" s="118">
        <v>86500</v>
      </c>
      <c r="H800" s="118">
        <v>98213</v>
      </c>
      <c r="I800" s="35">
        <v>11.712999999999999</v>
      </c>
      <c r="J800" s="71">
        <v>2</v>
      </c>
      <c r="K800" s="34" t="s">
        <v>238</v>
      </c>
      <c r="L800" s="10">
        <v>42181</v>
      </c>
      <c r="M800" s="37" t="s">
        <v>191</v>
      </c>
      <c r="N800" s="38">
        <v>3.17</v>
      </c>
      <c r="O800" s="38">
        <v>5.01</v>
      </c>
      <c r="P800" s="38">
        <v>2.62</v>
      </c>
      <c r="Q800" s="38">
        <v>0.93</v>
      </c>
      <c r="R800" s="38">
        <v>3.5662600000000002</v>
      </c>
      <c r="S800" s="38">
        <f t="shared" si="96"/>
        <v>3.5</v>
      </c>
      <c r="T800" s="38">
        <v>10.53</v>
      </c>
      <c r="U800" s="38">
        <v>1.1599999999999999</v>
      </c>
      <c r="V800" s="38">
        <v>0.1</v>
      </c>
      <c r="W800" s="38">
        <v>0</v>
      </c>
      <c r="X800" s="38">
        <v>6.1932400000000003</v>
      </c>
      <c r="Y800" s="38">
        <f t="shared" si="97"/>
        <v>6</v>
      </c>
      <c r="Z800" s="38">
        <v>0.03</v>
      </c>
      <c r="AA800" s="38">
        <v>0.03</v>
      </c>
      <c r="AB800" s="38">
        <v>11.66</v>
      </c>
      <c r="AC800" s="38">
        <v>1.3238300000000001</v>
      </c>
      <c r="AD800" s="38">
        <v>114</v>
      </c>
      <c r="AE800" s="38">
        <v>0</v>
      </c>
      <c r="AF800" s="38">
        <v>0.27807930138673759</v>
      </c>
      <c r="AG800" s="38">
        <f t="shared" si="98"/>
        <v>0.3</v>
      </c>
      <c r="AH800" s="38">
        <v>44</v>
      </c>
      <c r="AI800" s="38">
        <v>0.10732885316681098</v>
      </c>
      <c r="AJ800" s="38">
        <v>134</v>
      </c>
      <c r="AK800" s="38">
        <v>0.32686514373528802</v>
      </c>
      <c r="AL800" s="38">
        <v>0</v>
      </c>
      <c r="AM800" s="38">
        <f t="shared" si="103"/>
        <v>0</v>
      </c>
      <c r="AN800" s="60"/>
      <c r="AO800" s="60">
        <f>AE800*0.5</f>
        <v>0</v>
      </c>
      <c r="AP800" s="60">
        <f>(AD800+AH800+AJ800+AL800+AO800)*I800</f>
        <v>3420.1959999999999</v>
      </c>
      <c r="AQ800" s="25">
        <f>SUM(N800:Q800)</f>
        <v>11.73</v>
      </c>
      <c r="AR800" s="25">
        <f>SUM(T800:W800)</f>
        <v>11.79</v>
      </c>
      <c r="AS800" s="268">
        <v>11.712999999999999</v>
      </c>
      <c r="AT800" s="40"/>
      <c r="AU800" s="41">
        <f>SUM(N800:Q800)</f>
        <v>11.73</v>
      </c>
      <c r="AV800" s="41">
        <f>SUM(T800:W800)</f>
        <v>11.79</v>
      </c>
      <c r="AW800" s="41">
        <f>SUM(Z800:AB800)</f>
        <v>11.72</v>
      </c>
      <c r="AY800" s="22">
        <f>I800/AU800</f>
        <v>0.99855072463768102</v>
      </c>
      <c r="AZ800" s="22">
        <f>I800/AV800</f>
        <v>0.99346904156064464</v>
      </c>
      <c r="BA800" s="22">
        <f>I800/AW800</f>
        <v>0.99940273037542648</v>
      </c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</row>
    <row r="801" spans="1:88" s="22" customFormat="1">
      <c r="A801" s="1">
        <v>2008</v>
      </c>
      <c r="B801" s="34" t="s">
        <v>2646</v>
      </c>
      <c r="C801" s="34">
        <v>325</v>
      </c>
      <c r="D801" s="75">
        <v>4011</v>
      </c>
      <c r="E801" s="8">
        <v>100</v>
      </c>
      <c r="F801" s="34" t="s">
        <v>2650</v>
      </c>
      <c r="G801" s="58" t="s">
        <v>92</v>
      </c>
      <c r="H801" s="58" t="s">
        <v>2653</v>
      </c>
      <c r="I801" s="21">
        <v>2.15</v>
      </c>
      <c r="J801" s="8">
        <v>2</v>
      </c>
      <c r="K801" s="8" t="s">
        <v>238</v>
      </c>
      <c r="L801" s="18">
        <v>42116</v>
      </c>
      <c r="M801" s="37" t="s">
        <v>191</v>
      </c>
      <c r="N801" s="38">
        <v>1.28</v>
      </c>
      <c r="O801" s="38">
        <v>0.5</v>
      </c>
      <c r="P801" s="38">
        <v>0.3</v>
      </c>
      <c r="Q801" s="38">
        <v>0.08</v>
      </c>
      <c r="R801" s="38">
        <v>2.5979100000000002</v>
      </c>
      <c r="S801" s="38">
        <f t="shared" si="96"/>
        <v>2.5</v>
      </c>
      <c r="T801" s="38">
        <v>2.1</v>
      </c>
      <c r="U801" s="38">
        <v>0.05</v>
      </c>
      <c r="V801" s="38">
        <v>0</v>
      </c>
      <c r="W801" s="38">
        <v>0</v>
      </c>
      <c r="X801" s="38">
        <v>4.1724899999999998</v>
      </c>
      <c r="Y801" s="38">
        <f t="shared" si="97"/>
        <v>4</v>
      </c>
      <c r="Z801" s="38">
        <v>0</v>
      </c>
      <c r="AA801" s="38">
        <v>0</v>
      </c>
      <c r="AB801" s="38">
        <v>2.15</v>
      </c>
      <c r="AC801" s="38">
        <v>1.1772899999999999</v>
      </c>
      <c r="AD801" s="38">
        <v>14.04</v>
      </c>
      <c r="AE801" s="38">
        <v>13.74</v>
      </c>
      <c r="AF801" s="38">
        <f>(AD801+AE801*0.5)/(3.5*I801*1000)*100</f>
        <v>0.27787375415282395</v>
      </c>
      <c r="AG801" s="38">
        <f t="shared" si="98"/>
        <v>0.3</v>
      </c>
      <c r="AH801" s="38">
        <v>0</v>
      </c>
      <c r="AI801" s="38">
        <f>AH801/(3.5*I801*1000)*100</f>
        <v>0</v>
      </c>
      <c r="AJ801" s="38">
        <v>0</v>
      </c>
      <c r="AK801" s="38">
        <f>AJ801/(3.5*I801*1000)*100</f>
        <v>0</v>
      </c>
      <c r="AL801" s="38">
        <v>0</v>
      </c>
      <c r="AM801" s="38">
        <f t="shared" si="103"/>
        <v>0</v>
      </c>
      <c r="AN801" s="12"/>
      <c r="AO801" s="12"/>
      <c r="AP801" s="1"/>
      <c r="AQ801" s="41">
        <f>SUM(N801:Q801)</f>
        <v>2.16</v>
      </c>
      <c r="AR801" s="41">
        <f>SUM(T801:W801)</f>
        <v>2.15</v>
      </c>
      <c r="AS801" s="12">
        <f>SUM(Z801:AB801)</f>
        <v>2.15</v>
      </c>
      <c r="AT801" s="1"/>
      <c r="AU801" s="1">
        <f>I801/AQ801</f>
        <v>0.99537037037037024</v>
      </c>
      <c r="AV801" s="1">
        <f>I801/AR801</f>
        <v>1</v>
      </c>
      <c r="AW801" s="1">
        <f>I801/AS801</f>
        <v>1</v>
      </c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</row>
    <row r="802" spans="1:88" s="22" customFormat="1">
      <c r="A802" s="1">
        <v>956</v>
      </c>
      <c r="B802" s="34" t="s">
        <v>1329</v>
      </c>
      <c r="C802" s="34">
        <v>611</v>
      </c>
      <c r="D802" s="161">
        <v>2369</v>
      </c>
      <c r="E802" s="34">
        <v>102</v>
      </c>
      <c r="F802" s="34" t="s">
        <v>1355</v>
      </c>
      <c r="G802" s="58">
        <v>45941</v>
      </c>
      <c r="H802" s="58">
        <v>64263</v>
      </c>
      <c r="I802" s="35">
        <v>18.321999999999999</v>
      </c>
      <c r="J802" s="71">
        <v>2</v>
      </c>
      <c r="K802" s="34" t="s">
        <v>238</v>
      </c>
      <c r="L802" s="10">
        <v>42118</v>
      </c>
      <c r="M802" s="37" t="s">
        <v>191</v>
      </c>
      <c r="N802" s="38">
        <v>10.6</v>
      </c>
      <c r="O802" s="38">
        <v>4.125</v>
      </c>
      <c r="P802" s="38">
        <v>2.0750000000000002</v>
      </c>
      <c r="Q802" s="38">
        <v>1.625</v>
      </c>
      <c r="R802" s="38">
        <v>2.8060700000000001</v>
      </c>
      <c r="S802" s="38">
        <f t="shared" si="96"/>
        <v>3</v>
      </c>
      <c r="T802" s="38">
        <v>15.2</v>
      </c>
      <c r="U802" s="38">
        <v>1.9</v>
      </c>
      <c r="V802" s="38">
        <v>0.85</v>
      </c>
      <c r="W802" s="38">
        <v>0.47499999999999998</v>
      </c>
      <c r="X802" s="38">
        <v>6.0825800000000001</v>
      </c>
      <c r="Y802" s="38">
        <f t="shared" si="97"/>
        <v>6</v>
      </c>
      <c r="Z802" s="38">
        <v>0</v>
      </c>
      <c r="AA802" s="38">
        <v>0</v>
      </c>
      <c r="AB802" s="38">
        <v>18.321999999999999</v>
      </c>
      <c r="AC802" s="38">
        <v>1.2376799999999999</v>
      </c>
      <c r="AD802" s="38">
        <v>178</v>
      </c>
      <c r="AE802" s="38">
        <v>0</v>
      </c>
      <c r="AF802" s="38">
        <f>(AD802+AE802*0.5)/(3.5*I802*1000)*100</f>
        <v>0.27757418871926021</v>
      </c>
      <c r="AG802" s="38">
        <f t="shared" si="98"/>
        <v>0.3</v>
      </c>
      <c r="AH802" s="38">
        <v>0</v>
      </c>
      <c r="AI802" s="38">
        <f>AH802/(3.5*I802*1000)*100</f>
        <v>0</v>
      </c>
      <c r="AJ802" s="38">
        <v>0</v>
      </c>
      <c r="AK802" s="38">
        <f>AJ802/(3.5*I802*1000)*100</f>
        <v>0</v>
      </c>
      <c r="AL802" s="38">
        <v>0</v>
      </c>
      <c r="AM802" s="38">
        <f t="shared" si="103"/>
        <v>0</v>
      </c>
      <c r="AN802" s="25"/>
      <c r="AO802" s="25">
        <f>AE802*0.5</f>
        <v>0</v>
      </c>
      <c r="AP802" s="25">
        <f>(AD802+AH802+AJ802+AL802+AO802)*I802</f>
        <v>3261.3159999999998</v>
      </c>
      <c r="AQ802" s="25"/>
      <c r="AR802" s="25">
        <f>SUM(N802:Q802)</f>
        <v>18.425000000000001</v>
      </c>
      <c r="AS802" s="25">
        <f>SUM(T802:W802)</f>
        <v>18.425000000000001</v>
      </c>
      <c r="AT802" s="268">
        <v>18.321999999999999</v>
      </c>
      <c r="AU802" s="41"/>
      <c r="AV802" s="41"/>
      <c r="AW802" s="41"/>
    </row>
    <row r="803" spans="1:88" s="22" customFormat="1">
      <c r="A803" s="1">
        <v>1393</v>
      </c>
      <c r="B803" s="34" t="s">
        <v>1940</v>
      </c>
      <c r="C803" s="34">
        <v>446</v>
      </c>
      <c r="D803" s="75">
        <v>3211</v>
      </c>
      <c r="E803" s="69">
        <v>100</v>
      </c>
      <c r="F803" s="34" t="s">
        <v>1948</v>
      </c>
      <c r="G803" s="20" t="s">
        <v>1949</v>
      </c>
      <c r="H803" s="20" t="s">
        <v>1950</v>
      </c>
      <c r="I803" s="21">
        <v>32.265000000000001</v>
      </c>
      <c r="J803" s="8">
        <v>2</v>
      </c>
      <c r="K803" s="34" t="s">
        <v>238</v>
      </c>
      <c r="L803" s="10">
        <v>42219</v>
      </c>
      <c r="M803" s="37" t="s">
        <v>191</v>
      </c>
      <c r="N803" s="38">
        <v>15.92</v>
      </c>
      <c r="O803" s="38">
        <v>9.15</v>
      </c>
      <c r="P803" s="38">
        <v>6.27</v>
      </c>
      <c r="Q803" s="38">
        <v>0.93</v>
      </c>
      <c r="R803" s="38">
        <v>2.7416999999999998</v>
      </c>
      <c r="S803" s="38">
        <f t="shared" si="96"/>
        <v>2.5</v>
      </c>
      <c r="T803" s="38">
        <v>31.26</v>
      </c>
      <c r="U803" s="38">
        <v>0.79</v>
      </c>
      <c r="V803" s="38">
        <v>0.2</v>
      </c>
      <c r="W803" s="38">
        <v>0.02</v>
      </c>
      <c r="X803" s="38">
        <v>3.3137799999999999</v>
      </c>
      <c r="Y803" s="38">
        <f t="shared" si="97"/>
        <v>3.5</v>
      </c>
      <c r="Z803" s="38">
        <v>0</v>
      </c>
      <c r="AA803" s="38">
        <v>0</v>
      </c>
      <c r="AB803" s="11">
        <v>32.270000000000003</v>
      </c>
      <c r="AC803" s="38">
        <v>1.3171999999999999</v>
      </c>
      <c r="AD803" s="38">
        <v>340.35</v>
      </c>
      <c r="AE803" s="38">
        <v>108.248</v>
      </c>
      <c r="AF803" s="38">
        <v>0.27622875629345905</v>
      </c>
      <c r="AG803" s="38">
        <f t="shared" si="98"/>
        <v>0.3</v>
      </c>
      <c r="AH803" s="38">
        <v>49</v>
      </c>
      <c r="AI803" s="38">
        <v>4.3390671005733759E-2</v>
      </c>
      <c r="AJ803" s="38">
        <v>0</v>
      </c>
      <c r="AK803" s="38">
        <v>0</v>
      </c>
      <c r="AL803" s="38">
        <v>1.95</v>
      </c>
      <c r="AM803" s="38">
        <v>1.7267716012485885E-3</v>
      </c>
      <c r="AN803" s="12"/>
      <c r="AO803" s="1"/>
      <c r="AP803" s="12">
        <f>SUM(N803:Q803)</f>
        <v>32.270000000000003</v>
      </c>
      <c r="AQ803" s="12">
        <f>SUM(T803:W803)</f>
        <v>32.27000000000001</v>
      </c>
      <c r="AR803" s="12">
        <f>SUM(Z803:AB803)</f>
        <v>32.270000000000003</v>
      </c>
      <c r="AS803" s="1"/>
      <c r="AT803" s="1">
        <f>I803/AP803</f>
        <v>0.99984505732878826</v>
      </c>
      <c r="AU803" s="1">
        <f>I803/AQ803</f>
        <v>0.99984505732878803</v>
      </c>
      <c r="AV803" s="1">
        <f>I803/AR803</f>
        <v>0.99984505732878826</v>
      </c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</row>
    <row r="804" spans="1:88" s="22" customFormat="1">
      <c r="A804" s="1">
        <v>1020</v>
      </c>
      <c r="B804" s="9" t="s">
        <v>1394</v>
      </c>
      <c r="C804" s="9">
        <v>617</v>
      </c>
      <c r="D804" s="8">
        <v>2073</v>
      </c>
      <c r="E804" s="9">
        <v>102</v>
      </c>
      <c r="F804" s="9" t="s">
        <v>1420</v>
      </c>
      <c r="G804" s="20">
        <v>8475</v>
      </c>
      <c r="H804" s="20">
        <v>43475</v>
      </c>
      <c r="I804" s="35">
        <v>35</v>
      </c>
      <c r="J804" s="9">
        <v>2</v>
      </c>
      <c r="K804" s="9" t="s">
        <v>238</v>
      </c>
      <c r="L804" s="18">
        <v>42130</v>
      </c>
      <c r="M804" s="37" t="s">
        <v>191</v>
      </c>
      <c r="N804" s="11">
        <v>28.05</v>
      </c>
      <c r="O804" s="11">
        <v>4.8</v>
      </c>
      <c r="P804" s="11">
        <v>1.4750000000000001</v>
      </c>
      <c r="Q804" s="11">
        <v>0.42499999999999999</v>
      </c>
      <c r="R804" s="11">
        <v>1.91659</v>
      </c>
      <c r="S804" s="38">
        <f t="shared" si="96"/>
        <v>2</v>
      </c>
      <c r="T804" s="11">
        <v>34</v>
      </c>
      <c r="U804" s="11">
        <v>0.67500000000000004</v>
      </c>
      <c r="V804" s="11">
        <v>0.05</v>
      </c>
      <c r="W804" s="11">
        <v>2.5000000000000001E-2</v>
      </c>
      <c r="X804" s="11">
        <v>3.95322</v>
      </c>
      <c r="Y804" s="38">
        <f t="shared" si="97"/>
        <v>4</v>
      </c>
      <c r="Z804" s="11">
        <v>0</v>
      </c>
      <c r="AA804" s="11">
        <v>0</v>
      </c>
      <c r="AB804" s="11">
        <f>SUM(N804:Q804)</f>
        <v>34.75</v>
      </c>
      <c r="AC804" s="11">
        <v>1.3369599999999999</v>
      </c>
      <c r="AD804" s="11">
        <v>244.58</v>
      </c>
      <c r="AE804" s="11">
        <v>186.96</v>
      </c>
      <c r="AF804" s="11">
        <f>(AD804+AE804*0.5)/(3.5*I804*1000)*100</f>
        <v>0.2759673469387755</v>
      </c>
      <c r="AG804" s="38">
        <f t="shared" si="98"/>
        <v>0.3</v>
      </c>
      <c r="AH804" s="11">
        <v>317.42</v>
      </c>
      <c r="AI804" s="38">
        <f>AH804/(3.5*I804*1000)*100</f>
        <v>0.25911836734693877</v>
      </c>
      <c r="AJ804" s="11">
        <v>24.73</v>
      </c>
      <c r="AK804" s="38">
        <f>AJ804/(3.5*I804*1000)*100</f>
        <v>2.0187755102040815E-2</v>
      </c>
      <c r="AL804" s="11">
        <v>0</v>
      </c>
      <c r="AM804" s="38">
        <f>AL804/(3.5*I804*1000)*100</f>
        <v>0</v>
      </c>
      <c r="AN804" s="25"/>
      <c r="AO804" s="25">
        <f>AE804*0.5</f>
        <v>93.48</v>
      </c>
      <c r="AP804" s="25">
        <f>(AD804+AH804+AJ804+AL804+AO804)*I804</f>
        <v>23807.350000000002</v>
      </c>
      <c r="AQ804" s="25"/>
      <c r="AR804" s="25"/>
      <c r="AS804" s="25">
        <f>SUM(N804:Q804)</f>
        <v>34.75</v>
      </c>
      <c r="AT804" s="25">
        <f>SUM(T804:W804)</f>
        <v>34.749999999999993</v>
      </c>
      <c r="AU804" s="41"/>
      <c r="AV804" s="41"/>
      <c r="AW804" s="41"/>
    </row>
    <row r="805" spans="1:88" s="22" customFormat="1">
      <c r="A805" s="1">
        <v>256</v>
      </c>
      <c r="B805" s="34" t="s">
        <v>265</v>
      </c>
      <c r="C805" s="34">
        <v>539</v>
      </c>
      <c r="D805" s="34">
        <v>101</v>
      </c>
      <c r="E805" s="34">
        <v>603</v>
      </c>
      <c r="F805" s="34" t="s">
        <v>273</v>
      </c>
      <c r="G805" s="20" t="s">
        <v>274</v>
      </c>
      <c r="H805" s="20" t="s">
        <v>275</v>
      </c>
      <c r="I805" s="35">
        <v>19.303999999999998</v>
      </c>
      <c r="J805" s="36">
        <v>2</v>
      </c>
      <c r="K805" s="34" t="s">
        <v>12</v>
      </c>
      <c r="L805" s="10">
        <v>42213</v>
      </c>
      <c r="M805" s="37" t="s">
        <v>191</v>
      </c>
      <c r="N805" s="38">
        <v>10.64</v>
      </c>
      <c r="O805" s="38">
        <v>4.01</v>
      </c>
      <c r="P805" s="38">
        <v>2.29</v>
      </c>
      <c r="Q805" s="38">
        <v>2.37</v>
      </c>
      <c r="R805" s="38">
        <v>2.92177</v>
      </c>
      <c r="S805" s="38">
        <f t="shared" si="96"/>
        <v>3</v>
      </c>
      <c r="T805" s="38">
        <v>16.87</v>
      </c>
      <c r="U805" s="38">
        <v>1.83</v>
      </c>
      <c r="V805" s="38">
        <v>0.49</v>
      </c>
      <c r="W805" s="38">
        <v>0.13</v>
      </c>
      <c r="X805" s="38">
        <v>6.4172099999999999</v>
      </c>
      <c r="Y805" s="38">
        <f t="shared" si="97"/>
        <v>6.5</v>
      </c>
      <c r="Z805" s="38">
        <v>0.05</v>
      </c>
      <c r="AA805" s="38">
        <v>0.13</v>
      </c>
      <c r="AB805" s="38">
        <v>19.13</v>
      </c>
      <c r="AC805" s="38">
        <v>1.38636</v>
      </c>
      <c r="AD805" s="38">
        <v>182</v>
      </c>
      <c r="AE805" s="38">
        <v>8.51</v>
      </c>
      <c r="AF805" s="38">
        <v>0.27567195547924933</v>
      </c>
      <c r="AG805" s="38">
        <f t="shared" si="98"/>
        <v>0.3</v>
      </c>
      <c r="AH805" s="38">
        <v>0</v>
      </c>
      <c r="AI805" s="38">
        <v>0</v>
      </c>
      <c r="AJ805" s="38">
        <v>0</v>
      </c>
      <c r="AK805" s="38">
        <v>0</v>
      </c>
      <c r="AL805" s="38">
        <v>0</v>
      </c>
      <c r="AM805" s="38">
        <v>0</v>
      </c>
      <c r="AN805" s="56"/>
      <c r="AO805" s="56"/>
      <c r="AP805" s="25">
        <f>SUM(N805:Q805)</f>
        <v>19.310000000000002</v>
      </c>
      <c r="AQ805" s="25">
        <f>SUM(T805:W805)</f>
        <v>19.32</v>
      </c>
      <c r="AS805" s="41"/>
      <c r="AT805" s="41"/>
      <c r="AU805" s="41"/>
      <c r="AV805" s="41">
        <f>SUM(N805:Q805)</f>
        <v>19.310000000000002</v>
      </c>
      <c r="AW805" s="41">
        <f>SUM(T805:W805)</f>
        <v>19.32</v>
      </c>
      <c r="AX805" s="41">
        <f>SUM(Z805:AB805)</f>
        <v>19.309999999999999</v>
      </c>
      <c r="AZ805" s="22">
        <f>I805/AV805</f>
        <v>0.99968928016571701</v>
      </c>
      <c r="BA805" s="22">
        <f>I805/AW805</f>
        <v>0.99917184265010339</v>
      </c>
      <c r="BB805" s="22">
        <f>I805/AX805</f>
        <v>0.99968928016571723</v>
      </c>
    </row>
    <row r="806" spans="1:88" s="22" customFormat="1">
      <c r="A806" s="1">
        <v>1984</v>
      </c>
      <c r="B806" s="34" t="s">
        <v>2615</v>
      </c>
      <c r="C806" s="34">
        <v>322</v>
      </c>
      <c r="D806" s="75">
        <v>4123</v>
      </c>
      <c r="E806" s="8">
        <v>100</v>
      </c>
      <c r="F806" s="34" t="s">
        <v>2624</v>
      </c>
      <c r="G806" s="58">
        <v>31229</v>
      </c>
      <c r="H806" s="58">
        <v>0</v>
      </c>
      <c r="I806" s="21">
        <v>31.228999999999999</v>
      </c>
      <c r="J806" s="8">
        <v>2</v>
      </c>
      <c r="K806" s="8" t="s">
        <v>96</v>
      </c>
      <c r="L806" s="18">
        <v>42130</v>
      </c>
      <c r="M806" s="37" t="s">
        <v>191</v>
      </c>
      <c r="N806" s="38">
        <v>23.824999999999999</v>
      </c>
      <c r="O806" s="38">
        <v>3.85</v>
      </c>
      <c r="P806" s="38">
        <v>1.925</v>
      </c>
      <c r="Q806" s="38">
        <v>1.55</v>
      </c>
      <c r="R806" s="38">
        <v>2.2579899999999999</v>
      </c>
      <c r="S806" s="38">
        <f t="shared" si="96"/>
        <v>2.5</v>
      </c>
      <c r="T806" s="38">
        <v>30.625</v>
      </c>
      <c r="U806" s="38">
        <v>0.5</v>
      </c>
      <c r="V806" s="38">
        <v>2.5000000000000001E-2</v>
      </c>
      <c r="W806" s="38">
        <v>0</v>
      </c>
      <c r="X806" s="38">
        <v>2.8370299999999999</v>
      </c>
      <c r="Y806" s="38">
        <f t="shared" si="97"/>
        <v>3</v>
      </c>
      <c r="Z806" s="38">
        <v>0</v>
      </c>
      <c r="AA806" s="38">
        <v>0</v>
      </c>
      <c r="AB806" s="38">
        <v>31.150000000000002</v>
      </c>
      <c r="AC806" s="38">
        <v>1.14724</v>
      </c>
      <c r="AD806" s="38">
        <v>287.37</v>
      </c>
      <c r="AE806" s="38">
        <v>27</v>
      </c>
      <c r="AF806" s="38">
        <v>0.27526612169091913</v>
      </c>
      <c r="AG806" s="38">
        <f t="shared" si="98"/>
        <v>0.3</v>
      </c>
      <c r="AH806" s="38">
        <v>2.4500000000000002</v>
      </c>
      <c r="AI806" s="38">
        <v>2.2415062922283777E-3</v>
      </c>
      <c r="AJ806" s="38">
        <v>81.84</v>
      </c>
      <c r="AK806" s="38">
        <v>7.4875459165702193E-2</v>
      </c>
      <c r="AL806" s="38">
        <v>1</v>
      </c>
      <c r="AM806" s="38">
        <f>AL806/(3.5*I806*1000)*100</f>
        <v>9.1490052744015412E-4</v>
      </c>
      <c r="AN806" s="72"/>
      <c r="AO806" s="41"/>
      <c r="AP806" s="41"/>
      <c r="AQ806" s="73"/>
      <c r="AR806" s="73"/>
      <c r="AS806" s="73"/>
      <c r="AT806" s="73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</row>
    <row r="807" spans="1:88" s="22" customFormat="1">
      <c r="A807" s="1">
        <v>1135</v>
      </c>
      <c r="B807" s="74" t="s">
        <v>1577</v>
      </c>
      <c r="C807" s="34">
        <v>432</v>
      </c>
      <c r="D807" s="34">
        <v>310</v>
      </c>
      <c r="E807" s="34">
        <v>100</v>
      </c>
      <c r="F807" s="34" t="s">
        <v>1581</v>
      </c>
      <c r="G807" s="34" t="s">
        <v>92</v>
      </c>
      <c r="H807" s="34" t="s">
        <v>1582</v>
      </c>
      <c r="I807" s="55">
        <v>1.9750000000000001</v>
      </c>
      <c r="J807" s="5">
        <v>4</v>
      </c>
      <c r="K807" s="34" t="s">
        <v>237</v>
      </c>
      <c r="L807" s="10">
        <v>42282</v>
      </c>
      <c r="M807" s="37" t="s">
        <v>191</v>
      </c>
      <c r="N807" s="38">
        <v>0.77500000000000002</v>
      </c>
      <c r="O807" s="38">
        <v>0.95</v>
      </c>
      <c r="P807" s="38">
        <v>0.27500000000000002</v>
      </c>
      <c r="Q807" s="38">
        <v>0.22500000000000001</v>
      </c>
      <c r="R807" s="38">
        <v>3.3578700000000001</v>
      </c>
      <c r="S807" s="38">
        <f t="shared" si="96"/>
        <v>3.5</v>
      </c>
      <c r="T807" s="38">
        <v>1.425</v>
      </c>
      <c r="U807" s="38">
        <v>0.42499999999999999</v>
      </c>
      <c r="V807" s="38">
        <v>0.25</v>
      </c>
      <c r="W807" s="38">
        <v>0.125</v>
      </c>
      <c r="X807" s="38">
        <v>9.1973800000000008</v>
      </c>
      <c r="Y807" s="38">
        <f t="shared" si="97"/>
        <v>9</v>
      </c>
      <c r="Z807" s="38">
        <v>0</v>
      </c>
      <c r="AA807" s="38">
        <v>0</v>
      </c>
      <c r="AB807" s="38">
        <v>2.2250000000000001</v>
      </c>
      <c r="AC807" s="38">
        <v>1.3848400000000001</v>
      </c>
      <c r="AD807" s="38">
        <v>14.68</v>
      </c>
      <c r="AE807" s="38">
        <v>8.69</v>
      </c>
      <c r="AF807" s="38">
        <v>0.27522600000000003</v>
      </c>
      <c r="AG807" s="38">
        <f t="shared" si="98"/>
        <v>0.3</v>
      </c>
      <c r="AH807" s="38">
        <v>123.62</v>
      </c>
      <c r="AI807" s="38">
        <v>1.788354</v>
      </c>
      <c r="AJ807" s="38">
        <v>0</v>
      </c>
      <c r="AK807" s="38">
        <v>0</v>
      </c>
      <c r="AL807" s="38">
        <v>3.22</v>
      </c>
      <c r="AM807" s="38">
        <v>4.6581999999999998E-2</v>
      </c>
      <c r="AN807" s="114"/>
      <c r="AO807" s="73"/>
    </row>
    <row r="808" spans="1:88">
      <c r="A808" s="1">
        <v>771</v>
      </c>
      <c r="B808" s="34" t="s">
        <v>1149</v>
      </c>
      <c r="C808" s="34">
        <v>622</v>
      </c>
      <c r="D808" s="8">
        <v>2269</v>
      </c>
      <c r="E808" s="34">
        <v>200</v>
      </c>
      <c r="F808" s="34" t="s">
        <v>1163</v>
      </c>
      <c r="G808" s="58">
        <v>19251</v>
      </c>
      <c r="H808" s="58">
        <v>23720</v>
      </c>
      <c r="I808" s="35">
        <v>4.4690000000000003</v>
      </c>
      <c r="J808" s="9">
        <v>2</v>
      </c>
      <c r="K808" s="34" t="s">
        <v>238</v>
      </c>
      <c r="L808" s="10">
        <v>42151</v>
      </c>
      <c r="M808" s="37" t="s">
        <v>191</v>
      </c>
      <c r="N808" s="38">
        <v>3.8250000000000002</v>
      </c>
      <c r="O808" s="38">
        <v>0.47499999999999998</v>
      </c>
      <c r="P808" s="38">
        <v>7.4999999999999997E-2</v>
      </c>
      <c r="Q808" s="38">
        <v>7.4999999999999997E-2</v>
      </c>
      <c r="R808" s="38">
        <v>2.0573000000000001</v>
      </c>
      <c r="S808" s="38">
        <f t="shared" si="96"/>
        <v>2</v>
      </c>
      <c r="T808" s="38">
        <v>4.47</v>
      </c>
      <c r="U808" s="38">
        <v>0</v>
      </c>
      <c r="V808" s="38">
        <v>0</v>
      </c>
      <c r="W808" s="38">
        <v>0</v>
      </c>
      <c r="X808" s="38">
        <v>3.3393799999999998</v>
      </c>
      <c r="Y808" s="38">
        <f t="shared" si="97"/>
        <v>3.5</v>
      </c>
      <c r="Z808" s="38">
        <v>0</v>
      </c>
      <c r="AA808" s="38">
        <v>0</v>
      </c>
      <c r="AB808" s="38">
        <v>4.47</v>
      </c>
      <c r="AC808" s="38">
        <v>1.2906599999999999</v>
      </c>
      <c r="AD808" s="38">
        <v>14</v>
      </c>
      <c r="AE808" s="38">
        <v>58</v>
      </c>
      <c r="AF808" s="38">
        <f>(AD808+AE808*0.5)/(3.5*I808*1000)*100</f>
        <v>0.27490969536169807</v>
      </c>
      <c r="AG808" s="38">
        <f t="shared" si="98"/>
        <v>0.3</v>
      </c>
      <c r="AH808" s="38">
        <v>88</v>
      </c>
      <c r="AI808" s="38">
        <f>AH808/(3.5*I808*1000)*100</f>
        <v>0.56260588818207979</v>
      </c>
      <c r="AJ808" s="38">
        <v>104</v>
      </c>
      <c r="AK808" s="38">
        <f>AJ808/(3.5*I808*1000)*100</f>
        <v>0.66489786785154881</v>
      </c>
      <c r="AL808" s="38">
        <v>242</v>
      </c>
      <c r="AM808" s="38">
        <f>AL808/(3.5*I808*1000)*100</f>
        <v>1.5471661925007192</v>
      </c>
      <c r="AN808" s="25"/>
      <c r="AO808" s="25">
        <f>AE808*0.5</f>
        <v>29</v>
      </c>
      <c r="AP808" s="25">
        <f>(AD808+AH808+AJ808+AL808+AO808)*I808</f>
        <v>2131.7130000000002</v>
      </c>
      <c r="AQ808" s="25">
        <f>SUM(N808:Q808)</f>
        <v>4.45</v>
      </c>
      <c r="AR808" s="25">
        <f>SUM(T808:W808)</f>
        <v>4.47</v>
      </c>
      <c r="AS808" s="268">
        <v>4.4690000000000003</v>
      </c>
      <c r="AT808" s="41"/>
      <c r="AU808" s="41">
        <f>SUM(N808:Q808)</f>
        <v>4.45</v>
      </c>
      <c r="AV808" s="41">
        <f>SUM(T808:W808)</f>
        <v>4.47</v>
      </c>
      <c r="AW808" s="41">
        <f>SUM(Z808:AB808)</f>
        <v>4.47</v>
      </c>
      <c r="AX808" s="22"/>
      <c r="AY808" s="22">
        <f>I808/AU808</f>
        <v>1.0042696629213483</v>
      </c>
      <c r="AZ808" s="22">
        <f>I808/AV808</f>
        <v>0.99977628635346771</v>
      </c>
      <c r="BA808" s="22">
        <f>I808/AW808</f>
        <v>0.99977628635346771</v>
      </c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  <c r="CI808" s="22"/>
      <c r="CJ808" s="22"/>
    </row>
    <row r="809" spans="1:88" s="22" customFormat="1">
      <c r="A809" s="1">
        <v>1998</v>
      </c>
      <c r="B809" s="34" t="s">
        <v>2615</v>
      </c>
      <c r="C809" s="34">
        <v>322</v>
      </c>
      <c r="D809" s="75">
        <v>4269</v>
      </c>
      <c r="E809" s="8">
        <v>102</v>
      </c>
      <c r="F809" s="34" t="s">
        <v>2641</v>
      </c>
      <c r="G809" s="58">
        <v>21738</v>
      </c>
      <c r="H809" s="58">
        <v>9720</v>
      </c>
      <c r="I809" s="21">
        <v>12.018000000000001</v>
      </c>
      <c r="J809" s="8">
        <v>2</v>
      </c>
      <c r="K809" s="8" t="s">
        <v>96</v>
      </c>
      <c r="L809" s="18">
        <v>42126</v>
      </c>
      <c r="M809" s="37" t="s">
        <v>191</v>
      </c>
      <c r="N809" s="38">
        <v>5.4249999999999998</v>
      </c>
      <c r="O809" s="38">
        <v>4.875</v>
      </c>
      <c r="P809" s="38">
        <v>1.05</v>
      </c>
      <c r="Q809" s="38">
        <v>0.65</v>
      </c>
      <c r="R809" s="38">
        <v>2.7934000000000001</v>
      </c>
      <c r="S809" s="38">
        <f t="shared" si="96"/>
        <v>3</v>
      </c>
      <c r="T809" s="38">
        <v>11.175000000000001</v>
      </c>
      <c r="U809" s="38">
        <v>0.72499999999999998</v>
      </c>
      <c r="V809" s="38">
        <v>0.05</v>
      </c>
      <c r="W809" s="38">
        <v>0.05</v>
      </c>
      <c r="X809" s="38">
        <v>4.5208300000000001</v>
      </c>
      <c r="Y809" s="38">
        <f t="shared" si="97"/>
        <v>4.5</v>
      </c>
      <c r="Z809" s="38">
        <v>0</v>
      </c>
      <c r="AA809" s="38">
        <v>0</v>
      </c>
      <c r="AB809" s="38">
        <v>12.000000000000002</v>
      </c>
      <c r="AC809" s="38">
        <v>1.0989800000000001</v>
      </c>
      <c r="AD809" s="38">
        <v>102.54</v>
      </c>
      <c r="AE809" s="38">
        <v>25.99</v>
      </c>
      <c r="AF809" s="38">
        <v>0.27467132634381763</v>
      </c>
      <c r="AG809" s="38">
        <f t="shared" si="98"/>
        <v>0.3</v>
      </c>
      <c r="AH809" s="38">
        <v>56.63</v>
      </c>
      <c r="AI809" s="38">
        <v>0.13463138625395243</v>
      </c>
      <c r="AJ809" s="38">
        <v>12.94</v>
      </c>
      <c r="AK809" s="38">
        <v>3.076337874141169E-2</v>
      </c>
      <c r="AL809" s="38">
        <v>0</v>
      </c>
      <c r="AM809" s="38">
        <f>AL809/(3.5*I809*1000)*100</f>
        <v>0</v>
      </c>
      <c r="AN809" s="72"/>
      <c r="AO809" s="41"/>
      <c r="AP809" s="41"/>
      <c r="AQ809" s="73"/>
      <c r="AR809" s="73"/>
      <c r="AS809" s="73"/>
      <c r="AT809" s="73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</row>
    <row r="810" spans="1:88" s="22" customFormat="1">
      <c r="A810" s="1">
        <v>471</v>
      </c>
      <c r="B810" s="74" t="s">
        <v>780</v>
      </c>
      <c r="C810" s="34">
        <v>515</v>
      </c>
      <c r="D810" s="34">
        <v>1310</v>
      </c>
      <c r="E810" s="34">
        <v>100</v>
      </c>
      <c r="F810" s="34" t="s">
        <v>806</v>
      </c>
      <c r="G810" s="34" t="s">
        <v>92</v>
      </c>
      <c r="H810" s="34" t="s">
        <v>807</v>
      </c>
      <c r="I810" s="55">
        <v>15.593</v>
      </c>
      <c r="J810" s="5" t="s">
        <v>238</v>
      </c>
      <c r="K810" s="34">
        <v>2</v>
      </c>
      <c r="L810" s="10">
        <v>42269</v>
      </c>
      <c r="M810" s="37" t="s">
        <v>191</v>
      </c>
      <c r="N810" s="38">
        <v>10.050000000000001</v>
      </c>
      <c r="O810" s="38">
        <v>3.3</v>
      </c>
      <c r="P810" s="38">
        <v>1.625</v>
      </c>
      <c r="Q810" s="38">
        <v>0.6</v>
      </c>
      <c r="R810" s="38">
        <v>2.46841</v>
      </c>
      <c r="S810" s="38">
        <f t="shared" si="96"/>
        <v>2.5</v>
      </c>
      <c r="T810" s="38">
        <v>14.55</v>
      </c>
      <c r="U810" s="38">
        <v>0.6</v>
      </c>
      <c r="V810" s="38">
        <v>0.15</v>
      </c>
      <c r="W810" s="38">
        <v>0.27500000000000002</v>
      </c>
      <c r="X810" s="38">
        <v>4.4380699999999997</v>
      </c>
      <c r="Y810" s="38">
        <f t="shared" si="97"/>
        <v>4.5</v>
      </c>
      <c r="Z810" s="38">
        <v>0</v>
      </c>
      <c r="AA810" s="38">
        <v>0</v>
      </c>
      <c r="AB810" s="38">
        <v>15.575000000000001</v>
      </c>
      <c r="AC810" s="38">
        <v>1.17848</v>
      </c>
      <c r="AD810" s="38">
        <v>142.255</v>
      </c>
      <c r="AE810" s="38">
        <v>15.11</v>
      </c>
      <c r="AF810" s="38">
        <f>(AD810+AE810*0.5)/(3.5*I810*1000)*100</f>
        <v>0.2745004626618171</v>
      </c>
      <c r="AG810" s="38">
        <f t="shared" si="98"/>
        <v>0.3</v>
      </c>
      <c r="AH810" s="38">
        <v>88.456999999999994</v>
      </c>
      <c r="AI810" s="38">
        <f>AH810/(3.5*I810*1000)*100</f>
        <v>0.1620818865608194</v>
      </c>
      <c r="AJ810" s="38">
        <v>0</v>
      </c>
      <c r="AK810" s="38">
        <f>AJ810/(3.5*I810*1000)*100</f>
        <v>0</v>
      </c>
      <c r="AL810" s="38">
        <v>0</v>
      </c>
      <c r="AM810" s="38">
        <f>AL810/(3.5*I810*1000)*100</f>
        <v>0</v>
      </c>
      <c r="AN810" s="41"/>
      <c r="AO810" s="41"/>
      <c r="AP810" s="114"/>
      <c r="AQ810" s="73"/>
      <c r="AR810" s="73"/>
      <c r="AS810" s="73"/>
    </row>
    <row r="811" spans="1:88" s="22" customFormat="1">
      <c r="A811" s="1">
        <v>1365</v>
      </c>
      <c r="B811" s="74" t="s">
        <v>1905</v>
      </c>
      <c r="C811" s="34">
        <v>445</v>
      </c>
      <c r="D811" s="75">
        <v>3318</v>
      </c>
      <c r="E811" s="69">
        <v>200</v>
      </c>
      <c r="F811" s="184" t="s">
        <v>1916</v>
      </c>
      <c r="G811" s="20">
        <v>16000</v>
      </c>
      <c r="H811" s="20">
        <v>29757</v>
      </c>
      <c r="I811" s="21">
        <v>13.757</v>
      </c>
      <c r="J811" s="8">
        <v>2</v>
      </c>
      <c r="K811" s="34" t="s">
        <v>238</v>
      </c>
      <c r="L811" s="10">
        <v>42207</v>
      </c>
      <c r="M811" s="37" t="s">
        <v>191</v>
      </c>
      <c r="N811" s="38">
        <v>10.375</v>
      </c>
      <c r="O811" s="38">
        <v>2.4</v>
      </c>
      <c r="P811" s="38">
        <v>0.6</v>
      </c>
      <c r="Q811" s="38">
        <v>0.4</v>
      </c>
      <c r="R811" s="38">
        <v>2.4067699999999999</v>
      </c>
      <c r="S811" s="38">
        <f t="shared" si="96"/>
        <v>2.5</v>
      </c>
      <c r="T811" s="38">
        <v>13.675000000000001</v>
      </c>
      <c r="U811" s="38">
        <v>0.05</v>
      </c>
      <c r="V811" s="38">
        <v>2.5000000000000001E-2</v>
      </c>
      <c r="W811" s="38">
        <v>2.5000000000000001E-2</v>
      </c>
      <c r="X811" s="38">
        <v>4.0161600000000002</v>
      </c>
      <c r="Y811" s="38">
        <f t="shared" si="97"/>
        <v>4</v>
      </c>
      <c r="Z811" s="38">
        <v>0</v>
      </c>
      <c r="AA811" s="38">
        <v>0</v>
      </c>
      <c r="AB811" s="38">
        <v>13.775</v>
      </c>
      <c r="AC811" s="38">
        <v>1.0003500000000001</v>
      </c>
      <c r="AD811" s="38">
        <v>43</v>
      </c>
      <c r="AE811" s="38">
        <v>178</v>
      </c>
      <c r="AF811" s="38">
        <v>0.27414614897350964</v>
      </c>
      <c r="AG811" s="38">
        <f t="shared" si="98"/>
        <v>0.3</v>
      </c>
      <c r="AH811" s="38">
        <v>0</v>
      </c>
      <c r="AI811" s="38">
        <v>0</v>
      </c>
      <c r="AJ811" s="38">
        <v>11</v>
      </c>
      <c r="AK811" s="38">
        <v>2.2845512414459136E-2</v>
      </c>
      <c r="AL811" s="38">
        <v>0</v>
      </c>
      <c r="AM811" s="38">
        <v>0</v>
      </c>
      <c r="AN811" s="72"/>
      <c r="AO811" s="41"/>
      <c r="AP811" s="41"/>
      <c r="AQ811" s="41"/>
      <c r="AR811" s="41"/>
      <c r="AS811" s="73"/>
      <c r="AT811" s="73"/>
      <c r="AU811" s="73"/>
      <c r="AV811" s="73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</row>
    <row r="812" spans="1:88" s="22" customFormat="1">
      <c r="A812" s="1">
        <v>1377</v>
      </c>
      <c r="B812" s="74" t="s">
        <v>1905</v>
      </c>
      <c r="C812" s="34">
        <v>445</v>
      </c>
      <c r="D812" s="75">
        <v>3440</v>
      </c>
      <c r="E812" s="69">
        <v>100</v>
      </c>
      <c r="F812" s="34" t="s">
        <v>1928</v>
      </c>
      <c r="G812" s="20">
        <v>0</v>
      </c>
      <c r="H812" s="20">
        <v>19000</v>
      </c>
      <c r="I812" s="21">
        <v>19</v>
      </c>
      <c r="J812" s="8">
        <v>2</v>
      </c>
      <c r="K812" s="34" t="s">
        <v>238</v>
      </c>
      <c r="L812" s="10">
        <v>42208</v>
      </c>
      <c r="M812" s="37" t="s">
        <v>191</v>
      </c>
      <c r="N812" s="38">
        <v>14.9</v>
      </c>
      <c r="O812" s="38">
        <v>2.7749999999999999</v>
      </c>
      <c r="P812" s="38">
        <v>0.92500000000000004</v>
      </c>
      <c r="Q812" s="38">
        <v>0.45</v>
      </c>
      <c r="R812" s="38">
        <v>2.0849700000000002</v>
      </c>
      <c r="S812" s="38">
        <f t="shared" si="96"/>
        <v>2</v>
      </c>
      <c r="T812" s="38">
        <v>18.5</v>
      </c>
      <c r="U812" s="38">
        <v>0.47499999999999998</v>
      </c>
      <c r="V812" s="38">
        <v>7.4999999999999997E-2</v>
      </c>
      <c r="W812" s="38">
        <v>0</v>
      </c>
      <c r="X812" s="38">
        <v>3.9758399999999998</v>
      </c>
      <c r="Y812" s="38">
        <f t="shared" si="97"/>
        <v>4</v>
      </c>
      <c r="Z812" s="38">
        <v>0</v>
      </c>
      <c r="AA812" s="38">
        <v>0</v>
      </c>
      <c r="AB812" s="38">
        <v>19.05</v>
      </c>
      <c r="AC812" s="38">
        <v>1.11755</v>
      </c>
      <c r="AD812" s="39">
        <v>152</v>
      </c>
      <c r="AE812" s="38">
        <v>59</v>
      </c>
      <c r="AF812" s="38">
        <v>0.27293233082706769</v>
      </c>
      <c r="AG812" s="38">
        <f t="shared" si="98"/>
        <v>0.3</v>
      </c>
      <c r="AH812" s="38">
        <v>7</v>
      </c>
      <c r="AI812" s="38">
        <v>1.0526315789473684E-2</v>
      </c>
      <c r="AJ812" s="38">
        <v>289</v>
      </c>
      <c r="AK812" s="38">
        <v>0.43458646616541358</v>
      </c>
      <c r="AL812" s="38">
        <v>0</v>
      </c>
      <c r="AM812" s="38">
        <v>0</v>
      </c>
      <c r="AN812" s="72"/>
      <c r="AO812" s="41"/>
      <c r="AP812" s="41"/>
      <c r="AQ812" s="41"/>
      <c r="AR812" s="41"/>
      <c r="AS812" s="48"/>
      <c r="AT812" s="73"/>
      <c r="AU812" s="73"/>
      <c r="AV812" s="73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</row>
    <row r="813" spans="1:88" s="22" customFormat="1">
      <c r="A813" s="1">
        <v>1760</v>
      </c>
      <c r="B813" s="34" t="s">
        <v>2348</v>
      </c>
      <c r="C813" s="34">
        <v>425</v>
      </c>
      <c r="D813" s="8">
        <v>3299</v>
      </c>
      <c r="E813" s="34">
        <v>100</v>
      </c>
      <c r="F813" s="34" t="s">
        <v>2360</v>
      </c>
      <c r="G813" s="58">
        <v>0</v>
      </c>
      <c r="H813" s="58">
        <v>30000</v>
      </c>
      <c r="I813" s="35">
        <v>30</v>
      </c>
      <c r="J813" s="9">
        <v>2</v>
      </c>
      <c r="K813" s="34" t="s">
        <v>238</v>
      </c>
      <c r="L813" s="10">
        <v>42236</v>
      </c>
      <c r="M813" s="37" t="s">
        <v>191</v>
      </c>
      <c r="N813" s="38">
        <v>14.7</v>
      </c>
      <c r="O813" s="38">
        <v>9.65</v>
      </c>
      <c r="P813" s="38">
        <v>3.0249999999999999</v>
      </c>
      <c r="Q813" s="38">
        <v>2.5750000000000002</v>
      </c>
      <c r="R813" s="38">
        <v>3.0032399999999999</v>
      </c>
      <c r="S813" s="38">
        <f t="shared" si="96"/>
        <v>3</v>
      </c>
      <c r="T813" s="38">
        <v>25.15</v>
      </c>
      <c r="U813" s="38">
        <v>3.95</v>
      </c>
      <c r="V813" s="38">
        <v>0.57499999999999996</v>
      </c>
      <c r="W813" s="38">
        <v>0.27500000000000002</v>
      </c>
      <c r="X813" s="38">
        <v>6.8481100000000001</v>
      </c>
      <c r="Y813" s="38">
        <f t="shared" si="97"/>
        <v>7</v>
      </c>
      <c r="Z813" s="38">
        <v>0</v>
      </c>
      <c r="AA813" s="38">
        <v>0</v>
      </c>
      <c r="AB813" s="38">
        <f>SUM(T813:W813)</f>
        <v>29.949999999999996</v>
      </c>
      <c r="AC813" s="38">
        <v>1.4038999999999999</v>
      </c>
      <c r="AD813" s="39">
        <v>281.93</v>
      </c>
      <c r="AE813" s="38">
        <v>8.6</v>
      </c>
      <c r="AF813" s="38">
        <f>(AD813+AE813*0.5)/(3.5*I813*1000)*100</f>
        <v>0.27260000000000001</v>
      </c>
      <c r="AG813" s="38">
        <f t="shared" si="98"/>
        <v>0.3</v>
      </c>
      <c r="AH813" s="38">
        <v>147.27000000000001</v>
      </c>
      <c r="AI813" s="38">
        <f>AH813/(3.5*I813*1000)*100</f>
        <v>0.14025714285714286</v>
      </c>
      <c r="AJ813" s="38">
        <v>0</v>
      </c>
      <c r="AK813" s="38">
        <f>AJ813/(3.5*I813*1000)*100</f>
        <v>0</v>
      </c>
      <c r="AL813" s="38">
        <v>207.01</v>
      </c>
      <c r="AM813" s="55">
        <f>AL813/(3.5*I813*1000)*100</f>
        <v>0.19715238095238094</v>
      </c>
      <c r="AN813" s="25"/>
      <c r="AO813" s="25">
        <f>AE813*0.5</f>
        <v>4.3</v>
      </c>
      <c r="AP813" s="25">
        <f>(AD813+AH813+AJ813+AL813+AO813)*I813</f>
        <v>19215.3</v>
      </c>
      <c r="AQ813" s="25">
        <f>SUM(N813:Q813)</f>
        <v>29.95</v>
      </c>
      <c r="AR813" s="25">
        <f>SUM(T813:W813)</f>
        <v>29.949999999999996</v>
      </c>
      <c r="AS813" s="48"/>
      <c r="AT813" s="41"/>
      <c r="AU813" s="41"/>
      <c r="AV813" s="41"/>
      <c r="AW813" s="41"/>
    </row>
    <row r="814" spans="1:88" s="22" customFormat="1">
      <c r="A814" s="1">
        <v>329</v>
      </c>
      <c r="B814" s="34" t="s">
        <v>557</v>
      </c>
      <c r="C814" s="34">
        <v>646</v>
      </c>
      <c r="D814" s="34">
        <v>212</v>
      </c>
      <c r="E814" s="34">
        <v>102</v>
      </c>
      <c r="F814" s="34" t="s">
        <v>563</v>
      </c>
      <c r="G814" s="58">
        <v>32600</v>
      </c>
      <c r="H814" s="58">
        <v>61485</v>
      </c>
      <c r="I814" s="35">
        <v>28.885000000000002</v>
      </c>
      <c r="J814" s="62">
        <v>4</v>
      </c>
      <c r="K814" s="34" t="s">
        <v>237</v>
      </c>
      <c r="L814" s="10">
        <v>42164</v>
      </c>
      <c r="M814" s="37" t="s">
        <v>191</v>
      </c>
      <c r="N814" s="38">
        <v>17.05</v>
      </c>
      <c r="O814" s="38">
        <v>7.05</v>
      </c>
      <c r="P814" s="38">
        <v>3.1749999999999998</v>
      </c>
      <c r="Q814" s="38">
        <v>1.45</v>
      </c>
      <c r="R814" s="38">
        <v>2.5542600000000002</v>
      </c>
      <c r="S814" s="38">
        <f t="shared" si="96"/>
        <v>2.5</v>
      </c>
      <c r="T814" s="38">
        <v>25.75</v>
      </c>
      <c r="U814" s="38">
        <v>2.4750000000000001</v>
      </c>
      <c r="V814" s="38">
        <v>0.3</v>
      </c>
      <c r="W814" s="38">
        <v>0.2</v>
      </c>
      <c r="X814" s="38">
        <v>5.4763999999999999</v>
      </c>
      <c r="Y814" s="38">
        <f t="shared" si="97"/>
        <v>5.5</v>
      </c>
      <c r="Z814" s="38">
        <v>0</v>
      </c>
      <c r="AA814" s="38">
        <v>0</v>
      </c>
      <c r="AB814" s="38">
        <f>T814+U814+V814+W814</f>
        <v>28.725000000000001</v>
      </c>
      <c r="AC814" s="38">
        <v>1.2175</v>
      </c>
      <c r="AD814" s="39">
        <v>246</v>
      </c>
      <c r="AE814" s="38">
        <v>59</v>
      </c>
      <c r="AF814" s="38">
        <f>(AD814+AE814*0.5)/(3.5*I814*1000)*100</f>
        <v>0.27250921140483192</v>
      </c>
      <c r="AG814" s="38">
        <f t="shared" si="98"/>
        <v>0.3</v>
      </c>
      <c r="AH814" s="38">
        <v>14</v>
      </c>
      <c r="AI814" s="38">
        <f>AH814/(3.5*I814*1000)*100</f>
        <v>1.38480180024234E-2</v>
      </c>
      <c r="AJ814" s="38">
        <v>0</v>
      </c>
      <c r="AK814" s="38">
        <f>AJ814/(3.5*I814*1000)*100</f>
        <v>0</v>
      </c>
      <c r="AL814" s="38">
        <v>0</v>
      </c>
      <c r="AM814" s="38">
        <f>AL814/(3.5*I814*1000)*100</f>
        <v>0</v>
      </c>
      <c r="AN814" s="25"/>
      <c r="AO814" s="25">
        <f>AE814*0.5</f>
        <v>29.5</v>
      </c>
      <c r="AP814" s="25">
        <f>(AD814+AH814+AJ814+AL814+AO814)*I814</f>
        <v>8362.2075000000004</v>
      </c>
      <c r="AQ814" s="25">
        <f>SUM(N814:Q814)</f>
        <v>28.725000000000001</v>
      </c>
      <c r="AR814" s="25">
        <f>SUM(T814:W814)</f>
        <v>28.725000000000001</v>
      </c>
      <c r="AS814" s="48"/>
      <c r="AT814" s="41"/>
      <c r="AU814" s="41">
        <f>SUM(N814:Q814)</f>
        <v>28.725000000000001</v>
      </c>
      <c r="AV814" s="41">
        <f>SUM(T814:W814)</f>
        <v>28.725000000000001</v>
      </c>
      <c r="AW814" s="41">
        <f>SUM(Z814:AB814)</f>
        <v>28.725000000000001</v>
      </c>
      <c r="AY814" s="22">
        <f>I814/AU814</f>
        <v>1.0055700609225413</v>
      </c>
      <c r="AZ814" s="22">
        <f>I814/AV814</f>
        <v>1.0055700609225413</v>
      </c>
      <c r="BA814" s="22">
        <f>I814/AW814</f>
        <v>1.0055700609225413</v>
      </c>
    </row>
    <row r="815" spans="1:88" s="22" customFormat="1">
      <c r="A815" s="1">
        <v>1296</v>
      </c>
      <c r="B815" s="74" t="s">
        <v>1820</v>
      </c>
      <c r="C815" s="34">
        <v>441</v>
      </c>
      <c r="D815" s="75">
        <v>3507</v>
      </c>
      <c r="E815" s="69">
        <v>100</v>
      </c>
      <c r="F815" s="34" t="s">
        <v>1842</v>
      </c>
      <c r="G815" s="58">
        <v>27215</v>
      </c>
      <c r="H815" s="58">
        <v>0</v>
      </c>
      <c r="I815" s="55">
        <v>27.215</v>
      </c>
      <c r="J815" s="34">
        <v>2</v>
      </c>
      <c r="K815" s="34" t="s">
        <v>12</v>
      </c>
      <c r="L815" s="10">
        <v>42185</v>
      </c>
      <c r="M815" s="37" t="s">
        <v>191</v>
      </c>
      <c r="N815" s="38">
        <v>23.225000000000001</v>
      </c>
      <c r="O815" s="38">
        <v>2.85</v>
      </c>
      <c r="P815" s="38">
        <v>0.67500000000000004</v>
      </c>
      <c r="Q815" s="38">
        <v>0.27500000000000002</v>
      </c>
      <c r="R815" s="38">
        <v>1.92964</v>
      </c>
      <c r="S815" s="38">
        <f t="shared" si="96"/>
        <v>2</v>
      </c>
      <c r="T815" s="38">
        <v>26.675000000000001</v>
      </c>
      <c r="U815" s="38">
        <v>0.32500000000000001</v>
      </c>
      <c r="V815" s="38">
        <v>0</v>
      </c>
      <c r="W815" s="38">
        <v>2.5000000000000001E-2</v>
      </c>
      <c r="X815" s="38">
        <v>2.54135</v>
      </c>
      <c r="Y815" s="38">
        <f t="shared" si="97"/>
        <v>2.5</v>
      </c>
      <c r="Z815" s="38">
        <v>0</v>
      </c>
      <c r="AA815" s="38">
        <v>0</v>
      </c>
      <c r="AB815" s="38">
        <v>27.025000000000002</v>
      </c>
      <c r="AC815" s="38">
        <v>1.0755600000000001</v>
      </c>
      <c r="AD815" s="39">
        <v>237.4</v>
      </c>
      <c r="AE815" s="38">
        <v>43.8</v>
      </c>
      <c r="AF815" s="38">
        <v>0.27222382614629537</v>
      </c>
      <c r="AG815" s="38">
        <f t="shared" si="98"/>
        <v>0.3</v>
      </c>
      <c r="AH815" s="38">
        <v>54.88</v>
      </c>
      <c r="AI815" s="38">
        <v>5.7615285688039683E-2</v>
      </c>
      <c r="AJ815" s="38">
        <v>0</v>
      </c>
      <c r="AK815" s="38">
        <v>0</v>
      </c>
      <c r="AL815" s="38">
        <v>0</v>
      </c>
      <c r="AM815" s="38">
        <v>0</v>
      </c>
      <c r="AN815" s="40"/>
      <c r="AO815" s="12"/>
      <c r="AP815" s="1"/>
      <c r="AQ815" s="1"/>
      <c r="AR815" s="1"/>
      <c r="AS815" s="178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</row>
    <row r="816" spans="1:88" s="22" customFormat="1">
      <c r="A816" s="1">
        <v>1285</v>
      </c>
      <c r="B816" s="74" t="s">
        <v>1820</v>
      </c>
      <c r="C816" s="34">
        <v>441</v>
      </c>
      <c r="D816" s="75">
        <v>3264</v>
      </c>
      <c r="E816" s="69">
        <v>100</v>
      </c>
      <c r="F816" s="34" t="s">
        <v>1830</v>
      </c>
      <c r="G816" s="58">
        <v>950</v>
      </c>
      <c r="H816" s="58">
        <v>16344</v>
      </c>
      <c r="I816" s="55">
        <v>15.394</v>
      </c>
      <c r="J816" s="34">
        <v>2</v>
      </c>
      <c r="K816" s="34" t="s">
        <v>238</v>
      </c>
      <c r="L816" s="10">
        <v>42184</v>
      </c>
      <c r="M816" s="37" t="s">
        <v>191</v>
      </c>
      <c r="N816" s="38">
        <v>13.375</v>
      </c>
      <c r="O816" s="38">
        <v>1.9</v>
      </c>
      <c r="P816" s="38">
        <v>0.45</v>
      </c>
      <c r="Q816" s="38">
        <v>0.25</v>
      </c>
      <c r="R816" s="38">
        <v>2.0212500000000002</v>
      </c>
      <c r="S816" s="38">
        <f t="shared" si="96"/>
        <v>2</v>
      </c>
      <c r="T816" s="38">
        <v>15.725</v>
      </c>
      <c r="U816" s="38">
        <v>0.22500000000000001</v>
      </c>
      <c r="V816" s="38">
        <v>0</v>
      </c>
      <c r="W816" s="38">
        <v>2.5000000000000001E-2</v>
      </c>
      <c r="X816" s="38">
        <v>4.0113500000000002</v>
      </c>
      <c r="Y816" s="38">
        <f t="shared" si="97"/>
        <v>4</v>
      </c>
      <c r="Z816" s="38">
        <v>0</v>
      </c>
      <c r="AA816" s="38">
        <v>0</v>
      </c>
      <c r="AB816" s="38">
        <v>15.975</v>
      </c>
      <c r="AC816" s="38">
        <v>1.06551</v>
      </c>
      <c r="AD816" s="39">
        <v>139</v>
      </c>
      <c r="AE816" s="38">
        <v>15</v>
      </c>
      <c r="AF816" s="38">
        <v>0.27190556617606115</v>
      </c>
      <c r="AG816" s="38">
        <f t="shared" si="98"/>
        <v>0.3</v>
      </c>
      <c r="AH816" s="38">
        <v>6</v>
      </c>
      <c r="AI816" s="38">
        <v>0</v>
      </c>
      <c r="AJ816" s="38">
        <v>0</v>
      </c>
      <c r="AK816" s="38">
        <v>0</v>
      </c>
      <c r="AL816" s="38">
        <v>0</v>
      </c>
      <c r="AM816" s="38">
        <v>0</v>
      </c>
      <c r="AN816" s="40"/>
      <c r="AO816" s="12"/>
      <c r="AP816" s="1"/>
      <c r="AQ816" s="1"/>
      <c r="AR816" s="1"/>
      <c r="AS816" s="178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</row>
    <row r="817" spans="1:88" s="22" customFormat="1">
      <c r="A817" s="1">
        <v>525</v>
      </c>
      <c r="B817" s="88" t="s">
        <v>871</v>
      </c>
      <c r="C817" s="88">
        <v>557</v>
      </c>
      <c r="D817" s="88">
        <v>1244</v>
      </c>
      <c r="E817" s="88">
        <v>100</v>
      </c>
      <c r="F817" s="88" t="s">
        <v>902</v>
      </c>
      <c r="G817" s="88" t="s">
        <v>92</v>
      </c>
      <c r="H817" s="88" t="s">
        <v>903</v>
      </c>
      <c r="I817" s="115">
        <v>10.85</v>
      </c>
      <c r="J817" s="88" t="s">
        <v>238</v>
      </c>
      <c r="K817" s="88">
        <v>2</v>
      </c>
      <c r="L817" s="116">
        <v>42269</v>
      </c>
      <c r="M817" s="37" t="s">
        <v>191</v>
      </c>
      <c r="N817" s="38">
        <v>5.7249999999999996</v>
      </c>
      <c r="O817" s="38">
        <v>2.8</v>
      </c>
      <c r="P817" s="38">
        <v>1.7</v>
      </c>
      <c r="Q817" s="38">
        <v>0.6</v>
      </c>
      <c r="R817" s="38">
        <v>2.6595399999999998</v>
      </c>
      <c r="S817" s="38">
        <f t="shared" si="96"/>
        <v>2.5</v>
      </c>
      <c r="T817" s="38">
        <v>10.475</v>
      </c>
      <c r="U817" s="38">
        <v>0.32500000000000001</v>
      </c>
      <c r="V817" s="38">
        <v>2.5000000000000001E-2</v>
      </c>
      <c r="W817" s="38">
        <v>0</v>
      </c>
      <c r="X817" s="38">
        <v>2.9879099999999998</v>
      </c>
      <c r="Y817" s="38">
        <f t="shared" si="97"/>
        <v>3</v>
      </c>
      <c r="Z817" s="117">
        <v>0</v>
      </c>
      <c r="AA817" s="117">
        <v>0</v>
      </c>
      <c r="AB817" s="117">
        <v>10.824999999999998</v>
      </c>
      <c r="AC817" s="117">
        <v>1.27152</v>
      </c>
      <c r="AD817" s="254">
        <v>96.31</v>
      </c>
      <c r="AE817" s="117">
        <v>13.657999999999999</v>
      </c>
      <c r="AF817" s="117">
        <v>0.27159699999999998</v>
      </c>
      <c r="AG817" s="38">
        <f t="shared" si="98"/>
        <v>0.3</v>
      </c>
      <c r="AH817" s="117">
        <v>143.65</v>
      </c>
      <c r="AI817" s="117">
        <v>0.37827499999999997</v>
      </c>
      <c r="AJ817" s="117">
        <v>0</v>
      </c>
      <c r="AK817" s="117">
        <v>0</v>
      </c>
      <c r="AL817" s="117">
        <v>0</v>
      </c>
      <c r="AM817" s="117">
        <v>0</v>
      </c>
      <c r="AN817" s="25"/>
      <c r="AO817" s="25"/>
      <c r="AR817" s="1"/>
      <c r="AS817" s="178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</row>
    <row r="818" spans="1:88" s="22" customFormat="1">
      <c r="A818" s="1">
        <v>192</v>
      </c>
      <c r="B818" s="34" t="s">
        <v>383</v>
      </c>
      <c r="C818" s="34">
        <v>535</v>
      </c>
      <c r="D818" s="34">
        <v>120</v>
      </c>
      <c r="E818" s="34">
        <v>100</v>
      </c>
      <c r="F818" s="34" t="s">
        <v>384</v>
      </c>
      <c r="G818" s="20" t="s">
        <v>177</v>
      </c>
      <c r="H818" s="20" t="s">
        <v>92</v>
      </c>
      <c r="I818" s="35">
        <v>20.2</v>
      </c>
      <c r="J818" s="36">
        <v>2</v>
      </c>
      <c r="K818" s="34" t="s">
        <v>12</v>
      </c>
      <c r="L818" s="18">
        <v>42206</v>
      </c>
      <c r="M818" s="37" t="s">
        <v>191</v>
      </c>
      <c r="N818" s="38">
        <v>13.65</v>
      </c>
      <c r="O818" s="38">
        <v>4.4000000000000004</v>
      </c>
      <c r="P818" s="38">
        <v>1.46</v>
      </c>
      <c r="Q818" s="38">
        <v>0.7</v>
      </c>
      <c r="R818" s="38">
        <v>2.3860299999999999</v>
      </c>
      <c r="S818" s="38">
        <f t="shared" si="96"/>
        <v>2.5</v>
      </c>
      <c r="T818" s="38">
        <v>19.07</v>
      </c>
      <c r="U818" s="38">
        <v>0.88</v>
      </c>
      <c r="V818" s="38">
        <v>0.18</v>
      </c>
      <c r="W818" s="38">
        <v>0.08</v>
      </c>
      <c r="X818" s="38">
        <v>4.9408000000000003</v>
      </c>
      <c r="Y818" s="38">
        <f t="shared" si="97"/>
        <v>5</v>
      </c>
      <c r="Z818" s="38">
        <v>0</v>
      </c>
      <c r="AA818" s="38">
        <v>0</v>
      </c>
      <c r="AB818" s="38">
        <v>20.2</v>
      </c>
      <c r="AC818" s="38">
        <v>1.48692</v>
      </c>
      <c r="AD818" s="39">
        <v>186</v>
      </c>
      <c r="AE818" s="38">
        <v>11.28</v>
      </c>
      <c r="AF818" s="38">
        <f>(AD818+AE818*0.5)/(3.5*I818*1000)*100</f>
        <v>0.27106082036775103</v>
      </c>
      <c r="AG818" s="38">
        <f t="shared" si="98"/>
        <v>0.3</v>
      </c>
      <c r="AH818" s="38">
        <v>2</v>
      </c>
      <c r="AI818" s="38">
        <f>AH818/(3.5*I818*1000)*100</f>
        <v>2.828854314002829E-3</v>
      </c>
      <c r="AJ818" s="38">
        <v>280</v>
      </c>
      <c r="AK818" s="38">
        <f>AJ818/(3.5*I818*1000)*100</f>
        <v>0.39603960396039606</v>
      </c>
      <c r="AL818" s="38">
        <v>0</v>
      </c>
      <c r="AM818" s="38">
        <f>AL818/(3.5*I818*1000)*100</f>
        <v>0</v>
      </c>
      <c r="AN818" s="25"/>
      <c r="AO818" s="25"/>
      <c r="AP818" s="25">
        <f>AE818*0.5</f>
        <v>5.64</v>
      </c>
      <c r="AQ818" s="25">
        <f>(AD818+AH818+AJ818+AL818+AP818)*I818</f>
        <v>9567.5280000000002</v>
      </c>
      <c r="AR818" s="25"/>
      <c r="AS818" s="49"/>
      <c r="AT818" s="25"/>
      <c r="AU818" s="41">
        <f>SUM(N818:Q818)</f>
        <v>20.21</v>
      </c>
      <c r="AV818" s="41">
        <f>SUM(T818:W818)</f>
        <v>20.209999999999997</v>
      </c>
      <c r="AW818" s="41">
        <f>SUM(Z818:AB818)</f>
        <v>20.2</v>
      </c>
      <c r="AY818" s="22">
        <f>I818/AU818</f>
        <v>0.99950519544779803</v>
      </c>
      <c r="AZ818" s="22">
        <f>I818/AV818</f>
        <v>0.99950519544779826</v>
      </c>
      <c r="BA818" s="22">
        <f>I818/AW818</f>
        <v>1</v>
      </c>
    </row>
    <row r="819" spans="1:88" s="22" customFormat="1">
      <c r="A819" s="1">
        <v>1941</v>
      </c>
      <c r="B819" s="34" t="s">
        <v>2586</v>
      </c>
      <c r="C819" s="34">
        <v>321</v>
      </c>
      <c r="D819" s="75">
        <v>401</v>
      </c>
      <c r="E819" s="8">
        <v>503</v>
      </c>
      <c r="F819" s="34" t="s">
        <v>2588</v>
      </c>
      <c r="G819" s="58">
        <v>286310</v>
      </c>
      <c r="H819" s="58">
        <v>292863</v>
      </c>
      <c r="I819" s="21">
        <v>6.1529999999999996</v>
      </c>
      <c r="J819" s="8">
        <v>4</v>
      </c>
      <c r="K819" s="8" t="s">
        <v>237</v>
      </c>
      <c r="L819" s="18">
        <v>42122</v>
      </c>
      <c r="M819" s="37" t="s">
        <v>191</v>
      </c>
      <c r="N819" s="38">
        <v>5.05</v>
      </c>
      <c r="O819" s="38">
        <v>1</v>
      </c>
      <c r="P819" s="38">
        <v>0.3</v>
      </c>
      <c r="Q819" s="38">
        <v>0.22500000000000001</v>
      </c>
      <c r="R819" s="38">
        <v>2.13734</v>
      </c>
      <c r="S819" s="38">
        <f t="shared" si="96"/>
        <v>2</v>
      </c>
      <c r="T819" s="38">
        <v>5.8</v>
      </c>
      <c r="U819" s="38">
        <v>0.625</v>
      </c>
      <c r="V819" s="38">
        <v>0.1</v>
      </c>
      <c r="W819" s="38">
        <v>0.05</v>
      </c>
      <c r="X819" s="38">
        <v>6.3857299999999997</v>
      </c>
      <c r="Y819" s="38">
        <f t="shared" si="97"/>
        <v>6.5</v>
      </c>
      <c r="Z819" s="38">
        <v>0</v>
      </c>
      <c r="AA819" s="38">
        <v>0</v>
      </c>
      <c r="AB819" s="38">
        <v>6.5749999999999993</v>
      </c>
      <c r="AC819" s="38">
        <v>1.08403</v>
      </c>
      <c r="AD819" s="39">
        <v>58.04</v>
      </c>
      <c r="AE819" s="38">
        <v>7.96</v>
      </c>
      <c r="AF819" s="38">
        <v>0.27041049900808789</v>
      </c>
      <c r="AG819" s="38">
        <f t="shared" si="98"/>
        <v>0.3</v>
      </c>
      <c r="AH819" s="38">
        <v>15.65</v>
      </c>
      <c r="AI819" s="38">
        <f>AH819/(3.5*I819*1000)*100</f>
        <v>7.2670706507859117E-2</v>
      </c>
      <c r="AJ819" s="38">
        <v>29.68</v>
      </c>
      <c r="AK819" s="38">
        <v>0.12940637875782085</v>
      </c>
      <c r="AL819" s="38">
        <v>0</v>
      </c>
      <c r="AM819" s="38">
        <f>AL819/(3.5*I819*1000)*100</f>
        <v>0</v>
      </c>
      <c r="AN819" s="73"/>
      <c r="AO819" s="72"/>
      <c r="AP819" s="41"/>
      <c r="AQ819" s="41"/>
      <c r="AR819" s="73"/>
      <c r="AS819" s="48"/>
      <c r="AT819" s="73"/>
      <c r="AU819" s="73"/>
      <c r="AV819" s="73"/>
      <c r="AW819" s="73"/>
      <c r="AX819" s="73"/>
      <c r="AY819" s="73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</row>
    <row r="820" spans="1:88" s="22" customFormat="1">
      <c r="A820" s="1">
        <v>1412</v>
      </c>
      <c r="B820" s="34" t="s">
        <v>1957</v>
      </c>
      <c r="C820" s="34">
        <v>447</v>
      </c>
      <c r="D820" s="185">
        <v>3211</v>
      </c>
      <c r="E820" s="69">
        <v>200</v>
      </c>
      <c r="F820" s="184" t="s">
        <v>1967</v>
      </c>
      <c r="G820" s="20">
        <v>57313</v>
      </c>
      <c r="H820" s="20">
        <v>40802</v>
      </c>
      <c r="I820" s="21">
        <v>16.510999999999999</v>
      </c>
      <c r="J820" s="8">
        <v>2</v>
      </c>
      <c r="K820" s="34" t="s">
        <v>12</v>
      </c>
      <c r="L820" s="10">
        <v>42215</v>
      </c>
      <c r="M820" s="37" t="s">
        <v>191</v>
      </c>
      <c r="N820" s="38">
        <f>16.2/2</f>
        <v>8.1</v>
      </c>
      <c r="O820" s="38">
        <f>11.55/2</f>
        <v>5.7750000000000004</v>
      </c>
      <c r="P820" s="38">
        <f>4.45/2</f>
        <v>2.2250000000000001</v>
      </c>
      <c r="Q820" s="38">
        <f>1.25/2</f>
        <v>0.625</v>
      </c>
      <c r="R820" s="38">
        <v>2.8109099999999998</v>
      </c>
      <c r="S820" s="38">
        <f t="shared" si="96"/>
        <v>3</v>
      </c>
      <c r="T820" s="38">
        <f>31.85/2</f>
        <v>15.925000000000001</v>
      </c>
      <c r="U820" s="38">
        <f>1.35/2</f>
        <v>0.67500000000000004</v>
      </c>
      <c r="V820" s="38">
        <f>0.2/2</f>
        <v>0.1</v>
      </c>
      <c r="W820" s="38">
        <f>0.05/2</f>
        <v>2.5000000000000001E-2</v>
      </c>
      <c r="X820" s="38">
        <v>4.6886400000000004</v>
      </c>
      <c r="Y820" s="38">
        <f t="shared" si="97"/>
        <v>4.5</v>
      </c>
      <c r="Z820" s="38">
        <v>0</v>
      </c>
      <c r="AA820" s="38">
        <v>0</v>
      </c>
      <c r="AB820" s="38">
        <v>16.725000000000001</v>
      </c>
      <c r="AC820" s="38">
        <v>1.18814</v>
      </c>
      <c r="AD820" s="39">
        <v>108.51600000000001</v>
      </c>
      <c r="AE820" s="38">
        <v>95.021000000000001</v>
      </c>
      <c r="AF820" s="38">
        <v>0.26999576040215612</v>
      </c>
      <c r="AG820" s="38">
        <f t="shared" si="98"/>
        <v>0.3</v>
      </c>
      <c r="AH820" s="38">
        <v>99.4</v>
      </c>
      <c r="AI820" s="38">
        <f>AH820/(3.5*I820*1000)*100</f>
        <v>0.17200654109381627</v>
      </c>
      <c r="AJ820" s="38">
        <v>0</v>
      </c>
      <c r="AK820" s="38">
        <f>AJ820/(3.5*I820*1000)*100</f>
        <v>0</v>
      </c>
      <c r="AL820" s="38">
        <v>1.1200000000000001</v>
      </c>
      <c r="AM820" s="38">
        <f>AL820/(3.5*I820*1000)*100</f>
        <v>1.9381018714796198E-3</v>
      </c>
      <c r="AN820" s="41"/>
      <c r="AS820" s="48"/>
    </row>
    <row r="821" spans="1:88" s="22" customFormat="1">
      <c r="A821" s="1">
        <v>1038</v>
      </c>
      <c r="B821" s="9" t="s">
        <v>1394</v>
      </c>
      <c r="C821" s="9">
        <v>617</v>
      </c>
      <c r="D821" s="8">
        <v>2226</v>
      </c>
      <c r="E821" s="9">
        <v>201</v>
      </c>
      <c r="F821" s="9" t="s">
        <v>1437</v>
      </c>
      <c r="G821" s="20">
        <v>60605</v>
      </c>
      <c r="H821" s="20">
        <v>63656</v>
      </c>
      <c r="I821" s="35">
        <v>3.0510000000000002</v>
      </c>
      <c r="J821" s="9">
        <v>2</v>
      </c>
      <c r="K821" s="9" t="s">
        <v>238</v>
      </c>
      <c r="L821" s="18">
        <v>42129</v>
      </c>
      <c r="M821" s="37" t="s">
        <v>191</v>
      </c>
      <c r="N821" s="11">
        <v>2.7749999999999999</v>
      </c>
      <c r="O821" s="11">
        <v>0.25</v>
      </c>
      <c r="P821" s="11">
        <v>0.125</v>
      </c>
      <c r="Q821" s="11">
        <v>0.125</v>
      </c>
      <c r="R821" s="11">
        <v>3.0236999999999998</v>
      </c>
      <c r="S821" s="38">
        <f t="shared" si="96"/>
        <v>3</v>
      </c>
      <c r="T821" s="11">
        <v>3.125</v>
      </c>
      <c r="U821" s="11">
        <v>0.125</v>
      </c>
      <c r="V821" s="11">
        <v>2.5000000000000001E-2</v>
      </c>
      <c r="W821" s="11">
        <v>0</v>
      </c>
      <c r="X821" s="11">
        <v>3.8450199999999999</v>
      </c>
      <c r="Y821" s="38">
        <f t="shared" si="97"/>
        <v>4</v>
      </c>
      <c r="Z821" s="11">
        <v>0</v>
      </c>
      <c r="AA821" s="11">
        <v>0</v>
      </c>
      <c r="AB821" s="11">
        <f>SUM(N821:Q821)</f>
        <v>3.2749999999999999</v>
      </c>
      <c r="AC821" s="11">
        <v>1.1978899999999999</v>
      </c>
      <c r="AD821" s="164">
        <v>10.58</v>
      </c>
      <c r="AE821" s="11">
        <v>36.19</v>
      </c>
      <c r="AF821" s="11">
        <f>(AD821+AE821*0.5)/(3.5*I821*1000)*100</f>
        <v>0.26853022428243667</v>
      </c>
      <c r="AG821" s="38">
        <f t="shared" si="98"/>
        <v>0.3</v>
      </c>
      <c r="AH821" s="11">
        <v>90.78</v>
      </c>
      <c r="AI821" s="38">
        <f>AH821/(3.5*I821*1000)*100</f>
        <v>0.85011939879196508</v>
      </c>
      <c r="AJ821" s="11">
        <v>22.17</v>
      </c>
      <c r="AK821" s="38">
        <f>AJ821/(3.5*I821*1000)*100</f>
        <v>0.20761342885236692</v>
      </c>
      <c r="AL821" s="11">
        <v>0</v>
      </c>
      <c r="AM821" s="38">
        <f>AL821/(3.5*I821*1000)*100</f>
        <v>0</v>
      </c>
      <c r="AN821" s="25"/>
      <c r="AO821" s="25">
        <f>AE821*0.5</f>
        <v>18.094999999999999</v>
      </c>
      <c r="AP821" s="25">
        <f>(AD821+AH821+AJ821+AL821+AO821)*I821</f>
        <v>432.09787500000004</v>
      </c>
      <c r="AQ821" s="25"/>
      <c r="AR821" s="25"/>
      <c r="AS821" s="49">
        <f>SUM(N821:Q821)</f>
        <v>3.2749999999999999</v>
      </c>
      <c r="AT821" s="25">
        <f>SUM(T821:W821)</f>
        <v>3.2749999999999999</v>
      </c>
      <c r="AU821" s="41"/>
      <c r="AV821" s="41"/>
      <c r="AW821" s="41"/>
    </row>
    <row r="822" spans="1:88" s="22" customFormat="1">
      <c r="A822" s="1">
        <v>1517</v>
      </c>
      <c r="B822" s="34" t="s">
        <v>2069</v>
      </c>
      <c r="C822" s="34">
        <v>413</v>
      </c>
      <c r="D822" s="69">
        <v>3263</v>
      </c>
      <c r="E822" s="34">
        <v>100</v>
      </c>
      <c r="F822" s="34" t="s">
        <v>2089</v>
      </c>
      <c r="G822" s="58">
        <v>25000</v>
      </c>
      <c r="H822" s="58">
        <v>30000</v>
      </c>
      <c r="I822" s="35">
        <v>5</v>
      </c>
      <c r="J822" s="34">
        <v>2</v>
      </c>
      <c r="K822" s="34" t="s">
        <v>237</v>
      </c>
      <c r="L822" s="10">
        <v>42265</v>
      </c>
      <c r="M822" s="37" t="s">
        <v>191</v>
      </c>
      <c r="N822" s="38">
        <v>3.75</v>
      </c>
      <c r="O822" s="38">
        <v>0.875</v>
      </c>
      <c r="P822" s="38">
        <v>0.375</v>
      </c>
      <c r="Q822" s="38">
        <v>2.5000000000000001E-2</v>
      </c>
      <c r="R822" s="38">
        <v>2.1698499999999998</v>
      </c>
      <c r="S822" s="38">
        <f t="shared" si="96"/>
        <v>2</v>
      </c>
      <c r="T822" s="38">
        <v>4.5750000000000002</v>
      </c>
      <c r="U822" s="38">
        <v>0.125</v>
      </c>
      <c r="V822" s="38">
        <v>0.17499999999999999</v>
      </c>
      <c r="W822" s="38">
        <v>0.15</v>
      </c>
      <c r="X822" s="38">
        <v>6.2643000000000004</v>
      </c>
      <c r="Y822" s="38">
        <f t="shared" si="97"/>
        <v>6.5</v>
      </c>
      <c r="Z822" s="38">
        <v>0</v>
      </c>
      <c r="AA822" s="38">
        <v>0</v>
      </c>
      <c r="AB822" s="196">
        <v>5</v>
      </c>
      <c r="AC822" s="38">
        <v>1.0945199999999999</v>
      </c>
      <c r="AD822" s="39">
        <v>0</v>
      </c>
      <c r="AE822" s="38">
        <v>93.85</v>
      </c>
      <c r="AF822" s="38">
        <f>(AD822+AE822*0.5)/(3.5*I822*1000)*100</f>
        <v>0.26814285714285713</v>
      </c>
      <c r="AG822" s="38">
        <f t="shared" si="98"/>
        <v>0.3</v>
      </c>
      <c r="AH822" s="38">
        <v>0</v>
      </c>
      <c r="AI822" s="38">
        <f>AH822/(3.5*I822*1000)*100</f>
        <v>0</v>
      </c>
      <c r="AJ822" s="38">
        <v>0</v>
      </c>
      <c r="AK822" s="38">
        <f>AJ822/(3.5*I822*1000)*100</f>
        <v>0</v>
      </c>
      <c r="AL822" s="38">
        <v>53</v>
      </c>
      <c r="AM822" s="38">
        <f>AL822/(3.5*I822*1000)*100</f>
        <v>0.30285714285714288</v>
      </c>
      <c r="AN822" s="25"/>
      <c r="AO822" s="25">
        <f>AE822*0.5</f>
        <v>46.924999999999997</v>
      </c>
      <c r="AP822" s="25">
        <f>(AD822+AH822+AJ822+AL822+AO822)*I822</f>
        <v>499.625</v>
      </c>
      <c r="AQ822" s="25">
        <f>(AD822+AH822+AJ822+AL822)*I822</f>
        <v>265</v>
      </c>
      <c r="AR822" s="25">
        <f>SUM(N822:Q822)</f>
        <v>5.0250000000000004</v>
      </c>
      <c r="AS822" s="49">
        <f>SUM(T822:W822)</f>
        <v>5.0250000000000004</v>
      </c>
      <c r="AU822" s="275">
        <v>5</v>
      </c>
      <c r="AV822" s="41">
        <f>SUM(N822:Q822)</f>
        <v>5.0250000000000004</v>
      </c>
      <c r="AW822" s="41">
        <f>SUM(T822:W822)</f>
        <v>5.0250000000000004</v>
      </c>
      <c r="AX822" s="41">
        <f>SUM(Z822:AB822)</f>
        <v>5</v>
      </c>
      <c r="AZ822" s="22">
        <f>I822/AV822</f>
        <v>0.99502487562189046</v>
      </c>
      <c r="BA822" s="22">
        <f>I822/AW822</f>
        <v>0.99502487562189046</v>
      </c>
      <c r="BB822" s="22">
        <f>I822/AX822</f>
        <v>1</v>
      </c>
    </row>
    <row r="823" spans="1:88" s="22" customFormat="1">
      <c r="A823" s="1">
        <v>614</v>
      </c>
      <c r="B823" s="34" t="s">
        <v>994</v>
      </c>
      <c r="C823" s="34">
        <v>554</v>
      </c>
      <c r="D823" s="34">
        <v>2481</v>
      </c>
      <c r="E823" s="34">
        <v>100</v>
      </c>
      <c r="F823" s="9" t="s">
        <v>1016</v>
      </c>
      <c r="G823" s="118">
        <v>0</v>
      </c>
      <c r="H823" s="118">
        <v>9618</v>
      </c>
      <c r="I823" s="35">
        <v>9.6180000000000003</v>
      </c>
      <c r="J823" s="71">
        <v>2</v>
      </c>
      <c r="K823" s="34" t="s">
        <v>238</v>
      </c>
      <c r="L823" s="10">
        <v>42182</v>
      </c>
      <c r="M823" s="37" t="s">
        <v>191</v>
      </c>
      <c r="N823" s="38">
        <v>4.3499999999999996</v>
      </c>
      <c r="O823" s="38">
        <v>2.93</v>
      </c>
      <c r="P823" s="38">
        <v>1.44</v>
      </c>
      <c r="Q823" s="38">
        <v>0.89</v>
      </c>
      <c r="R823" s="38">
        <v>3.1504500000000002</v>
      </c>
      <c r="S823" s="38">
        <f t="shared" si="96"/>
        <v>3</v>
      </c>
      <c r="T823" s="38">
        <v>9.52</v>
      </c>
      <c r="U823" s="38">
        <v>0.1</v>
      </c>
      <c r="V823" s="38">
        <v>0</v>
      </c>
      <c r="W823" s="38">
        <v>0</v>
      </c>
      <c r="X823" s="38">
        <v>2.9538700000000002</v>
      </c>
      <c r="Y823" s="38">
        <f t="shared" si="97"/>
        <v>3</v>
      </c>
      <c r="Z823" s="38">
        <v>0</v>
      </c>
      <c r="AA823" s="38">
        <v>0.04</v>
      </c>
      <c r="AB823" s="38">
        <v>9.58</v>
      </c>
      <c r="AC823" s="38">
        <v>1.0524899999999999</v>
      </c>
      <c r="AD823" s="39">
        <v>72.36</v>
      </c>
      <c r="AE823" s="38">
        <v>35.47</v>
      </c>
      <c r="AF823" s="38">
        <v>0.26763799999999999</v>
      </c>
      <c r="AG823" s="38">
        <f t="shared" si="98"/>
        <v>0.3</v>
      </c>
      <c r="AH823" s="38">
        <v>0</v>
      </c>
      <c r="AI823" s="38">
        <v>0</v>
      </c>
      <c r="AJ823" s="38">
        <v>0</v>
      </c>
      <c r="AK823" s="38">
        <v>0</v>
      </c>
      <c r="AL823" s="38">
        <v>0</v>
      </c>
      <c r="AM823" s="38">
        <v>0</v>
      </c>
      <c r="AN823" s="60"/>
      <c r="AO823" s="60">
        <f>AE823*0.5</f>
        <v>17.734999999999999</v>
      </c>
      <c r="AP823" s="60">
        <f>(AD823+AH823+AJ823+AL823+AO823)*I823</f>
        <v>866.53371000000004</v>
      </c>
      <c r="AQ823" s="25">
        <f>SUM(N823:Q823)</f>
        <v>9.61</v>
      </c>
      <c r="AR823" s="25">
        <f>SUM(T823:W823)</f>
        <v>9.6199999999999992</v>
      </c>
      <c r="AS823" s="51">
        <v>9.6180000000000003</v>
      </c>
      <c r="AT823" s="40"/>
      <c r="AU823" s="41">
        <f>SUM(N823:Q823)</f>
        <v>9.61</v>
      </c>
      <c r="AV823" s="41">
        <f>SUM(T823:W823)</f>
        <v>9.6199999999999992</v>
      </c>
      <c r="AW823" s="41">
        <f>SUM(Z823:AB823)</f>
        <v>9.6199999999999992</v>
      </c>
      <c r="AY823" s="22">
        <f>I823/AU823</f>
        <v>1.0008324661810615</v>
      </c>
      <c r="AZ823" s="22">
        <f>I823/AV823</f>
        <v>0.99979209979209993</v>
      </c>
      <c r="BA823" s="22">
        <f>I823/AW823</f>
        <v>0.99979209979209993</v>
      </c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</row>
    <row r="824" spans="1:88" s="22" customFormat="1">
      <c r="A824" s="1">
        <v>79</v>
      </c>
      <c r="B824" s="4" t="s">
        <v>44</v>
      </c>
      <c r="C824" s="14">
        <v>524</v>
      </c>
      <c r="D824" s="19">
        <v>1156</v>
      </c>
      <c r="E824" s="16">
        <v>100</v>
      </c>
      <c r="F824" s="14" t="s">
        <v>57</v>
      </c>
      <c r="G824" s="20" t="s">
        <v>142</v>
      </c>
      <c r="H824" s="20" t="s">
        <v>92</v>
      </c>
      <c r="I824" s="21">
        <v>25.321000000000002</v>
      </c>
      <c r="J824" s="8">
        <v>2</v>
      </c>
      <c r="K824" s="9" t="s">
        <v>12</v>
      </c>
      <c r="L824" s="18">
        <v>42227</v>
      </c>
      <c r="M824" s="37" t="s">
        <v>191</v>
      </c>
      <c r="N824" s="11">
        <v>16.975000000000001</v>
      </c>
      <c r="O824" s="11">
        <v>5.5750000000000002</v>
      </c>
      <c r="P824" s="11">
        <v>2.125</v>
      </c>
      <c r="Q824" s="11">
        <v>0.72499999999999998</v>
      </c>
      <c r="R824" s="11">
        <v>2.4293100000000001</v>
      </c>
      <c r="S824" s="38">
        <f t="shared" si="96"/>
        <v>2.5</v>
      </c>
      <c r="T824" s="11">
        <v>24.324999999999999</v>
      </c>
      <c r="U824" s="11">
        <v>0.9</v>
      </c>
      <c r="V824" s="11">
        <v>0.125</v>
      </c>
      <c r="W824" s="11">
        <v>0.05</v>
      </c>
      <c r="X824" s="11">
        <v>3.4839699999999998</v>
      </c>
      <c r="Y824" s="38">
        <f t="shared" si="97"/>
        <v>3.5</v>
      </c>
      <c r="Z824" s="11">
        <v>0</v>
      </c>
      <c r="AA824" s="11">
        <v>0</v>
      </c>
      <c r="AB824" s="11">
        <v>25.400000000000002</v>
      </c>
      <c r="AC824" s="11">
        <v>1.2125999999999999</v>
      </c>
      <c r="AD824" s="164">
        <v>236.65</v>
      </c>
      <c r="AE824" s="11">
        <v>0.83</v>
      </c>
      <c r="AF824" s="11">
        <f>(AD824+AE824*0.5)/(3.5*I824*1000)*100</f>
        <v>0.2674967700440628</v>
      </c>
      <c r="AG824" s="38">
        <f t="shared" si="98"/>
        <v>0.3</v>
      </c>
      <c r="AH824" s="11">
        <v>1.6099999999999999</v>
      </c>
      <c r="AI824" s="11">
        <f>AH824/(3.5*I824*1000)*100</f>
        <v>1.8166739070336873E-3</v>
      </c>
      <c r="AJ824" s="11">
        <v>6.31</v>
      </c>
      <c r="AK824" s="11">
        <f>AJ824/(3.5*I824*1000)*100</f>
        <v>7.1200076729084263E-3</v>
      </c>
      <c r="AL824" s="11">
        <v>0</v>
      </c>
      <c r="AM824" s="11">
        <f>AL824/(3.5*I824*1000)*100</f>
        <v>0</v>
      </c>
      <c r="AN824" s="25"/>
      <c r="AO824" s="25"/>
      <c r="AS824" s="48"/>
    </row>
    <row r="825" spans="1:88" s="22" customFormat="1">
      <c r="A825" s="1">
        <v>1768</v>
      </c>
      <c r="B825" s="34" t="s">
        <v>2369</v>
      </c>
      <c r="C825" s="34">
        <v>426</v>
      </c>
      <c r="D825" s="8">
        <v>364</v>
      </c>
      <c r="E825" s="34">
        <v>100</v>
      </c>
      <c r="F825" s="34" t="s">
        <v>2370</v>
      </c>
      <c r="G825" s="58">
        <v>3909</v>
      </c>
      <c r="H825" s="58">
        <v>0</v>
      </c>
      <c r="I825" s="35">
        <v>3.9089999999999998</v>
      </c>
      <c r="J825" s="9">
        <v>4</v>
      </c>
      <c r="K825" s="34" t="s">
        <v>96</v>
      </c>
      <c r="L825" s="10">
        <v>42233</v>
      </c>
      <c r="M825" s="37" t="s">
        <v>191</v>
      </c>
      <c r="N825" s="38">
        <v>2.0750000000000002</v>
      </c>
      <c r="O825" s="38">
        <v>1.35</v>
      </c>
      <c r="P825" s="38">
        <v>0.32500000000000001</v>
      </c>
      <c r="Q825" s="38">
        <v>0.17499999999999999</v>
      </c>
      <c r="R825" s="38">
        <v>2.6239499999999998</v>
      </c>
      <c r="S825" s="38">
        <f t="shared" si="96"/>
        <v>2.5</v>
      </c>
      <c r="T825" s="38">
        <v>3.5249999999999999</v>
      </c>
      <c r="U825" s="38">
        <v>0.3</v>
      </c>
      <c r="V825" s="38">
        <v>2.5000000000000001E-2</v>
      </c>
      <c r="W825" s="38">
        <v>7.4999999999999997E-2</v>
      </c>
      <c r="X825" s="38">
        <v>5.1879900000000001</v>
      </c>
      <c r="Y825" s="38">
        <f t="shared" si="97"/>
        <v>5</v>
      </c>
      <c r="Z825" s="38">
        <v>0</v>
      </c>
      <c r="AA825" s="38">
        <v>0</v>
      </c>
      <c r="AB825" s="38">
        <f>SUM(T825:W825)</f>
        <v>3.9249999999999998</v>
      </c>
      <c r="AC825" s="38">
        <v>1.06731</v>
      </c>
      <c r="AD825" s="39">
        <v>29.03</v>
      </c>
      <c r="AE825" s="38">
        <v>15.08</v>
      </c>
      <c r="AF825" s="38">
        <v>0.26729999999999998</v>
      </c>
      <c r="AG825" s="38">
        <f t="shared" si="98"/>
        <v>0.3</v>
      </c>
      <c r="AH825" s="38">
        <v>2074.96</v>
      </c>
      <c r="AI825" s="38">
        <v>15.1662</v>
      </c>
      <c r="AJ825" s="38">
        <v>328</v>
      </c>
      <c r="AK825" s="38">
        <v>2.3973979999999999</v>
      </c>
      <c r="AL825" s="38">
        <v>55.71</v>
      </c>
      <c r="AM825" s="38">
        <v>0.40719</v>
      </c>
      <c r="AN825" s="25"/>
      <c r="AO825" s="25">
        <f>AE825*0.5</f>
        <v>7.54</v>
      </c>
      <c r="AP825" s="25">
        <f>(AD825+AH825+AJ825+AL825+AO825)*I825</f>
        <v>9753.8931599999996</v>
      </c>
      <c r="AQ825" s="136">
        <f>SUM(N825:Q825)</f>
        <v>3.9250000000000003</v>
      </c>
      <c r="AR825" s="12">
        <f>SUM(T825:W825)</f>
        <v>3.9249999999999998</v>
      </c>
      <c r="AS825" s="270"/>
      <c r="AT825" s="41"/>
      <c r="AU825" s="41"/>
      <c r="AV825" s="41"/>
      <c r="AW825" s="41"/>
    </row>
    <row r="826" spans="1:88" s="22" customFormat="1">
      <c r="A826" s="1">
        <v>1456</v>
      </c>
      <c r="B826" s="34" t="s">
        <v>1987</v>
      </c>
      <c r="C826" s="34">
        <v>448</v>
      </c>
      <c r="D826" s="75">
        <v>3195</v>
      </c>
      <c r="E826" s="69">
        <v>202</v>
      </c>
      <c r="F826" s="34" t="s">
        <v>2005</v>
      </c>
      <c r="G826" s="20">
        <v>25300</v>
      </c>
      <c r="H826" s="20">
        <v>33357</v>
      </c>
      <c r="I826" s="21">
        <v>8.0570000000000004</v>
      </c>
      <c r="J826" s="8">
        <v>4</v>
      </c>
      <c r="K826" s="34" t="s">
        <v>237</v>
      </c>
      <c r="L826" s="10">
        <v>42182</v>
      </c>
      <c r="M826" s="37" t="s">
        <v>191</v>
      </c>
      <c r="N826" s="38">
        <v>5.5750000000000002</v>
      </c>
      <c r="O826" s="38">
        <v>1.5</v>
      </c>
      <c r="P826" s="38">
        <v>0.6</v>
      </c>
      <c r="Q826" s="38">
        <v>0.375</v>
      </c>
      <c r="R826" s="38">
        <v>2.4705599999999999</v>
      </c>
      <c r="S826" s="38">
        <f t="shared" si="96"/>
        <v>2.5</v>
      </c>
      <c r="T826" s="38">
        <v>7.55</v>
      </c>
      <c r="U826" s="38">
        <v>0.32500000000000001</v>
      </c>
      <c r="V826" s="38">
        <v>0.15</v>
      </c>
      <c r="W826" s="38">
        <v>2.5000000000000001E-2</v>
      </c>
      <c r="X826" s="38">
        <v>5.3348399999999998</v>
      </c>
      <c r="Y826" s="38">
        <f t="shared" si="97"/>
        <v>5.5</v>
      </c>
      <c r="Z826" s="38">
        <v>0</v>
      </c>
      <c r="AA826" s="38">
        <v>0</v>
      </c>
      <c r="AB826" s="38">
        <v>8.0500000000000007</v>
      </c>
      <c r="AC826" s="38">
        <v>0.96322399999999997</v>
      </c>
      <c r="AD826" s="39">
        <v>1</v>
      </c>
      <c r="AE826" s="38">
        <v>148</v>
      </c>
      <c r="AF826" s="38">
        <f>(AD826+AE826*0.5)/(3.5*I826*1000)*100</f>
        <v>0.26596216244968884</v>
      </c>
      <c r="AG826" s="38">
        <f t="shared" si="98"/>
        <v>0.3</v>
      </c>
      <c r="AH826" s="38">
        <v>0</v>
      </c>
      <c r="AI826" s="38">
        <f>AH826/(3.5*I826*1000)*100</f>
        <v>0</v>
      </c>
      <c r="AJ826" s="38">
        <v>16</v>
      </c>
      <c r="AK826" s="38">
        <f>AJ826/(3.5*I826*1000)*100</f>
        <v>5.6738594655933609E-2</v>
      </c>
      <c r="AL826" s="38">
        <v>0</v>
      </c>
      <c r="AM826" s="38">
        <f>AL826/(3.5*I826*1000)*100</f>
        <v>0</v>
      </c>
      <c r="AN826" s="72"/>
      <c r="AO826" s="41"/>
      <c r="AP826" s="41"/>
      <c r="AQ826" s="73"/>
      <c r="AR826" s="73"/>
      <c r="AS826" s="48"/>
      <c r="AT826" s="73"/>
      <c r="AU826" s="73"/>
      <c r="AV826" s="73"/>
    </row>
    <row r="827" spans="1:88" s="22" customFormat="1">
      <c r="A827" s="1">
        <v>622</v>
      </c>
      <c r="B827" s="34" t="s">
        <v>1017</v>
      </c>
      <c r="C827" s="34">
        <v>555</v>
      </c>
      <c r="D827" s="34">
        <v>2195</v>
      </c>
      <c r="E827" s="34">
        <v>101</v>
      </c>
      <c r="F827" s="9" t="s">
        <v>1025</v>
      </c>
      <c r="G827" s="118">
        <v>0</v>
      </c>
      <c r="H827" s="118">
        <v>48049</v>
      </c>
      <c r="I827" s="35">
        <v>48.048999999999999</v>
      </c>
      <c r="J827" s="78">
        <v>2</v>
      </c>
      <c r="K827" s="34" t="s">
        <v>238</v>
      </c>
      <c r="L827" s="10">
        <v>42186</v>
      </c>
      <c r="M827" s="37" t="s">
        <v>191</v>
      </c>
      <c r="N827" s="38">
        <v>30.3</v>
      </c>
      <c r="O827" s="38">
        <v>10.824999999999999</v>
      </c>
      <c r="P827" s="38">
        <v>3.3250000000000002</v>
      </c>
      <c r="Q827" s="38">
        <v>3.5750000000000002</v>
      </c>
      <c r="R827" s="38">
        <v>2.7177099999999998</v>
      </c>
      <c r="S827" s="38">
        <f t="shared" si="96"/>
        <v>2.5</v>
      </c>
      <c r="T827" s="38">
        <v>46.5</v>
      </c>
      <c r="U827" s="38">
        <v>0.85</v>
      </c>
      <c r="V827" s="38">
        <v>0.3</v>
      </c>
      <c r="W827" s="38">
        <v>0.375</v>
      </c>
      <c r="X827" s="38">
        <v>2.6030799999999998</v>
      </c>
      <c r="Y827" s="38">
        <f t="shared" si="97"/>
        <v>2.5</v>
      </c>
      <c r="Z827" s="38">
        <v>0.05</v>
      </c>
      <c r="AA827" s="38">
        <v>0.15</v>
      </c>
      <c r="AB827" s="38">
        <f>N827+O827+P827+Q827</f>
        <v>48.025000000000006</v>
      </c>
      <c r="AC827" s="38">
        <v>1.24688</v>
      </c>
      <c r="AD827" s="38">
        <v>445</v>
      </c>
      <c r="AE827" s="38">
        <v>3.24</v>
      </c>
      <c r="AF827" s="38">
        <f>(AD827+AE827*0.5)/(3.5*I827*1000)*100</f>
        <v>0.26557413116966905</v>
      </c>
      <c r="AG827" s="38">
        <f t="shared" si="98"/>
        <v>0.3</v>
      </c>
      <c r="AH827" s="38">
        <v>245</v>
      </c>
      <c r="AI827" s="38">
        <f>AH827/(3.5*I827*1000)*100</f>
        <v>0.14568461362359258</v>
      </c>
      <c r="AJ827" s="38">
        <v>0</v>
      </c>
      <c r="AK827" s="38">
        <f>AJ827/(3.5*I827*1000)*100</f>
        <v>0</v>
      </c>
      <c r="AL827" s="38">
        <v>0</v>
      </c>
      <c r="AM827" s="38">
        <f>AL827/(3.5*I827*1000)*100</f>
        <v>0</v>
      </c>
      <c r="AN827" s="25"/>
      <c r="AO827" s="25">
        <f>AE827*0.5</f>
        <v>1.62</v>
      </c>
      <c r="AP827" s="25">
        <f>(AD827+AH827+AJ827+AL827+AO827)*I827</f>
        <v>33231.649380000003</v>
      </c>
      <c r="AQ827" s="25">
        <f>SUM(N827:Q827)</f>
        <v>48.025000000000006</v>
      </c>
      <c r="AR827" s="25">
        <f>SUM(T827:W827)</f>
        <v>48.024999999999999</v>
      </c>
      <c r="AS827" s="48"/>
      <c r="AT827" s="41"/>
      <c r="AU827" s="41"/>
      <c r="AV827" s="41"/>
      <c r="AW827" s="41"/>
    </row>
    <row r="828" spans="1:88" s="22" customFormat="1">
      <c r="A828" s="1">
        <v>1410</v>
      </c>
      <c r="B828" s="34" t="s">
        <v>1957</v>
      </c>
      <c r="C828" s="34">
        <v>447</v>
      </c>
      <c r="D828" s="75">
        <v>3013</v>
      </c>
      <c r="E828" s="69">
        <v>102</v>
      </c>
      <c r="F828" s="184" t="s">
        <v>1965</v>
      </c>
      <c r="G828" s="20" t="s">
        <v>1750</v>
      </c>
      <c r="H828" s="20">
        <v>7746</v>
      </c>
      <c r="I828" s="21">
        <v>22.184000000000001</v>
      </c>
      <c r="J828" s="8">
        <v>2</v>
      </c>
      <c r="K828" s="34" t="s">
        <v>12</v>
      </c>
      <c r="L828" s="10">
        <v>42216</v>
      </c>
      <c r="M828" s="37" t="s">
        <v>191</v>
      </c>
      <c r="N828" s="38">
        <v>13.975</v>
      </c>
      <c r="O828" s="38">
        <v>6.35</v>
      </c>
      <c r="P828" s="38">
        <v>1.55</v>
      </c>
      <c r="Q828" s="38">
        <v>0.42499999999999999</v>
      </c>
      <c r="R828" s="38">
        <v>2.4173200000000001</v>
      </c>
      <c r="S828" s="38">
        <f t="shared" si="96"/>
        <v>2.5</v>
      </c>
      <c r="T828" s="38">
        <v>22.15</v>
      </c>
      <c r="U828" s="38">
        <v>0.15</v>
      </c>
      <c r="V828" s="38">
        <v>0</v>
      </c>
      <c r="W828" s="38">
        <v>0</v>
      </c>
      <c r="X828" s="38">
        <v>3.8152599999999999</v>
      </c>
      <c r="Y828" s="38">
        <f t="shared" si="97"/>
        <v>4</v>
      </c>
      <c r="Z828" s="38">
        <v>0</v>
      </c>
      <c r="AA828" s="38">
        <v>0</v>
      </c>
      <c r="AB828" s="38">
        <v>22.3</v>
      </c>
      <c r="AC828" s="38">
        <v>1.3223</v>
      </c>
      <c r="AD828" s="39">
        <v>156</v>
      </c>
      <c r="AE828" s="38">
        <v>6</v>
      </c>
      <c r="AF828" s="38">
        <v>0.26488962932111626</v>
      </c>
      <c r="AG828" s="38">
        <f t="shared" si="98"/>
        <v>0.3</v>
      </c>
      <c r="AH828" s="38">
        <v>0</v>
      </c>
      <c r="AI828" s="38">
        <f>AH828/(3.5*I828*1000)*100</f>
        <v>0</v>
      </c>
      <c r="AJ828" s="38">
        <v>0</v>
      </c>
      <c r="AK828" s="38">
        <f>AJ828/(3.5*I828*1000)*100</f>
        <v>0</v>
      </c>
      <c r="AL828" s="38">
        <v>0</v>
      </c>
      <c r="AM828" s="38">
        <f>AL828/(3.5*I828*1000)*100</f>
        <v>0</v>
      </c>
      <c r="AN828" s="41"/>
      <c r="AS828" s="48"/>
    </row>
    <row r="829" spans="1:88" s="22" customFormat="1">
      <c r="A829" s="1">
        <v>456</v>
      </c>
      <c r="B829" s="74" t="s">
        <v>699</v>
      </c>
      <c r="C829" s="34">
        <v>513</v>
      </c>
      <c r="D829" s="34">
        <v>1373</v>
      </c>
      <c r="E829" s="34">
        <v>100</v>
      </c>
      <c r="F829" s="34" t="s">
        <v>776</v>
      </c>
      <c r="G829" s="34" t="s">
        <v>777</v>
      </c>
      <c r="H829" s="34" t="s">
        <v>92</v>
      </c>
      <c r="I829" s="55">
        <v>10.298</v>
      </c>
      <c r="J829" s="5" t="s">
        <v>12</v>
      </c>
      <c r="K829" s="34">
        <v>2</v>
      </c>
      <c r="L829" s="10">
        <v>42264</v>
      </c>
      <c r="M829" s="37" t="s">
        <v>191</v>
      </c>
      <c r="N829" s="38">
        <v>5.51</v>
      </c>
      <c r="O829" s="38">
        <v>1.73</v>
      </c>
      <c r="P829" s="38">
        <v>1.35</v>
      </c>
      <c r="Q829" s="38">
        <v>1.7</v>
      </c>
      <c r="R829" s="38">
        <v>3.07423</v>
      </c>
      <c r="S829" s="38">
        <f t="shared" si="96"/>
        <v>3</v>
      </c>
      <c r="T829" s="38">
        <v>9.25</v>
      </c>
      <c r="U829" s="38">
        <v>0.57999999999999996</v>
      </c>
      <c r="V829" s="38">
        <v>0.3</v>
      </c>
      <c r="W829" s="38">
        <v>0.18</v>
      </c>
      <c r="X829" s="38">
        <v>4.0173399999999999</v>
      </c>
      <c r="Y829" s="38">
        <f t="shared" si="97"/>
        <v>4</v>
      </c>
      <c r="Z829" s="38">
        <v>0</v>
      </c>
      <c r="AA829" s="38">
        <v>0</v>
      </c>
      <c r="AB829" s="38">
        <v>10.3</v>
      </c>
      <c r="AC829" s="38">
        <v>1.3665400000000001</v>
      </c>
      <c r="AD829" s="39">
        <v>91.25</v>
      </c>
      <c r="AE829" s="38">
        <v>8.25</v>
      </c>
      <c r="AF829" s="38">
        <f>(AD829+AE829*0.5)/(3.5*I829*1000)*100</f>
        <v>0.26461448825014566</v>
      </c>
      <c r="AG829" s="38">
        <f t="shared" si="98"/>
        <v>0.3</v>
      </c>
      <c r="AH829" s="38">
        <v>76.578000000000003</v>
      </c>
      <c r="AI829" s="38">
        <f>AH829/(3.5*I829*1000)*100</f>
        <v>0.2124628915462087</v>
      </c>
      <c r="AJ829" s="38">
        <v>0</v>
      </c>
      <c r="AK829" s="38">
        <f>AJ829/(3.5*I829*1000)*100</f>
        <v>0</v>
      </c>
      <c r="AL829" s="38">
        <v>0</v>
      </c>
      <c r="AM829" s="38">
        <f>AL829/(3.5*I829*1000)*100</f>
        <v>0</v>
      </c>
      <c r="AN829" s="41"/>
      <c r="AO829" s="41"/>
      <c r="AP829" s="73"/>
      <c r="AQ829" s="41">
        <f>SUM(N829:Q829)</f>
        <v>10.29</v>
      </c>
      <c r="AR829" s="41">
        <f>SUM(T829:W829)</f>
        <v>10.31</v>
      </c>
      <c r="AS829" s="49">
        <f>SUM(Z829:AB829)</f>
        <v>10.3</v>
      </c>
      <c r="AU829" s="22">
        <f>I829/AQ829</f>
        <v>1.0007774538386784</v>
      </c>
      <c r="AV829" s="22">
        <f>I829/AR829</f>
        <v>0.9988360814742967</v>
      </c>
      <c r="AW829" s="22">
        <f>I829/AS829</f>
        <v>0.99980582524271833</v>
      </c>
      <c r="AX829" s="73"/>
      <c r="AY829" s="73"/>
      <c r="AZ829" s="73"/>
      <c r="BA829" s="73"/>
      <c r="BB829" s="73"/>
      <c r="BC829" s="73"/>
      <c r="BD829" s="73"/>
      <c r="BE829" s="73"/>
      <c r="BF829" s="73"/>
      <c r="BG829" s="73"/>
      <c r="BH829" s="73"/>
      <c r="BI829" s="73"/>
      <c r="BJ829" s="73"/>
      <c r="BK829" s="73"/>
      <c r="BL829" s="73"/>
      <c r="BM829" s="73"/>
      <c r="BN829" s="73"/>
      <c r="BO829" s="73"/>
      <c r="BP829" s="73"/>
      <c r="BQ829" s="73"/>
      <c r="BR829" s="73"/>
      <c r="BS829" s="73"/>
      <c r="BT829" s="73"/>
      <c r="BU829" s="73"/>
      <c r="BV829" s="73"/>
      <c r="BW829" s="73"/>
      <c r="BX829" s="73"/>
      <c r="BY829" s="73"/>
      <c r="BZ829" s="73"/>
      <c r="CA829" s="73"/>
      <c r="CB829" s="73"/>
      <c r="CC829" s="73"/>
      <c r="CD829" s="73"/>
      <c r="CE829" s="73"/>
      <c r="CF829" s="73"/>
      <c r="CG829" s="73"/>
      <c r="CH829" s="73"/>
      <c r="CI829" s="73"/>
      <c r="CJ829" s="73"/>
    </row>
    <row r="830" spans="1:88" s="22" customFormat="1">
      <c r="A830" s="1">
        <v>955</v>
      </c>
      <c r="B830" s="34" t="s">
        <v>1329</v>
      </c>
      <c r="C830" s="34">
        <v>611</v>
      </c>
      <c r="D830" s="161">
        <v>2369</v>
      </c>
      <c r="E830" s="34">
        <v>101</v>
      </c>
      <c r="F830" s="34" t="s">
        <v>1354</v>
      </c>
      <c r="G830" s="58">
        <v>1207</v>
      </c>
      <c r="H830" s="58">
        <v>45941</v>
      </c>
      <c r="I830" s="35">
        <v>44.734000000000002</v>
      </c>
      <c r="J830" s="71">
        <v>2</v>
      </c>
      <c r="K830" s="34" t="s">
        <v>238</v>
      </c>
      <c r="L830" s="10">
        <v>42118</v>
      </c>
      <c r="M830" s="37" t="s">
        <v>191</v>
      </c>
      <c r="N830" s="38">
        <v>32.375</v>
      </c>
      <c r="O830" s="38">
        <v>8.4749999999999996</v>
      </c>
      <c r="P830" s="38">
        <v>2.875</v>
      </c>
      <c r="Q830" s="38">
        <v>0.75</v>
      </c>
      <c r="R830" s="38">
        <v>2.1230899999999999</v>
      </c>
      <c r="S830" s="38">
        <f t="shared" si="96"/>
        <v>2</v>
      </c>
      <c r="T830" s="38">
        <v>41.174999999999997</v>
      </c>
      <c r="U830" s="38">
        <v>2.4500000000000002</v>
      </c>
      <c r="V830" s="38">
        <v>0.45</v>
      </c>
      <c r="W830" s="38">
        <v>0.4</v>
      </c>
      <c r="X830" s="38">
        <v>4.7613799999999999</v>
      </c>
      <c r="Y830" s="38">
        <f t="shared" si="97"/>
        <v>5</v>
      </c>
      <c r="Z830" s="38">
        <v>0</v>
      </c>
      <c r="AA830" s="38">
        <v>0</v>
      </c>
      <c r="AB830" s="38">
        <v>44.734000000000002</v>
      </c>
      <c r="AC830" s="38">
        <v>1.2849999999999999</v>
      </c>
      <c r="AD830" s="39">
        <v>413.92</v>
      </c>
      <c r="AE830" s="38">
        <v>0</v>
      </c>
      <c r="AF830" s="38">
        <f>(AD830+AE830*0.5)/(3.5*I830*1000)*100</f>
        <v>0.26436906411869521</v>
      </c>
      <c r="AG830" s="38">
        <f t="shared" si="98"/>
        <v>0.3</v>
      </c>
      <c r="AH830" s="38">
        <v>0</v>
      </c>
      <c r="AI830" s="38">
        <f>AH830/(3.5*I830*1000)*100</f>
        <v>0</v>
      </c>
      <c r="AJ830" s="38">
        <v>0</v>
      </c>
      <c r="AK830" s="38">
        <f>AJ830/(3.5*I830*1000)*100</f>
        <v>0</v>
      </c>
      <c r="AL830" s="38">
        <v>0</v>
      </c>
      <c r="AM830" s="38">
        <f>AL830/(3.5*I830*1000)*100</f>
        <v>0</v>
      </c>
      <c r="AN830" s="25"/>
      <c r="AO830" s="25">
        <f>AE830*0.5</f>
        <v>0</v>
      </c>
      <c r="AP830" s="25">
        <f>(AD830+AH830+AJ830+AL830+AO830)*I830</f>
        <v>18516.297280000003</v>
      </c>
      <c r="AQ830" s="25"/>
      <c r="AR830" s="25">
        <f>SUM(N830:Q830)</f>
        <v>44.475000000000001</v>
      </c>
      <c r="AS830" s="49">
        <f>SUM(T830:W830)</f>
        <v>44.475000000000001</v>
      </c>
      <c r="AT830" s="268">
        <v>44.734000000000002</v>
      </c>
      <c r="AU830" s="41"/>
      <c r="AV830" s="41"/>
      <c r="AW830" s="41"/>
    </row>
    <row r="831" spans="1:88" s="22" customFormat="1">
      <c r="A831" s="1">
        <v>1166</v>
      </c>
      <c r="B831" s="74" t="s">
        <v>1577</v>
      </c>
      <c r="C831" s="34">
        <v>432</v>
      </c>
      <c r="D831" s="34">
        <v>3560</v>
      </c>
      <c r="E831" s="34">
        <v>100</v>
      </c>
      <c r="F831" s="34" t="s">
        <v>1633</v>
      </c>
      <c r="G831" s="34" t="s">
        <v>92</v>
      </c>
      <c r="H831" s="34" t="s">
        <v>1634</v>
      </c>
      <c r="I831" s="55">
        <v>0.69</v>
      </c>
      <c r="J831" s="34">
        <v>2</v>
      </c>
      <c r="K831" s="181" t="s">
        <v>238</v>
      </c>
      <c r="L831" s="10">
        <v>42282</v>
      </c>
      <c r="M831" s="37" t="s">
        <v>191</v>
      </c>
      <c r="N831" s="38">
        <v>0.72499999999999998</v>
      </c>
      <c r="O831" s="38">
        <v>0.15</v>
      </c>
      <c r="P831" s="38">
        <v>0.1</v>
      </c>
      <c r="Q831" s="38">
        <v>0</v>
      </c>
      <c r="R831" s="38">
        <v>2.1689699999999998</v>
      </c>
      <c r="S831" s="38">
        <f t="shared" si="96"/>
        <v>2</v>
      </c>
      <c r="T831" s="38">
        <v>0.97499999999999998</v>
      </c>
      <c r="U831" s="38">
        <v>0</v>
      </c>
      <c r="V831" s="38">
        <v>0</v>
      </c>
      <c r="W831" s="38">
        <v>0</v>
      </c>
      <c r="X831" s="38">
        <v>4.9264400000000004</v>
      </c>
      <c r="Y831" s="38">
        <f t="shared" si="97"/>
        <v>5</v>
      </c>
      <c r="Z831" s="38">
        <v>0</v>
      </c>
      <c r="AA831" s="38">
        <v>0</v>
      </c>
      <c r="AB831" s="38">
        <v>0.97499999999999998</v>
      </c>
      <c r="AC831" s="38">
        <v>1.3912800000000001</v>
      </c>
      <c r="AD831" s="39">
        <v>5.2</v>
      </c>
      <c r="AE831" s="38">
        <v>2.35</v>
      </c>
      <c r="AF831" s="38">
        <v>0.26397500000000002</v>
      </c>
      <c r="AG831" s="38">
        <f t="shared" si="98"/>
        <v>0.3</v>
      </c>
      <c r="AH831" s="38">
        <v>0.32</v>
      </c>
      <c r="AI831" s="38">
        <v>1.3251000000000001E-2</v>
      </c>
      <c r="AJ831" s="38">
        <v>0</v>
      </c>
      <c r="AK831" s="38">
        <v>0</v>
      </c>
      <c r="AL831" s="38">
        <v>0</v>
      </c>
      <c r="AM831" s="38">
        <v>0</v>
      </c>
      <c r="AN831" s="114"/>
      <c r="AO831" s="73"/>
      <c r="AP831" s="1"/>
      <c r="AQ831" s="1"/>
      <c r="AR831" s="1"/>
      <c r="AS831" s="178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</row>
    <row r="832" spans="1:88" s="22" customFormat="1">
      <c r="A832" s="1">
        <v>2079</v>
      </c>
      <c r="B832" s="34" t="s">
        <v>2715</v>
      </c>
      <c r="C832" s="34">
        <v>329</v>
      </c>
      <c r="D832" s="75">
        <v>4199</v>
      </c>
      <c r="E832" s="8">
        <v>100</v>
      </c>
      <c r="F832" s="34" t="s">
        <v>2725</v>
      </c>
      <c r="G832" s="58">
        <v>0</v>
      </c>
      <c r="H832" s="58">
        <v>18956</v>
      </c>
      <c r="I832" s="21">
        <v>18.956</v>
      </c>
      <c r="J832" s="8">
        <v>2</v>
      </c>
      <c r="K832" s="8" t="s">
        <v>238</v>
      </c>
      <c r="L832" s="18">
        <v>42121</v>
      </c>
      <c r="M832" s="37" t="s">
        <v>191</v>
      </c>
      <c r="N832" s="38">
        <v>15.1</v>
      </c>
      <c r="O832" s="38">
        <v>2.7250000000000001</v>
      </c>
      <c r="P832" s="38">
        <v>0.7</v>
      </c>
      <c r="Q832" s="38">
        <v>0.32500000000000001</v>
      </c>
      <c r="R832" s="38">
        <v>2.0655600000000001</v>
      </c>
      <c r="S832" s="38">
        <f t="shared" si="96"/>
        <v>2</v>
      </c>
      <c r="T832" s="38">
        <v>18.5</v>
      </c>
      <c r="U832" s="38">
        <v>0.22500000000000001</v>
      </c>
      <c r="V832" s="38">
        <v>0.125</v>
      </c>
      <c r="W832" s="38">
        <v>0</v>
      </c>
      <c r="X832" s="38">
        <v>3.8308800000000001</v>
      </c>
      <c r="Y832" s="38">
        <f t="shared" si="97"/>
        <v>4</v>
      </c>
      <c r="Z832" s="38">
        <v>0</v>
      </c>
      <c r="AA832" s="38">
        <v>0</v>
      </c>
      <c r="AB832" s="38">
        <v>18.849999999999998</v>
      </c>
      <c r="AC832" s="38">
        <v>1.21872</v>
      </c>
      <c r="AD832" s="39">
        <v>0</v>
      </c>
      <c r="AE832" s="38">
        <v>349.75</v>
      </c>
      <c r="AF832" s="38">
        <v>0.26358032134567272</v>
      </c>
      <c r="AG832" s="38">
        <f t="shared" si="98"/>
        <v>0.3</v>
      </c>
      <c r="AH832" s="38">
        <v>0</v>
      </c>
      <c r="AI832" s="38">
        <v>0</v>
      </c>
      <c r="AJ832" s="38">
        <v>0</v>
      </c>
      <c r="AK832" s="38">
        <v>0</v>
      </c>
      <c r="AL832" s="38">
        <v>1</v>
      </c>
      <c r="AM832" s="38">
        <f>AL832/(3.5*I832*1000)*100</f>
        <v>1.5072498718837609E-3</v>
      </c>
      <c r="AN832" s="12"/>
      <c r="AO832" s="12"/>
      <c r="AP832" s="1"/>
      <c r="AQ832" s="1"/>
      <c r="AR832" s="1"/>
      <c r="AS832" s="178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</row>
    <row r="833" spans="1:88" s="22" customFormat="1">
      <c r="A833" s="1">
        <v>1176</v>
      </c>
      <c r="B833" s="34" t="s">
        <v>1639</v>
      </c>
      <c r="C833" s="34">
        <v>433</v>
      </c>
      <c r="D833" s="34">
        <v>311</v>
      </c>
      <c r="E833" s="34">
        <v>202</v>
      </c>
      <c r="F833" s="34" t="s">
        <v>1649</v>
      </c>
      <c r="G833" s="58" t="s">
        <v>1650</v>
      </c>
      <c r="H833" s="58" t="s">
        <v>1648</v>
      </c>
      <c r="I833" s="55">
        <v>18.491</v>
      </c>
      <c r="J833" s="34">
        <v>2</v>
      </c>
      <c r="K833" s="34" t="s">
        <v>12</v>
      </c>
      <c r="L833" s="10">
        <v>42282</v>
      </c>
      <c r="M833" s="37" t="s">
        <v>191</v>
      </c>
      <c r="N833" s="38">
        <v>14.75</v>
      </c>
      <c r="O833" s="38">
        <v>2.25</v>
      </c>
      <c r="P833" s="38">
        <v>0.95</v>
      </c>
      <c r="Q833" s="38">
        <v>0.4</v>
      </c>
      <c r="R833" s="38">
        <v>2.1195200000000001</v>
      </c>
      <c r="S833" s="38">
        <f t="shared" si="96"/>
        <v>2</v>
      </c>
      <c r="T833" s="38">
        <v>18.175000000000001</v>
      </c>
      <c r="U833" s="38">
        <v>0.17499999999999999</v>
      </c>
      <c r="V833" s="38">
        <v>0</v>
      </c>
      <c r="W833" s="38">
        <v>0</v>
      </c>
      <c r="X833" s="38">
        <v>3.2501000000000002</v>
      </c>
      <c r="Y833" s="38">
        <f t="shared" si="97"/>
        <v>3.5</v>
      </c>
      <c r="Z833" s="38">
        <v>0</v>
      </c>
      <c r="AA833" s="38">
        <v>0</v>
      </c>
      <c r="AB833" s="38">
        <v>18.491</v>
      </c>
      <c r="AC833" s="38">
        <v>1.1827000000000001</v>
      </c>
      <c r="AD833" s="39">
        <v>168.26</v>
      </c>
      <c r="AE833" s="38">
        <v>3.85</v>
      </c>
      <c r="AF833" s="38">
        <f>(AD833+AE833*0.5)/(3.5*I833*1000)*100</f>
        <v>0.26296190424685367</v>
      </c>
      <c r="AG833" s="38">
        <f t="shared" si="98"/>
        <v>0.3</v>
      </c>
      <c r="AH833" s="38">
        <v>42.314999999999998</v>
      </c>
      <c r="AI833" s="38">
        <f>AH833/(3.5*I833*1000)*100</f>
        <v>6.5383159374830982E-2</v>
      </c>
      <c r="AJ833" s="38">
        <v>0</v>
      </c>
      <c r="AK833" s="38">
        <f>AJ833/(3.5*I833*1000)*100</f>
        <v>0</v>
      </c>
      <c r="AL833" s="38">
        <v>0</v>
      </c>
      <c r="AM833" s="38">
        <f>AJ833/(3.5*I833*1000)*100</f>
        <v>0</v>
      </c>
      <c r="AN833" s="25"/>
      <c r="AS833" s="48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</row>
    <row r="834" spans="1:88" s="22" customFormat="1">
      <c r="A834" s="1">
        <v>7</v>
      </c>
      <c r="B834" s="13" t="s">
        <v>8</v>
      </c>
      <c r="C834" s="14">
        <v>521</v>
      </c>
      <c r="D834" s="15">
        <v>108</v>
      </c>
      <c r="E834" s="16">
        <v>104</v>
      </c>
      <c r="F834" s="17" t="s">
        <v>195</v>
      </c>
      <c r="G834" s="6" t="s">
        <v>196</v>
      </c>
      <c r="H834" s="6" t="s">
        <v>91</v>
      </c>
      <c r="I834" s="7">
        <v>17.010000000000002</v>
      </c>
      <c r="J834" s="8">
        <v>2</v>
      </c>
      <c r="K834" s="9" t="s">
        <v>12</v>
      </c>
      <c r="L834" s="18">
        <v>42233</v>
      </c>
      <c r="M834" s="37" t="s">
        <v>191</v>
      </c>
      <c r="N834" s="11">
        <v>4.7750000000000004</v>
      </c>
      <c r="O834" s="11">
        <v>4.625</v>
      </c>
      <c r="P834" s="11">
        <v>4.8250000000000002</v>
      </c>
      <c r="Q834" s="11">
        <v>2.9</v>
      </c>
      <c r="R834" s="11">
        <v>3.5344099999999998</v>
      </c>
      <c r="S834" s="38">
        <f t="shared" si="96"/>
        <v>3.5</v>
      </c>
      <c r="T834" s="11">
        <v>15.35</v>
      </c>
      <c r="U834" s="11">
        <v>0.92500000000000004</v>
      </c>
      <c r="V834" s="11">
        <v>0.65</v>
      </c>
      <c r="W834" s="11">
        <v>0.2</v>
      </c>
      <c r="X834" s="11">
        <v>4.4363200000000003</v>
      </c>
      <c r="Y834" s="38">
        <f t="shared" si="97"/>
        <v>4.5</v>
      </c>
      <c r="Z834" s="11">
        <v>0</v>
      </c>
      <c r="AA834" s="11">
        <v>0</v>
      </c>
      <c r="AB834" s="11">
        <v>17.125</v>
      </c>
      <c r="AC834" s="11">
        <v>1.2344900000000001</v>
      </c>
      <c r="AD834" s="164">
        <v>148.62</v>
      </c>
      <c r="AE834" s="11">
        <v>15.853999999999999</v>
      </c>
      <c r="AF834" s="11">
        <f>(AD834+AE834*0.5)/(3.5*I834*1000)*100</f>
        <v>0.26294952548920802</v>
      </c>
      <c r="AG834" s="38">
        <f t="shared" si="98"/>
        <v>0.3</v>
      </c>
      <c r="AH834" s="11">
        <v>97.543000000000006</v>
      </c>
      <c r="AI834" s="11">
        <f>AH834/(3.5*I834*1000)*100</f>
        <v>0.16384143780969176</v>
      </c>
      <c r="AJ834" s="11">
        <v>0</v>
      </c>
      <c r="AK834" s="11">
        <f>AJ834/(3.5*I834*1000)*100</f>
        <v>0</v>
      </c>
      <c r="AL834" s="11">
        <v>0</v>
      </c>
      <c r="AM834" s="11">
        <f>AL834/(3.5*I834*1000)*100</f>
        <v>0</v>
      </c>
      <c r="AN834" s="1"/>
      <c r="AO834" s="1"/>
      <c r="AP834" s="1"/>
      <c r="AQ834" s="12">
        <f>N834+O834+P834+Q834</f>
        <v>17.125</v>
      </c>
      <c r="AR834" s="12">
        <f>T834+U834+V834+W834</f>
        <v>17.124999999999996</v>
      </c>
      <c r="AS834" s="270">
        <f>Z834+AA834+AB834</f>
        <v>17.125</v>
      </c>
      <c r="AT834" s="1"/>
      <c r="AU834" s="1">
        <v>1.0067607289829512</v>
      </c>
      <c r="AV834" s="1">
        <v>1.006760728982951</v>
      </c>
      <c r="AW834" s="1">
        <v>1.0067607289829512</v>
      </c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</row>
    <row r="835" spans="1:88" s="22" customFormat="1">
      <c r="A835" s="1">
        <v>1858</v>
      </c>
      <c r="B835" s="34" t="s">
        <v>2485</v>
      </c>
      <c r="C835" s="34">
        <v>333</v>
      </c>
      <c r="D835" s="75">
        <v>3169</v>
      </c>
      <c r="E835" s="8">
        <v>100</v>
      </c>
      <c r="F835" s="9" t="s">
        <v>2487</v>
      </c>
      <c r="G835" s="20">
        <v>0</v>
      </c>
      <c r="H835" s="20">
        <v>14224</v>
      </c>
      <c r="I835" s="21">
        <v>14.224</v>
      </c>
      <c r="J835" s="34">
        <v>4</v>
      </c>
      <c r="K835" s="34" t="s">
        <v>237</v>
      </c>
      <c r="L835" s="18">
        <v>42098</v>
      </c>
      <c r="M835" s="247" t="s">
        <v>191</v>
      </c>
      <c r="N835" s="38">
        <v>6.5</v>
      </c>
      <c r="O835" s="38">
        <v>4.0999999999999996</v>
      </c>
      <c r="P835" s="38">
        <v>2.5</v>
      </c>
      <c r="Q835" s="38">
        <v>1.075</v>
      </c>
      <c r="R835" s="38">
        <v>3.0083799999999998</v>
      </c>
      <c r="S835" s="38">
        <f t="shared" ref="S835:S898" si="104">ROUND(R835/5,1)*5</f>
        <v>3</v>
      </c>
      <c r="T835" s="38">
        <v>12.225</v>
      </c>
      <c r="U835" s="38">
        <v>1.2250000000000001</v>
      </c>
      <c r="V835" s="38">
        <v>0.47499999999999998</v>
      </c>
      <c r="W835" s="38">
        <v>0.25</v>
      </c>
      <c r="X835" s="38">
        <v>5.5448399999999998</v>
      </c>
      <c r="Y835" s="38">
        <f t="shared" ref="Y835:Y898" si="105">ROUND(X835/5,1)*5</f>
        <v>5.5</v>
      </c>
      <c r="Z835" s="38">
        <v>0</v>
      </c>
      <c r="AA835" s="38">
        <v>0</v>
      </c>
      <c r="AB835" s="38">
        <v>14.174999999999999</v>
      </c>
      <c r="AC835" s="38">
        <v>1.16849</v>
      </c>
      <c r="AD835" s="39">
        <v>118.17</v>
      </c>
      <c r="AE835" s="38">
        <v>24.63</v>
      </c>
      <c r="AF835" s="38">
        <v>0.26210228185762496</v>
      </c>
      <c r="AG835" s="38">
        <f t="shared" ref="AG835:AG898" si="106">ROUND(AF835,1)</f>
        <v>0.3</v>
      </c>
      <c r="AH835" s="38">
        <v>158.63</v>
      </c>
      <c r="AI835" s="38">
        <v>0.31863650972199903</v>
      </c>
      <c r="AJ835" s="38">
        <v>60.06</v>
      </c>
      <c r="AK835" s="38">
        <v>0.12064116985376828</v>
      </c>
      <c r="AL835" s="38">
        <v>2.63</v>
      </c>
      <c r="AM835" s="38">
        <f>AL835/(3.5*I835*1000)*100</f>
        <v>5.2828217901333763E-3</v>
      </c>
      <c r="AN835" s="1"/>
      <c r="AO835" s="1"/>
      <c r="AP835" s="1"/>
      <c r="AQ835" s="1"/>
      <c r="AR835" s="1"/>
      <c r="AS835" s="178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</row>
    <row r="836" spans="1:88" s="22" customFormat="1">
      <c r="A836" s="1">
        <v>2155</v>
      </c>
      <c r="B836" s="34" t="s">
        <v>2790</v>
      </c>
      <c r="C836" s="34">
        <v>331</v>
      </c>
      <c r="D836" s="209">
        <v>4091</v>
      </c>
      <c r="E836" s="211">
        <v>102</v>
      </c>
      <c r="F836" s="9" t="s">
        <v>2795</v>
      </c>
      <c r="G836" s="20">
        <v>70358</v>
      </c>
      <c r="H836" s="210">
        <v>56173</v>
      </c>
      <c r="I836" s="9">
        <v>14.185</v>
      </c>
      <c r="J836" s="9">
        <v>2</v>
      </c>
      <c r="K836" s="9" t="s">
        <v>12</v>
      </c>
      <c r="L836" s="18">
        <v>42303</v>
      </c>
      <c r="M836" s="37" t="s">
        <v>191</v>
      </c>
      <c r="N836" s="38">
        <v>9.6750000000000007</v>
      </c>
      <c r="O836" s="38">
        <v>3.0249999999999999</v>
      </c>
      <c r="P836" s="38">
        <v>0.92500000000000004</v>
      </c>
      <c r="Q836" s="38">
        <v>0.55000000000000004</v>
      </c>
      <c r="R836" s="38">
        <v>2.4682400000000002</v>
      </c>
      <c r="S836" s="38">
        <f t="shared" si="104"/>
        <v>2.5</v>
      </c>
      <c r="T836" s="38">
        <v>14.05</v>
      </c>
      <c r="U836" s="38">
        <v>0.125</v>
      </c>
      <c r="V836" s="38">
        <v>1</v>
      </c>
      <c r="W836" s="38">
        <v>0</v>
      </c>
      <c r="X836" s="38">
        <v>1.2314499999999999</v>
      </c>
      <c r="Y836" s="38">
        <f t="shared" si="105"/>
        <v>1</v>
      </c>
      <c r="Z836" s="38">
        <v>0</v>
      </c>
      <c r="AA836" s="38">
        <v>0</v>
      </c>
      <c r="AB836" s="38">
        <v>14.175000000000002</v>
      </c>
      <c r="AC836" s="38">
        <v>1.1214299999999999</v>
      </c>
      <c r="AD836" s="39">
        <v>111.26</v>
      </c>
      <c r="AE836" s="38">
        <v>37.65</v>
      </c>
      <c r="AF836" s="38">
        <f>(AD836+AE836*0.5)/(3.5*I836*1000)*100</f>
        <v>0.26201722141094719</v>
      </c>
      <c r="AG836" s="38">
        <f t="shared" si="106"/>
        <v>0.3</v>
      </c>
      <c r="AH836" s="38">
        <v>89.474999999999994</v>
      </c>
      <c r="AI836" s="38">
        <f>AH836/(3.5*I836*1000)*100</f>
        <v>0.18022055491213052</v>
      </c>
      <c r="AJ836" s="38">
        <v>0</v>
      </c>
      <c r="AK836" s="38">
        <f>AJ836/(3.5*I836*1000)*100</f>
        <v>0</v>
      </c>
      <c r="AL836" s="38">
        <v>0</v>
      </c>
      <c r="AM836" s="38">
        <f>AL836/(3.5*I836*1000)*100</f>
        <v>0</v>
      </c>
      <c r="AN836" s="25"/>
      <c r="AO836" s="25"/>
      <c r="AS836" s="48"/>
    </row>
    <row r="837" spans="1:88" s="22" customFormat="1">
      <c r="A837" s="1">
        <v>2039</v>
      </c>
      <c r="B837" s="34" t="s">
        <v>2678</v>
      </c>
      <c r="C837" s="34">
        <v>326</v>
      </c>
      <c r="D837" s="75">
        <v>4165</v>
      </c>
      <c r="E837" s="8">
        <v>100</v>
      </c>
      <c r="F837" s="34" t="s">
        <v>2689</v>
      </c>
      <c r="G837" s="58">
        <v>290</v>
      </c>
      <c r="H837" s="58">
        <v>9492</v>
      </c>
      <c r="I837" s="21">
        <v>9.202</v>
      </c>
      <c r="J837" s="8">
        <v>2</v>
      </c>
      <c r="K837" s="8" t="s">
        <v>238</v>
      </c>
      <c r="L837" s="18">
        <v>42126</v>
      </c>
      <c r="M837" s="37" t="s">
        <v>191</v>
      </c>
      <c r="N837" s="38">
        <v>5.9249999999999998</v>
      </c>
      <c r="O837" s="38">
        <v>1.8</v>
      </c>
      <c r="P837" s="38">
        <v>0.72499999999999998</v>
      </c>
      <c r="Q837" s="38">
        <v>0.77500000000000002</v>
      </c>
      <c r="R837" s="38">
        <v>2.5629</v>
      </c>
      <c r="S837" s="38">
        <f t="shared" si="104"/>
        <v>2.5</v>
      </c>
      <c r="T837" s="38">
        <v>8.1750000000000007</v>
      </c>
      <c r="U837" s="38">
        <v>0.9</v>
      </c>
      <c r="V837" s="38">
        <v>0.15</v>
      </c>
      <c r="W837" s="38">
        <v>0</v>
      </c>
      <c r="X837" s="38">
        <v>4.9648099999999999</v>
      </c>
      <c r="Y837" s="38">
        <f t="shared" si="105"/>
        <v>5</v>
      </c>
      <c r="Z837" s="38">
        <v>0</v>
      </c>
      <c r="AA837" s="38">
        <v>0</v>
      </c>
      <c r="AB837" s="38">
        <v>9.2249999999999996</v>
      </c>
      <c r="AC837" s="38">
        <v>1.19126</v>
      </c>
      <c r="AD837" s="39">
        <v>84.22</v>
      </c>
      <c r="AE837" s="38">
        <v>0</v>
      </c>
      <c r="AF837" s="38">
        <f>(AD837+AE837*0.5)/(3.5*I837*1000)*100</f>
        <v>0.26149594808581983</v>
      </c>
      <c r="AG837" s="38">
        <f t="shared" si="106"/>
        <v>0.3</v>
      </c>
      <c r="AH837" s="38">
        <v>369.29</v>
      </c>
      <c r="AI837" s="38">
        <v>1.1466140901046358</v>
      </c>
      <c r="AJ837" s="55">
        <v>811.93</v>
      </c>
      <c r="AK837" s="55">
        <v>2.5209737013692677</v>
      </c>
      <c r="AL837" s="55">
        <v>0</v>
      </c>
      <c r="AM837" s="55">
        <f>AL837/(3.5*I837*1000)*100</f>
        <v>0</v>
      </c>
      <c r="AN837" s="1"/>
      <c r="AO837" s="12"/>
      <c r="AP837" s="12"/>
      <c r="AQ837" s="1"/>
      <c r="AR837" s="1"/>
      <c r="AS837" s="178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</row>
    <row r="838" spans="1:88" s="22" customFormat="1">
      <c r="A838" s="1">
        <v>1736</v>
      </c>
      <c r="B838" s="34" t="s">
        <v>2324</v>
      </c>
      <c r="C838" s="34">
        <v>423</v>
      </c>
      <c r="D838" s="8">
        <v>3193</v>
      </c>
      <c r="E838" s="88">
        <v>101</v>
      </c>
      <c r="F838" s="34" t="s">
        <v>2331</v>
      </c>
      <c r="G838" s="58">
        <v>0</v>
      </c>
      <c r="H838" s="58">
        <v>34000</v>
      </c>
      <c r="I838" s="35">
        <v>34</v>
      </c>
      <c r="J838" s="9">
        <v>2</v>
      </c>
      <c r="K838" s="88" t="s">
        <v>238</v>
      </c>
      <c r="L838" s="116">
        <v>42234</v>
      </c>
      <c r="M838" s="37" t="s">
        <v>191</v>
      </c>
      <c r="N838" s="38">
        <v>11.223000000000001</v>
      </c>
      <c r="O838" s="38">
        <v>12.005000000000001</v>
      </c>
      <c r="P838" s="38">
        <v>6.9889999999999999</v>
      </c>
      <c r="Q838" s="38">
        <v>3.7829999999999999</v>
      </c>
      <c r="R838" s="38">
        <v>3.2668599999999999</v>
      </c>
      <c r="S838" s="38">
        <f t="shared" si="104"/>
        <v>3.5</v>
      </c>
      <c r="T838" s="38">
        <v>29.4</v>
      </c>
      <c r="U838" s="38">
        <v>3.75</v>
      </c>
      <c r="V838" s="38">
        <v>0.625</v>
      </c>
      <c r="W838" s="38">
        <v>0.15</v>
      </c>
      <c r="X838" s="38">
        <v>6.1404899999999998</v>
      </c>
      <c r="Y838" s="38">
        <f t="shared" si="105"/>
        <v>6</v>
      </c>
      <c r="Z838" s="38">
        <v>0</v>
      </c>
      <c r="AA838" s="117">
        <v>0</v>
      </c>
      <c r="AB838" s="35">
        <v>34</v>
      </c>
      <c r="AC838" s="117">
        <v>1.3141099999999999</v>
      </c>
      <c r="AD838" s="39">
        <v>252.46</v>
      </c>
      <c r="AE838" s="38">
        <v>117.4</v>
      </c>
      <c r="AF838" s="38">
        <v>0.26147999999999999</v>
      </c>
      <c r="AG838" s="38">
        <f t="shared" si="106"/>
        <v>0.3</v>
      </c>
      <c r="AH838" s="38">
        <v>0</v>
      </c>
      <c r="AI838" s="38">
        <v>0</v>
      </c>
      <c r="AJ838" s="38">
        <v>600</v>
      </c>
      <c r="AK838" s="38">
        <f>AJ838/(3.5*I838*1000)*100</f>
        <v>0.50420168067226889</v>
      </c>
      <c r="AL838" s="38">
        <v>182.23</v>
      </c>
      <c r="AM838" s="38">
        <v>0.15312999999999999</v>
      </c>
      <c r="AN838" s="12"/>
      <c r="AO838" s="12">
        <f>AE838*0.5</f>
        <v>58.7</v>
      </c>
      <c r="AP838" s="12">
        <f>(AD838+AH838+AJ838+AL838+AO838)*I838</f>
        <v>37175.26</v>
      </c>
      <c r="AQ838" s="136">
        <f>SUM(N838:Q838)</f>
        <v>34</v>
      </c>
      <c r="AR838" s="136">
        <f>SUM(T838:W838)</f>
        <v>33.924999999999997</v>
      </c>
      <c r="AS838" s="178"/>
      <c r="AT838" s="41"/>
      <c r="AU838" s="41"/>
      <c r="AV838" s="41"/>
      <c r="AW838" s="4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</row>
    <row r="839" spans="1:88" s="22" customFormat="1">
      <c r="A839" s="1">
        <v>1494</v>
      </c>
      <c r="B839" s="34" t="s">
        <v>2016</v>
      </c>
      <c r="C839" s="34">
        <v>411</v>
      </c>
      <c r="D839" s="69">
        <v>3902</v>
      </c>
      <c r="E839" s="34">
        <v>602</v>
      </c>
      <c r="F839" s="34" t="s">
        <v>2057</v>
      </c>
      <c r="G839" s="58" t="s">
        <v>2060</v>
      </c>
      <c r="H839" s="58" t="s">
        <v>2058</v>
      </c>
      <c r="I839" s="35">
        <v>0.58099999999999996</v>
      </c>
      <c r="J839" s="34">
        <v>2</v>
      </c>
      <c r="K839" s="34" t="s">
        <v>12</v>
      </c>
      <c r="L839" s="10">
        <v>42248</v>
      </c>
      <c r="M839" s="37" t="s">
        <v>191</v>
      </c>
      <c r="N839" s="38">
        <v>0.33200000000000002</v>
      </c>
      <c r="O839" s="38">
        <v>0.10100000000000001</v>
      </c>
      <c r="P839" s="38">
        <v>9.1999999999999998E-2</v>
      </c>
      <c r="Q839" s="38">
        <v>5.5E-2</v>
      </c>
      <c r="R839" s="38">
        <v>2.5680000000000001</v>
      </c>
      <c r="S839" s="38">
        <f t="shared" si="104"/>
        <v>2.5</v>
      </c>
      <c r="T839" s="38">
        <v>1.875</v>
      </c>
      <c r="U839" s="38">
        <v>0</v>
      </c>
      <c r="V839" s="38">
        <v>0</v>
      </c>
      <c r="W839" s="38">
        <v>0</v>
      </c>
      <c r="X839" s="38">
        <v>3.1909999999999998</v>
      </c>
      <c r="Y839" s="38">
        <f t="shared" si="105"/>
        <v>3</v>
      </c>
      <c r="Z839" s="38">
        <v>0</v>
      </c>
      <c r="AA839" s="38">
        <v>0</v>
      </c>
      <c r="AB839" s="38">
        <f>SUM(T839:W839)</f>
        <v>1.875</v>
      </c>
      <c r="AC839" s="38">
        <v>1.1399999999999999</v>
      </c>
      <c r="AD839" s="39">
        <v>0</v>
      </c>
      <c r="AE839" s="38">
        <v>10.62</v>
      </c>
      <c r="AF839" s="38">
        <f>(AD839+AE839*0.5)/(3.5*I839*1000)*100</f>
        <v>0.26112613720186867</v>
      </c>
      <c r="AG839" s="38">
        <f t="shared" si="106"/>
        <v>0.3</v>
      </c>
      <c r="AH839" s="38">
        <v>0</v>
      </c>
      <c r="AI839" s="38">
        <f>AH839/(3.5*I839*1000)*100</f>
        <v>0</v>
      </c>
      <c r="AJ839" s="38">
        <v>61.06</v>
      </c>
      <c r="AK839" s="38">
        <f>AJ839/(3.5*I839*1000)*100</f>
        <v>3.0027046963363659</v>
      </c>
      <c r="AL839" s="38">
        <v>26</v>
      </c>
      <c r="AM839" s="38">
        <f>AL839/(3.5*I839*1000)*100</f>
        <v>1.2785837226456849</v>
      </c>
      <c r="AN839" s="60"/>
      <c r="AO839" s="60">
        <f>AE839*0.5</f>
        <v>5.31</v>
      </c>
      <c r="AP839" s="60">
        <f>(AD839+AH839+AJ839+AL839+AO839)*I839</f>
        <v>53.666969999999999</v>
      </c>
      <c r="AQ839" s="60"/>
      <c r="AR839" s="60">
        <f>SUM(N839:Q839)</f>
        <v>0.58000000000000007</v>
      </c>
      <c r="AS839" s="55">
        <f>SUM(T839:W839)</f>
        <v>1.875</v>
      </c>
      <c r="AT839" s="60"/>
      <c r="AU839" s="61"/>
      <c r="AV839" s="40"/>
      <c r="AW839" s="40"/>
      <c r="AX839" s="40"/>
      <c r="AY839" s="40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</row>
    <row r="840" spans="1:88" s="22" customFormat="1">
      <c r="A840" s="1">
        <v>470</v>
      </c>
      <c r="B840" s="74" t="s">
        <v>780</v>
      </c>
      <c r="C840" s="34">
        <v>515</v>
      </c>
      <c r="D840" s="34">
        <v>1309</v>
      </c>
      <c r="E840" s="34">
        <v>100</v>
      </c>
      <c r="F840" s="34" t="s">
        <v>804</v>
      </c>
      <c r="G840" s="34" t="s">
        <v>805</v>
      </c>
      <c r="H840" s="34" t="s">
        <v>92</v>
      </c>
      <c r="I840" s="55">
        <v>15.45</v>
      </c>
      <c r="J840" s="5" t="s">
        <v>12</v>
      </c>
      <c r="K840" s="34">
        <v>2</v>
      </c>
      <c r="L840" s="10">
        <v>42269</v>
      </c>
      <c r="M840" s="37" t="s">
        <v>191</v>
      </c>
      <c r="N840" s="38">
        <v>11.78</v>
      </c>
      <c r="O840" s="38">
        <v>2.5249999999999999</v>
      </c>
      <c r="P840" s="38">
        <v>0.85</v>
      </c>
      <c r="Q840" s="38">
        <v>0.45</v>
      </c>
      <c r="R840" s="38">
        <v>2.2778499999999999</v>
      </c>
      <c r="S840" s="38">
        <f t="shared" si="104"/>
        <v>2.5</v>
      </c>
      <c r="T840" s="38">
        <v>15.1</v>
      </c>
      <c r="U840" s="38">
        <v>0.45</v>
      </c>
      <c r="V840" s="38">
        <v>0.05</v>
      </c>
      <c r="W840" s="38">
        <v>0</v>
      </c>
      <c r="X840" s="38">
        <v>3.1539100000000002</v>
      </c>
      <c r="Y840" s="38">
        <f t="shared" si="105"/>
        <v>3</v>
      </c>
      <c r="Z840" s="38">
        <v>0</v>
      </c>
      <c r="AA840" s="38">
        <v>0</v>
      </c>
      <c r="AB840" s="38">
        <v>15.604999999999999</v>
      </c>
      <c r="AC840" s="38">
        <v>1.09796</v>
      </c>
      <c r="AD840" s="39">
        <v>134.22999999999999</v>
      </c>
      <c r="AE840" s="38">
        <v>13.654</v>
      </c>
      <c r="AF840" s="38">
        <f>(AD840+AE840*0.5)/(3.5*I840*1000)*100</f>
        <v>0.26085436893203884</v>
      </c>
      <c r="AG840" s="38">
        <f t="shared" si="106"/>
        <v>0.3</v>
      </c>
      <c r="AH840" s="38">
        <v>76.58</v>
      </c>
      <c r="AI840" s="38">
        <f>AH840/(3.5*I840*1000)*100</f>
        <v>0.1416181229773463</v>
      </c>
      <c r="AJ840" s="38">
        <v>0</v>
      </c>
      <c r="AK840" s="38">
        <f>AJ840/(3.5*I840*1000)*100</f>
        <v>0</v>
      </c>
      <c r="AL840" s="38">
        <v>0</v>
      </c>
      <c r="AM840" s="38">
        <f>AL840/(3.5*I840*1000)*100</f>
        <v>0</v>
      </c>
      <c r="AN840" s="41"/>
      <c r="AO840" s="41"/>
      <c r="AP840" s="114"/>
      <c r="AQ840" s="73"/>
      <c r="AR840" s="73"/>
      <c r="AS840" s="48"/>
    </row>
    <row r="841" spans="1:88" s="22" customFormat="1">
      <c r="A841" s="1">
        <v>1402</v>
      </c>
      <c r="B841" s="34" t="s">
        <v>1957</v>
      </c>
      <c r="C841" s="34">
        <v>447</v>
      </c>
      <c r="D841" s="75">
        <v>333</v>
      </c>
      <c r="E841" s="69">
        <v>301</v>
      </c>
      <c r="F841" s="184" t="s">
        <v>1958</v>
      </c>
      <c r="G841" s="77">
        <v>83075</v>
      </c>
      <c r="H841" s="20">
        <v>112386</v>
      </c>
      <c r="I841" s="21">
        <v>29.311</v>
      </c>
      <c r="J841" s="8">
        <v>2</v>
      </c>
      <c r="K841" s="34" t="s">
        <v>237</v>
      </c>
      <c r="L841" s="10">
        <v>42214</v>
      </c>
      <c r="M841" s="37" t="s">
        <v>191</v>
      </c>
      <c r="N841" s="38">
        <v>29.3</v>
      </c>
      <c r="O841" s="38">
        <v>0.15</v>
      </c>
      <c r="P841" s="38">
        <v>0</v>
      </c>
      <c r="Q841" s="38">
        <v>0</v>
      </c>
      <c r="R841" s="38">
        <v>1.6104700000000001</v>
      </c>
      <c r="S841" s="38">
        <f t="shared" si="104"/>
        <v>1.5</v>
      </c>
      <c r="T841" s="38">
        <v>29.35</v>
      </c>
      <c r="U841" s="38">
        <v>7.4999999999999997E-2</v>
      </c>
      <c r="V841" s="38">
        <v>2.5000000000000001E-2</v>
      </c>
      <c r="W841" s="38">
        <v>0</v>
      </c>
      <c r="X841" s="38">
        <v>1.5043200000000001</v>
      </c>
      <c r="Y841" s="38">
        <f t="shared" si="105"/>
        <v>1.5</v>
      </c>
      <c r="Z841" s="38">
        <v>0</v>
      </c>
      <c r="AA841" s="38">
        <v>0</v>
      </c>
      <c r="AB841" s="38">
        <v>29.45</v>
      </c>
      <c r="AC841" s="38">
        <v>0.99686900000000001</v>
      </c>
      <c r="AD841" s="39">
        <v>245.24</v>
      </c>
      <c r="AE841" s="38">
        <v>44.24</v>
      </c>
      <c r="AF841" s="38">
        <v>0.26061400644321736</v>
      </c>
      <c r="AG841" s="38">
        <f t="shared" si="106"/>
        <v>0.3</v>
      </c>
      <c r="AH841" s="38">
        <v>165.3</v>
      </c>
      <c r="AI841" s="38">
        <f>AH841/(3.5*I841*1000)*100</f>
        <v>0.16112917139835364</v>
      </c>
      <c r="AJ841" s="38">
        <v>0</v>
      </c>
      <c r="AK841" s="38">
        <f>AJ841/(3.5*I841*1000)*100</f>
        <v>0</v>
      </c>
      <c r="AL841" s="38">
        <v>2.44</v>
      </c>
      <c r="AM841" s="38">
        <f>AL841/(3.5*I841*1000)*100</f>
        <v>2.3784342299575491E-3</v>
      </c>
      <c r="AN841" s="41"/>
      <c r="AS841" s="48"/>
    </row>
    <row r="842" spans="1:88" s="22" customFormat="1">
      <c r="A842" s="1">
        <v>1859</v>
      </c>
      <c r="B842" s="34" t="s">
        <v>2485</v>
      </c>
      <c r="C842" s="34">
        <v>333</v>
      </c>
      <c r="D842" s="75">
        <v>3217</v>
      </c>
      <c r="E842" s="8">
        <v>100</v>
      </c>
      <c r="F842" s="9" t="s">
        <v>2488</v>
      </c>
      <c r="G842" s="20">
        <v>0</v>
      </c>
      <c r="H842" s="20">
        <v>17375</v>
      </c>
      <c r="I842" s="21">
        <v>17.375</v>
      </c>
      <c r="J842" s="34">
        <v>2</v>
      </c>
      <c r="K842" s="34" t="s">
        <v>238</v>
      </c>
      <c r="L842" s="18">
        <v>42098</v>
      </c>
      <c r="M842" s="247" t="s">
        <v>191</v>
      </c>
      <c r="N842" s="38">
        <v>10.925000000000001</v>
      </c>
      <c r="O842" s="38">
        <v>4.3</v>
      </c>
      <c r="P842" s="38">
        <v>1.5</v>
      </c>
      <c r="Q842" s="38">
        <v>0.57499999999999996</v>
      </c>
      <c r="R842" s="38">
        <v>2.4843500000000001</v>
      </c>
      <c r="S842" s="38">
        <f t="shared" si="104"/>
        <v>2.5</v>
      </c>
      <c r="T842" s="38">
        <v>16.774999999999999</v>
      </c>
      <c r="U842" s="38">
        <v>0.4</v>
      </c>
      <c r="V842" s="38">
        <v>0.1</v>
      </c>
      <c r="W842" s="38">
        <v>2.5000000000000001E-2</v>
      </c>
      <c r="X842" s="38">
        <v>3.2597499999999999</v>
      </c>
      <c r="Y842" s="38">
        <f t="shared" si="105"/>
        <v>3.5</v>
      </c>
      <c r="Z842" s="38">
        <v>0</v>
      </c>
      <c r="AA842" s="38">
        <v>0</v>
      </c>
      <c r="AB842" s="38">
        <v>17.3</v>
      </c>
      <c r="AC842" s="38">
        <v>1.4056500000000001</v>
      </c>
      <c r="AD842" s="39">
        <v>23.25</v>
      </c>
      <c r="AE842" s="38">
        <v>270.04000000000002</v>
      </c>
      <c r="AF842" s="38">
        <v>0.26025899280575543</v>
      </c>
      <c r="AG842" s="38">
        <f t="shared" si="106"/>
        <v>0.3</v>
      </c>
      <c r="AH842" s="38">
        <v>0</v>
      </c>
      <c r="AI842" s="38">
        <v>0</v>
      </c>
      <c r="AJ842" s="38">
        <v>1.69</v>
      </c>
      <c r="AK842" s="38">
        <v>2.7790339157245628E-3</v>
      </c>
      <c r="AL842" s="38">
        <v>0</v>
      </c>
      <c r="AM842" s="38">
        <f>AL842/(3.5*I842*1000)*100</f>
        <v>0</v>
      </c>
      <c r="AN842" s="1"/>
      <c r="AO842" s="1"/>
      <c r="AP842" s="1"/>
      <c r="AQ842" s="1"/>
      <c r="AR842" s="1"/>
      <c r="AS842" s="178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</row>
    <row r="843" spans="1:88" s="22" customFormat="1">
      <c r="A843" s="1">
        <v>612</v>
      </c>
      <c r="B843" s="34" t="s">
        <v>994</v>
      </c>
      <c r="C843" s="34">
        <v>554</v>
      </c>
      <c r="D843" s="34">
        <v>2414</v>
      </c>
      <c r="E843" s="34">
        <v>200</v>
      </c>
      <c r="F843" s="9" t="s">
        <v>1014</v>
      </c>
      <c r="G843" s="118">
        <v>19150</v>
      </c>
      <c r="H843" s="118">
        <v>33582</v>
      </c>
      <c r="I843" s="35">
        <v>14.432</v>
      </c>
      <c r="J843" s="71">
        <v>2</v>
      </c>
      <c r="K843" s="34" t="s">
        <v>238</v>
      </c>
      <c r="L843" s="10">
        <v>42181</v>
      </c>
      <c r="M843" s="37" t="s">
        <v>191</v>
      </c>
      <c r="N843" s="38">
        <v>5.28</v>
      </c>
      <c r="O843" s="38">
        <v>4.93</v>
      </c>
      <c r="P843" s="38">
        <v>2.9</v>
      </c>
      <c r="Q843" s="38">
        <v>1.34</v>
      </c>
      <c r="R843" s="38">
        <v>3.5228100000000002</v>
      </c>
      <c r="S843" s="38">
        <f t="shared" si="104"/>
        <v>3.5</v>
      </c>
      <c r="T843" s="38">
        <v>13.68</v>
      </c>
      <c r="U843" s="38">
        <v>0.6</v>
      </c>
      <c r="V843" s="38">
        <v>0.12</v>
      </c>
      <c r="W843" s="38">
        <v>0</v>
      </c>
      <c r="X843" s="38">
        <v>5.4316700000000004</v>
      </c>
      <c r="Y843" s="38">
        <f t="shared" si="105"/>
        <v>5.5</v>
      </c>
      <c r="Z843" s="38">
        <v>0</v>
      </c>
      <c r="AA843" s="38">
        <v>0</v>
      </c>
      <c r="AB843" s="38">
        <v>14.43</v>
      </c>
      <c r="AC843" s="38">
        <v>1.28363</v>
      </c>
      <c r="AD843" s="39">
        <v>122.48</v>
      </c>
      <c r="AE843" s="38">
        <v>16.350000000000001</v>
      </c>
      <c r="AF843" s="38">
        <v>0.25866130820399114</v>
      </c>
      <c r="AG843" s="38">
        <f t="shared" si="106"/>
        <v>0.3</v>
      </c>
      <c r="AH843" s="38">
        <v>71</v>
      </c>
      <c r="AI843" s="38">
        <v>0.14056065885334176</v>
      </c>
      <c r="AJ843" s="38">
        <v>983.61</v>
      </c>
      <c r="AK843" s="38">
        <v>1.9472798542920493</v>
      </c>
      <c r="AL843" s="38">
        <v>1.29</v>
      </c>
      <c r="AM843" s="38">
        <f>AL843/(3.5*I843*1000)*100</f>
        <v>2.5538485904339561E-3</v>
      </c>
      <c r="AN843" s="60"/>
      <c r="AO843" s="60">
        <f>AE843*0.5</f>
        <v>8.1750000000000007</v>
      </c>
      <c r="AP843" s="60">
        <f>(AD843+AH843+AJ843+AL843+AO843)*I843</f>
        <v>17124.36176</v>
      </c>
      <c r="AQ843" s="25">
        <f>SUM(N843:Q843)</f>
        <v>14.450000000000001</v>
      </c>
      <c r="AR843" s="25">
        <f>SUM(T843:W843)</f>
        <v>14.399999999999999</v>
      </c>
      <c r="AS843" s="51">
        <v>14.432</v>
      </c>
      <c r="AT843" s="40"/>
      <c r="AU843" s="41">
        <f>SUM(N843:Q843)</f>
        <v>14.450000000000001</v>
      </c>
      <c r="AV843" s="41">
        <f>SUM(T843:W843)</f>
        <v>14.399999999999999</v>
      </c>
      <c r="AW843" s="41">
        <f>SUM(Z843:AB843)</f>
        <v>14.43</v>
      </c>
      <c r="AY843" s="22">
        <f>I843/AU843</f>
        <v>0.99875432525951557</v>
      </c>
      <c r="AZ843" s="22">
        <f>I843/AV843</f>
        <v>1.0022222222222223</v>
      </c>
      <c r="BA843" s="22">
        <f>I843/AW843</f>
        <v>1.0001386001386001</v>
      </c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</row>
    <row r="844" spans="1:88" s="22" customFormat="1">
      <c r="A844" s="1">
        <v>291</v>
      </c>
      <c r="B844" s="34" t="s">
        <v>509</v>
      </c>
      <c r="C844" s="34">
        <v>642</v>
      </c>
      <c r="D844" s="34">
        <v>2177</v>
      </c>
      <c r="E844" s="34">
        <v>200</v>
      </c>
      <c r="F844" s="34" t="s">
        <v>519</v>
      </c>
      <c r="G844" s="58">
        <v>26250</v>
      </c>
      <c r="H844" s="58">
        <v>33212</v>
      </c>
      <c r="I844" s="35">
        <v>6.9619999999999997</v>
      </c>
      <c r="J844" s="62">
        <v>2</v>
      </c>
      <c r="K844" s="34" t="s">
        <v>238</v>
      </c>
      <c r="L844" s="10">
        <v>42161</v>
      </c>
      <c r="M844" s="37" t="s">
        <v>191</v>
      </c>
      <c r="N844" s="38">
        <v>5.35</v>
      </c>
      <c r="O844" s="38">
        <v>1.1000000000000001</v>
      </c>
      <c r="P844" s="38">
        <v>0.375</v>
      </c>
      <c r="Q844" s="38">
        <v>0.1</v>
      </c>
      <c r="R844" s="38">
        <v>2.07538</v>
      </c>
      <c r="S844" s="38">
        <f t="shared" si="104"/>
        <v>2</v>
      </c>
      <c r="T844" s="38">
        <v>6.8250000000000002</v>
      </c>
      <c r="U844" s="38">
        <v>0.1</v>
      </c>
      <c r="V844" s="38">
        <v>0</v>
      </c>
      <c r="W844" s="38">
        <v>0</v>
      </c>
      <c r="X844" s="38">
        <v>3.9402599999999999</v>
      </c>
      <c r="Y844" s="38">
        <f t="shared" si="105"/>
        <v>4</v>
      </c>
      <c r="Z844" s="38">
        <v>0</v>
      </c>
      <c r="AA844" s="38">
        <v>0</v>
      </c>
      <c r="AB844" s="38">
        <f>T844+U844+V844+W844</f>
        <v>6.9249999999999998</v>
      </c>
      <c r="AC844" s="38">
        <v>1.27023</v>
      </c>
      <c r="AD844" s="39">
        <v>63</v>
      </c>
      <c r="AE844" s="38">
        <v>0</v>
      </c>
      <c r="AF844" s="38">
        <v>0.25854639471416263</v>
      </c>
      <c r="AG844" s="38">
        <f t="shared" si="106"/>
        <v>0.3</v>
      </c>
      <c r="AH844" s="38">
        <v>0</v>
      </c>
      <c r="AI844" s="38">
        <v>0</v>
      </c>
      <c r="AJ844" s="38">
        <v>0</v>
      </c>
      <c r="AK844" s="38">
        <v>0</v>
      </c>
      <c r="AL844" s="38">
        <v>0</v>
      </c>
      <c r="AM844" s="38">
        <v>0</v>
      </c>
      <c r="AN844" s="60"/>
      <c r="AO844" s="60"/>
      <c r="AP844" s="60">
        <f>AE844*0.5</f>
        <v>0</v>
      </c>
      <c r="AQ844" s="64">
        <f>(AD844+AH844+AJ844+AL844+AP844)*I844</f>
        <v>438.60599999999999</v>
      </c>
      <c r="AR844" s="60"/>
      <c r="AS844" s="49">
        <f>SUM(N844:Q844)</f>
        <v>6.9249999999999989</v>
      </c>
      <c r="AT844" s="25"/>
      <c r="AU844" s="41">
        <f>SUM(N844:Q844)</f>
        <v>6.9249999999999989</v>
      </c>
      <c r="AV844" s="41">
        <f>SUM(T844:W844)</f>
        <v>6.9249999999999998</v>
      </c>
      <c r="AW844" s="41">
        <f>SUM(Z844:AB844)</f>
        <v>6.9249999999999998</v>
      </c>
      <c r="AY844" s="22">
        <f>I844/AU844</f>
        <v>1.0053429602888089</v>
      </c>
      <c r="AZ844" s="22">
        <f>I844/AV844</f>
        <v>1.0053429602888087</v>
      </c>
      <c r="BA844" s="22">
        <f>I844/AW844</f>
        <v>1.0053429602888087</v>
      </c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</row>
    <row r="845" spans="1:88" s="22" customFormat="1">
      <c r="A845" s="1">
        <v>568</v>
      </c>
      <c r="B845" s="34" t="s">
        <v>948</v>
      </c>
      <c r="C845" s="34">
        <v>551</v>
      </c>
      <c r="D845" s="34">
        <v>2331</v>
      </c>
      <c r="E845" s="34">
        <v>100</v>
      </c>
      <c r="F845" s="9" t="s">
        <v>969</v>
      </c>
      <c r="G845" s="20">
        <v>0</v>
      </c>
      <c r="H845" s="118">
        <v>34100</v>
      </c>
      <c r="I845" s="35">
        <v>34.1</v>
      </c>
      <c r="J845" s="71">
        <v>2</v>
      </c>
      <c r="K845" s="34" t="s">
        <v>12</v>
      </c>
      <c r="L845" s="10">
        <v>42188</v>
      </c>
      <c r="M845" s="37" t="s">
        <v>191</v>
      </c>
      <c r="N845" s="38">
        <v>15.34</v>
      </c>
      <c r="O845" s="38">
        <v>11.23</v>
      </c>
      <c r="P845" s="38">
        <v>6.1</v>
      </c>
      <c r="Q845" s="38">
        <v>2.4300000000000002</v>
      </c>
      <c r="R845" s="38">
        <v>2.8449399999999998</v>
      </c>
      <c r="S845" s="38">
        <f t="shared" si="104"/>
        <v>3</v>
      </c>
      <c r="T845" s="38">
        <v>31.5</v>
      </c>
      <c r="U845" s="38">
        <v>2.27</v>
      </c>
      <c r="V845" s="38">
        <v>0.95</v>
      </c>
      <c r="W845" s="38">
        <v>0.32</v>
      </c>
      <c r="X845" s="38">
        <v>5.9097200000000001</v>
      </c>
      <c r="Y845" s="38">
        <f t="shared" si="105"/>
        <v>6</v>
      </c>
      <c r="Z845" s="38">
        <v>0</v>
      </c>
      <c r="AA845" s="38">
        <v>0</v>
      </c>
      <c r="AB845" s="38">
        <f>T845+U845+V845+W845</f>
        <v>35.040000000000006</v>
      </c>
      <c r="AC845" s="38">
        <v>1.14975</v>
      </c>
      <c r="AD845" s="39">
        <v>239</v>
      </c>
      <c r="AE845" s="38">
        <v>138.22</v>
      </c>
      <c r="AF845" s="38">
        <f>(AD845+AE845*0.5)/(3.5*I845*1000)*100</f>
        <v>0.25815668202764974</v>
      </c>
      <c r="AG845" s="38">
        <f t="shared" si="106"/>
        <v>0.3</v>
      </c>
      <c r="AH845" s="38">
        <v>0</v>
      </c>
      <c r="AI845" s="38">
        <f>AH845/(3.5*I845*1000)*100</f>
        <v>0</v>
      </c>
      <c r="AJ845" s="38">
        <v>259</v>
      </c>
      <c r="AK845" s="38">
        <f>AJ845/(3.5*I845*1000)*100</f>
        <v>0.21700879765395889</v>
      </c>
      <c r="AL845" s="38">
        <v>0</v>
      </c>
      <c r="AM845" s="38">
        <f>AL845/(3.5*I845*1000)*100</f>
        <v>0</v>
      </c>
      <c r="AN845" s="25"/>
      <c r="AO845" s="25">
        <f>AE845*0.5</f>
        <v>69.11</v>
      </c>
      <c r="AP845" s="25">
        <f>(AD845+AH845+AJ845+AL845+AO845)*I845</f>
        <v>19338.451000000001</v>
      </c>
      <c r="AQ845" s="25">
        <f>SUM(N845:Q845)</f>
        <v>35.1</v>
      </c>
      <c r="AR845" s="25">
        <f>SUM(T845:W845)</f>
        <v>35.040000000000006</v>
      </c>
      <c r="AS845" s="51">
        <v>35.1</v>
      </c>
      <c r="AT845" s="41"/>
      <c r="AU845" s="41">
        <f>SUM(N845:Q845)</f>
        <v>35.1</v>
      </c>
      <c r="AV845" s="41">
        <f>SUM(T845:W845)</f>
        <v>35.040000000000006</v>
      </c>
      <c r="AW845" s="41">
        <f>SUM(Z845:AB845)</f>
        <v>35.040000000000006</v>
      </c>
      <c r="AY845" s="22">
        <f>I845/AU845</f>
        <v>0.97150997150997154</v>
      </c>
      <c r="AZ845" s="22">
        <f>I845/AV845</f>
        <v>0.97317351598173507</v>
      </c>
      <c r="BA845" s="22">
        <f>I845/AW845</f>
        <v>0.97317351598173507</v>
      </c>
    </row>
    <row r="846" spans="1:88" s="137" customFormat="1">
      <c r="A846" s="1">
        <v>845</v>
      </c>
      <c r="B846" s="129" t="s">
        <v>1231</v>
      </c>
      <c r="C846" s="129">
        <v>615</v>
      </c>
      <c r="D846" s="129">
        <v>219</v>
      </c>
      <c r="E846" s="129">
        <v>200</v>
      </c>
      <c r="F846" s="129" t="s">
        <v>1238</v>
      </c>
      <c r="G846" s="153" t="s">
        <v>1156</v>
      </c>
      <c r="H846" s="153" t="s">
        <v>1239</v>
      </c>
      <c r="I846" s="132">
        <v>0</v>
      </c>
      <c r="J846" s="154">
        <v>4</v>
      </c>
      <c r="K846" s="129" t="s">
        <v>237</v>
      </c>
      <c r="L846" s="133">
        <v>42135</v>
      </c>
      <c r="M846" s="134" t="s">
        <v>191</v>
      </c>
      <c r="N846" s="135">
        <v>0</v>
      </c>
      <c r="O846" s="135">
        <v>0</v>
      </c>
      <c r="P846" s="135">
        <v>0</v>
      </c>
      <c r="Q846" s="135">
        <v>0</v>
      </c>
      <c r="R846" s="135">
        <v>0</v>
      </c>
      <c r="S846" s="38">
        <f t="shared" si="104"/>
        <v>0</v>
      </c>
      <c r="T846" s="135">
        <v>0</v>
      </c>
      <c r="U846" s="135">
        <v>0</v>
      </c>
      <c r="V846" s="135">
        <v>0</v>
      </c>
      <c r="W846" s="135">
        <v>0</v>
      </c>
      <c r="X846" s="135">
        <v>0</v>
      </c>
      <c r="Y846" s="38">
        <f t="shared" si="105"/>
        <v>0</v>
      </c>
      <c r="Z846" s="135">
        <v>0</v>
      </c>
      <c r="AA846" s="135">
        <v>0</v>
      </c>
      <c r="AB846" s="135">
        <v>0</v>
      </c>
      <c r="AC846" s="135">
        <v>0</v>
      </c>
      <c r="AD846" s="135">
        <v>0</v>
      </c>
      <c r="AE846" s="135">
        <v>0</v>
      </c>
      <c r="AF846" s="135">
        <v>0</v>
      </c>
      <c r="AG846" s="38">
        <f t="shared" si="106"/>
        <v>0</v>
      </c>
      <c r="AH846" s="135">
        <v>0</v>
      </c>
      <c r="AI846" s="135">
        <v>0</v>
      </c>
      <c r="AJ846" s="135">
        <v>0</v>
      </c>
      <c r="AK846" s="135">
        <v>0</v>
      </c>
      <c r="AL846" s="135">
        <v>0</v>
      </c>
      <c r="AM846" s="135">
        <v>0</v>
      </c>
      <c r="AN846" s="136"/>
      <c r="AO846" s="136">
        <f>AE846*0.5</f>
        <v>0</v>
      </c>
      <c r="AP846" s="136">
        <f>(AD846+AH846+AJ846+AL846+AO846)*I846</f>
        <v>0</v>
      </c>
      <c r="AQ846" s="136">
        <f>SUM(N846:Q846)</f>
        <v>0</v>
      </c>
      <c r="AR846" s="136">
        <f>SUM(T846:W846)</f>
        <v>0</v>
      </c>
      <c r="AS846" s="155">
        <v>17.715</v>
      </c>
      <c r="AT846" s="138"/>
      <c r="AU846" s="138"/>
      <c r="AV846" s="138"/>
      <c r="AW846" s="138"/>
    </row>
    <row r="847" spans="1:88" s="22" customFormat="1">
      <c r="A847" s="1">
        <v>1756</v>
      </c>
      <c r="B847" s="34" t="s">
        <v>2348</v>
      </c>
      <c r="C847" s="34">
        <v>425</v>
      </c>
      <c r="D847" s="8">
        <v>3158</v>
      </c>
      <c r="E847" s="34">
        <v>100</v>
      </c>
      <c r="F847" s="34" t="s">
        <v>2353</v>
      </c>
      <c r="G847" s="58" t="s">
        <v>92</v>
      </c>
      <c r="H847" s="58" t="s">
        <v>2354</v>
      </c>
      <c r="I847" s="35">
        <v>31.887</v>
      </c>
      <c r="J847" s="9">
        <v>2</v>
      </c>
      <c r="K847" s="34" t="s">
        <v>12</v>
      </c>
      <c r="L847" s="10">
        <v>42235</v>
      </c>
      <c r="M847" s="37" t="s">
        <v>191</v>
      </c>
      <c r="N847" s="38">
        <v>14.7</v>
      </c>
      <c r="O847" s="38">
        <v>8.6750000000000007</v>
      </c>
      <c r="P847" s="38">
        <v>4.6500000000000004</v>
      </c>
      <c r="Q847" s="38">
        <v>3.65</v>
      </c>
      <c r="R847" s="38">
        <v>3.48</v>
      </c>
      <c r="S847" s="38">
        <f t="shared" si="104"/>
        <v>3.5</v>
      </c>
      <c r="T847" s="38">
        <v>28.95</v>
      </c>
      <c r="U847" s="38">
        <v>2.2250000000000001</v>
      </c>
      <c r="V847" s="38">
        <v>0.35</v>
      </c>
      <c r="W847" s="38">
        <v>0.15</v>
      </c>
      <c r="X847" s="38">
        <v>5.4260000000000002</v>
      </c>
      <c r="Y847" s="38">
        <f t="shared" si="105"/>
        <v>5.5</v>
      </c>
      <c r="Z847" s="38">
        <v>0</v>
      </c>
      <c r="AA847" s="38">
        <v>0</v>
      </c>
      <c r="AB847" s="38">
        <f>SUM(T847:W847)</f>
        <v>31.675000000000001</v>
      </c>
      <c r="AC847" s="38">
        <v>1.214</v>
      </c>
      <c r="AD847" s="39">
        <v>110.26</v>
      </c>
      <c r="AE847" s="38">
        <v>353.98</v>
      </c>
      <c r="AF847" s="38">
        <f>(AD847+AE847*0.5)/(3.5*I847*1000)*100</f>
        <v>0.25738209480800506</v>
      </c>
      <c r="AG847" s="38">
        <f t="shared" si="106"/>
        <v>0.3</v>
      </c>
      <c r="AH847" s="38">
        <v>70.819999999999993</v>
      </c>
      <c r="AI847" s="38">
        <f>AH847/(3.5*I847*1000)*100</f>
        <v>6.3456222643352184E-2</v>
      </c>
      <c r="AJ847" s="38">
        <v>0</v>
      </c>
      <c r="AK847" s="38">
        <f>AJ847/(3.5*I847*1000)*100</f>
        <v>0</v>
      </c>
      <c r="AL847" s="38">
        <v>75.349999999999994</v>
      </c>
      <c r="AM847" s="55">
        <f>AL847/(3.5*I847*1000)*100</f>
        <v>6.7515198759906622E-2</v>
      </c>
      <c r="AN847" s="25"/>
      <c r="AO847" s="25">
        <f>AE847*0.5</f>
        <v>176.99</v>
      </c>
      <c r="AP847" s="25">
        <f>(AD847+AH847+AJ847+AL847+AO847)*I847</f>
        <v>13820.463539999999</v>
      </c>
      <c r="AQ847" s="25"/>
      <c r="AR847" s="25"/>
      <c r="AS847" s="48"/>
      <c r="AT847" s="41"/>
      <c r="AU847" s="41"/>
      <c r="AV847" s="41"/>
      <c r="AW847" s="41"/>
    </row>
    <row r="848" spans="1:88" s="22" customFormat="1">
      <c r="A848" s="1">
        <v>499</v>
      </c>
      <c r="B848" s="88" t="s">
        <v>821</v>
      </c>
      <c r="C848" s="88">
        <v>519</v>
      </c>
      <c r="D848" s="88">
        <v>1070</v>
      </c>
      <c r="E848" s="88">
        <v>102</v>
      </c>
      <c r="F848" s="88" t="s">
        <v>851</v>
      </c>
      <c r="G848" s="88" t="s">
        <v>192</v>
      </c>
      <c r="H848" s="88" t="s">
        <v>852</v>
      </c>
      <c r="I848" s="115">
        <v>13.451000000000001</v>
      </c>
      <c r="J848" s="88" t="s">
        <v>238</v>
      </c>
      <c r="K848" s="34">
        <v>2</v>
      </c>
      <c r="L848" s="10">
        <v>42276</v>
      </c>
      <c r="M848" s="37" t="s">
        <v>191</v>
      </c>
      <c r="N848" s="38">
        <v>8.4700000000000006</v>
      </c>
      <c r="O848" s="38">
        <v>2.38</v>
      </c>
      <c r="P848" s="38">
        <v>1.6</v>
      </c>
      <c r="Q848" s="38">
        <v>1</v>
      </c>
      <c r="R848" s="38">
        <v>2.6097700000000001</v>
      </c>
      <c r="S848" s="38">
        <f t="shared" si="104"/>
        <v>2.5</v>
      </c>
      <c r="T848" s="38">
        <v>11.82</v>
      </c>
      <c r="U848" s="38">
        <v>0.83</v>
      </c>
      <c r="V848" s="38">
        <v>0.36</v>
      </c>
      <c r="W848" s="38">
        <v>0.44</v>
      </c>
      <c r="X848" s="38">
        <v>5.1130399999999998</v>
      </c>
      <c r="Y848" s="38">
        <f t="shared" si="105"/>
        <v>5</v>
      </c>
      <c r="Z848" s="38">
        <v>0</v>
      </c>
      <c r="AA848" s="117">
        <v>0</v>
      </c>
      <c r="AB848" s="117">
        <v>13.45</v>
      </c>
      <c r="AC848" s="117">
        <v>1.2861400000000001</v>
      </c>
      <c r="AD848" s="254">
        <v>112.315</v>
      </c>
      <c r="AE848" s="117">
        <v>17.283999999999999</v>
      </c>
      <c r="AF848" s="117">
        <v>0.25692599999999999</v>
      </c>
      <c r="AG848" s="38">
        <f t="shared" si="106"/>
        <v>0.3</v>
      </c>
      <c r="AH848" s="117">
        <v>75.459999999999994</v>
      </c>
      <c r="AI848" s="117">
        <v>0.16028500000000001</v>
      </c>
      <c r="AJ848" s="117">
        <v>0</v>
      </c>
      <c r="AK848" s="117">
        <v>0</v>
      </c>
      <c r="AL848" s="117">
        <v>0</v>
      </c>
      <c r="AM848" s="117">
        <v>0</v>
      </c>
      <c r="AN848" s="41"/>
      <c r="AO848" s="41"/>
      <c r="AP848" s="41"/>
      <c r="AQ848" s="41">
        <f>SUM(N848:Q848)</f>
        <v>13.450000000000001</v>
      </c>
      <c r="AR848" s="41">
        <f>SUM(T848:W848)</f>
        <v>13.45</v>
      </c>
      <c r="AS848" s="49">
        <f>SUM(Z848:AB848)</f>
        <v>13.45</v>
      </c>
      <c r="AU848" s="22">
        <f>I848/AQ848</f>
        <v>1.0000743494423792</v>
      </c>
      <c r="AV848" s="22">
        <f>I848/AR848</f>
        <v>1.0000743494423792</v>
      </c>
      <c r="AW848" s="22">
        <f>I848/AS848</f>
        <v>1.0000743494423792</v>
      </c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</row>
    <row r="849" spans="1:88" s="22" customFormat="1">
      <c r="A849" s="1">
        <v>686</v>
      </c>
      <c r="B849" s="34" t="s">
        <v>1084</v>
      </c>
      <c r="C849" s="34">
        <v>624</v>
      </c>
      <c r="D849" s="34">
        <v>2225</v>
      </c>
      <c r="E849" s="34">
        <v>100</v>
      </c>
      <c r="F849" s="34" t="s">
        <v>1096</v>
      </c>
      <c r="G849" s="58">
        <v>0</v>
      </c>
      <c r="H849" s="58">
        <v>22031</v>
      </c>
      <c r="I849" s="35">
        <v>22.030999999999999</v>
      </c>
      <c r="J849" s="127">
        <v>2</v>
      </c>
      <c r="K849" s="34" t="s">
        <v>238</v>
      </c>
      <c r="L849" s="10">
        <v>42171</v>
      </c>
      <c r="M849" s="37" t="s">
        <v>191</v>
      </c>
      <c r="N849" s="38">
        <v>17.75</v>
      </c>
      <c r="O849" s="38">
        <v>2.9</v>
      </c>
      <c r="P849" s="38">
        <v>0.95</v>
      </c>
      <c r="Q849" s="38">
        <v>0.35</v>
      </c>
      <c r="R849" s="38">
        <v>2.34023</v>
      </c>
      <c r="S849" s="38">
        <f t="shared" si="104"/>
        <v>2.5</v>
      </c>
      <c r="T849" s="38">
        <v>20.774999999999999</v>
      </c>
      <c r="U849" s="38">
        <v>1.05</v>
      </c>
      <c r="V849" s="38">
        <v>0.125</v>
      </c>
      <c r="W849" s="38">
        <v>0</v>
      </c>
      <c r="X849" s="38">
        <v>3.9040400000000002</v>
      </c>
      <c r="Y849" s="38">
        <f t="shared" si="105"/>
        <v>4</v>
      </c>
      <c r="Z849" s="38">
        <v>0</v>
      </c>
      <c r="AA849" s="38">
        <v>0</v>
      </c>
      <c r="AB849" s="38">
        <f>N849+O849+P849+Q849</f>
        <v>21.95</v>
      </c>
      <c r="AC849" s="38">
        <v>1.1653800000000001</v>
      </c>
      <c r="AD849" s="39">
        <v>181.96</v>
      </c>
      <c r="AE849" s="38">
        <v>32.24</v>
      </c>
      <c r="AF849" s="38">
        <v>0.25688</v>
      </c>
      <c r="AG849" s="38">
        <f t="shared" si="106"/>
        <v>0.3</v>
      </c>
      <c r="AH849" s="38">
        <v>18.62</v>
      </c>
      <c r="AI849" s="38">
        <v>2.4150000000000001E-2</v>
      </c>
      <c r="AJ849" s="38">
        <v>441.24</v>
      </c>
      <c r="AK849" s="38">
        <v>0.57223299999999999</v>
      </c>
      <c r="AL849" s="38">
        <v>69.849999999999994</v>
      </c>
      <c r="AM849" s="38">
        <v>9.0590000000000004E-2</v>
      </c>
      <c r="AN849" s="25"/>
      <c r="AO849" s="25">
        <f>AE849*0.5</f>
        <v>16.12</v>
      </c>
      <c r="AP849" s="25">
        <f>(AD849+AH849+AJ849+AL849+AO849)*I849</f>
        <v>16033.941490000001</v>
      </c>
      <c r="AQ849" s="25">
        <f>SUM(N849:Q849)</f>
        <v>21.95</v>
      </c>
      <c r="AR849" s="25">
        <f>SUM(T849:W849)</f>
        <v>21.95</v>
      </c>
      <c r="AS849" s="48"/>
      <c r="AT849" s="41"/>
      <c r="AU849" s="41"/>
      <c r="AV849" s="41"/>
      <c r="AW849" s="41"/>
    </row>
    <row r="850" spans="1:88" s="22" customFormat="1">
      <c r="A850" s="1">
        <v>1872</v>
      </c>
      <c r="B850" s="34" t="s">
        <v>2495</v>
      </c>
      <c r="C850" s="34">
        <v>335</v>
      </c>
      <c r="D850" s="75">
        <v>3208</v>
      </c>
      <c r="E850" s="8">
        <v>1000</v>
      </c>
      <c r="F850" s="9" t="s">
        <v>2504</v>
      </c>
      <c r="G850" s="20" t="s">
        <v>2505</v>
      </c>
      <c r="H850" s="20" t="s">
        <v>92</v>
      </c>
      <c r="I850" s="21">
        <v>40.661999999999999</v>
      </c>
      <c r="J850" s="9">
        <v>2</v>
      </c>
      <c r="K850" s="9" t="s">
        <v>12</v>
      </c>
      <c r="L850" s="18">
        <v>42093</v>
      </c>
      <c r="M850" s="247" t="s">
        <v>191</v>
      </c>
      <c r="N850" s="38">
        <v>9.59</v>
      </c>
      <c r="O850" s="38">
        <v>17.41</v>
      </c>
      <c r="P850" s="38">
        <v>9.31</v>
      </c>
      <c r="Q850" s="38">
        <v>4.3499999999999996</v>
      </c>
      <c r="R850" s="38">
        <v>3.4503300000000001</v>
      </c>
      <c r="S850" s="38">
        <f t="shared" si="104"/>
        <v>3.5</v>
      </c>
      <c r="T850" s="38">
        <v>32.01</v>
      </c>
      <c r="U850" s="38">
        <v>3.75</v>
      </c>
      <c r="V850" s="38">
        <v>2.74</v>
      </c>
      <c r="W850" s="38">
        <v>2.16</v>
      </c>
      <c r="X850" s="38">
        <v>6.99796</v>
      </c>
      <c r="Y850" s="38">
        <f t="shared" si="105"/>
        <v>7</v>
      </c>
      <c r="Z850" s="38">
        <v>0</v>
      </c>
      <c r="AA850" s="38">
        <v>0</v>
      </c>
      <c r="AB850" s="38">
        <v>40.659999999999997</v>
      </c>
      <c r="AC850" s="38">
        <v>1.6459699999999999</v>
      </c>
      <c r="AD850" s="39">
        <v>365.3</v>
      </c>
      <c r="AE850" s="38">
        <v>0</v>
      </c>
      <c r="AF850" s="38">
        <f>(AD850+AE850*0.5)/(3.5*I850*1000)*100</f>
        <v>0.2566805090045462</v>
      </c>
      <c r="AG850" s="38">
        <f t="shared" si="106"/>
        <v>0.3</v>
      </c>
      <c r="AH850" s="38">
        <v>27.9</v>
      </c>
      <c r="AI850" s="38">
        <f>AH850/(3.5*I850*1000)*100</f>
        <v>1.9604123189780557E-2</v>
      </c>
      <c r="AJ850" s="38">
        <v>0</v>
      </c>
      <c r="AK850" s="38">
        <f>AJ850/(3.5*I850*1000)*100</f>
        <v>0</v>
      </c>
      <c r="AL850" s="38">
        <v>1.365</v>
      </c>
      <c r="AM850" s="38">
        <f>AL850/(3.5*I850*1000)*100</f>
        <v>9.5912645713442518E-4</v>
      </c>
      <c r="AN850" s="73"/>
      <c r="AO850" s="73"/>
      <c r="AP850" s="73"/>
      <c r="AQ850" s="41">
        <f>SUM(N850:Q850)</f>
        <v>40.660000000000004</v>
      </c>
      <c r="AR850" s="41">
        <f>SUM(T850:W850)</f>
        <v>40.659999999999997</v>
      </c>
      <c r="AS850" s="270">
        <f>SUM(Z850:AB850)</f>
        <v>40.659999999999997</v>
      </c>
      <c r="AT850" s="1"/>
      <c r="AU850" s="1">
        <f>I850/AQ850</f>
        <v>1.0000491883915394</v>
      </c>
      <c r="AV850" s="1">
        <f>I850/AR850</f>
        <v>1.0000491883915397</v>
      </c>
      <c r="AW850" s="1">
        <f>I850/AS850</f>
        <v>1.0000491883915397</v>
      </c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</row>
    <row r="851" spans="1:88" s="22" customFormat="1">
      <c r="A851" s="1">
        <v>689</v>
      </c>
      <c r="B851" s="34" t="s">
        <v>1084</v>
      </c>
      <c r="C851" s="34">
        <v>624</v>
      </c>
      <c r="D851" s="34">
        <v>2312</v>
      </c>
      <c r="E851" s="34">
        <v>100</v>
      </c>
      <c r="F851" s="34" t="s">
        <v>1099</v>
      </c>
      <c r="G851" s="58">
        <v>436</v>
      </c>
      <c r="H851" s="58">
        <v>28738</v>
      </c>
      <c r="I851" s="35">
        <v>28.302</v>
      </c>
      <c r="J851" s="127">
        <v>2</v>
      </c>
      <c r="K851" s="34" t="s">
        <v>238</v>
      </c>
      <c r="L851" s="10">
        <v>42171</v>
      </c>
      <c r="M851" s="37" t="s">
        <v>191</v>
      </c>
      <c r="N851" s="38">
        <v>17.375</v>
      </c>
      <c r="O851" s="38">
        <v>6.65</v>
      </c>
      <c r="P851" s="38">
        <v>3.15</v>
      </c>
      <c r="Q851" s="38">
        <v>1.425</v>
      </c>
      <c r="R851" s="38">
        <v>3.10928</v>
      </c>
      <c r="S851" s="38">
        <f t="shared" si="104"/>
        <v>3</v>
      </c>
      <c r="T851" s="38">
        <v>27.425000000000001</v>
      </c>
      <c r="U851" s="38">
        <v>1.05</v>
      </c>
      <c r="V851" s="38">
        <v>0.1</v>
      </c>
      <c r="W851" s="38">
        <v>2.5000000000000001E-2</v>
      </c>
      <c r="X851" s="38">
        <v>4.6302500000000002</v>
      </c>
      <c r="Y851" s="38">
        <f t="shared" si="105"/>
        <v>4.5</v>
      </c>
      <c r="Z851" s="38">
        <v>0</v>
      </c>
      <c r="AA851" s="38">
        <v>0</v>
      </c>
      <c r="AB851" s="38">
        <f>N851+O851+P851+Q851</f>
        <v>28.599999999999998</v>
      </c>
      <c r="AC851" s="38">
        <v>1.16628</v>
      </c>
      <c r="AD851" s="39">
        <v>124.09</v>
      </c>
      <c r="AE851" s="38">
        <v>260.2</v>
      </c>
      <c r="AF851" s="38">
        <v>0.25661</v>
      </c>
      <c r="AG851" s="38">
        <f t="shared" si="106"/>
        <v>0.3</v>
      </c>
      <c r="AH851" s="38">
        <v>623.66</v>
      </c>
      <c r="AI851" s="38">
        <v>0.62960000000000005</v>
      </c>
      <c r="AJ851" s="38">
        <v>49.05</v>
      </c>
      <c r="AK851" s="38">
        <v>4.9516999999999999E-2</v>
      </c>
      <c r="AL851" s="38">
        <v>357.87</v>
      </c>
      <c r="AM851" s="38">
        <v>0.36127999999999999</v>
      </c>
      <c r="AN851" s="25"/>
      <c r="AO851" s="25">
        <f>AE851*0.5</f>
        <v>130.1</v>
      </c>
      <c r="AP851" s="25">
        <f>(AD851+AH851+AJ851+AL851+AO851)*I851</f>
        <v>36361.560539999999</v>
      </c>
      <c r="AQ851" s="25">
        <f>SUM(N851:Q851)</f>
        <v>28.599999999999998</v>
      </c>
      <c r="AR851" s="25">
        <f>SUM(T851:W851)</f>
        <v>28.6</v>
      </c>
      <c r="AS851" s="48"/>
      <c r="AT851" s="41"/>
      <c r="AU851" s="41"/>
      <c r="AV851" s="41"/>
      <c r="AW851" s="41"/>
    </row>
    <row r="852" spans="1:88" s="22" customFormat="1">
      <c r="A852" s="1">
        <v>1543</v>
      </c>
      <c r="B852" s="34" t="s">
        <v>2104</v>
      </c>
      <c r="C852" s="34">
        <v>414</v>
      </c>
      <c r="D852" s="69">
        <v>3596</v>
      </c>
      <c r="E852" s="34">
        <v>100</v>
      </c>
      <c r="F852" s="34" t="s">
        <v>2119</v>
      </c>
      <c r="G852" s="58" t="s">
        <v>92</v>
      </c>
      <c r="H852" s="58" t="s">
        <v>2120</v>
      </c>
      <c r="I852" s="35">
        <v>1.1299999999999999</v>
      </c>
      <c r="J852" s="34">
        <v>2</v>
      </c>
      <c r="K852" s="34" t="s">
        <v>238</v>
      </c>
      <c r="L852" s="10">
        <v>42266</v>
      </c>
      <c r="M852" s="37" t="s">
        <v>191</v>
      </c>
      <c r="N852" s="38">
        <v>0.25</v>
      </c>
      <c r="O852" s="38">
        <v>0.42499999999999999</v>
      </c>
      <c r="P852" s="38">
        <v>0.17499999999999999</v>
      </c>
      <c r="Q852" s="38">
        <v>0.25</v>
      </c>
      <c r="R852" s="38">
        <v>3.8340000000000001</v>
      </c>
      <c r="S852" s="38">
        <f t="shared" si="104"/>
        <v>4</v>
      </c>
      <c r="T852" s="38">
        <v>1.1000000000000001</v>
      </c>
      <c r="U852" s="38">
        <v>0</v>
      </c>
      <c r="V852" s="38">
        <v>0</v>
      </c>
      <c r="W852" s="38">
        <v>0</v>
      </c>
      <c r="X852" s="38">
        <v>4.88</v>
      </c>
      <c r="Y852" s="38">
        <f t="shared" si="105"/>
        <v>5</v>
      </c>
      <c r="Z852" s="38">
        <v>0</v>
      </c>
      <c r="AA852" s="38">
        <v>0</v>
      </c>
      <c r="AB852" s="38">
        <v>1.1299999999999999</v>
      </c>
      <c r="AC852" s="38">
        <v>1.135</v>
      </c>
      <c r="AD852" s="39">
        <v>0</v>
      </c>
      <c r="AE852" s="38">
        <v>20.27</v>
      </c>
      <c r="AF852" s="38">
        <f t="shared" ref="AF852:AF859" si="107">(AD852+AE852*0.5)/(3.5*I852*1000)*100</f>
        <v>0.25625790139064475</v>
      </c>
      <c r="AG852" s="38">
        <f t="shared" si="106"/>
        <v>0.3</v>
      </c>
      <c r="AH852" s="38">
        <v>6</v>
      </c>
      <c r="AI852" s="38">
        <f t="shared" ref="AI852:AI859" si="108">AH852/(3.5*I852*1000)*100</f>
        <v>0.15170670037926678</v>
      </c>
      <c r="AJ852" s="38">
        <v>86.23</v>
      </c>
      <c r="AK852" s="38">
        <f t="shared" ref="AK852:AK859" si="109">AJ852/(3.5*I852*1000)*100</f>
        <v>2.1802781289506958</v>
      </c>
      <c r="AL852" s="38">
        <v>12</v>
      </c>
      <c r="AM852" s="38">
        <f t="shared" ref="AM852:AM859" si="110">AL852/(3.5*I852*1000)*100</f>
        <v>0.30341340075853357</v>
      </c>
      <c r="AN852" s="25"/>
      <c r="AO852" s="25">
        <f>AE852*0.5</f>
        <v>10.135</v>
      </c>
      <c r="AP852" s="25">
        <f>(AD852+AH852+AJ852+AL852+AO852)*I852</f>
        <v>129.23245</v>
      </c>
      <c r="AQ852" s="25"/>
      <c r="AR852" s="25">
        <f>SUM(N852:Q852)</f>
        <v>1.1000000000000001</v>
      </c>
      <c r="AS852" s="49">
        <f>SUM(T852:W852)</f>
        <v>1.1000000000000001</v>
      </c>
      <c r="AT852" s="25"/>
      <c r="AV852" s="41"/>
      <c r="AW852" s="41"/>
      <c r="AX852" s="41"/>
      <c r="AY852" s="41"/>
    </row>
    <row r="853" spans="1:88" s="22" customFormat="1">
      <c r="A853" s="1">
        <v>1475</v>
      </c>
      <c r="B853" s="34" t="s">
        <v>2016</v>
      </c>
      <c r="C853" s="34">
        <v>411</v>
      </c>
      <c r="D853" s="69">
        <v>336</v>
      </c>
      <c r="E853" s="34">
        <v>100</v>
      </c>
      <c r="F853" s="34" t="s">
        <v>2027</v>
      </c>
      <c r="G853" s="20" t="s">
        <v>92</v>
      </c>
      <c r="H853" s="20" t="s">
        <v>2028</v>
      </c>
      <c r="I853" s="188">
        <v>0.85099999999999998</v>
      </c>
      <c r="J853" s="34">
        <v>2</v>
      </c>
      <c r="K853" s="34" t="s">
        <v>238</v>
      </c>
      <c r="L853" s="10">
        <v>42262</v>
      </c>
      <c r="M853" s="37" t="s">
        <v>191</v>
      </c>
      <c r="N853" s="38">
        <v>0</v>
      </c>
      <c r="O853" s="38">
        <v>0</v>
      </c>
      <c r="P853" s="38">
        <v>0.436</v>
      </c>
      <c r="Q853" s="38">
        <v>0.41499999999999998</v>
      </c>
      <c r="R853" s="38">
        <v>5.5570000000000004</v>
      </c>
      <c r="S853" s="38">
        <f t="shared" si="104"/>
        <v>5.5</v>
      </c>
      <c r="T853" s="38">
        <v>0.77500000000000002</v>
      </c>
      <c r="U853" s="38">
        <v>0</v>
      </c>
      <c r="V853" s="38">
        <v>0</v>
      </c>
      <c r="W853" s="38">
        <v>0</v>
      </c>
      <c r="X853" s="38">
        <v>4.4379999999999997</v>
      </c>
      <c r="Y853" s="38">
        <f t="shared" si="105"/>
        <v>4.5</v>
      </c>
      <c r="Z853" s="38">
        <v>0</v>
      </c>
      <c r="AA853" s="38">
        <v>0</v>
      </c>
      <c r="AB853" s="38">
        <f>SUM(T853:W853)</f>
        <v>0.77500000000000002</v>
      </c>
      <c r="AC853" s="38">
        <v>1.046</v>
      </c>
      <c r="AD853" s="39">
        <v>0</v>
      </c>
      <c r="AE853" s="38">
        <v>15.23</v>
      </c>
      <c r="AF853" s="38">
        <f t="shared" si="107"/>
        <v>0.25566560349169043</v>
      </c>
      <c r="AG853" s="38">
        <f t="shared" si="106"/>
        <v>0.3</v>
      </c>
      <c r="AH853" s="38">
        <v>1</v>
      </c>
      <c r="AI853" s="38">
        <f t="shared" si="108"/>
        <v>3.3573946617424875E-2</v>
      </c>
      <c r="AJ853" s="38">
        <v>33.15</v>
      </c>
      <c r="AK853" s="38">
        <f t="shared" si="109"/>
        <v>1.1129763303676348</v>
      </c>
      <c r="AL853" s="38">
        <v>0</v>
      </c>
      <c r="AM853" s="38">
        <f t="shared" si="110"/>
        <v>0</v>
      </c>
      <c r="AN853" s="60"/>
      <c r="AO853" s="60">
        <f>AE853*0.5</f>
        <v>7.6150000000000002</v>
      </c>
      <c r="AP853" s="60">
        <f>(AD853+AH853+AJ853+AL853+AO853)*I853</f>
        <v>35.542014999999999</v>
      </c>
      <c r="AQ853" s="60"/>
      <c r="AR853" s="60"/>
      <c r="AS853" s="55"/>
      <c r="AT853" s="60"/>
      <c r="AU853" s="61"/>
      <c r="AV853" s="40"/>
      <c r="AW853" s="40"/>
      <c r="AX853" s="40"/>
      <c r="AY853" s="40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</row>
    <row r="854" spans="1:88" s="22" customFormat="1">
      <c r="A854" s="1">
        <v>119</v>
      </c>
      <c r="B854" s="4" t="s">
        <v>78</v>
      </c>
      <c r="C854" s="14">
        <v>527</v>
      </c>
      <c r="D854" s="19">
        <v>1314</v>
      </c>
      <c r="E854" s="16">
        <v>100</v>
      </c>
      <c r="F854" s="31" t="s">
        <v>216</v>
      </c>
      <c r="G854" s="20" t="s">
        <v>92</v>
      </c>
      <c r="H854" s="20" t="s">
        <v>217</v>
      </c>
      <c r="I854" s="21">
        <v>26.504999999999999</v>
      </c>
      <c r="J854" s="8">
        <v>2</v>
      </c>
      <c r="K854" s="9" t="s">
        <v>238</v>
      </c>
      <c r="L854" s="18">
        <v>42242</v>
      </c>
      <c r="M854" s="37" t="s">
        <v>191</v>
      </c>
      <c r="N854" s="11">
        <v>2.41</v>
      </c>
      <c r="O854" s="11">
        <v>8.18</v>
      </c>
      <c r="P854" s="11">
        <v>10.039999999999999</v>
      </c>
      <c r="Q854" s="11">
        <v>5.88</v>
      </c>
      <c r="R854" s="11">
        <v>4.1612600000000004</v>
      </c>
      <c r="S854" s="38">
        <f t="shared" si="104"/>
        <v>4</v>
      </c>
      <c r="T854" s="11">
        <v>25.74</v>
      </c>
      <c r="U854" s="11">
        <v>0.6</v>
      </c>
      <c r="V854" s="11">
        <v>0.1</v>
      </c>
      <c r="W854" s="11">
        <v>7.0000000000000007E-2</v>
      </c>
      <c r="X854" s="11">
        <v>3.6354899999999999</v>
      </c>
      <c r="Y854" s="38">
        <f t="shared" si="105"/>
        <v>3.5</v>
      </c>
      <c r="Z854" s="11">
        <v>0</v>
      </c>
      <c r="AA854" s="11">
        <v>0</v>
      </c>
      <c r="AB854" s="11">
        <v>26.51</v>
      </c>
      <c r="AC854" s="11">
        <v>1.57673</v>
      </c>
      <c r="AD854" s="164">
        <v>187.23</v>
      </c>
      <c r="AE854" s="11">
        <v>99.6</v>
      </c>
      <c r="AF854" s="11">
        <f t="shared" si="107"/>
        <v>0.25550974209717842</v>
      </c>
      <c r="AG854" s="38">
        <f t="shared" si="106"/>
        <v>0.3</v>
      </c>
      <c r="AH854" s="11">
        <v>121.5</v>
      </c>
      <c r="AI854" s="11">
        <f t="shared" si="108"/>
        <v>0.1309725927722532</v>
      </c>
      <c r="AJ854" s="11">
        <v>20.5</v>
      </c>
      <c r="AK854" s="11">
        <f t="shared" si="109"/>
        <v>2.2098256393672355E-2</v>
      </c>
      <c r="AL854" s="11">
        <v>5</v>
      </c>
      <c r="AM854" s="11">
        <f t="shared" si="110"/>
        <v>5.3898186326030127E-3</v>
      </c>
      <c r="AO854" s="25"/>
      <c r="AP854" s="25">
        <f>SUM(N854:Q854)</f>
        <v>26.509999999999998</v>
      </c>
      <c r="AQ854" s="25">
        <f>SUM(T854:W854)</f>
        <v>26.51</v>
      </c>
      <c r="AR854" s="25">
        <f>SUM(Z854:AB854)</f>
        <v>26.51</v>
      </c>
      <c r="AS854" s="48"/>
      <c r="AT854" s="22">
        <f>I854/AP854</f>
        <v>0.99981139192757451</v>
      </c>
      <c r="AU854" s="22">
        <f>I854/AQ854</f>
        <v>0.9998113919275744</v>
      </c>
      <c r="AV854" s="22">
        <f>I854/AR854</f>
        <v>0.9998113919275744</v>
      </c>
    </row>
    <row r="855" spans="1:88" s="22" customFormat="1">
      <c r="A855" s="1">
        <v>82</v>
      </c>
      <c r="B855" s="4" t="s">
        <v>44</v>
      </c>
      <c r="C855" s="14">
        <v>524</v>
      </c>
      <c r="D855" s="19">
        <v>1219</v>
      </c>
      <c r="E855" s="16">
        <v>100</v>
      </c>
      <c r="F855" s="14" t="s">
        <v>60</v>
      </c>
      <c r="G855" s="20" t="s">
        <v>92</v>
      </c>
      <c r="H855" s="20" t="s">
        <v>146</v>
      </c>
      <c r="I855" s="21">
        <v>16.645</v>
      </c>
      <c r="J855" s="8">
        <v>2</v>
      </c>
      <c r="K855" s="9" t="s">
        <v>238</v>
      </c>
      <c r="L855" s="18">
        <v>42226</v>
      </c>
      <c r="M855" s="37" t="s">
        <v>191</v>
      </c>
      <c r="N855" s="11">
        <v>9.8000000000000007</v>
      </c>
      <c r="O855" s="11">
        <v>4.5750000000000002</v>
      </c>
      <c r="P855" s="11">
        <v>1.7</v>
      </c>
      <c r="Q855" s="11">
        <v>0.57499999999999996</v>
      </c>
      <c r="R855" s="11">
        <v>2.5966499999999999</v>
      </c>
      <c r="S855" s="38">
        <f t="shared" si="104"/>
        <v>2.5</v>
      </c>
      <c r="T855" s="11">
        <v>16.574999999999999</v>
      </c>
      <c r="U855" s="11">
        <v>7.4999999999999997E-2</v>
      </c>
      <c r="V855" s="11">
        <v>0</v>
      </c>
      <c r="W855" s="11">
        <v>0</v>
      </c>
      <c r="X855" s="11">
        <v>1.6319900000000001</v>
      </c>
      <c r="Y855" s="38">
        <f t="shared" si="105"/>
        <v>1.5</v>
      </c>
      <c r="Z855" s="11">
        <v>0</v>
      </c>
      <c r="AA855" s="11">
        <v>0</v>
      </c>
      <c r="AB855" s="11">
        <v>16.649999999999999</v>
      </c>
      <c r="AC855" s="11">
        <v>1.24847</v>
      </c>
      <c r="AD855" s="164">
        <v>148.25</v>
      </c>
      <c r="AE855" s="11">
        <v>0</v>
      </c>
      <c r="AF855" s="11">
        <f t="shared" si="107"/>
        <v>0.25447367291765011</v>
      </c>
      <c r="AG855" s="38">
        <f t="shared" si="106"/>
        <v>0.3</v>
      </c>
      <c r="AH855" s="11">
        <v>0</v>
      </c>
      <c r="AI855" s="11">
        <f t="shared" si="108"/>
        <v>0</v>
      </c>
      <c r="AJ855" s="11">
        <v>1.2</v>
      </c>
      <c r="AK855" s="11">
        <f t="shared" si="109"/>
        <v>2.0598206239539974E-3</v>
      </c>
      <c r="AL855" s="11">
        <v>0</v>
      </c>
      <c r="AM855" s="11">
        <f t="shared" si="110"/>
        <v>0</v>
      </c>
      <c r="AN855" s="25"/>
      <c r="AO855" s="25"/>
      <c r="AS855" s="48"/>
    </row>
    <row r="856" spans="1:88" s="22" customFormat="1">
      <c r="A856" s="1">
        <v>957</v>
      </c>
      <c r="B856" s="34" t="s">
        <v>1329</v>
      </c>
      <c r="C856" s="34">
        <v>611</v>
      </c>
      <c r="D856" s="161">
        <v>2438</v>
      </c>
      <c r="E856" s="34">
        <v>100</v>
      </c>
      <c r="F856" s="34" t="s">
        <v>1356</v>
      </c>
      <c r="G856" s="58">
        <v>0</v>
      </c>
      <c r="H856" s="58">
        <v>620</v>
      </c>
      <c r="I856" s="35">
        <v>0.62</v>
      </c>
      <c r="J856" s="71">
        <v>4</v>
      </c>
      <c r="K856" s="34" t="s">
        <v>237</v>
      </c>
      <c r="L856" s="10">
        <v>42119</v>
      </c>
      <c r="M856" s="37" t="s">
        <v>191</v>
      </c>
      <c r="N856" s="38">
        <v>0.27500000000000002</v>
      </c>
      <c r="O856" s="38">
        <v>0.05</v>
      </c>
      <c r="P856" s="38">
        <v>0.15</v>
      </c>
      <c r="Q856" s="38">
        <v>0.2</v>
      </c>
      <c r="R856" s="38">
        <v>3.92889</v>
      </c>
      <c r="S856" s="38">
        <f t="shared" si="104"/>
        <v>4</v>
      </c>
      <c r="T856" s="38">
        <v>0.625</v>
      </c>
      <c r="U856" s="38">
        <v>0.05</v>
      </c>
      <c r="V856" s="38">
        <v>0</v>
      </c>
      <c r="W856" s="38">
        <v>0</v>
      </c>
      <c r="X856" s="38">
        <v>4.6477000000000004</v>
      </c>
      <c r="Y856" s="38">
        <f t="shared" si="105"/>
        <v>4.5</v>
      </c>
      <c r="Z856" s="38">
        <v>0</v>
      </c>
      <c r="AA856" s="38">
        <v>0</v>
      </c>
      <c r="AB856" s="38">
        <v>0.62</v>
      </c>
      <c r="AC856" s="38">
        <v>1.20922</v>
      </c>
      <c r="AD856" s="39">
        <v>0</v>
      </c>
      <c r="AE856" s="38">
        <v>11.02</v>
      </c>
      <c r="AF856" s="38">
        <f t="shared" si="107"/>
        <v>0.25391705069124426</v>
      </c>
      <c r="AG856" s="38">
        <f t="shared" si="106"/>
        <v>0.3</v>
      </c>
      <c r="AH856" s="38">
        <v>0</v>
      </c>
      <c r="AI856" s="38">
        <f t="shared" si="108"/>
        <v>0</v>
      </c>
      <c r="AJ856" s="38">
        <v>0</v>
      </c>
      <c r="AK856" s="38">
        <f t="shared" si="109"/>
        <v>0</v>
      </c>
      <c r="AL856" s="38">
        <v>0</v>
      </c>
      <c r="AM856" s="38">
        <f t="shared" si="110"/>
        <v>0</v>
      </c>
      <c r="AN856" s="25"/>
      <c r="AO856" s="25">
        <f>AE856*0.5</f>
        <v>5.51</v>
      </c>
      <c r="AP856" s="25">
        <f>(AD856+AH856+AJ856+AL856+AO856)*I856</f>
        <v>3.4161999999999999</v>
      </c>
      <c r="AQ856" s="25"/>
      <c r="AR856" s="25">
        <f>SUM(N856:Q856)</f>
        <v>0.67500000000000004</v>
      </c>
      <c r="AS856" s="49">
        <f>SUM(T856:W856)</f>
        <v>0.67500000000000004</v>
      </c>
      <c r="AT856" s="268">
        <v>0.62</v>
      </c>
      <c r="AU856" s="41"/>
      <c r="AV856" s="41"/>
      <c r="AW856" s="41"/>
    </row>
    <row r="857" spans="1:88" s="22" customFormat="1">
      <c r="A857" s="1">
        <v>354</v>
      </c>
      <c r="B857" s="74" t="s">
        <v>571</v>
      </c>
      <c r="C857" s="34">
        <v>512</v>
      </c>
      <c r="D857" s="75">
        <v>1132</v>
      </c>
      <c r="E857" s="69">
        <v>101</v>
      </c>
      <c r="F857" s="76" t="s">
        <v>587</v>
      </c>
      <c r="G857" s="20" t="s">
        <v>92</v>
      </c>
      <c r="H857" s="20" t="s">
        <v>588</v>
      </c>
      <c r="I857" s="21">
        <v>12.132999999999999</v>
      </c>
      <c r="J857" s="8">
        <v>2</v>
      </c>
      <c r="K857" s="34" t="s">
        <v>238</v>
      </c>
      <c r="L857" s="18">
        <v>42259</v>
      </c>
      <c r="M857" s="123" t="s">
        <v>191</v>
      </c>
      <c r="N857" s="38">
        <v>8.3249999999999993</v>
      </c>
      <c r="O857" s="38">
        <v>2.9249999999999998</v>
      </c>
      <c r="P857" s="38">
        <v>0.77500000000000002</v>
      </c>
      <c r="Q857" s="38">
        <v>0.1</v>
      </c>
      <c r="R857" s="38">
        <v>2.2991999999999999</v>
      </c>
      <c r="S857" s="38">
        <f t="shared" si="104"/>
        <v>2.5</v>
      </c>
      <c r="T857" s="38">
        <v>11.9</v>
      </c>
      <c r="U857" s="38">
        <v>0.22500000000000001</v>
      </c>
      <c r="V857" s="38">
        <v>0</v>
      </c>
      <c r="W857" s="38">
        <v>0</v>
      </c>
      <c r="X857" s="38">
        <v>4.14757</v>
      </c>
      <c r="Y857" s="38">
        <f t="shared" si="105"/>
        <v>4</v>
      </c>
      <c r="Z857" s="38">
        <v>0</v>
      </c>
      <c r="AA857" s="38">
        <v>0</v>
      </c>
      <c r="AB857" s="38">
        <v>12.125</v>
      </c>
      <c r="AC857" s="38">
        <v>1.17069</v>
      </c>
      <c r="AD857" s="39">
        <v>87.120999999999995</v>
      </c>
      <c r="AE857" s="38">
        <v>41.33</v>
      </c>
      <c r="AF857" s="38">
        <f t="shared" si="107"/>
        <v>0.25382015989450257</v>
      </c>
      <c r="AG857" s="38">
        <f t="shared" si="106"/>
        <v>0.3</v>
      </c>
      <c r="AH857" s="38">
        <v>95.578000000000003</v>
      </c>
      <c r="AI857" s="38">
        <f t="shared" si="108"/>
        <v>0.22507211736586172</v>
      </c>
      <c r="AJ857" s="38">
        <v>0</v>
      </c>
      <c r="AK857" s="38">
        <f t="shared" si="109"/>
        <v>0</v>
      </c>
      <c r="AL857" s="38">
        <v>0</v>
      </c>
      <c r="AM857" s="38">
        <f t="shared" si="110"/>
        <v>0</v>
      </c>
      <c r="AN857" s="72"/>
      <c r="AO857" s="41"/>
      <c r="AP857" s="41"/>
      <c r="AQ857" s="73"/>
      <c r="AR857" s="73"/>
      <c r="AS857" s="48"/>
      <c r="AT857" s="73"/>
    </row>
    <row r="858" spans="1:88" s="22" customFormat="1">
      <c r="A858" s="1">
        <v>451</v>
      </c>
      <c r="B858" s="74" t="s">
        <v>699</v>
      </c>
      <c r="C858" s="34">
        <v>513</v>
      </c>
      <c r="D858" s="34">
        <v>1332</v>
      </c>
      <c r="E858" s="34">
        <v>100</v>
      </c>
      <c r="F858" s="34" t="s">
        <v>766</v>
      </c>
      <c r="G858" s="34" t="s">
        <v>92</v>
      </c>
      <c r="H858" s="34" t="s">
        <v>767</v>
      </c>
      <c r="I858" s="55">
        <v>15.319000000000001</v>
      </c>
      <c r="J858" s="5" t="s">
        <v>238</v>
      </c>
      <c r="K858" s="34">
        <v>2</v>
      </c>
      <c r="L858" s="10">
        <v>42263</v>
      </c>
      <c r="M858" s="37" t="s">
        <v>191</v>
      </c>
      <c r="N858" s="38">
        <v>12.54</v>
      </c>
      <c r="O858" s="38">
        <v>2.35</v>
      </c>
      <c r="P858" s="38">
        <v>0.35</v>
      </c>
      <c r="Q858" s="38">
        <v>0.08</v>
      </c>
      <c r="R858" s="38">
        <v>2.0810900000000001</v>
      </c>
      <c r="S858" s="38">
        <f t="shared" si="104"/>
        <v>2</v>
      </c>
      <c r="T858" s="38">
        <v>15.32</v>
      </c>
      <c r="U858" s="38">
        <v>0</v>
      </c>
      <c r="V858" s="38">
        <v>0</v>
      </c>
      <c r="W858" s="38">
        <v>0</v>
      </c>
      <c r="X858" s="38">
        <v>2.1341899999999998</v>
      </c>
      <c r="Y858" s="38">
        <f t="shared" si="105"/>
        <v>2</v>
      </c>
      <c r="Z858" s="38">
        <v>0</v>
      </c>
      <c r="AA858" s="38">
        <v>0</v>
      </c>
      <c r="AB858" s="38">
        <v>15.32</v>
      </c>
      <c r="AC858" s="38">
        <v>1.1883600000000001</v>
      </c>
      <c r="AD858" s="39">
        <v>126.32</v>
      </c>
      <c r="AE858" s="38">
        <v>18.95</v>
      </c>
      <c r="AF858" s="38">
        <f t="shared" si="107"/>
        <v>0.25327091473706786</v>
      </c>
      <c r="AG858" s="38">
        <f t="shared" si="106"/>
        <v>0.3</v>
      </c>
      <c r="AH858" s="38">
        <v>67.45</v>
      </c>
      <c r="AI858" s="38">
        <f t="shared" si="108"/>
        <v>0.12580082623819161</v>
      </c>
      <c r="AJ858" s="38">
        <v>0</v>
      </c>
      <c r="AK858" s="38">
        <f t="shared" si="109"/>
        <v>0</v>
      </c>
      <c r="AL858" s="38">
        <v>0</v>
      </c>
      <c r="AM858" s="38">
        <f t="shared" si="110"/>
        <v>0</v>
      </c>
      <c r="AN858" s="41"/>
      <c r="AO858" s="41"/>
      <c r="AP858" s="73"/>
      <c r="AQ858" s="41">
        <f>SUM(N858:Q858)</f>
        <v>15.319999999999999</v>
      </c>
      <c r="AR858" s="41">
        <f>SUM(T858:W858)</f>
        <v>15.32</v>
      </c>
      <c r="AS858" s="49">
        <f>SUM(Z858:AB858)</f>
        <v>15.32</v>
      </c>
      <c r="AU858" s="22">
        <f>I858/AQ858</f>
        <v>0.99993472584856413</v>
      </c>
      <c r="AV858" s="22">
        <f>I858/AR858</f>
        <v>0.99993472584856402</v>
      </c>
      <c r="AW858" s="22">
        <f>I858/AS858</f>
        <v>0.99993472584856402</v>
      </c>
      <c r="AX858" s="73"/>
      <c r="AY858" s="73"/>
      <c r="AZ858" s="73"/>
      <c r="BA858" s="73"/>
      <c r="BB858" s="73"/>
      <c r="BC858" s="73"/>
      <c r="BD858" s="73"/>
      <c r="BE858" s="73"/>
      <c r="BF858" s="73"/>
      <c r="BG858" s="73"/>
      <c r="BH858" s="73"/>
      <c r="BI858" s="73"/>
      <c r="BJ858" s="73"/>
      <c r="BK858" s="73"/>
      <c r="BL858" s="73"/>
      <c r="BM858" s="73"/>
      <c r="BN858" s="73"/>
      <c r="BO858" s="73"/>
      <c r="BP858" s="73"/>
      <c r="BQ858" s="73"/>
      <c r="BR858" s="73"/>
      <c r="BS858" s="73"/>
      <c r="BT858" s="73"/>
      <c r="BU858" s="73"/>
      <c r="BV858" s="73"/>
      <c r="BW858" s="73"/>
      <c r="BX858" s="73"/>
      <c r="BY858" s="73"/>
      <c r="BZ858" s="73"/>
      <c r="CA858" s="73"/>
      <c r="CB858" s="73"/>
      <c r="CC858" s="73"/>
      <c r="CD858" s="73"/>
      <c r="CE858" s="73"/>
      <c r="CF858" s="73"/>
      <c r="CG858" s="73"/>
      <c r="CH858" s="73"/>
      <c r="CI858" s="73"/>
      <c r="CJ858" s="73"/>
    </row>
    <row r="859" spans="1:88" s="22" customFormat="1">
      <c r="A859" s="1">
        <v>997</v>
      </c>
      <c r="B859" s="170" t="s">
        <v>1394</v>
      </c>
      <c r="C859" s="170">
        <v>617</v>
      </c>
      <c r="D859" s="8">
        <v>218</v>
      </c>
      <c r="E859" s="170">
        <v>101</v>
      </c>
      <c r="F859" s="9" t="s">
        <v>1396</v>
      </c>
      <c r="G859" s="20">
        <v>1715</v>
      </c>
      <c r="H859" s="20">
        <v>29500</v>
      </c>
      <c r="I859" s="171">
        <v>27.785</v>
      </c>
      <c r="J859" s="9">
        <v>2</v>
      </c>
      <c r="K859" s="9" t="s">
        <v>238</v>
      </c>
      <c r="L859" s="172">
        <v>42130</v>
      </c>
      <c r="M859" s="37" t="s">
        <v>191</v>
      </c>
      <c r="N859" s="173">
        <v>18.7</v>
      </c>
      <c r="O859" s="173">
        <v>6.7</v>
      </c>
      <c r="P859" s="173">
        <v>1.7749999999999999</v>
      </c>
      <c r="Q859" s="173">
        <v>0.5</v>
      </c>
      <c r="R859" s="173">
        <v>2.3253499999999998</v>
      </c>
      <c r="S859" s="38">
        <f t="shared" si="104"/>
        <v>2.5</v>
      </c>
      <c r="T859" s="173">
        <v>26.574999999999999</v>
      </c>
      <c r="U859" s="173">
        <v>0.875</v>
      </c>
      <c r="V859" s="173">
        <v>0.15</v>
      </c>
      <c r="W859" s="173">
        <v>7.4999999999999997E-2</v>
      </c>
      <c r="X859" s="173">
        <v>4.5343</v>
      </c>
      <c r="Y859" s="38">
        <f t="shared" si="105"/>
        <v>4.5</v>
      </c>
      <c r="Z859" s="11">
        <v>0</v>
      </c>
      <c r="AA859" s="11">
        <v>0</v>
      </c>
      <c r="AB859" s="11">
        <f>SUM(N859:Q859)</f>
        <v>27.674999999999997</v>
      </c>
      <c r="AC859" s="173">
        <v>1.1582600000000001</v>
      </c>
      <c r="AD859" s="164">
        <v>148</v>
      </c>
      <c r="AE859" s="11">
        <v>195.22</v>
      </c>
      <c r="AF859" s="169">
        <f t="shared" si="107"/>
        <v>0.25256176251317514</v>
      </c>
      <c r="AG859" s="38">
        <f t="shared" si="106"/>
        <v>0.3</v>
      </c>
      <c r="AH859" s="11">
        <v>108.28</v>
      </c>
      <c r="AI859" s="99">
        <f t="shared" si="108"/>
        <v>0.11134476464690608</v>
      </c>
      <c r="AJ859" s="11">
        <v>34.53</v>
      </c>
      <c r="AK859" s="99">
        <f t="shared" si="109"/>
        <v>3.5507339520296152E-2</v>
      </c>
      <c r="AL859" s="11">
        <v>0.97</v>
      </c>
      <c r="AM859" s="99">
        <f t="shared" si="110"/>
        <v>9.974549474279545E-4</v>
      </c>
      <c r="AN859" s="12"/>
      <c r="AO859" s="25">
        <f>AE859*0.5</f>
        <v>97.61</v>
      </c>
      <c r="AP859" s="25">
        <f>(AD859+AH859+AJ859+AL859+AO859)*I859</f>
        <v>10819.201149999999</v>
      </c>
      <c r="AQ859" s="12"/>
      <c r="AR859" s="12"/>
      <c r="AS859" s="49">
        <f>SUM(N859:Q859)</f>
        <v>27.674999999999997</v>
      </c>
      <c r="AT859" s="25">
        <f>SUM(T859:W859)</f>
        <v>27.674999999999997</v>
      </c>
      <c r="AU859" s="41"/>
      <c r="AV859" s="41"/>
      <c r="AW859" s="4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</row>
    <row r="860" spans="1:88" s="22" customFormat="1">
      <c r="A860" s="1">
        <v>1399</v>
      </c>
      <c r="B860" s="34" t="s">
        <v>1940</v>
      </c>
      <c r="C860" s="34">
        <v>446</v>
      </c>
      <c r="D860" s="75">
        <v>3454</v>
      </c>
      <c r="E860" s="69">
        <v>100</v>
      </c>
      <c r="F860" s="34" t="s">
        <v>1955</v>
      </c>
      <c r="G860" s="20">
        <v>0</v>
      </c>
      <c r="H860" s="20">
        <v>21256</v>
      </c>
      <c r="I860" s="21">
        <v>21.256</v>
      </c>
      <c r="J860" s="8">
        <v>2</v>
      </c>
      <c r="K860" s="34" t="s">
        <v>238</v>
      </c>
      <c r="L860" s="10">
        <v>42219</v>
      </c>
      <c r="M860" s="37" t="s">
        <v>191</v>
      </c>
      <c r="N860" s="38">
        <v>16.940000000000001</v>
      </c>
      <c r="O860" s="38">
        <v>2.5</v>
      </c>
      <c r="P860" s="38">
        <v>0.98</v>
      </c>
      <c r="Q860" s="38">
        <v>0.83</v>
      </c>
      <c r="R860" s="38">
        <v>2.1383700000000001</v>
      </c>
      <c r="S860" s="38">
        <f t="shared" si="104"/>
        <v>2</v>
      </c>
      <c r="T860" s="38">
        <v>20.62</v>
      </c>
      <c r="U860" s="38">
        <v>0.4</v>
      </c>
      <c r="V860" s="38">
        <v>0.18</v>
      </c>
      <c r="W860" s="38">
        <v>0.05</v>
      </c>
      <c r="X860" s="38">
        <v>2.7528100000000002</v>
      </c>
      <c r="Y860" s="38">
        <f t="shared" si="105"/>
        <v>3</v>
      </c>
      <c r="Z860" s="38">
        <v>0</v>
      </c>
      <c r="AA860" s="38">
        <v>0</v>
      </c>
      <c r="AB860" s="11">
        <v>21.26</v>
      </c>
      <c r="AC860" s="38">
        <v>1.3037399999999999</v>
      </c>
      <c r="AD860" s="39">
        <v>164.87</v>
      </c>
      <c r="AE860" s="38">
        <v>44.2</v>
      </c>
      <c r="AF860" s="38">
        <v>0.25131727512231838</v>
      </c>
      <c r="AG860" s="38">
        <f t="shared" si="106"/>
        <v>0.3</v>
      </c>
      <c r="AH860" s="38">
        <v>43.6</v>
      </c>
      <c r="AI860" s="38">
        <v>5.8605301360288187E-2</v>
      </c>
      <c r="AJ860" s="38">
        <v>0</v>
      </c>
      <c r="AK860" s="38">
        <v>0</v>
      </c>
      <c r="AL860" s="38">
        <v>0</v>
      </c>
      <c r="AM860" s="38">
        <v>0</v>
      </c>
      <c r="AN860" s="12"/>
      <c r="AO860" s="1"/>
      <c r="AP860" s="12">
        <f>SUM(N860:Q860)</f>
        <v>21.25</v>
      </c>
      <c r="AQ860" s="12">
        <f>SUM(T860:W860)</f>
        <v>21.25</v>
      </c>
      <c r="AR860" s="12">
        <f>SUM(Z860:AB860)</f>
        <v>21.26</v>
      </c>
      <c r="AS860" s="178"/>
      <c r="AT860" s="1">
        <f>I860/AP860</f>
        <v>1.0002823529411764</v>
      </c>
      <c r="AU860" s="1">
        <f>I860/AQ860</f>
        <v>1.0002823529411764</v>
      </c>
      <c r="AV860" s="1">
        <f>I860/AR860</f>
        <v>0.99981185324553146</v>
      </c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</row>
    <row r="861" spans="1:88" s="22" customFormat="1">
      <c r="A861" s="1">
        <v>998</v>
      </c>
      <c r="B861" s="170" t="s">
        <v>1394</v>
      </c>
      <c r="C861" s="170">
        <v>617</v>
      </c>
      <c r="D861" s="8">
        <v>218</v>
      </c>
      <c r="E861" s="170">
        <v>102</v>
      </c>
      <c r="F861" s="9" t="s">
        <v>1397</v>
      </c>
      <c r="G861" s="20">
        <v>29500</v>
      </c>
      <c r="H861" s="20">
        <v>51177</v>
      </c>
      <c r="I861" s="35">
        <v>21.677</v>
      </c>
      <c r="J861" s="9">
        <v>2</v>
      </c>
      <c r="K861" s="9" t="s">
        <v>238</v>
      </c>
      <c r="L861" s="172">
        <v>42130</v>
      </c>
      <c r="M861" s="37" t="s">
        <v>191</v>
      </c>
      <c r="N861" s="173">
        <v>12.6</v>
      </c>
      <c r="O861" s="173">
        <v>5.25</v>
      </c>
      <c r="P861" s="173">
        <v>3.1749999999999998</v>
      </c>
      <c r="Q861" s="173">
        <v>0.52500000000000002</v>
      </c>
      <c r="R861" s="173">
        <v>2.2787500000000001</v>
      </c>
      <c r="S861" s="38">
        <f t="shared" si="104"/>
        <v>2.5</v>
      </c>
      <c r="T861" s="173">
        <v>18.95</v>
      </c>
      <c r="U861" s="173">
        <v>2.15</v>
      </c>
      <c r="V861" s="173">
        <v>0.35</v>
      </c>
      <c r="W861" s="173">
        <v>0.1</v>
      </c>
      <c r="X861" s="173">
        <v>5.7958299999999996</v>
      </c>
      <c r="Y861" s="38">
        <f t="shared" si="105"/>
        <v>6</v>
      </c>
      <c r="Z861" s="11">
        <v>0</v>
      </c>
      <c r="AA861" s="11">
        <v>0</v>
      </c>
      <c r="AB861" s="11">
        <f>SUM(N861:Q861)</f>
        <v>21.55</v>
      </c>
      <c r="AC861" s="173">
        <v>1.13761</v>
      </c>
      <c r="AD861" s="164">
        <v>114.51</v>
      </c>
      <c r="AE861" s="11">
        <v>151.33000000000001</v>
      </c>
      <c r="AF861" s="169">
        <f>(AD861+AE861*0.5)/(3.5*I861*1000)*100</f>
        <v>0.25066067392035007</v>
      </c>
      <c r="AG861" s="38">
        <f t="shared" si="106"/>
        <v>0.3</v>
      </c>
      <c r="AH861" s="11">
        <v>83.94</v>
      </c>
      <c r="AI861" s="99">
        <f>AH861/(3.5*I861*1000)*100</f>
        <v>0.11063734438740205</v>
      </c>
      <c r="AJ861" s="11">
        <v>26.77</v>
      </c>
      <c r="AK861" s="99">
        <f>AJ861/(3.5*I861*1000)*100</f>
        <v>3.5284271017998012E-2</v>
      </c>
      <c r="AL861" s="11">
        <v>0.75</v>
      </c>
      <c r="AM861" s="99">
        <f>AL861/(3.5*I861*1000)*100</f>
        <v>9.8853953169587253E-4</v>
      </c>
      <c r="AN861" s="12"/>
      <c r="AO861" s="25">
        <f>AE861*0.5</f>
        <v>75.665000000000006</v>
      </c>
      <c r="AP861" s="25">
        <f>(AD861+AH861+AJ861+AL861+AO861)*I861</f>
        <v>6538.5418949999994</v>
      </c>
      <c r="AQ861" s="12"/>
      <c r="AR861" s="12"/>
      <c r="AS861" s="49">
        <f>SUM(N861:Q861)</f>
        <v>21.55</v>
      </c>
      <c r="AT861" s="25">
        <f>SUM(T861:W861)</f>
        <v>21.55</v>
      </c>
      <c r="AU861" s="41"/>
      <c r="AV861" s="41"/>
      <c r="AW861" s="4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</row>
    <row r="862" spans="1:88" s="22" customFormat="1">
      <c r="A862" s="1">
        <v>1143</v>
      </c>
      <c r="B862" s="74" t="s">
        <v>1577</v>
      </c>
      <c r="C862" s="34">
        <v>432</v>
      </c>
      <c r="D862" s="34">
        <v>3022</v>
      </c>
      <c r="E862" s="34">
        <v>100</v>
      </c>
      <c r="F862" s="34" t="s">
        <v>1593</v>
      </c>
      <c r="G862" s="34" t="s">
        <v>1594</v>
      </c>
      <c r="H862" s="34" t="s">
        <v>92</v>
      </c>
      <c r="I862" s="55">
        <v>17.5</v>
      </c>
      <c r="J862" s="5">
        <v>4</v>
      </c>
      <c r="K862" s="34" t="s">
        <v>12</v>
      </c>
      <c r="L862" s="10">
        <v>42282</v>
      </c>
      <c r="M862" s="37" t="s">
        <v>191</v>
      </c>
      <c r="N862" s="38">
        <v>12.275</v>
      </c>
      <c r="O862" s="38">
        <v>2.8</v>
      </c>
      <c r="P862" s="38">
        <v>1.5</v>
      </c>
      <c r="Q862" s="38">
        <v>1.075</v>
      </c>
      <c r="R862" s="38">
        <v>2.6076600000000001</v>
      </c>
      <c r="S862" s="38">
        <f t="shared" si="104"/>
        <v>2.5</v>
      </c>
      <c r="T862" s="38">
        <v>15.4</v>
      </c>
      <c r="U862" s="38">
        <v>1.55</v>
      </c>
      <c r="V862" s="38">
        <v>0.4</v>
      </c>
      <c r="W862" s="38">
        <v>0.3</v>
      </c>
      <c r="X862" s="38">
        <v>5.4811100000000001</v>
      </c>
      <c r="Y862" s="38">
        <f t="shared" si="105"/>
        <v>5.5</v>
      </c>
      <c r="Z862" s="38">
        <v>0</v>
      </c>
      <c r="AA862" s="38">
        <v>0</v>
      </c>
      <c r="AB862" s="38">
        <v>17.649999999999999</v>
      </c>
      <c r="AC862" s="38">
        <v>1.44983</v>
      </c>
      <c r="AD862" s="39">
        <v>147.86000000000001</v>
      </c>
      <c r="AE862" s="38">
        <v>11.254</v>
      </c>
      <c r="AF862" s="38">
        <v>0.25059100000000001</v>
      </c>
      <c r="AG862" s="38">
        <f t="shared" si="106"/>
        <v>0.3</v>
      </c>
      <c r="AH862" s="38">
        <v>152.32</v>
      </c>
      <c r="AI862" s="38">
        <v>0.24868599999999999</v>
      </c>
      <c r="AJ862" s="38">
        <v>0</v>
      </c>
      <c r="AK862" s="38">
        <v>0</v>
      </c>
      <c r="AL862" s="38">
        <v>0</v>
      </c>
      <c r="AM862" s="38">
        <v>0</v>
      </c>
      <c r="AN862" s="114"/>
      <c r="AO862" s="73"/>
      <c r="AS862" s="48"/>
    </row>
    <row r="863" spans="1:88" s="22" customFormat="1">
      <c r="A863" s="1">
        <v>2118</v>
      </c>
      <c r="B863" s="34" t="s">
        <v>2754</v>
      </c>
      <c r="C863" s="34">
        <v>324</v>
      </c>
      <c r="D863" s="75">
        <v>4024</v>
      </c>
      <c r="E863" s="8">
        <v>102</v>
      </c>
      <c r="F863" s="9" t="s">
        <v>2762</v>
      </c>
      <c r="G863" s="20">
        <v>11650</v>
      </c>
      <c r="H863" s="20">
        <v>22720</v>
      </c>
      <c r="I863" s="21">
        <v>11.07</v>
      </c>
      <c r="J863" s="9">
        <v>4</v>
      </c>
      <c r="K863" s="34" t="s">
        <v>237</v>
      </c>
      <c r="L863" s="18">
        <v>42138</v>
      </c>
      <c r="M863" s="37" t="s">
        <v>191</v>
      </c>
      <c r="N863" s="38">
        <v>6.8</v>
      </c>
      <c r="O863" s="38">
        <v>2.4500000000000002</v>
      </c>
      <c r="P863" s="38">
        <v>1.0249999999999999</v>
      </c>
      <c r="Q863" s="38">
        <v>0.7</v>
      </c>
      <c r="R863" s="38">
        <v>2.6573799999999999</v>
      </c>
      <c r="S863" s="38">
        <f t="shared" si="104"/>
        <v>2.5</v>
      </c>
      <c r="T863" s="38">
        <v>10.5</v>
      </c>
      <c r="U863" s="38">
        <v>0.375</v>
      </c>
      <c r="V863" s="38">
        <v>0.05</v>
      </c>
      <c r="W863" s="38">
        <v>0.05</v>
      </c>
      <c r="X863" s="38">
        <v>4.6063099999999997</v>
      </c>
      <c r="Y863" s="38">
        <f t="shared" si="105"/>
        <v>4.5</v>
      </c>
      <c r="Z863" s="38">
        <v>0</v>
      </c>
      <c r="AA863" s="38">
        <v>0</v>
      </c>
      <c r="AB863" s="38">
        <v>10.975</v>
      </c>
      <c r="AC863" s="38">
        <v>1.30114</v>
      </c>
      <c r="AD863" s="39">
        <v>63.52</v>
      </c>
      <c r="AE863" s="38">
        <v>66.59</v>
      </c>
      <c r="AF863" s="38">
        <v>0.24987740353594007</v>
      </c>
      <c r="AG863" s="38">
        <f t="shared" si="106"/>
        <v>0.2</v>
      </c>
      <c r="AH863" s="38">
        <v>395.11</v>
      </c>
      <c r="AI863" s="38">
        <v>1.0197702929410244</v>
      </c>
      <c r="AJ863" s="38">
        <v>0</v>
      </c>
      <c r="AK863" s="38">
        <v>0</v>
      </c>
      <c r="AL863" s="38">
        <v>22.41</v>
      </c>
      <c r="AM863" s="38">
        <v>5.7839721254355388E-2</v>
      </c>
      <c r="AN863" s="41"/>
      <c r="AO863" s="41"/>
      <c r="AP863" s="73"/>
      <c r="AQ863" s="73"/>
      <c r="AR863" s="73"/>
      <c r="AS863" s="178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</row>
    <row r="864" spans="1:88" s="22" customFormat="1">
      <c r="A864" s="1">
        <v>1107</v>
      </c>
      <c r="B864" s="9" t="s">
        <v>1513</v>
      </c>
      <c r="C864" s="34">
        <v>431</v>
      </c>
      <c r="D864" s="75">
        <v>2340</v>
      </c>
      <c r="E864" s="69">
        <v>200</v>
      </c>
      <c r="F864" s="34" t="s">
        <v>1536</v>
      </c>
      <c r="G864" s="20" t="s">
        <v>1537</v>
      </c>
      <c r="H864" s="20" t="s">
        <v>1538</v>
      </c>
      <c r="I864" s="21">
        <v>19.649999999999999</v>
      </c>
      <c r="J864" s="8">
        <v>2</v>
      </c>
      <c r="K864" s="5" t="s">
        <v>238</v>
      </c>
      <c r="L864" s="18">
        <v>42282</v>
      </c>
      <c r="M864" s="37" t="s">
        <v>191</v>
      </c>
      <c r="N864" s="38">
        <v>9.5749999999999993</v>
      </c>
      <c r="O864" s="38">
        <v>5.25</v>
      </c>
      <c r="P864" s="38">
        <v>2.9249999999999998</v>
      </c>
      <c r="Q864" s="38">
        <v>2.2250000000000001</v>
      </c>
      <c r="R864" s="38">
        <v>3.1990500000000002</v>
      </c>
      <c r="S864" s="38">
        <f t="shared" si="104"/>
        <v>3</v>
      </c>
      <c r="T864" s="38">
        <v>18.25</v>
      </c>
      <c r="U864" s="38">
        <v>1.1499999999999999</v>
      </c>
      <c r="V864" s="38">
        <v>0.32500000000000001</v>
      </c>
      <c r="W864" s="38">
        <v>0.25</v>
      </c>
      <c r="X864" s="38">
        <v>3.93953</v>
      </c>
      <c r="Y864" s="38">
        <f t="shared" si="105"/>
        <v>4</v>
      </c>
      <c r="Z864" s="38">
        <v>0</v>
      </c>
      <c r="AA864" s="38">
        <v>0</v>
      </c>
      <c r="AB864" s="38">
        <v>19.975000000000001</v>
      </c>
      <c r="AC864" s="38">
        <v>1.4226799999999999</v>
      </c>
      <c r="AD864" s="39">
        <v>167.82</v>
      </c>
      <c r="AE864" s="38">
        <v>4.99</v>
      </c>
      <c r="AF864" s="38">
        <f>(AD864+AE864*0.5)/(3.5*I864*1000)*100</f>
        <v>0.24764085786986556</v>
      </c>
      <c r="AG864" s="38">
        <f t="shared" si="106"/>
        <v>0.2</v>
      </c>
      <c r="AH864" s="38">
        <v>13.023</v>
      </c>
      <c r="AI864" s="38">
        <f>AH864/(3.5*I864*1000)*100</f>
        <v>1.8935659760087244E-2</v>
      </c>
      <c r="AJ864" s="38">
        <v>0</v>
      </c>
      <c r="AK864" s="38">
        <f>AJ864/(3.5*I864*1000)*100</f>
        <v>0</v>
      </c>
      <c r="AL864" s="38">
        <v>0</v>
      </c>
      <c r="AM864" s="38">
        <f>AL864/(3.5*I864*1000)*100</f>
        <v>0</v>
      </c>
      <c r="AN864" s="41"/>
      <c r="AO864" s="72"/>
      <c r="AP864" s="73"/>
      <c r="AQ864" s="73"/>
      <c r="AS864" s="48"/>
    </row>
    <row r="865" spans="1:88" s="22" customFormat="1">
      <c r="A865" s="1">
        <v>1123</v>
      </c>
      <c r="B865" s="9" t="s">
        <v>1513</v>
      </c>
      <c r="C865" s="34">
        <v>431</v>
      </c>
      <c r="D865" s="75">
        <v>3333</v>
      </c>
      <c r="E865" s="69">
        <v>102</v>
      </c>
      <c r="F865" s="34" t="s">
        <v>1560</v>
      </c>
      <c r="G865" s="58" t="s">
        <v>1559</v>
      </c>
      <c r="H865" s="58" t="s">
        <v>1561</v>
      </c>
      <c r="I865" s="34">
        <v>15.608000000000001</v>
      </c>
      <c r="J865" s="5">
        <v>2</v>
      </c>
      <c r="K865" s="5" t="s">
        <v>671</v>
      </c>
      <c r="L865" s="18">
        <v>42282</v>
      </c>
      <c r="M865" s="37" t="s">
        <v>191</v>
      </c>
      <c r="N865" s="38">
        <v>12.175000000000001</v>
      </c>
      <c r="O865" s="38">
        <v>2.6</v>
      </c>
      <c r="P865" s="38">
        <v>0.55000000000000004</v>
      </c>
      <c r="Q865" s="38">
        <v>0.35</v>
      </c>
      <c r="R865" s="38">
        <v>2.0682900000000002</v>
      </c>
      <c r="S865" s="38">
        <f t="shared" si="104"/>
        <v>2</v>
      </c>
      <c r="T865" s="38">
        <v>14.275</v>
      </c>
      <c r="U865" s="38">
        <v>1.3</v>
      </c>
      <c r="V865" s="38">
        <v>0.1</v>
      </c>
      <c r="W865" s="38">
        <v>0</v>
      </c>
      <c r="X865" s="38">
        <v>5.4051600000000004</v>
      </c>
      <c r="Y865" s="38">
        <f t="shared" si="105"/>
        <v>5.5</v>
      </c>
      <c r="Z865" s="38">
        <v>0</v>
      </c>
      <c r="AA865" s="38">
        <v>0</v>
      </c>
      <c r="AB865" s="38">
        <v>15.675000000000001</v>
      </c>
      <c r="AC865" s="38">
        <v>1.32037</v>
      </c>
      <c r="AD865" s="39">
        <v>133.99600000000001</v>
      </c>
      <c r="AE865" s="38">
        <v>1.69</v>
      </c>
      <c r="AF865" s="38">
        <f>(AD865+AE865*0.5)/(3.5*I865*1000)*100</f>
        <v>0.24683495643259867</v>
      </c>
      <c r="AG865" s="38">
        <f t="shared" si="106"/>
        <v>0.2</v>
      </c>
      <c r="AH865" s="38">
        <v>69.78</v>
      </c>
      <c r="AI865" s="38">
        <f>AH865/(3.5*I865*1000)*100</f>
        <v>0.12773669180639963</v>
      </c>
      <c r="AJ865" s="38">
        <v>1.002</v>
      </c>
      <c r="AK865" s="38">
        <f>AJ865/(3.5*I865*1000)*100</f>
        <v>1.8342242073661858E-3</v>
      </c>
      <c r="AL865" s="38">
        <v>2.69</v>
      </c>
      <c r="AM865" s="38">
        <f>AL865/(3.5*I865*1000)*100</f>
        <v>4.9242146884381629E-3</v>
      </c>
      <c r="AN865" s="41"/>
      <c r="AO865" s="114"/>
      <c r="AP865" s="73"/>
      <c r="AQ865" s="73"/>
      <c r="AS865" s="48"/>
    </row>
    <row r="866" spans="1:88" s="22" customFormat="1">
      <c r="A866" s="1">
        <v>1011</v>
      </c>
      <c r="B866" s="9" t="s">
        <v>1394</v>
      </c>
      <c r="C866" s="9">
        <v>617</v>
      </c>
      <c r="D866" s="8">
        <v>226</v>
      </c>
      <c r="E866" s="9">
        <v>204</v>
      </c>
      <c r="F866" s="9" t="s">
        <v>1408</v>
      </c>
      <c r="G866" s="20" t="s">
        <v>1410</v>
      </c>
      <c r="H866" s="20" t="s">
        <v>1409</v>
      </c>
      <c r="I866" s="35">
        <v>20.736999999999998</v>
      </c>
      <c r="J866" s="9">
        <v>4</v>
      </c>
      <c r="K866" s="9" t="s">
        <v>237</v>
      </c>
      <c r="L866" s="18">
        <v>42131</v>
      </c>
      <c r="M866" s="37" t="s">
        <v>191</v>
      </c>
      <c r="N866" s="11">
        <v>10.675000000000001</v>
      </c>
      <c r="O866" s="11">
        <v>6.5250000000000004</v>
      </c>
      <c r="P866" s="11">
        <v>2.625</v>
      </c>
      <c r="Q866" s="11">
        <v>0.8</v>
      </c>
      <c r="R866" s="11">
        <v>2.7574900000000002</v>
      </c>
      <c r="S866" s="38">
        <f t="shared" si="104"/>
        <v>3</v>
      </c>
      <c r="T866" s="11">
        <v>14.904</v>
      </c>
      <c r="U866" s="11">
        <v>3.8580000000000001</v>
      </c>
      <c r="V866" s="11">
        <v>1.929</v>
      </c>
      <c r="W866" s="11">
        <v>4.5999999999999999E-2</v>
      </c>
      <c r="X866" s="11">
        <v>6.5860599999999998</v>
      </c>
      <c r="Y866" s="38">
        <f t="shared" si="105"/>
        <v>6.5</v>
      </c>
      <c r="Z866" s="11">
        <v>0</v>
      </c>
      <c r="AA866" s="11">
        <v>0</v>
      </c>
      <c r="AB866" s="11">
        <f>SUM(N866:Q866)</f>
        <v>20.625000000000004</v>
      </c>
      <c r="AC866" s="11">
        <v>1.2778099999999999</v>
      </c>
      <c r="AD866" s="164">
        <v>178.83</v>
      </c>
      <c r="AE866" s="11">
        <v>0</v>
      </c>
      <c r="AF866" s="11">
        <f>(AD866+AE866*0.5)/(3.5*I866*1000)*100</f>
        <v>0.2463918875164475</v>
      </c>
      <c r="AG866" s="38">
        <f t="shared" si="106"/>
        <v>0.2</v>
      </c>
      <c r="AH866" s="11">
        <v>135.01</v>
      </c>
      <c r="AI866" s="38">
        <f>AH866/(3.5*I866*1000)*100</f>
        <v>0.18601671270813383</v>
      </c>
      <c r="AJ866" s="11">
        <v>564.37</v>
      </c>
      <c r="AK866" s="38">
        <f>AJ866/(3.5*I866*1000)*100</f>
        <v>0.77758871306636179</v>
      </c>
      <c r="AL866" s="11">
        <v>0</v>
      </c>
      <c r="AM866" s="38">
        <f>AL866/(3.5*I866*1000)*100</f>
        <v>0</v>
      </c>
      <c r="AN866" s="25"/>
      <c r="AO866" s="25">
        <f>AE866*0.5</f>
        <v>0</v>
      </c>
      <c r="AP866" s="25">
        <f>(AD866+AH866+AJ866+AL866+AO866)*I866</f>
        <v>18211.440770000001</v>
      </c>
      <c r="AQ866" s="25"/>
      <c r="AR866" s="25"/>
      <c r="AS866" s="25">
        <f>SUM(N866:Q866)</f>
        <v>20.625000000000004</v>
      </c>
      <c r="AT866" s="25">
        <f>SUM(T866:W866)</f>
        <v>20.736999999999998</v>
      </c>
      <c r="AU866" s="41"/>
      <c r="AV866" s="41"/>
      <c r="AW866" s="41"/>
    </row>
    <row r="867" spans="1:88" s="22" customFormat="1">
      <c r="A867" s="1">
        <v>152</v>
      </c>
      <c r="B867" s="34" t="s">
        <v>294</v>
      </c>
      <c r="C867" s="34">
        <v>531</v>
      </c>
      <c r="D867" s="34">
        <v>1134</v>
      </c>
      <c r="E867" s="34">
        <v>100</v>
      </c>
      <c r="F867" s="34" t="s">
        <v>318</v>
      </c>
      <c r="G867" s="20" t="s">
        <v>320</v>
      </c>
      <c r="H867" s="20" t="s">
        <v>321</v>
      </c>
      <c r="I867" s="35">
        <v>11.289</v>
      </c>
      <c r="J867" s="36">
        <v>2</v>
      </c>
      <c r="K867" s="34" t="s">
        <v>12</v>
      </c>
      <c r="L867" s="18">
        <v>42221</v>
      </c>
      <c r="M867" s="37" t="s">
        <v>191</v>
      </c>
      <c r="N867" s="38">
        <v>8.8000000000000007</v>
      </c>
      <c r="O867" s="38">
        <v>1.71</v>
      </c>
      <c r="P867" s="38">
        <v>0.45</v>
      </c>
      <c r="Q867" s="38">
        <v>0.33</v>
      </c>
      <c r="R867" s="38">
        <v>2.1160000000000001</v>
      </c>
      <c r="S867" s="38">
        <f t="shared" si="104"/>
        <v>2</v>
      </c>
      <c r="T867" s="38">
        <v>4.58</v>
      </c>
      <c r="U867" s="38">
        <v>2.04</v>
      </c>
      <c r="V867" s="38">
        <v>1.19</v>
      </c>
      <c r="W867" s="38">
        <v>3.5</v>
      </c>
      <c r="X867" s="38">
        <v>16.890999999999998</v>
      </c>
      <c r="Y867" s="38">
        <f t="shared" si="105"/>
        <v>17</v>
      </c>
      <c r="Z867" s="38">
        <v>0</v>
      </c>
      <c r="AA867" s="38">
        <v>0</v>
      </c>
      <c r="AB867" s="38">
        <v>11.29</v>
      </c>
      <c r="AC867" s="38">
        <v>1.0680000000000001</v>
      </c>
      <c r="AD867" s="39">
        <v>41</v>
      </c>
      <c r="AE867" s="38">
        <v>112.36</v>
      </c>
      <c r="AF867" s="38">
        <f>(AD867+AE867*0.5)/(3.5*I867*1000)*100</f>
        <v>0.24595370967946042</v>
      </c>
      <c r="AG867" s="38">
        <f t="shared" si="106"/>
        <v>0.2</v>
      </c>
      <c r="AH867" s="38">
        <v>170</v>
      </c>
      <c r="AI867" s="38">
        <f>AH867/(3.5*I867*1000)*100</f>
        <v>0.43025448287207518</v>
      </c>
      <c r="AJ867" s="38">
        <v>484</v>
      </c>
      <c r="AK867" s="38">
        <f>AJ867/(3.5*I867*1000)*100</f>
        <v>1.2249598218240259</v>
      </c>
      <c r="AL867" s="38">
        <v>40</v>
      </c>
      <c r="AM867" s="38">
        <f>AL867/(3.5*I867*1000)*100</f>
        <v>0.10123634891107652</v>
      </c>
      <c r="AN867" s="40"/>
      <c r="AO867" s="40">
        <f>AE867*0.5</f>
        <v>56.18</v>
      </c>
      <c r="AP867" s="40">
        <f>(AD867+AH867+AJ867+AL867+AO867)*I867</f>
        <v>8931.6310199999989</v>
      </c>
      <c r="AQ867" s="25"/>
      <c r="AR867" s="25"/>
      <c r="AT867" s="41"/>
      <c r="AU867" s="41">
        <f>SUM(N867:Q867)</f>
        <v>11.290000000000001</v>
      </c>
      <c r="AV867" s="41">
        <f>SUM(T867:W867)</f>
        <v>11.31</v>
      </c>
      <c r="AW867" s="41">
        <f>SUM(Z867:AB867)</f>
        <v>11.29</v>
      </c>
      <c r="AY867" s="22">
        <f>I867/AU867</f>
        <v>0.9999114260407439</v>
      </c>
      <c r="AZ867" s="22">
        <f>I867/AV867</f>
        <v>0.99814323607427047</v>
      </c>
      <c r="BA867" s="22">
        <f>I867/AW867</f>
        <v>0.99991142604074412</v>
      </c>
    </row>
    <row r="868" spans="1:88" s="22" customFormat="1">
      <c r="A868" s="1">
        <v>2123</v>
      </c>
      <c r="B868" s="34" t="s">
        <v>2754</v>
      </c>
      <c r="C868" s="34">
        <v>324</v>
      </c>
      <c r="D868" s="75">
        <v>4028</v>
      </c>
      <c r="E868" s="8">
        <v>100</v>
      </c>
      <c r="F868" s="9" t="s">
        <v>2766</v>
      </c>
      <c r="G868" s="20">
        <v>8608</v>
      </c>
      <c r="H868" s="20">
        <v>0</v>
      </c>
      <c r="I868" s="21">
        <v>8.6080000000000005</v>
      </c>
      <c r="J868" s="9">
        <v>2</v>
      </c>
      <c r="K868" s="34" t="s">
        <v>96</v>
      </c>
      <c r="L868" s="18">
        <v>42138</v>
      </c>
      <c r="M868" s="37" t="s">
        <v>191</v>
      </c>
      <c r="N868" s="38">
        <v>3.1749999999999998</v>
      </c>
      <c r="O868" s="38">
        <v>2.5750000000000002</v>
      </c>
      <c r="P868" s="38">
        <v>1.875</v>
      </c>
      <c r="Q868" s="38">
        <v>1.0249999999999999</v>
      </c>
      <c r="R868" s="38">
        <v>3.3084099999999999</v>
      </c>
      <c r="S868" s="38">
        <f t="shared" si="104"/>
        <v>3.5</v>
      </c>
      <c r="T868" s="38">
        <v>8.125</v>
      </c>
      <c r="U868" s="38">
        <v>0.3</v>
      </c>
      <c r="V868" s="38">
        <v>0.125</v>
      </c>
      <c r="W868" s="38">
        <v>0.1</v>
      </c>
      <c r="X868" s="38">
        <v>4.3015600000000003</v>
      </c>
      <c r="Y868" s="38">
        <f t="shared" si="105"/>
        <v>4.5</v>
      </c>
      <c r="Z868" s="38">
        <v>0</v>
      </c>
      <c r="AA868" s="38">
        <v>0</v>
      </c>
      <c r="AB868" s="38">
        <v>8.65</v>
      </c>
      <c r="AC868" s="38">
        <v>1.19669</v>
      </c>
      <c r="AD868" s="39">
        <v>74</v>
      </c>
      <c r="AE868" s="38">
        <v>0</v>
      </c>
      <c r="AF868" s="38">
        <v>0.24561869357408389</v>
      </c>
      <c r="AG868" s="38">
        <f t="shared" si="106"/>
        <v>0.2</v>
      </c>
      <c r="AH868" s="38">
        <v>0</v>
      </c>
      <c r="AI868" s="38">
        <v>0</v>
      </c>
      <c r="AJ868" s="38">
        <v>0</v>
      </c>
      <c r="AK868" s="38">
        <v>0</v>
      </c>
      <c r="AL868" s="38">
        <v>0</v>
      </c>
      <c r="AM868" s="38">
        <v>0</v>
      </c>
      <c r="AN868" s="41"/>
      <c r="AO868" s="41"/>
      <c r="AP868" s="73"/>
      <c r="AQ868" s="73"/>
      <c r="AR868" s="73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</row>
    <row r="869" spans="1:88" s="22" customFormat="1">
      <c r="A869" s="1">
        <v>1404</v>
      </c>
      <c r="B869" s="34" t="s">
        <v>1957</v>
      </c>
      <c r="C869" s="34">
        <v>447</v>
      </c>
      <c r="D869" s="75">
        <v>333</v>
      </c>
      <c r="E869" s="69">
        <v>303</v>
      </c>
      <c r="F869" s="184" t="s">
        <v>1960</v>
      </c>
      <c r="G869" s="77">
        <v>166073</v>
      </c>
      <c r="H869" s="20">
        <v>182227</v>
      </c>
      <c r="I869" s="21">
        <v>16.154</v>
      </c>
      <c r="J869" s="8">
        <v>6</v>
      </c>
      <c r="K869" s="34" t="s">
        <v>238</v>
      </c>
      <c r="L869" s="10">
        <v>42217</v>
      </c>
      <c r="M869" s="37" t="s">
        <v>191</v>
      </c>
      <c r="N869" s="38">
        <v>8.85</v>
      </c>
      <c r="O869" s="38">
        <v>4.7750000000000004</v>
      </c>
      <c r="P869" s="38">
        <v>2.15</v>
      </c>
      <c r="Q869" s="38">
        <v>0.7</v>
      </c>
      <c r="R869" s="38">
        <v>2.8281000000000001</v>
      </c>
      <c r="S869" s="38">
        <f t="shared" si="104"/>
        <v>3</v>
      </c>
      <c r="T869" s="38">
        <v>14.725</v>
      </c>
      <c r="U869" s="38">
        <v>1.425</v>
      </c>
      <c r="V869" s="38">
        <v>0.25</v>
      </c>
      <c r="W869" s="38">
        <v>7.4999999999999997E-2</v>
      </c>
      <c r="X869" s="38">
        <v>5.7773000000000003</v>
      </c>
      <c r="Y869" s="38">
        <f t="shared" si="105"/>
        <v>6</v>
      </c>
      <c r="Z869" s="38">
        <v>0</v>
      </c>
      <c r="AA869" s="38">
        <v>0</v>
      </c>
      <c r="AB869" s="38">
        <v>16.475000000000001</v>
      </c>
      <c r="AC869" s="38">
        <v>1.2141</v>
      </c>
      <c r="AD869" s="39">
        <v>94</v>
      </c>
      <c r="AE869" s="38">
        <v>88</v>
      </c>
      <c r="AF869" s="38">
        <v>0.24407930808822229</v>
      </c>
      <c r="AG869" s="38">
        <f t="shared" si="106"/>
        <v>0.2</v>
      </c>
      <c r="AH869" s="38">
        <v>0</v>
      </c>
      <c r="AI869" s="38">
        <f>AH869/(3.5*I869*1000)*100</f>
        <v>0</v>
      </c>
      <c r="AJ869" s="38">
        <v>0</v>
      </c>
      <c r="AK869" s="38">
        <f>AJ869/(3.5*I869*1000)*100</f>
        <v>0</v>
      </c>
      <c r="AL869" s="38">
        <v>0</v>
      </c>
      <c r="AM869" s="38">
        <f>AL869/(3.5*I869*1000)*100</f>
        <v>0</v>
      </c>
      <c r="AN869" s="41"/>
    </row>
    <row r="870" spans="1:88" s="22" customFormat="1">
      <c r="A870" s="1">
        <v>275</v>
      </c>
      <c r="B870" s="34" t="s">
        <v>484</v>
      </c>
      <c r="C870" s="34">
        <v>641</v>
      </c>
      <c r="D870" s="34">
        <v>2101</v>
      </c>
      <c r="E870" s="34">
        <v>101</v>
      </c>
      <c r="F870" s="34" t="s">
        <v>498</v>
      </c>
      <c r="G870" s="58" t="s">
        <v>499</v>
      </c>
      <c r="H870" s="58" t="s">
        <v>92</v>
      </c>
      <c r="I870" s="35">
        <v>20.5</v>
      </c>
      <c r="J870" s="59">
        <v>2</v>
      </c>
      <c r="K870" s="34" t="s">
        <v>12</v>
      </c>
      <c r="L870" s="10">
        <v>42160</v>
      </c>
      <c r="M870" s="37" t="s">
        <v>191</v>
      </c>
      <c r="N870" s="38">
        <v>14.625</v>
      </c>
      <c r="O870" s="38">
        <v>4.5</v>
      </c>
      <c r="P870" s="38">
        <v>0.85</v>
      </c>
      <c r="Q870" s="38">
        <v>0.45</v>
      </c>
      <c r="R870" s="38">
        <v>2.3163399999999998</v>
      </c>
      <c r="S870" s="38">
        <f t="shared" si="104"/>
        <v>2.5</v>
      </c>
      <c r="T870" s="38">
        <v>20.2</v>
      </c>
      <c r="U870" s="38">
        <v>0.22500000000000001</v>
      </c>
      <c r="V870" s="38">
        <v>0</v>
      </c>
      <c r="W870" s="38">
        <v>0</v>
      </c>
      <c r="X870" s="38">
        <v>4.6641399999999997</v>
      </c>
      <c r="Y870" s="38">
        <f t="shared" si="105"/>
        <v>4.5</v>
      </c>
      <c r="Z870" s="38">
        <v>0</v>
      </c>
      <c r="AA870" s="38">
        <v>0</v>
      </c>
      <c r="AB870" s="38">
        <f>T870+U870+V870+W870</f>
        <v>20.425000000000001</v>
      </c>
      <c r="AC870" s="38">
        <v>1.1525399999999999</v>
      </c>
      <c r="AD870" s="39">
        <v>146</v>
      </c>
      <c r="AE870" s="38">
        <v>58</v>
      </c>
      <c r="AF870" s="38">
        <f>(AD870+AE870*0.5)/(3.5*I870*1000)*100</f>
        <v>0.24390243902439024</v>
      </c>
      <c r="AG870" s="38">
        <f t="shared" si="106"/>
        <v>0.2</v>
      </c>
      <c r="AH870" s="38">
        <v>0</v>
      </c>
      <c r="AI870" s="38">
        <f>AH870/(3.5*I870*1000)*100</f>
        <v>0</v>
      </c>
      <c r="AJ870" s="38">
        <v>199.63</v>
      </c>
      <c r="AK870" s="38">
        <v>0</v>
      </c>
      <c r="AL870" s="38">
        <v>0</v>
      </c>
      <c r="AM870" s="38">
        <f>AL870/(3.5*I870*1000)*100</f>
        <v>0</v>
      </c>
      <c r="AN870" s="60"/>
      <c r="AO870" s="60">
        <f>AE870*0.5</f>
        <v>29</v>
      </c>
      <c r="AP870" s="60">
        <f>(AD870+AH870+AJ870+AL870+AO870)*I870</f>
        <v>7679.915</v>
      </c>
      <c r="AQ870" s="25">
        <f>SUM(N870:Q870)</f>
        <v>20.425000000000001</v>
      </c>
      <c r="AR870" s="25">
        <f>SUM(T870:W870)</f>
        <v>20.425000000000001</v>
      </c>
      <c r="AS870" s="61"/>
      <c r="AT870" s="40"/>
      <c r="AU870" s="41">
        <f>SUM(N870:Q870)</f>
        <v>20.425000000000001</v>
      </c>
      <c r="AV870" s="41">
        <f>SUM(T870:W870)</f>
        <v>20.425000000000001</v>
      </c>
      <c r="AW870" s="41">
        <f>SUM(Z870:AB870)</f>
        <v>20.425000000000001</v>
      </c>
      <c r="AX870" s="61"/>
      <c r="AY870" s="22">
        <f>I870/AU870</f>
        <v>1.003671970624235</v>
      </c>
      <c r="AZ870" s="22">
        <f>I870/AV870</f>
        <v>1.003671970624235</v>
      </c>
      <c r="BA870" s="22">
        <f>I870/AW870</f>
        <v>1.003671970624235</v>
      </c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</row>
    <row r="871" spans="1:88" s="22" customFormat="1">
      <c r="A871" s="1">
        <v>1224</v>
      </c>
      <c r="B871" s="34" t="s">
        <v>1725</v>
      </c>
      <c r="C871" s="88">
        <v>437</v>
      </c>
      <c r="D871" s="88">
        <v>225</v>
      </c>
      <c r="E871" s="88">
        <v>100</v>
      </c>
      <c r="F871" s="88" t="s">
        <v>1727</v>
      </c>
      <c r="G871" s="88" t="s">
        <v>92</v>
      </c>
      <c r="H871" s="88" t="s">
        <v>279</v>
      </c>
      <c r="I871" s="115">
        <v>10</v>
      </c>
      <c r="J871" s="88">
        <v>2</v>
      </c>
      <c r="K871" s="181" t="s">
        <v>238</v>
      </c>
      <c r="L871" s="116">
        <v>42282</v>
      </c>
      <c r="M871" s="37" t="s">
        <v>191</v>
      </c>
      <c r="N871" s="38">
        <v>6</v>
      </c>
      <c r="O871" s="38">
        <v>2.7250000000000001</v>
      </c>
      <c r="P871" s="38">
        <v>1</v>
      </c>
      <c r="Q871" s="38">
        <v>0.3</v>
      </c>
      <c r="R871" s="38">
        <v>2.5642900000000002</v>
      </c>
      <c r="S871" s="38">
        <f t="shared" si="104"/>
        <v>2.5</v>
      </c>
      <c r="T871" s="38">
        <v>9.9749999999999996</v>
      </c>
      <c r="U871" s="38">
        <v>2.5000000000000001E-2</v>
      </c>
      <c r="V871" s="38">
        <v>2.5000000000000001E-2</v>
      </c>
      <c r="W871" s="38">
        <v>0</v>
      </c>
      <c r="X871" s="38">
        <v>1.9567399999999999</v>
      </c>
      <c r="Y871" s="38">
        <f t="shared" si="105"/>
        <v>2</v>
      </c>
      <c r="Z871" s="38">
        <v>0</v>
      </c>
      <c r="AA871" s="117">
        <v>0</v>
      </c>
      <c r="AB871" s="117">
        <v>10</v>
      </c>
      <c r="AC871" s="117">
        <v>1.0505199999999999</v>
      </c>
      <c r="AD871" s="254">
        <v>83.18</v>
      </c>
      <c r="AE871" s="117">
        <v>4.17</v>
      </c>
      <c r="AF871" s="117">
        <f>(AD871+AE871*0.5)/(3.5*I871*1000)*100</f>
        <v>0.24361428571428573</v>
      </c>
      <c r="AG871" s="38">
        <f t="shared" si="106"/>
        <v>0.2</v>
      </c>
      <c r="AH871" s="117">
        <v>23.21</v>
      </c>
      <c r="AI871" s="117">
        <f>AH871/(3.5*I871*1000)*100</f>
        <v>6.6314285714285715E-2</v>
      </c>
      <c r="AJ871" s="117">
        <v>2.85</v>
      </c>
      <c r="AK871" s="117">
        <f>AJ871/(3.5*I871*1000)*100</f>
        <v>8.1428571428571427E-3</v>
      </c>
      <c r="AL871" s="117">
        <v>0</v>
      </c>
      <c r="AM871" s="117">
        <f>AJ871/(3.5*I871*1000)*100</f>
        <v>8.1428571428571427E-3</v>
      </c>
      <c r="AN871" s="12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</row>
    <row r="872" spans="1:88" s="22" customFormat="1">
      <c r="A872" s="1">
        <v>2199</v>
      </c>
      <c r="B872" s="34" t="s">
        <v>2827</v>
      </c>
      <c r="C872" s="34">
        <v>314</v>
      </c>
      <c r="D872" s="75">
        <v>4163</v>
      </c>
      <c r="E872" s="8">
        <v>101</v>
      </c>
      <c r="F872" s="9" t="s">
        <v>2844</v>
      </c>
      <c r="G872" s="20">
        <v>0</v>
      </c>
      <c r="H872" s="20">
        <v>26767</v>
      </c>
      <c r="I872" s="21">
        <v>26.766999999999999</v>
      </c>
      <c r="J872" s="8">
        <v>2</v>
      </c>
      <c r="K872" s="8" t="s">
        <v>12</v>
      </c>
      <c r="L872" s="18">
        <v>42144</v>
      </c>
      <c r="M872" s="37" t="s">
        <v>191</v>
      </c>
      <c r="N872" s="38">
        <v>18.100000000000001</v>
      </c>
      <c r="O872" s="38">
        <v>5.4749999999999996</v>
      </c>
      <c r="P872" s="38">
        <v>1.7</v>
      </c>
      <c r="Q872" s="38">
        <v>1.575</v>
      </c>
      <c r="R872" s="38">
        <v>2.5076100000000001</v>
      </c>
      <c r="S872" s="38">
        <f t="shared" si="104"/>
        <v>2.5</v>
      </c>
      <c r="T872" s="38">
        <v>23.55</v>
      </c>
      <c r="U872" s="38">
        <v>2.4500000000000002</v>
      </c>
      <c r="V872" s="38">
        <v>0.72499999999999998</v>
      </c>
      <c r="W872" s="38">
        <v>0.125</v>
      </c>
      <c r="X872" s="38">
        <v>5.2294200000000002</v>
      </c>
      <c r="Y872" s="38">
        <f t="shared" si="105"/>
        <v>5</v>
      </c>
      <c r="Z872" s="38">
        <v>0</v>
      </c>
      <c r="AA872" s="38">
        <v>0</v>
      </c>
      <c r="AB872" s="38">
        <v>26.85</v>
      </c>
      <c r="AC872" s="38">
        <v>1.1948300000000001</v>
      </c>
      <c r="AD872" s="39">
        <v>203.14</v>
      </c>
      <c r="AE872" s="38">
        <v>49.65</v>
      </c>
      <c r="AF872" s="38">
        <f>(AD872+AE872*0.5)/(3.5*I872*1000)*100</f>
        <v>0.24333267509566681</v>
      </c>
      <c r="AG872" s="38">
        <f t="shared" si="106"/>
        <v>0.2</v>
      </c>
      <c r="AH872" s="38">
        <v>174.26</v>
      </c>
      <c r="AI872" s="38">
        <f>AH872/(3.5*I872*1000)*100</f>
        <v>0.18600729042691158</v>
      </c>
      <c r="AJ872" s="38">
        <v>0</v>
      </c>
      <c r="AK872" s="38">
        <v>0</v>
      </c>
      <c r="AL872" s="38">
        <v>1</v>
      </c>
      <c r="AM872" s="38">
        <f>AL872/(3.5*I872*1000)*100</f>
        <v>1.0674124321525971E-3</v>
      </c>
      <c r="AN872" s="72"/>
      <c r="AO872" s="41"/>
      <c r="AP872" s="41"/>
      <c r="AQ872" s="73"/>
      <c r="AR872" s="73"/>
      <c r="AS872" s="73"/>
      <c r="AT872" s="73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</row>
    <row r="873" spans="1:88" s="22" customFormat="1">
      <c r="A873" s="1">
        <v>68</v>
      </c>
      <c r="B873" s="4" t="s">
        <v>44</v>
      </c>
      <c r="C873" s="14">
        <v>524</v>
      </c>
      <c r="D873" s="19">
        <v>116</v>
      </c>
      <c r="E873" s="16">
        <v>101</v>
      </c>
      <c r="F873" s="14" t="s">
        <v>48</v>
      </c>
      <c r="G873" s="20" t="s">
        <v>92</v>
      </c>
      <c r="H873" s="20" t="s">
        <v>132</v>
      </c>
      <c r="I873" s="21">
        <v>16.347999999999999</v>
      </c>
      <c r="J873" s="8">
        <v>2</v>
      </c>
      <c r="K873" s="9" t="s">
        <v>238</v>
      </c>
      <c r="L873" s="18">
        <v>42227</v>
      </c>
      <c r="M873" s="37" t="s">
        <v>191</v>
      </c>
      <c r="N873" s="11">
        <v>7.8</v>
      </c>
      <c r="O873" s="11">
        <v>6.1</v>
      </c>
      <c r="P873" s="11">
        <v>1.6</v>
      </c>
      <c r="Q873" s="11">
        <v>0.92500000000000004</v>
      </c>
      <c r="R873" s="11">
        <v>2.8081900000000002</v>
      </c>
      <c r="S873" s="38">
        <f t="shared" si="104"/>
        <v>3</v>
      </c>
      <c r="T873" s="11">
        <v>16.225000000000001</v>
      </c>
      <c r="U873" s="11">
        <v>0.125</v>
      </c>
      <c r="V873" s="11">
        <v>0.05</v>
      </c>
      <c r="W873" s="11">
        <v>2.5000000000000001E-2</v>
      </c>
      <c r="X873" s="11">
        <v>2.2830400000000002</v>
      </c>
      <c r="Y873" s="38">
        <f t="shared" si="105"/>
        <v>2.5</v>
      </c>
      <c r="Z873" s="11">
        <v>0</v>
      </c>
      <c r="AA873" s="11">
        <v>0</v>
      </c>
      <c r="AB873" s="11">
        <v>16.424999999999997</v>
      </c>
      <c r="AC873" s="11">
        <v>1.0023200000000001</v>
      </c>
      <c r="AD873" s="164">
        <v>138.96</v>
      </c>
      <c r="AE873" s="11">
        <v>0.36</v>
      </c>
      <c r="AF873" s="11">
        <f>(AD873+AE873*0.5)/(3.5*I873*1000)*100</f>
        <v>0.24317522457967777</v>
      </c>
      <c r="AG873" s="38">
        <f t="shared" si="106"/>
        <v>0.2</v>
      </c>
      <c r="AH873" s="11">
        <v>205.64</v>
      </c>
      <c r="AI873" s="11">
        <f>AH873/(3.5*I873*1000)*100</f>
        <v>0.35939739242895591</v>
      </c>
      <c r="AJ873" s="11">
        <v>1.63</v>
      </c>
      <c r="AK873" s="11">
        <f>AJ873/(3.5*I873*1000)*100</f>
        <v>2.848753888636443E-3</v>
      </c>
      <c r="AL873" s="11">
        <v>0</v>
      </c>
      <c r="AM873" s="11">
        <f>AL873/(3.5*I873*1000)*100</f>
        <v>0</v>
      </c>
      <c r="AN873" s="25"/>
      <c r="AO873" s="25"/>
    </row>
    <row r="874" spans="1:88" s="22" customFormat="1">
      <c r="A874" s="1">
        <v>485</v>
      </c>
      <c r="B874" s="34" t="s">
        <v>821</v>
      </c>
      <c r="C874" s="34">
        <v>519</v>
      </c>
      <c r="D874" s="34">
        <v>113</v>
      </c>
      <c r="E874" s="34">
        <v>203</v>
      </c>
      <c r="F874" s="34" t="s">
        <v>829</v>
      </c>
      <c r="G874" s="34" t="s">
        <v>830</v>
      </c>
      <c r="H874" s="34" t="s">
        <v>828</v>
      </c>
      <c r="I874" s="55">
        <v>11</v>
      </c>
      <c r="J874" s="34" t="s">
        <v>96</v>
      </c>
      <c r="K874" s="34">
        <v>2</v>
      </c>
      <c r="L874" s="10">
        <v>42276</v>
      </c>
      <c r="M874" s="37" t="s">
        <v>191</v>
      </c>
      <c r="N874" s="38">
        <v>5.41</v>
      </c>
      <c r="O874" s="38">
        <v>3.62</v>
      </c>
      <c r="P874" s="38">
        <v>1.54</v>
      </c>
      <c r="Q874" s="38">
        <v>0.43</v>
      </c>
      <c r="R874" s="38">
        <v>2.70126</v>
      </c>
      <c r="S874" s="38">
        <f t="shared" si="104"/>
        <v>2.5</v>
      </c>
      <c r="T874" s="38">
        <v>9.86</v>
      </c>
      <c r="U874" s="38">
        <v>1.07</v>
      </c>
      <c r="V874" s="38">
        <v>7.0000000000000007E-2</v>
      </c>
      <c r="W874" s="38">
        <v>0</v>
      </c>
      <c r="X874" s="38">
        <v>5.4501999999999997</v>
      </c>
      <c r="Y874" s="38">
        <f t="shared" si="105"/>
        <v>5.5</v>
      </c>
      <c r="Z874" s="117">
        <v>0</v>
      </c>
      <c r="AA874" s="117">
        <v>0</v>
      </c>
      <c r="AB874" s="38">
        <v>11</v>
      </c>
      <c r="AC874" s="38">
        <v>1.26305</v>
      </c>
      <c r="AD874" s="39">
        <v>84.7</v>
      </c>
      <c r="AE874" s="38">
        <v>16.850000000000001</v>
      </c>
      <c r="AF874" s="38">
        <v>0.24188299999999999</v>
      </c>
      <c r="AG874" s="38">
        <f t="shared" si="106"/>
        <v>0.2</v>
      </c>
      <c r="AH874" s="38">
        <v>98.45</v>
      </c>
      <c r="AI874" s="38">
        <v>0.255714</v>
      </c>
      <c r="AJ874" s="38">
        <v>0</v>
      </c>
      <c r="AK874" s="38">
        <v>0</v>
      </c>
      <c r="AL874" s="38">
        <v>0</v>
      </c>
      <c r="AM874" s="38">
        <v>0</v>
      </c>
      <c r="AN874" s="41"/>
      <c r="AO874" s="41"/>
      <c r="AP874" s="41"/>
      <c r="AQ874" s="41">
        <f>SUM(N874:Q874)</f>
        <v>11</v>
      </c>
      <c r="AR874" s="41">
        <f>SUM(T874:W874)</f>
        <v>11</v>
      </c>
      <c r="AS874" s="41">
        <f>SUM(Z874:AB874)</f>
        <v>11</v>
      </c>
      <c r="AU874" s="22">
        <f>I874/AQ874</f>
        <v>1</v>
      </c>
      <c r="AV874" s="22">
        <f>I874/AR874</f>
        <v>1</v>
      </c>
      <c r="AW874" s="22">
        <f>I874/AS874</f>
        <v>1</v>
      </c>
    </row>
    <row r="875" spans="1:88" s="22" customFormat="1">
      <c r="A875" s="1">
        <v>1799</v>
      </c>
      <c r="B875" s="34" t="s">
        <v>2382</v>
      </c>
      <c r="C875" s="34">
        <v>428</v>
      </c>
      <c r="D875" s="8">
        <v>3573</v>
      </c>
      <c r="E875" s="34">
        <v>100</v>
      </c>
      <c r="F875" s="34" t="s">
        <v>2402</v>
      </c>
      <c r="G875" s="58" t="s">
        <v>2403</v>
      </c>
      <c r="H875" s="58" t="s">
        <v>92</v>
      </c>
      <c r="I875" s="35">
        <v>2.335</v>
      </c>
      <c r="J875" s="9">
        <v>2</v>
      </c>
      <c r="K875" s="34" t="s">
        <v>12</v>
      </c>
      <c r="L875" s="10">
        <v>42230</v>
      </c>
      <c r="M875" s="37" t="s">
        <v>191</v>
      </c>
      <c r="N875" s="38">
        <v>1.0249999999999999</v>
      </c>
      <c r="O875" s="38">
        <v>0.875</v>
      </c>
      <c r="P875" s="38">
        <v>0.32500000000000001</v>
      </c>
      <c r="Q875" s="38">
        <v>0.125</v>
      </c>
      <c r="R875" s="38">
        <v>2.9154300000000002</v>
      </c>
      <c r="S875" s="38">
        <f t="shared" si="104"/>
        <v>3</v>
      </c>
      <c r="T875" s="38">
        <v>2.15</v>
      </c>
      <c r="U875" s="38">
        <v>0.17499999999999999</v>
      </c>
      <c r="V875" s="38">
        <v>2.5000000000000001E-2</v>
      </c>
      <c r="W875" s="38">
        <v>0</v>
      </c>
      <c r="X875" s="38">
        <v>7.7088900000000002</v>
      </c>
      <c r="Y875" s="38">
        <f t="shared" si="105"/>
        <v>7.5</v>
      </c>
      <c r="Z875" s="38">
        <v>0</v>
      </c>
      <c r="AA875" s="38">
        <v>0</v>
      </c>
      <c r="AB875" s="38">
        <f>SUM(N875:Q875)</f>
        <v>2.35</v>
      </c>
      <c r="AC875" s="38">
        <v>1.2273000000000001</v>
      </c>
      <c r="AD875" s="39">
        <v>19.739999999999998</v>
      </c>
      <c r="AE875" s="38">
        <v>0</v>
      </c>
      <c r="AF875" s="38">
        <f>(AD875+AE875*0.5)/(3.5*I875*1000)*100</f>
        <v>0.24154175588865096</v>
      </c>
      <c r="AG875" s="38">
        <f t="shared" si="106"/>
        <v>0.2</v>
      </c>
      <c r="AH875" s="38">
        <v>0</v>
      </c>
      <c r="AI875" s="38">
        <f>AH875/(3.5*I875*1000)*100</f>
        <v>0</v>
      </c>
      <c r="AJ875" s="38">
        <v>0</v>
      </c>
      <c r="AK875" s="38">
        <f>AJ875/(3.5*I875*1000)*100</f>
        <v>0</v>
      </c>
      <c r="AL875" s="38">
        <v>0</v>
      </c>
      <c r="AM875" s="38">
        <f>AL875/(3.5*I875*1000)*100</f>
        <v>0</v>
      </c>
      <c r="AN875" s="25"/>
      <c r="AO875" s="25">
        <f>AE875*0.5</f>
        <v>0</v>
      </c>
      <c r="AP875" s="25">
        <f>(AD875+AH875+AJ875+AL875+AO875)*I875</f>
        <v>46.092899999999993</v>
      </c>
      <c r="AQ875" s="25">
        <f>SUM(N875:Q875)</f>
        <v>2.35</v>
      </c>
      <c r="AR875" s="25">
        <f>SUM(T875:W875)</f>
        <v>2.3499999999999996</v>
      </c>
      <c r="AT875" s="41"/>
      <c r="AU875" s="41"/>
      <c r="AV875" s="41"/>
      <c r="AW875" s="41"/>
    </row>
    <row r="876" spans="1:88" s="22" customFormat="1">
      <c r="A876" s="1">
        <v>2180</v>
      </c>
      <c r="B876" s="34" t="s">
        <v>2798</v>
      </c>
      <c r="C876" s="34">
        <v>311</v>
      </c>
      <c r="D876" s="75">
        <v>4135</v>
      </c>
      <c r="E876" s="8">
        <v>100</v>
      </c>
      <c r="F876" s="9" t="s">
        <v>2818</v>
      </c>
      <c r="G876" s="20">
        <v>10187</v>
      </c>
      <c r="H876" s="20">
        <v>0</v>
      </c>
      <c r="I876" s="21">
        <v>10.186999999999999</v>
      </c>
      <c r="J876" s="8">
        <v>2</v>
      </c>
      <c r="K876" s="8" t="s">
        <v>12</v>
      </c>
      <c r="L876" s="18">
        <v>42147</v>
      </c>
      <c r="M876" s="37" t="s">
        <v>191</v>
      </c>
      <c r="N876" s="38">
        <v>7.0250000000000004</v>
      </c>
      <c r="O876" s="38">
        <v>1.95</v>
      </c>
      <c r="P876" s="38">
        <v>0.7</v>
      </c>
      <c r="Q876" s="38">
        <v>0.4</v>
      </c>
      <c r="R876" s="38">
        <v>2.45174</v>
      </c>
      <c r="S876" s="38">
        <f t="shared" si="104"/>
        <v>2.5</v>
      </c>
      <c r="T876" s="38">
        <v>9.4</v>
      </c>
      <c r="U876" s="38">
        <v>0.625</v>
      </c>
      <c r="V876" s="38">
        <v>2.5000000000000001E-2</v>
      </c>
      <c r="W876" s="38">
        <v>2.5000000000000001E-2</v>
      </c>
      <c r="X876" s="38">
        <v>5.2114399999999996</v>
      </c>
      <c r="Y876" s="38">
        <f t="shared" si="105"/>
        <v>5</v>
      </c>
      <c r="Z876" s="38">
        <v>0</v>
      </c>
      <c r="AA876" s="38">
        <v>0</v>
      </c>
      <c r="AB876" s="38">
        <v>10.074999999999999</v>
      </c>
      <c r="AC876" s="38">
        <v>1.2308600000000001</v>
      </c>
      <c r="AD876" s="39">
        <v>80.319999999999993</v>
      </c>
      <c r="AE876" s="38">
        <v>11.12</v>
      </c>
      <c r="AF876" s="38">
        <f>(AD876+AE876*0.5)/(3.5*I876*1000)*100</f>
        <v>0.24086721171240655</v>
      </c>
      <c r="AG876" s="38">
        <f t="shared" si="106"/>
        <v>0.2</v>
      </c>
      <c r="AH876" s="38">
        <v>6.23</v>
      </c>
      <c r="AI876" s="38">
        <f>AH876/(3.5*I876*1000)*100</f>
        <v>1.7473250220869738E-2</v>
      </c>
      <c r="AJ876" s="38">
        <v>0</v>
      </c>
      <c r="AK876" s="38">
        <f>AJ876/(3.5*I876*1000)*100</f>
        <v>0</v>
      </c>
      <c r="AL876" s="38">
        <v>0</v>
      </c>
      <c r="AM876" s="38">
        <f>AL876/(3.5*I876*1000)*100</f>
        <v>0</v>
      </c>
      <c r="AN876" s="72"/>
      <c r="AO876" s="41"/>
      <c r="AP876" s="41"/>
      <c r="AQ876" s="41">
        <f>SUM(N876:Q876)</f>
        <v>10.074999999999999</v>
      </c>
      <c r="AR876" s="41">
        <f>SUM(T876:W876)</f>
        <v>10.075000000000001</v>
      </c>
      <c r="AS876" s="12">
        <f>SUM(Z876:AB876)</f>
        <v>10.074999999999999</v>
      </c>
      <c r="AT876" s="1"/>
      <c r="AU876" s="1">
        <f>I876/AQ876</f>
        <v>1.0111166253101738</v>
      </c>
      <c r="AV876" s="1">
        <f>I876/AR876</f>
        <v>1.0111166253101735</v>
      </c>
      <c r="AW876" s="1">
        <f>I876/AS876</f>
        <v>1.0111166253101738</v>
      </c>
    </row>
    <row r="877" spans="1:88" s="22" customFormat="1">
      <c r="A877" s="1">
        <v>1531</v>
      </c>
      <c r="B877" s="34" t="s">
        <v>2104</v>
      </c>
      <c r="C877" s="34">
        <v>414</v>
      </c>
      <c r="D877" s="69">
        <v>3051</v>
      </c>
      <c r="E877" s="34">
        <v>101</v>
      </c>
      <c r="F877" s="34" t="s">
        <v>2107</v>
      </c>
      <c r="G877" s="58">
        <v>0</v>
      </c>
      <c r="H877" s="58">
        <v>5881</v>
      </c>
      <c r="I877" s="35">
        <v>5.8810000000000002</v>
      </c>
      <c r="J877" s="34">
        <v>4</v>
      </c>
      <c r="K877" s="34" t="s">
        <v>238</v>
      </c>
      <c r="L877" s="10">
        <v>42266</v>
      </c>
      <c r="M877" s="37" t="s">
        <v>191</v>
      </c>
      <c r="N877" s="38">
        <v>3.1</v>
      </c>
      <c r="O877" s="38">
        <v>2.0249999999999999</v>
      </c>
      <c r="P877" s="38">
        <v>0.42499999999999999</v>
      </c>
      <c r="Q877" s="38">
        <v>0.375</v>
      </c>
      <c r="R877" s="38">
        <v>2.78287</v>
      </c>
      <c r="S877" s="38">
        <f t="shared" si="104"/>
        <v>3</v>
      </c>
      <c r="T877" s="38">
        <v>4.1500000000000004</v>
      </c>
      <c r="U877" s="38">
        <v>1.375</v>
      </c>
      <c r="V877" s="38">
        <v>0.35</v>
      </c>
      <c r="W877" s="38">
        <v>0.05</v>
      </c>
      <c r="X877" s="38">
        <v>8.2199200000000001</v>
      </c>
      <c r="Y877" s="38">
        <f t="shared" si="105"/>
        <v>8</v>
      </c>
      <c r="Z877" s="38">
        <v>0</v>
      </c>
      <c r="AA877" s="38">
        <v>0</v>
      </c>
      <c r="AB877" s="38">
        <v>5.8810000000000002</v>
      </c>
      <c r="AC877" s="38">
        <v>1.11168</v>
      </c>
      <c r="AD877" s="39">
        <v>42</v>
      </c>
      <c r="AE877" s="38">
        <v>14.87</v>
      </c>
      <c r="AF877" s="38">
        <f>(AD877+AE877*0.5)/(3.5*I877*1000)*100</f>
        <v>0.24016809580489229</v>
      </c>
      <c r="AG877" s="38">
        <f t="shared" si="106"/>
        <v>0.2</v>
      </c>
      <c r="AH877" s="38">
        <v>2535</v>
      </c>
      <c r="AI877" s="38">
        <f>AH877/(3.5*I877*1000)*100</f>
        <v>12.315689751499988</v>
      </c>
      <c r="AJ877" s="38">
        <v>1189.7</v>
      </c>
      <c r="AK877" s="38">
        <f>AJ877/(3.5*I877*1000)*100</f>
        <v>5.7798722277552406</v>
      </c>
      <c r="AL877" s="38">
        <v>136</v>
      </c>
      <c r="AM877" s="38">
        <f>AL877/(3.5*I877*1000)*100</f>
        <v>0.66072339495226762</v>
      </c>
      <c r="AN877" s="25"/>
      <c r="AO877" s="25">
        <f>AE877*0.5</f>
        <v>7.4349999999999996</v>
      </c>
      <c r="AP877" s="25">
        <f>(AD877+AH877+AJ877+AL877+AO877)*I877</f>
        <v>22995.503935000001</v>
      </c>
      <c r="AQ877" s="25"/>
      <c r="AR877" s="25">
        <f>SUM(N877:Q877)</f>
        <v>5.9249999999999998</v>
      </c>
      <c r="AS877" s="25">
        <f>SUM(T877:W877)</f>
        <v>5.9249999999999998</v>
      </c>
      <c r="AT877" s="25"/>
      <c r="AV877" s="41"/>
      <c r="AW877" s="41"/>
      <c r="AX877" s="41"/>
      <c r="AY877" s="41"/>
    </row>
    <row r="878" spans="1:88" s="22" customFormat="1">
      <c r="A878" s="1">
        <v>607</v>
      </c>
      <c r="B878" s="34" t="s">
        <v>994</v>
      </c>
      <c r="C878" s="34">
        <v>554</v>
      </c>
      <c r="D878" s="34">
        <v>2140</v>
      </c>
      <c r="E878" s="34">
        <v>100</v>
      </c>
      <c r="F878" s="9" t="s">
        <v>1009</v>
      </c>
      <c r="G878" s="118">
        <v>0</v>
      </c>
      <c r="H878" s="118">
        <v>23233</v>
      </c>
      <c r="I878" s="35">
        <v>23.233000000000001</v>
      </c>
      <c r="J878" s="71">
        <v>2</v>
      </c>
      <c r="K878" s="34" t="s">
        <v>238</v>
      </c>
      <c r="L878" s="10">
        <v>42182</v>
      </c>
      <c r="M878" s="37" t="s">
        <v>191</v>
      </c>
      <c r="N878" s="38">
        <v>11.6</v>
      </c>
      <c r="O878" s="38">
        <v>6.08</v>
      </c>
      <c r="P878" s="38">
        <v>3.57</v>
      </c>
      <c r="Q878" s="38">
        <v>1.99</v>
      </c>
      <c r="R878" s="38">
        <v>3.6613500000000001</v>
      </c>
      <c r="S878" s="38">
        <f t="shared" si="104"/>
        <v>3.5</v>
      </c>
      <c r="T878" s="38">
        <v>20.76</v>
      </c>
      <c r="U878" s="38">
        <v>1.29</v>
      </c>
      <c r="V878" s="38">
        <v>0.73</v>
      </c>
      <c r="W878" s="38">
        <v>0.5</v>
      </c>
      <c r="X878" s="38">
        <v>4.6312600000000002</v>
      </c>
      <c r="Y878" s="38">
        <f t="shared" si="105"/>
        <v>4.5</v>
      </c>
      <c r="Z878" s="38">
        <v>0</v>
      </c>
      <c r="AA878" s="38">
        <v>0</v>
      </c>
      <c r="AB878" s="38">
        <v>23.24</v>
      </c>
      <c r="AC878" s="38">
        <v>1.1996899999999999</v>
      </c>
      <c r="AD878" s="39">
        <v>195</v>
      </c>
      <c r="AE878" s="38">
        <v>0</v>
      </c>
      <c r="AF878" s="38">
        <v>0.23980667892345248</v>
      </c>
      <c r="AG878" s="38">
        <f t="shared" si="106"/>
        <v>0.2</v>
      </c>
      <c r="AH878" s="38">
        <v>0</v>
      </c>
      <c r="AI878" s="38">
        <v>0</v>
      </c>
      <c r="AJ878" s="38">
        <v>0</v>
      </c>
      <c r="AK878" s="38">
        <v>0</v>
      </c>
      <c r="AL878" s="38">
        <v>0</v>
      </c>
      <c r="AM878" s="38">
        <f>AL878/(3.5*I878*1000)*100</f>
        <v>0</v>
      </c>
      <c r="AN878" s="60"/>
      <c r="AO878" s="60">
        <f>AE878*0.5</f>
        <v>0</v>
      </c>
      <c r="AP878" s="60">
        <f>(AD878+AH878+AJ878+AL878+AO878)*I878</f>
        <v>4530.4350000000004</v>
      </c>
      <c r="AQ878" s="25">
        <f>SUM(N878:Q878)</f>
        <v>23.24</v>
      </c>
      <c r="AR878" s="25">
        <f>SUM(T878:W878)</f>
        <v>23.28</v>
      </c>
      <c r="AS878" s="268">
        <v>23.233000000000001</v>
      </c>
      <c r="AT878" s="40"/>
      <c r="AU878" s="41">
        <f>SUM(N878:Q878)</f>
        <v>23.24</v>
      </c>
      <c r="AV878" s="41">
        <f>SUM(T878:W878)</f>
        <v>23.28</v>
      </c>
      <c r="AW878" s="41">
        <f>SUM(Z878:AB878)</f>
        <v>23.24</v>
      </c>
      <c r="AY878" s="22">
        <f>I878/AU878</f>
        <v>0.99969879518072302</v>
      </c>
      <c r="AZ878" s="22">
        <f>I878/AV878</f>
        <v>0.9979810996563574</v>
      </c>
      <c r="BA878" s="22">
        <f>I878/AW878</f>
        <v>0.99969879518072302</v>
      </c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</row>
    <row r="879" spans="1:88" s="22" customFormat="1">
      <c r="A879" s="1">
        <v>281</v>
      </c>
      <c r="B879" s="34" t="s">
        <v>484</v>
      </c>
      <c r="C879" s="34">
        <v>641</v>
      </c>
      <c r="D879" s="34">
        <v>2346</v>
      </c>
      <c r="E879" s="34">
        <v>100</v>
      </c>
      <c r="F879" s="34" t="s">
        <v>506</v>
      </c>
      <c r="G879" s="58">
        <v>0</v>
      </c>
      <c r="H879" s="58">
        <v>26100</v>
      </c>
      <c r="I879" s="35">
        <v>26.1</v>
      </c>
      <c r="J879" s="59">
        <v>2</v>
      </c>
      <c r="K879" s="34" t="s">
        <v>238</v>
      </c>
      <c r="L879" s="10">
        <v>42159</v>
      </c>
      <c r="M879" s="37" t="s">
        <v>191</v>
      </c>
      <c r="N879" s="38">
        <v>19.274999999999999</v>
      </c>
      <c r="O879" s="38">
        <v>5.45</v>
      </c>
      <c r="P879" s="38">
        <v>1.05</v>
      </c>
      <c r="Q879" s="38">
        <v>0.25</v>
      </c>
      <c r="R879" s="38">
        <v>2.3944800000000002</v>
      </c>
      <c r="S879" s="38">
        <f t="shared" si="104"/>
        <v>2.5</v>
      </c>
      <c r="T879" s="38">
        <v>25.6</v>
      </c>
      <c r="U879" s="38">
        <v>0.4</v>
      </c>
      <c r="V879" s="38">
        <v>2.5000000000000001E-2</v>
      </c>
      <c r="W879" s="38">
        <v>0</v>
      </c>
      <c r="X879" s="38">
        <v>3.0819100000000001</v>
      </c>
      <c r="Y879" s="38">
        <f t="shared" si="105"/>
        <v>3</v>
      </c>
      <c r="Z879" s="38">
        <v>0</v>
      </c>
      <c r="AA879" s="38">
        <v>0</v>
      </c>
      <c r="AB879" s="38">
        <f>T879+U879+V879+W879</f>
        <v>26.024999999999999</v>
      </c>
      <c r="AC879" s="38">
        <v>1.2381500000000001</v>
      </c>
      <c r="AD879" s="39">
        <v>157</v>
      </c>
      <c r="AE879" s="38">
        <v>124</v>
      </c>
      <c r="AF879" s="38">
        <f>(AD879+AE879*0.5)/(3.5*I879*1000)*100</f>
        <v>0.23973727422003283</v>
      </c>
      <c r="AG879" s="38">
        <f t="shared" si="106"/>
        <v>0.2</v>
      </c>
      <c r="AH879" s="38">
        <v>0</v>
      </c>
      <c r="AI879" s="38">
        <f>AH879/(3.5*I879*1000)*100</f>
        <v>0</v>
      </c>
      <c r="AJ879" s="38">
        <v>1</v>
      </c>
      <c r="AK879" s="38">
        <v>0</v>
      </c>
      <c r="AL879" s="38">
        <v>0</v>
      </c>
      <c r="AM879" s="38">
        <f>AL879/(3.5*I879*1000)*100</f>
        <v>0</v>
      </c>
      <c r="AN879" s="60"/>
      <c r="AO879" s="60">
        <f>AE879*0.5</f>
        <v>62</v>
      </c>
      <c r="AP879" s="60">
        <f>(AD879+AH879+AJ879+AL879+AO879)*I879</f>
        <v>5742</v>
      </c>
      <c r="AQ879" s="25">
        <f>SUM(N879:Q879)</f>
        <v>26.024999999999999</v>
      </c>
      <c r="AR879" s="25">
        <f>SUM(T879:W879)</f>
        <v>26.024999999999999</v>
      </c>
      <c r="AS879" s="61"/>
      <c r="AT879" s="40"/>
      <c r="AU879" s="41">
        <f>SUM(N879:Q879)</f>
        <v>26.024999999999999</v>
      </c>
      <c r="AV879" s="41">
        <f>SUM(T879:W879)</f>
        <v>26.024999999999999</v>
      </c>
      <c r="AW879" s="41">
        <f>SUM(Z879:AB879)</f>
        <v>26.024999999999999</v>
      </c>
      <c r="AX879" s="61"/>
      <c r="AY879" s="22">
        <f>I879/AU879</f>
        <v>1.0028818443804035</v>
      </c>
      <c r="AZ879" s="22">
        <f>I879/AV879</f>
        <v>1.0028818443804035</v>
      </c>
      <c r="BA879" s="22">
        <f>I879/AW879</f>
        <v>1.0028818443804035</v>
      </c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</row>
    <row r="880" spans="1:88" s="22" customFormat="1">
      <c r="A880" s="1">
        <v>404</v>
      </c>
      <c r="B880" s="74" t="s">
        <v>655</v>
      </c>
      <c r="C880" s="34">
        <v>511</v>
      </c>
      <c r="D880" s="75">
        <v>1064</v>
      </c>
      <c r="E880" s="69">
        <v>100</v>
      </c>
      <c r="F880" s="34" t="s">
        <v>676</v>
      </c>
      <c r="G880" s="20" t="s">
        <v>92</v>
      </c>
      <c r="H880" s="20" t="s">
        <v>677</v>
      </c>
      <c r="I880" s="21">
        <v>5.65</v>
      </c>
      <c r="J880" s="8" t="s">
        <v>237</v>
      </c>
      <c r="K880" s="34">
        <v>4</v>
      </c>
      <c r="L880" s="18">
        <v>42266</v>
      </c>
      <c r="M880" s="37" t="s">
        <v>191</v>
      </c>
      <c r="N880" s="38">
        <v>5.09</v>
      </c>
      <c r="O880" s="38">
        <v>0.38</v>
      </c>
      <c r="P880" s="38">
        <v>0.15</v>
      </c>
      <c r="Q880" s="38">
        <v>0.03</v>
      </c>
      <c r="R880" s="38">
        <v>1.8940399999999999</v>
      </c>
      <c r="S880" s="38">
        <f t="shared" si="104"/>
        <v>2</v>
      </c>
      <c r="T880" s="38">
        <v>5.5</v>
      </c>
      <c r="U880" s="38">
        <v>0.15</v>
      </c>
      <c r="V880" s="38">
        <v>0</v>
      </c>
      <c r="W880" s="38">
        <v>0</v>
      </c>
      <c r="X880" s="38">
        <v>4.5509700000000004</v>
      </c>
      <c r="Y880" s="38">
        <f t="shared" si="105"/>
        <v>4.5</v>
      </c>
      <c r="Z880" s="38">
        <v>0</v>
      </c>
      <c r="AA880" s="38">
        <v>0</v>
      </c>
      <c r="AB880" s="38">
        <v>5.65</v>
      </c>
      <c r="AC880" s="38">
        <v>1.17611</v>
      </c>
      <c r="AD880" s="39">
        <v>12.68</v>
      </c>
      <c r="AE880" s="38">
        <v>69.319999999999993</v>
      </c>
      <c r="AF880" s="38">
        <v>0.23939299999999999</v>
      </c>
      <c r="AG880" s="38">
        <f t="shared" si="106"/>
        <v>0.2</v>
      </c>
      <c r="AH880" s="38">
        <v>19.600000000000001</v>
      </c>
      <c r="AI880" s="38">
        <v>9.9114999999999995E-2</v>
      </c>
      <c r="AJ880" s="38">
        <v>0</v>
      </c>
      <c r="AK880" s="38">
        <v>0</v>
      </c>
      <c r="AL880" s="38">
        <v>0</v>
      </c>
      <c r="AM880" s="38">
        <v>0</v>
      </c>
      <c r="AN880" s="72"/>
      <c r="AO880" s="41"/>
      <c r="AP880" s="41"/>
      <c r="AQ880" s="41">
        <f>SUM(N880:Q880)</f>
        <v>5.65</v>
      </c>
      <c r="AR880" s="41">
        <f>SUM(T880:W880)</f>
        <v>5.65</v>
      </c>
      <c r="AS880" s="41">
        <f>SUM(Z880:AB880)</f>
        <v>5.65</v>
      </c>
      <c r="AU880" s="22">
        <f>I880/AQ880</f>
        <v>1</v>
      </c>
      <c r="AV880" s="22">
        <f>I880/AR880</f>
        <v>1</v>
      </c>
      <c r="AW880" s="22">
        <f>I880/AS880</f>
        <v>1</v>
      </c>
    </row>
    <row r="881" spans="1:88" s="22" customFormat="1">
      <c r="A881" s="1">
        <v>1439</v>
      </c>
      <c r="B881" s="34" t="s">
        <v>1987</v>
      </c>
      <c r="C881" s="34">
        <v>448</v>
      </c>
      <c r="D881" s="75">
        <v>33</v>
      </c>
      <c r="E881" s="69">
        <v>201</v>
      </c>
      <c r="F881" s="34" t="s">
        <v>1990</v>
      </c>
      <c r="G881" s="20">
        <v>40318</v>
      </c>
      <c r="H881" s="20">
        <v>12346</v>
      </c>
      <c r="I881" s="21">
        <v>27.972000000000001</v>
      </c>
      <c r="J881" s="8">
        <v>4</v>
      </c>
      <c r="K881" s="34" t="s">
        <v>96</v>
      </c>
      <c r="L881" s="10">
        <v>42182</v>
      </c>
      <c r="M881" s="37" t="s">
        <v>191</v>
      </c>
      <c r="N881" s="38">
        <v>22.125</v>
      </c>
      <c r="O881" s="38">
        <v>3.35</v>
      </c>
      <c r="P881" s="38">
        <v>1.9750000000000001</v>
      </c>
      <c r="Q881" s="38">
        <v>0.6</v>
      </c>
      <c r="R881" s="38">
        <v>2.3130000000000002</v>
      </c>
      <c r="S881" s="38">
        <f t="shared" si="104"/>
        <v>2.5</v>
      </c>
      <c r="T881" s="38">
        <v>25.475000000000001</v>
      </c>
      <c r="U881" s="38">
        <v>2.5750000000000002</v>
      </c>
      <c r="V881" s="38">
        <v>0</v>
      </c>
      <c r="W881" s="38">
        <v>0</v>
      </c>
      <c r="X881" s="38">
        <v>3.0179999999999998</v>
      </c>
      <c r="Y881" s="38">
        <f t="shared" si="105"/>
        <v>3</v>
      </c>
      <c r="Z881" s="38">
        <v>0</v>
      </c>
      <c r="AA881" s="38">
        <v>0</v>
      </c>
      <c r="AB881" s="38">
        <v>28.050000000000004</v>
      </c>
      <c r="AC881" s="38">
        <v>1.218</v>
      </c>
      <c r="AD881" s="39">
        <v>214.32</v>
      </c>
      <c r="AE881" s="38">
        <v>39.36</v>
      </c>
      <c r="AF881" s="38">
        <f>(AD881+AE881*0.5)/(3.5*I881*1000)*100</f>
        <v>0.23901452472881043</v>
      </c>
      <c r="AG881" s="38">
        <f t="shared" si="106"/>
        <v>0.2</v>
      </c>
      <c r="AH881" s="38">
        <v>57.31</v>
      </c>
      <c r="AI881" s="38">
        <f>AH881/(3.5*I881*1000)*100</f>
        <v>5.8538129966701401E-2</v>
      </c>
      <c r="AJ881" s="38">
        <v>0</v>
      </c>
      <c r="AK881" s="38">
        <f>AJ881/(3.5*I881*1000)*100</f>
        <v>0</v>
      </c>
      <c r="AL881" s="38">
        <v>0</v>
      </c>
      <c r="AM881" s="38">
        <f>AL881/(3.5*I881*1000)*100</f>
        <v>0</v>
      </c>
      <c r="AN881" s="72"/>
      <c r="AO881" s="41"/>
      <c r="AP881" s="41"/>
      <c r="AQ881" s="73"/>
      <c r="AR881" s="73"/>
      <c r="AS881" s="73"/>
      <c r="AT881" s="73"/>
      <c r="AU881" s="73"/>
      <c r="AV881" s="73"/>
    </row>
    <row r="882" spans="1:88" s="22" customFormat="1">
      <c r="A882" s="1">
        <v>319</v>
      </c>
      <c r="B882" s="34" t="s">
        <v>542</v>
      </c>
      <c r="C882" s="34">
        <v>644</v>
      </c>
      <c r="D882" s="34">
        <v>2177</v>
      </c>
      <c r="E882" s="34">
        <v>100</v>
      </c>
      <c r="F882" s="34" t="s">
        <v>551</v>
      </c>
      <c r="G882" s="58">
        <v>26250</v>
      </c>
      <c r="H882" s="58">
        <v>0</v>
      </c>
      <c r="I882" s="35">
        <v>26.25</v>
      </c>
      <c r="J882" s="62">
        <v>2</v>
      </c>
      <c r="K882" s="34" t="s">
        <v>12</v>
      </c>
      <c r="L882" s="10">
        <v>42158</v>
      </c>
      <c r="M882" s="37" t="s">
        <v>191</v>
      </c>
      <c r="N882" s="38">
        <v>19.54</v>
      </c>
      <c r="O882" s="38">
        <v>4.21</v>
      </c>
      <c r="P882" s="38">
        <v>1.58</v>
      </c>
      <c r="Q882" s="38">
        <v>0.93</v>
      </c>
      <c r="R882" s="38">
        <v>2.72403</v>
      </c>
      <c r="S882" s="38">
        <f t="shared" si="104"/>
        <v>2.5</v>
      </c>
      <c r="T882" s="38">
        <v>26.07</v>
      </c>
      <c r="U882" s="38">
        <v>0.1</v>
      </c>
      <c r="V882" s="38">
        <v>0.08</v>
      </c>
      <c r="W882" s="38">
        <v>0</v>
      </c>
      <c r="X882" s="38">
        <v>3.0339399999999999</v>
      </c>
      <c r="Y882" s="38">
        <f t="shared" si="105"/>
        <v>3</v>
      </c>
      <c r="Z882" s="38">
        <v>0</v>
      </c>
      <c r="AA882" s="38">
        <v>0</v>
      </c>
      <c r="AB882" s="38">
        <v>26.26</v>
      </c>
      <c r="AC882" s="38">
        <v>1.26983</v>
      </c>
      <c r="AD882" s="39">
        <v>166</v>
      </c>
      <c r="AE882" s="38">
        <v>107</v>
      </c>
      <c r="AF882" s="38">
        <v>0.23891000000000001</v>
      </c>
      <c r="AG882" s="38">
        <f t="shared" si="106"/>
        <v>0.2</v>
      </c>
      <c r="AH882" s="38">
        <v>234.99</v>
      </c>
      <c r="AI882" s="38">
        <v>0.25577</v>
      </c>
      <c r="AJ882" s="38">
        <v>0</v>
      </c>
      <c r="AK882" s="38">
        <v>0</v>
      </c>
      <c r="AL882" s="38">
        <v>0</v>
      </c>
      <c r="AM882" s="38">
        <v>0</v>
      </c>
      <c r="AN882" s="60"/>
      <c r="AO882" s="60">
        <f>AE882*0.5</f>
        <v>53.5</v>
      </c>
      <c r="AP882" s="60">
        <f>(AD882+AH882+AJ882+AL882+AO882)*I882</f>
        <v>11930.362500000001</v>
      </c>
      <c r="AQ882" s="25">
        <f>SUM(N882:Q882)</f>
        <v>26.259999999999998</v>
      </c>
      <c r="AR882" s="25">
        <f>SUM(T882:W882)</f>
        <v>26.25</v>
      </c>
      <c r="AS882" s="268">
        <v>26.25</v>
      </c>
      <c r="AT882" s="40"/>
      <c r="AU882" s="41">
        <f>SUM(N882:Q882)</f>
        <v>26.259999999999998</v>
      </c>
      <c r="AV882" s="41">
        <f>SUM(T882:W882)</f>
        <v>26.25</v>
      </c>
      <c r="AW882" s="41">
        <f>SUM(Z882:AB882)</f>
        <v>26.26</v>
      </c>
      <c r="AY882" s="22">
        <f>I882/AU882</f>
        <v>0.99961919268849975</v>
      </c>
      <c r="AZ882" s="22">
        <f>I882/AV882</f>
        <v>1</v>
      </c>
      <c r="BA882" s="22">
        <f>I882/AW882</f>
        <v>0.99961919268849952</v>
      </c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</row>
    <row r="883" spans="1:88" s="22" customFormat="1">
      <c r="A883" s="1">
        <v>67</v>
      </c>
      <c r="B883" s="4" t="s">
        <v>44</v>
      </c>
      <c r="C883" s="14">
        <v>524</v>
      </c>
      <c r="D883" s="19">
        <v>106</v>
      </c>
      <c r="E883" s="16">
        <v>203</v>
      </c>
      <c r="F883" s="14" t="s">
        <v>47</v>
      </c>
      <c r="G883" s="20" t="s">
        <v>131</v>
      </c>
      <c r="H883" s="20" t="s">
        <v>130</v>
      </c>
      <c r="I883" s="21">
        <v>31.023</v>
      </c>
      <c r="J883" s="8">
        <v>2</v>
      </c>
      <c r="K883" s="9" t="s">
        <v>12</v>
      </c>
      <c r="L883" s="18">
        <v>42228</v>
      </c>
      <c r="M883" s="37" t="s">
        <v>191</v>
      </c>
      <c r="N883" s="11">
        <v>18.324999999999999</v>
      </c>
      <c r="O883" s="11">
        <v>7.9</v>
      </c>
      <c r="P883" s="11">
        <v>3.65</v>
      </c>
      <c r="Q883" s="11">
        <v>1.35</v>
      </c>
      <c r="R883" s="11">
        <v>2.6003799999999999</v>
      </c>
      <c r="S883" s="38">
        <f t="shared" si="104"/>
        <v>2.5</v>
      </c>
      <c r="T883" s="11">
        <v>31.074999999999999</v>
      </c>
      <c r="U883" s="11">
        <v>0.125</v>
      </c>
      <c r="V883" s="11">
        <v>2.5000000000000001E-2</v>
      </c>
      <c r="W883" s="11">
        <v>0</v>
      </c>
      <c r="X883" s="11">
        <v>2.09219</v>
      </c>
      <c r="Y883" s="38">
        <f t="shared" si="105"/>
        <v>2</v>
      </c>
      <c r="Z883" s="11">
        <v>0</v>
      </c>
      <c r="AA883" s="11">
        <v>0</v>
      </c>
      <c r="AB883" s="11">
        <v>31.225000000000001</v>
      </c>
      <c r="AC883" s="11">
        <v>1.0559799999999999</v>
      </c>
      <c r="AD883" s="164">
        <v>258.63</v>
      </c>
      <c r="AE883" s="11">
        <v>0</v>
      </c>
      <c r="AF883" s="11">
        <f>(AD883+AE883*0.5)/(3.5*I883*1000)*100</f>
        <v>0.23819194054180998</v>
      </c>
      <c r="AG883" s="38">
        <f t="shared" si="106"/>
        <v>0.2</v>
      </c>
      <c r="AH883" s="11">
        <v>39.612000000000002</v>
      </c>
      <c r="AI883" s="11">
        <f>AH883/(3.5*I883*1000)*100</f>
        <v>3.6481688701009853E-2</v>
      </c>
      <c r="AJ883" s="11">
        <v>0</v>
      </c>
      <c r="AK883" s="11">
        <f>AJ883/(3.5*I883*1000)*100</f>
        <v>0</v>
      </c>
      <c r="AL883" s="11">
        <v>0.63</v>
      </c>
      <c r="AM883" s="11">
        <f>AL883/(3.5*I883*1000)*100</f>
        <v>5.8021467943138963E-4</v>
      </c>
      <c r="AN883" s="25"/>
      <c r="AO883" s="25"/>
    </row>
    <row r="884" spans="1:88" s="22" customFormat="1">
      <c r="A884" s="1">
        <v>2127</v>
      </c>
      <c r="B884" s="34" t="s">
        <v>2754</v>
      </c>
      <c r="C884" s="34">
        <v>324</v>
      </c>
      <c r="D884" s="75">
        <v>4031</v>
      </c>
      <c r="E884" s="8">
        <v>100</v>
      </c>
      <c r="F884" s="9" t="s">
        <v>2768</v>
      </c>
      <c r="G884" s="20">
        <v>13093</v>
      </c>
      <c r="H884" s="20">
        <v>0</v>
      </c>
      <c r="I884" s="21">
        <v>13.093</v>
      </c>
      <c r="J884" s="9">
        <v>2</v>
      </c>
      <c r="K884" s="34" t="s">
        <v>12</v>
      </c>
      <c r="L884" s="18">
        <v>42139</v>
      </c>
      <c r="M884" s="37" t="s">
        <v>191</v>
      </c>
      <c r="N884" s="38">
        <v>3.875</v>
      </c>
      <c r="O884" s="38">
        <v>4.55</v>
      </c>
      <c r="P884" s="38">
        <v>2.4249999999999998</v>
      </c>
      <c r="Q884" s="38">
        <v>1.9</v>
      </c>
      <c r="R884" s="38">
        <v>3.6432899999999999</v>
      </c>
      <c r="S884" s="38">
        <f t="shared" si="104"/>
        <v>3.5</v>
      </c>
      <c r="T884" s="38">
        <v>11.574999999999999</v>
      </c>
      <c r="U884" s="38">
        <v>0.375</v>
      </c>
      <c r="V884" s="38">
        <v>7.4999999999999997E-2</v>
      </c>
      <c r="W884" s="38">
        <v>0.72499999999999998</v>
      </c>
      <c r="X884" s="38">
        <v>5.4568700000000003</v>
      </c>
      <c r="Y884" s="38">
        <f t="shared" si="105"/>
        <v>5.5</v>
      </c>
      <c r="Z884" s="38">
        <v>0</v>
      </c>
      <c r="AA884" s="38">
        <v>0</v>
      </c>
      <c r="AB884" s="38">
        <v>12.750000000000002</v>
      </c>
      <c r="AC884" s="38">
        <v>1.71638</v>
      </c>
      <c r="AD884" s="39">
        <v>96.26</v>
      </c>
      <c r="AE884" s="38">
        <v>25.16</v>
      </c>
      <c r="AF884" s="38">
        <v>0.23750968347317544</v>
      </c>
      <c r="AG884" s="38">
        <f t="shared" si="106"/>
        <v>0.2</v>
      </c>
      <c r="AH884" s="38">
        <v>69</v>
      </c>
      <c r="AI884" s="38">
        <v>0.15057118853040338</v>
      </c>
      <c r="AJ884" s="38">
        <v>69.94</v>
      </c>
      <c r="AK884" s="38">
        <v>0.15262244820023785</v>
      </c>
      <c r="AL884" s="38">
        <v>0</v>
      </c>
      <c r="AM884" s="38">
        <v>0</v>
      </c>
      <c r="AN884" s="41"/>
      <c r="AO884" s="41"/>
      <c r="AP884" s="73"/>
      <c r="AQ884" s="73"/>
      <c r="AR884" s="73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</row>
    <row r="885" spans="1:88" s="22" customFormat="1">
      <c r="A885" s="1">
        <v>1437</v>
      </c>
      <c r="B885" s="34" t="s">
        <v>1987</v>
      </c>
      <c r="C885" s="34">
        <v>448</v>
      </c>
      <c r="D885" s="75">
        <v>32</v>
      </c>
      <c r="E885" s="69">
        <v>202</v>
      </c>
      <c r="F885" s="34" t="s">
        <v>1989</v>
      </c>
      <c r="G885" s="20">
        <v>66800</v>
      </c>
      <c r="H885" s="20">
        <v>49087</v>
      </c>
      <c r="I885" s="21">
        <v>17.713000000000001</v>
      </c>
      <c r="J885" s="8">
        <v>8</v>
      </c>
      <c r="K885" s="34" t="s">
        <v>672</v>
      </c>
      <c r="L885" s="10">
        <v>42182</v>
      </c>
      <c r="M885" s="37" t="s">
        <v>191</v>
      </c>
      <c r="N885" s="38">
        <v>11.1</v>
      </c>
      <c r="O885" s="38">
        <v>4.1500000000000004</v>
      </c>
      <c r="P885" s="38">
        <v>2.0499999999999998</v>
      </c>
      <c r="Q885" s="38">
        <v>0.32500000000000001</v>
      </c>
      <c r="R885" s="38">
        <v>2.4009999999999998</v>
      </c>
      <c r="S885" s="38">
        <f t="shared" si="104"/>
        <v>2.5</v>
      </c>
      <c r="T885" s="38">
        <v>14.15</v>
      </c>
      <c r="U885" s="38">
        <v>2.125</v>
      </c>
      <c r="V885" s="38">
        <v>1.2749999999999999</v>
      </c>
      <c r="W885" s="38">
        <v>7.4999999999999997E-2</v>
      </c>
      <c r="X885" s="38">
        <v>5.7539999999999996</v>
      </c>
      <c r="Y885" s="38">
        <f t="shared" si="105"/>
        <v>6</v>
      </c>
      <c r="Z885" s="38">
        <v>0</v>
      </c>
      <c r="AA885" s="38">
        <v>0</v>
      </c>
      <c r="AB885" s="38">
        <v>17.625</v>
      </c>
      <c r="AC885" s="38">
        <v>1.198</v>
      </c>
      <c r="AD885" s="39">
        <v>84.12</v>
      </c>
      <c r="AE885" s="38">
        <v>125.69</v>
      </c>
      <c r="AF885" s="38">
        <f>(AD885+AE885*0.5)/(3.5*I885*1000)*100</f>
        <v>0.23705752836899449</v>
      </c>
      <c r="AG885" s="38">
        <f t="shared" si="106"/>
        <v>0.2</v>
      </c>
      <c r="AH885" s="38">
        <v>25.62</v>
      </c>
      <c r="AI885" s="38">
        <f>AH885/(3.5*I885*1000)*100</f>
        <v>4.1325580082425331E-2</v>
      </c>
      <c r="AJ885" s="38">
        <v>10.5</v>
      </c>
      <c r="AK885" s="38">
        <f>AJ885/(3.5*I885*1000)*100</f>
        <v>1.6936713148534972E-2</v>
      </c>
      <c r="AL885" s="38">
        <v>0</v>
      </c>
      <c r="AM885" s="38">
        <f>AL885/(3.5*I885*1000)*100</f>
        <v>0</v>
      </c>
      <c r="AN885" s="72"/>
      <c r="AO885" s="41"/>
      <c r="AP885" s="41"/>
      <c r="AQ885" s="73"/>
      <c r="AR885" s="73"/>
      <c r="AS885" s="73"/>
      <c r="AT885" s="73"/>
      <c r="AU885" s="73"/>
      <c r="AV885" s="73"/>
    </row>
    <row r="886" spans="1:88" s="22" customFormat="1">
      <c r="A886" s="1">
        <v>1715</v>
      </c>
      <c r="B886" s="34" t="s">
        <v>2308</v>
      </c>
      <c r="C886" s="34">
        <v>422</v>
      </c>
      <c r="D886" s="8">
        <v>3127</v>
      </c>
      <c r="E886" s="34">
        <v>100</v>
      </c>
      <c r="F886" s="34" t="s">
        <v>2313</v>
      </c>
      <c r="G886" s="58">
        <v>18935</v>
      </c>
      <c r="H886" s="58">
        <v>6992</v>
      </c>
      <c r="I886" s="35">
        <v>11.943</v>
      </c>
      <c r="J886" s="9">
        <v>2</v>
      </c>
      <c r="K886" s="34" t="s">
        <v>12</v>
      </c>
      <c r="L886" s="10">
        <v>42229</v>
      </c>
      <c r="M886" s="37" t="s">
        <v>191</v>
      </c>
      <c r="N886" s="38">
        <v>4.66</v>
      </c>
      <c r="O886" s="38">
        <v>3.27</v>
      </c>
      <c r="P886" s="38">
        <v>2.14</v>
      </c>
      <c r="Q886" s="38">
        <v>1.88</v>
      </c>
      <c r="R886" s="38">
        <v>3.1870599999999998</v>
      </c>
      <c r="S886" s="38">
        <f t="shared" si="104"/>
        <v>3</v>
      </c>
      <c r="T886" s="38">
        <v>10.220000000000001</v>
      </c>
      <c r="U886" s="38">
        <v>1.38</v>
      </c>
      <c r="V886" s="38">
        <v>0.33</v>
      </c>
      <c r="W886" s="38">
        <v>0.03</v>
      </c>
      <c r="X886" s="38">
        <v>6.7101800000000003</v>
      </c>
      <c r="Y886" s="38">
        <f t="shared" si="105"/>
        <v>6.5</v>
      </c>
      <c r="Z886" s="38">
        <v>0</v>
      </c>
      <c r="AA886" s="38">
        <v>0</v>
      </c>
      <c r="AB886" s="35">
        <v>11.943</v>
      </c>
      <c r="AC886" s="38">
        <v>1.08561</v>
      </c>
      <c r="AD886" s="39">
        <v>94.55</v>
      </c>
      <c r="AE886" s="38">
        <v>8.7799999999999994</v>
      </c>
      <c r="AF886" s="38">
        <v>0.23669999999999999</v>
      </c>
      <c r="AG886" s="38">
        <f t="shared" si="106"/>
        <v>0.2</v>
      </c>
      <c r="AH886" s="38">
        <v>0</v>
      </c>
      <c r="AI886" s="38">
        <v>0</v>
      </c>
      <c r="AJ886" s="38">
        <v>0</v>
      </c>
      <c r="AK886" s="38">
        <v>0</v>
      </c>
      <c r="AL886" s="38">
        <v>0</v>
      </c>
      <c r="AM886" s="55">
        <v>0</v>
      </c>
      <c r="AO886" s="22">
        <f>AE886*0.5</f>
        <v>4.3899999999999997</v>
      </c>
      <c r="AP886" s="41">
        <f>(AD886+AH886+AJ886+AL886+AO886)*I886</f>
        <v>1181.6404199999999</v>
      </c>
      <c r="AQ886" s="25">
        <f>SUM(N886:Q886)</f>
        <v>11.95</v>
      </c>
      <c r="AR886" s="25">
        <f>SUM(T886:W886)</f>
        <v>11.96</v>
      </c>
      <c r="AS886" s="268">
        <v>11.943</v>
      </c>
      <c r="AU886" s="25">
        <f>AS886-AQ886</f>
        <v>-6.9999999999996732E-3</v>
      </c>
      <c r="AV886" s="41">
        <f>SUM(N886:Q886)</f>
        <v>11.95</v>
      </c>
      <c r="AW886" s="41">
        <f>SUM(T886:W886)</f>
        <v>11.96</v>
      </c>
      <c r="AX886" s="41">
        <f>SUM(Z886:AB886)</f>
        <v>11.943</v>
      </c>
      <c r="AZ886" s="22">
        <f>I886/AV886</f>
        <v>0.9994142259414226</v>
      </c>
      <c r="BA886" s="22">
        <f>I886/AW886</f>
        <v>0.99857859531772564</v>
      </c>
      <c r="BB886" s="22">
        <f>I886/AX886</f>
        <v>1</v>
      </c>
    </row>
    <row r="887" spans="1:88" s="22" customFormat="1">
      <c r="A887" s="1">
        <v>241</v>
      </c>
      <c r="B887" s="34" t="s">
        <v>436</v>
      </c>
      <c r="C887" s="34">
        <v>537</v>
      </c>
      <c r="D887" s="34">
        <v>1174</v>
      </c>
      <c r="E887" s="34">
        <v>102</v>
      </c>
      <c r="F887" s="34" t="s">
        <v>458</v>
      </c>
      <c r="G887" s="20">
        <v>43504</v>
      </c>
      <c r="H887" s="20">
        <v>84182</v>
      </c>
      <c r="I887" s="35">
        <v>40.677999999999997</v>
      </c>
      <c r="J887" s="33">
        <v>2</v>
      </c>
      <c r="K887" s="34" t="s">
        <v>238</v>
      </c>
      <c r="L887" s="10">
        <v>42199</v>
      </c>
      <c r="M887" s="37" t="s">
        <v>191</v>
      </c>
      <c r="N887" s="38">
        <v>23.47</v>
      </c>
      <c r="O887" s="38">
        <v>11.71</v>
      </c>
      <c r="P887" s="38">
        <v>3.72</v>
      </c>
      <c r="Q887" s="38">
        <v>1.79</v>
      </c>
      <c r="R887" s="38">
        <v>2.661</v>
      </c>
      <c r="S887" s="38">
        <f t="shared" si="104"/>
        <v>2.5</v>
      </c>
      <c r="T887" s="38">
        <v>36.86</v>
      </c>
      <c r="U887" s="38">
        <v>2.74</v>
      </c>
      <c r="V887" s="38">
        <v>0.83</v>
      </c>
      <c r="W887" s="38">
        <v>0.25</v>
      </c>
      <c r="X887" s="38">
        <v>5.5339999999999998</v>
      </c>
      <c r="Y887" s="38">
        <f t="shared" si="105"/>
        <v>5.5</v>
      </c>
      <c r="Z887" s="38">
        <v>0</v>
      </c>
      <c r="AA887" s="38">
        <v>0</v>
      </c>
      <c r="AB887" s="38">
        <v>40.68</v>
      </c>
      <c r="AC887" s="38">
        <v>1.137</v>
      </c>
      <c r="AD887" s="39">
        <v>336.06</v>
      </c>
      <c r="AE887" s="38">
        <v>0.8</v>
      </c>
      <c r="AF887" s="38">
        <v>0.23632289830234662</v>
      </c>
      <c r="AG887" s="38">
        <f t="shared" si="106"/>
        <v>0.2</v>
      </c>
      <c r="AH887" s="38">
        <v>83.53</v>
      </c>
      <c r="AI887" s="38">
        <v>5.8669832060854243E-2</v>
      </c>
      <c r="AJ887" s="38">
        <v>32.93</v>
      </c>
      <c r="AK887" s="55">
        <v>2.3129385487416856E-2</v>
      </c>
      <c r="AL887" s="55">
        <v>3.25</v>
      </c>
      <c r="AM887" s="55">
        <v>2.2827361929579344E-3</v>
      </c>
      <c r="AN887" s="40"/>
      <c r="AO887" s="25">
        <f>SUM(N887:Q887)</f>
        <v>40.69</v>
      </c>
      <c r="AP887" s="25">
        <f>SUM(T887:W887)</f>
        <v>40.68</v>
      </c>
      <c r="AQ887" s="268">
        <v>40.677999999999997</v>
      </c>
      <c r="AR887" s="41"/>
      <c r="AS887" s="41"/>
      <c r="AT887" s="41"/>
      <c r="AU887" s="41">
        <f>SUM(N887:Q887)</f>
        <v>40.69</v>
      </c>
      <c r="AV887" s="41">
        <f>SUM(T887:W887)</f>
        <v>40.68</v>
      </c>
      <c r="AW887" s="41">
        <f>SUM(Z887:AB887)</f>
        <v>40.68</v>
      </c>
      <c r="AY887" s="22">
        <f>I887/AU887</f>
        <v>0.99970508724502338</v>
      </c>
      <c r="AZ887" s="22">
        <f>I887/AV887</f>
        <v>0.99995083579154365</v>
      </c>
      <c r="BA887" s="22">
        <f>I887/AW887</f>
        <v>0.99995083579154365</v>
      </c>
    </row>
    <row r="888" spans="1:88" s="22" customFormat="1">
      <c r="A888" s="1">
        <v>1236</v>
      </c>
      <c r="B888" s="34" t="s">
        <v>1725</v>
      </c>
      <c r="C888" s="88">
        <v>437</v>
      </c>
      <c r="D888" s="88">
        <v>3005</v>
      </c>
      <c r="E888" s="88">
        <v>100</v>
      </c>
      <c r="F888" s="88" t="s">
        <v>1742</v>
      </c>
      <c r="G888" s="88" t="s">
        <v>1744</v>
      </c>
      <c r="H888" s="88" t="s">
        <v>1745</v>
      </c>
      <c r="I888" s="115">
        <v>14.51</v>
      </c>
      <c r="J888" s="88">
        <v>4</v>
      </c>
      <c r="K888" s="88" t="s">
        <v>96</v>
      </c>
      <c r="L888" s="116">
        <v>42282</v>
      </c>
      <c r="M888" s="37" t="s">
        <v>191</v>
      </c>
      <c r="N888" s="38">
        <v>8.8000000000000007</v>
      </c>
      <c r="O888" s="38">
        <v>3.8</v>
      </c>
      <c r="P888" s="38">
        <v>1.625</v>
      </c>
      <c r="Q888" s="38">
        <v>0.67500000000000004</v>
      </c>
      <c r="R888" s="38">
        <v>2.6077900000000001</v>
      </c>
      <c r="S888" s="38">
        <f t="shared" si="104"/>
        <v>2.5</v>
      </c>
      <c r="T888" s="38">
        <v>14.625</v>
      </c>
      <c r="U888" s="38">
        <v>0.25</v>
      </c>
      <c r="V888" s="38">
        <v>2.5000000000000001E-2</v>
      </c>
      <c r="W888" s="38">
        <v>0</v>
      </c>
      <c r="X888" s="38">
        <v>3.3519600000000001</v>
      </c>
      <c r="Y888" s="38">
        <f t="shared" si="105"/>
        <v>3.5</v>
      </c>
      <c r="Z888" s="38">
        <v>0</v>
      </c>
      <c r="AA888" s="117">
        <v>0</v>
      </c>
      <c r="AB888" s="117">
        <v>14.51</v>
      </c>
      <c r="AC888" s="117">
        <v>1.2299100000000001</v>
      </c>
      <c r="AD888" s="254">
        <v>115.62</v>
      </c>
      <c r="AE888" s="117">
        <v>6.2</v>
      </c>
      <c r="AF888" s="117">
        <f t="shared" ref="AF888:AF893" si="111">(AD888+AE888*0.5)/(3.5*I888*1000)*100</f>
        <v>0.23376981392143351</v>
      </c>
      <c r="AG888" s="38">
        <f t="shared" si="106"/>
        <v>0.2</v>
      </c>
      <c r="AH888" s="117">
        <v>96.35</v>
      </c>
      <c r="AI888" s="117">
        <f t="shared" ref="AI888:AI893" si="112">AH888/(3.5*I888*1000)*100</f>
        <v>0.18972137442158116</v>
      </c>
      <c r="AJ888" s="117">
        <v>0</v>
      </c>
      <c r="AK888" s="117">
        <f t="shared" ref="AK888:AK893" si="113">AJ888/(3.5*I888*1000)*100</f>
        <v>0</v>
      </c>
      <c r="AL888" s="117">
        <v>0</v>
      </c>
      <c r="AM888" s="117">
        <f>AJ888/(3.5*I888*1000)*100</f>
        <v>0</v>
      </c>
      <c r="AN888" s="12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</row>
    <row r="889" spans="1:88" s="22" customFormat="1">
      <c r="A889" s="1">
        <v>110</v>
      </c>
      <c r="B889" s="4" t="s">
        <v>78</v>
      </c>
      <c r="C889" s="14">
        <v>527</v>
      </c>
      <c r="D889" s="19">
        <v>1001</v>
      </c>
      <c r="E889" s="16">
        <v>200</v>
      </c>
      <c r="F889" s="31" t="s">
        <v>81</v>
      </c>
      <c r="G889" s="20" t="s">
        <v>95</v>
      </c>
      <c r="H889" s="20" t="s">
        <v>215</v>
      </c>
      <c r="I889" s="21">
        <v>59.517000000000003</v>
      </c>
      <c r="J889" s="8">
        <v>2</v>
      </c>
      <c r="K889" s="9" t="s">
        <v>238</v>
      </c>
      <c r="L889" s="18">
        <v>42242</v>
      </c>
      <c r="M889" s="37" t="s">
        <v>191</v>
      </c>
      <c r="N889" s="11">
        <v>43.1</v>
      </c>
      <c r="O889" s="11">
        <v>12.64</v>
      </c>
      <c r="P889" s="11">
        <v>3.14</v>
      </c>
      <c r="Q889" s="11">
        <v>0.65</v>
      </c>
      <c r="R889" s="11">
        <v>2.23787</v>
      </c>
      <c r="S889" s="38">
        <f t="shared" si="104"/>
        <v>2</v>
      </c>
      <c r="T889" s="11">
        <v>59.07</v>
      </c>
      <c r="U889" s="11">
        <v>0.42</v>
      </c>
      <c r="V889" s="11">
        <v>0</v>
      </c>
      <c r="W889" s="11">
        <v>0.02</v>
      </c>
      <c r="X889" s="11">
        <v>2.6686700000000001</v>
      </c>
      <c r="Y889" s="38">
        <f t="shared" si="105"/>
        <v>2.5</v>
      </c>
      <c r="Z889" s="11">
        <v>0</v>
      </c>
      <c r="AA889" s="11">
        <v>0</v>
      </c>
      <c r="AB889" s="11">
        <v>59.52</v>
      </c>
      <c r="AC889" s="11">
        <v>1.1842999999999999</v>
      </c>
      <c r="AD889" s="164">
        <v>275.92</v>
      </c>
      <c r="AE889" s="11">
        <v>419.91</v>
      </c>
      <c r="AF889" s="11">
        <f t="shared" si="111"/>
        <v>0.2332466834205833</v>
      </c>
      <c r="AG889" s="38">
        <f t="shared" si="106"/>
        <v>0.2</v>
      </c>
      <c r="AH889" s="11">
        <v>0</v>
      </c>
      <c r="AI889" s="11">
        <f t="shared" si="112"/>
        <v>0</v>
      </c>
      <c r="AJ889" s="11">
        <v>4</v>
      </c>
      <c r="AK889" s="11">
        <f t="shared" si="113"/>
        <v>1.9202196731306061E-3</v>
      </c>
      <c r="AL889" s="11">
        <v>0</v>
      </c>
      <c r="AM889" s="11">
        <f>AL889/(3.5*I889*1000)*100</f>
        <v>0</v>
      </c>
      <c r="AO889" s="25"/>
      <c r="AP889" s="25">
        <f>SUM(N889:Q889)</f>
        <v>59.53</v>
      </c>
      <c r="AQ889" s="25">
        <f>SUM(T889:W889)</f>
        <v>59.510000000000005</v>
      </c>
      <c r="AR889" s="25">
        <f>SUM(Z889:AB889)</f>
        <v>59.52</v>
      </c>
      <c r="AT889" s="22">
        <f>I889/AP889</f>
        <v>0.99978162271123805</v>
      </c>
      <c r="AU889" s="22">
        <f>I889/AQ889</f>
        <v>1.0001176272895311</v>
      </c>
      <c r="AV889" s="22">
        <f>I889/AR889</f>
        <v>0.99994959677419359</v>
      </c>
    </row>
    <row r="890" spans="1:88" s="22" customFormat="1">
      <c r="A890" s="1">
        <v>12</v>
      </c>
      <c r="B890" s="4" t="s">
        <v>8</v>
      </c>
      <c r="C890" s="14">
        <v>521</v>
      </c>
      <c r="D890" s="19">
        <v>1012</v>
      </c>
      <c r="E890" s="16">
        <v>100</v>
      </c>
      <c r="F890" s="14" t="s">
        <v>14</v>
      </c>
      <c r="G890" s="20">
        <v>0</v>
      </c>
      <c r="H890" s="20">
        <v>14900</v>
      </c>
      <c r="I890" s="21">
        <v>14.9</v>
      </c>
      <c r="J890" s="8">
        <v>2</v>
      </c>
      <c r="K890" s="9" t="s">
        <v>238</v>
      </c>
      <c r="L890" s="18">
        <v>42231</v>
      </c>
      <c r="M890" s="37" t="s">
        <v>191</v>
      </c>
      <c r="N890" s="11">
        <v>1.925</v>
      </c>
      <c r="O890" s="11">
        <v>4.125</v>
      </c>
      <c r="P890" s="11">
        <v>5</v>
      </c>
      <c r="Q890" s="11">
        <v>3.9249999999999998</v>
      </c>
      <c r="R890" s="11">
        <v>4.1885300000000001</v>
      </c>
      <c r="S890" s="38">
        <f t="shared" si="104"/>
        <v>4</v>
      </c>
      <c r="T890" s="11">
        <v>14.824999999999999</v>
      </c>
      <c r="U890" s="11">
        <v>0.1</v>
      </c>
      <c r="V890" s="11">
        <v>0.05</v>
      </c>
      <c r="W890" s="11">
        <v>0</v>
      </c>
      <c r="X890" s="11">
        <v>1.9483299999999999</v>
      </c>
      <c r="Y890" s="38">
        <f t="shared" si="105"/>
        <v>2</v>
      </c>
      <c r="Z890" s="11">
        <v>0</v>
      </c>
      <c r="AA890" s="11">
        <v>0</v>
      </c>
      <c r="AB890" s="11">
        <v>14.975000000000001</v>
      </c>
      <c r="AC890" s="11">
        <v>1.1577900000000001</v>
      </c>
      <c r="AD890" s="164">
        <v>115.36</v>
      </c>
      <c r="AE890" s="11">
        <v>11.32</v>
      </c>
      <c r="AF890" s="11">
        <f t="shared" si="111"/>
        <v>0.23206136145733464</v>
      </c>
      <c r="AG890" s="38">
        <f t="shared" si="106"/>
        <v>0.2</v>
      </c>
      <c r="AH890" s="11">
        <v>2.57</v>
      </c>
      <c r="AI890" s="11">
        <f t="shared" si="112"/>
        <v>4.9280920421860015E-3</v>
      </c>
      <c r="AJ890" s="11">
        <v>1.32</v>
      </c>
      <c r="AK890" s="11">
        <f t="shared" si="113"/>
        <v>2.5311601150527327E-3</v>
      </c>
      <c r="AL890" s="11">
        <v>0</v>
      </c>
      <c r="AM890" s="11">
        <f>AL890/(3.5*I890*1000)*100</f>
        <v>0</v>
      </c>
      <c r="AQ890" s="12">
        <f>N890+O890+P890+Q890</f>
        <v>14.975000000000001</v>
      </c>
      <c r="AR890" s="12">
        <f>T890+U890+V890+W890</f>
        <v>14.975</v>
      </c>
      <c r="AS890" s="12">
        <f>Z890+AA890+AB890</f>
        <v>14.975000000000001</v>
      </c>
      <c r="AU890" s="22">
        <v>1.0050335570469799</v>
      </c>
      <c r="AV890" s="22">
        <v>1.0050335570469797</v>
      </c>
      <c r="AW890" s="22">
        <v>1.0050335570469799</v>
      </c>
    </row>
    <row r="891" spans="1:88" s="22" customFormat="1">
      <c r="A891" s="1">
        <v>1762</v>
      </c>
      <c r="B891" s="34" t="s">
        <v>2348</v>
      </c>
      <c r="C891" s="34">
        <v>425</v>
      </c>
      <c r="D891" s="8">
        <v>3447</v>
      </c>
      <c r="E891" s="34">
        <v>101</v>
      </c>
      <c r="F891" s="34" t="s">
        <v>2363</v>
      </c>
      <c r="G891" s="58">
        <v>0</v>
      </c>
      <c r="H891" s="58">
        <v>7569</v>
      </c>
      <c r="I891" s="35">
        <v>7.569</v>
      </c>
      <c r="J891" s="9">
        <v>2</v>
      </c>
      <c r="K891" s="34" t="s">
        <v>238</v>
      </c>
      <c r="L891" s="10">
        <v>42235</v>
      </c>
      <c r="M891" s="37" t="s">
        <v>191</v>
      </c>
      <c r="N891" s="38">
        <v>4.4749999999999996</v>
      </c>
      <c r="O891" s="38">
        <v>1.7</v>
      </c>
      <c r="P891" s="38">
        <v>0.9</v>
      </c>
      <c r="Q891" s="38">
        <v>0.5</v>
      </c>
      <c r="R891" s="38">
        <v>2.9097200000000001</v>
      </c>
      <c r="S891" s="38">
        <f t="shared" si="104"/>
        <v>3</v>
      </c>
      <c r="T891" s="38">
        <v>7.3250000000000002</v>
      </c>
      <c r="U891" s="38">
        <v>0.2</v>
      </c>
      <c r="V891" s="38">
        <v>0.05</v>
      </c>
      <c r="W891" s="38">
        <v>0</v>
      </c>
      <c r="X891" s="38">
        <v>4.4138500000000001</v>
      </c>
      <c r="Y891" s="38">
        <f t="shared" si="105"/>
        <v>4.5</v>
      </c>
      <c r="Z891" s="38">
        <v>0</v>
      </c>
      <c r="AA891" s="38">
        <v>0</v>
      </c>
      <c r="AB891" s="38">
        <f>SUM(T891:W891)</f>
        <v>7.5750000000000002</v>
      </c>
      <c r="AC891" s="38">
        <v>1.21052</v>
      </c>
      <c r="AD891" s="39">
        <v>61.17</v>
      </c>
      <c r="AE891" s="38">
        <v>0</v>
      </c>
      <c r="AF891" s="38">
        <f t="shared" si="111"/>
        <v>0.23090425230734385</v>
      </c>
      <c r="AG891" s="38">
        <f t="shared" si="106"/>
        <v>0.2</v>
      </c>
      <c r="AH891" s="38">
        <v>37.369999999999997</v>
      </c>
      <c r="AI891" s="38">
        <f t="shared" si="112"/>
        <v>0.14106411490478077</v>
      </c>
      <c r="AJ891" s="38">
        <v>51</v>
      </c>
      <c r="AK891" s="38">
        <f t="shared" si="113"/>
        <v>0.19251458014834946</v>
      </c>
      <c r="AL891" s="38">
        <v>8.0299999999999994</v>
      </c>
      <c r="AM891" s="55">
        <f>AL891/(3.5*I891*1000)*100</f>
        <v>3.0311609384142083E-2</v>
      </c>
      <c r="AN891" s="25"/>
      <c r="AO891" s="25">
        <f>AE891*0.5</f>
        <v>0</v>
      </c>
      <c r="AP891" s="25">
        <f>(AD891+AH891+AJ891+AL891+AO891)*I891</f>
        <v>1192.64733</v>
      </c>
      <c r="AQ891" s="25">
        <f>SUM(N891:Q891)</f>
        <v>7.5750000000000002</v>
      </c>
      <c r="AR891" s="25">
        <f>SUM(T891:W891)</f>
        <v>7.5750000000000002</v>
      </c>
      <c r="AT891" s="41"/>
      <c r="AU891" s="41"/>
      <c r="AV891" s="41"/>
      <c r="AW891" s="41"/>
    </row>
    <row r="892" spans="1:88" s="22" customFormat="1">
      <c r="A892" s="1">
        <v>1042</v>
      </c>
      <c r="B892" s="9" t="s">
        <v>1394</v>
      </c>
      <c r="C892" s="9">
        <v>617</v>
      </c>
      <c r="D892" s="8">
        <v>2440</v>
      </c>
      <c r="E892" s="9">
        <v>100</v>
      </c>
      <c r="F892" s="9" t="s">
        <v>1441</v>
      </c>
      <c r="G892" s="20">
        <v>0</v>
      </c>
      <c r="H892" s="20">
        <v>8647</v>
      </c>
      <c r="I892" s="35">
        <v>8.6470000000000002</v>
      </c>
      <c r="J892" s="9">
        <v>2</v>
      </c>
      <c r="K892" s="9" t="s">
        <v>238</v>
      </c>
      <c r="L892" s="18">
        <v>42129</v>
      </c>
      <c r="M892" s="37" t="s">
        <v>191</v>
      </c>
      <c r="N892" s="11">
        <v>5.0250000000000004</v>
      </c>
      <c r="O892" s="11">
        <v>3.15</v>
      </c>
      <c r="P892" s="11">
        <v>0.375</v>
      </c>
      <c r="Q892" s="11">
        <v>7.4999999999999997E-2</v>
      </c>
      <c r="R892" s="11">
        <v>2.4173200000000001</v>
      </c>
      <c r="S892" s="38">
        <f t="shared" si="104"/>
        <v>2.5</v>
      </c>
      <c r="T892" s="11">
        <v>8.6</v>
      </c>
      <c r="U892" s="11">
        <v>2.5000000000000001E-2</v>
      </c>
      <c r="V892" s="11">
        <v>0</v>
      </c>
      <c r="W892" s="11">
        <v>0</v>
      </c>
      <c r="X892" s="11">
        <v>2.6302300000000001</v>
      </c>
      <c r="Y892" s="38">
        <f t="shared" si="105"/>
        <v>2.5</v>
      </c>
      <c r="Z892" s="11">
        <v>0</v>
      </c>
      <c r="AA892" s="11">
        <v>0</v>
      </c>
      <c r="AB892" s="11">
        <f>SUM(N892:Q892)</f>
        <v>8.625</v>
      </c>
      <c r="AC892" s="11">
        <v>1.36663</v>
      </c>
      <c r="AD892" s="164">
        <v>3.09</v>
      </c>
      <c r="AE892" s="11">
        <v>133.41</v>
      </c>
      <c r="AF892" s="11">
        <f t="shared" si="111"/>
        <v>0.23061672917114112</v>
      </c>
      <c r="AG892" s="38">
        <f t="shared" si="106"/>
        <v>0.2</v>
      </c>
      <c r="AH892" s="11">
        <v>10.49</v>
      </c>
      <c r="AI892" s="38">
        <f t="shared" si="112"/>
        <v>3.4661071552478974E-2</v>
      </c>
      <c r="AJ892" s="11">
        <v>4.08</v>
      </c>
      <c r="AK892" s="38">
        <f t="shared" si="113"/>
        <v>1.3481141271126236E-2</v>
      </c>
      <c r="AL892" s="11">
        <v>0</v>
      </c>
      <c r="AM892" s="38">
        <f>AL892/(3.5*I892*1000)*100</f>
        <v>0</v>
      </c>
      <c r="AN892" s="25"/>
      <c r="AO892" s="25">
        <f>AE892*0.5</f>
        <v>66.704999999999998</v>
      </c>
      <c r="AP892" s="25">
        <f>(AD892+AH892+AJ892+AL892+AO892)*I892</f>
        <v>729.50415499999997</v>
      </c>
      <c r="AQ892" s="25"/>
      <c r="AR892" s="25"/>
      <c r="AS892" s="25">
        <f>SUM(N892:Q892)</f>
        <v>8.625</v>
      </c>
      <c r="AT892" s="25">
        <f>SUM(T892:W892)</f>
        <v>8.625</v>
      </c>
      <c r="AU892" s="41"/>
      <c r="AV892" s="41"/>
      <c r="AW892" s="41"/>
    </row>
    <row r="893" spans="1:88" s="22" customFormat="1">
      <c r="A893" s="1">
        <v>1229</v>
      </c>
      <c r="B893" s="34" t="s">
        <v>1725</v>
      </c>
      <c r="C893" s="88">
        <v>437</v>
      </c>
      <c r="D893" s="88">
        <v>1182</v>
      </c>
      <c r="E893" s="88">
        <v>101</v>
      </c>
      <c r="F893" s="88" t="s">
        <v>1733</v>
      </c>
      <c r="G893" s="88" t="s">
        <v>92</v>
      </c>
      <c r="H893" s="88" t="s">
        <v>192</v>
      </c>
      <c r="I893" s="115">
        <v>20</v>
      </c>
      <c r="J893" s="88">
        <v>2</v>
      </c>
      <c r="K893" s="181" t="s">
        <v>238</v>
      </c>
      <c r="L893" s="116">
        <v>42282</v>
      </c>
      <c r="M893" s="37" t="s">
        <v>191</v>
      </c>
      <c r="N893" s="38">
        <v>14.25</v>
      </c>
      <c r="O893" s="38">
        <v>4.3</v>
      </c>
      <c r="P893" s="38">
        <v>1.25</v>
      </c>
      <c r="Q893" s="38">
        <v>0.35</v>
      </c>
      <c r="R893" s="38">
        <v>2.2797499999999999</v>
      </c>
      <c r="S893" s="38">
        <f t="shared" si="104"/>
        <v>2.5</v>
      </c>
      <c r="T893" s="38">
        <v>19.649999999999999</v>
      </c>
      <c r="U893" s="38">
        <v>0.4</v>
      </c>
      <c r="V893" s="38">
        <v>7.4999999999999997E-2</v>
      </c>
      <c r="W893" s="38">
        <v>2.5000000000000001E-2</v>
      </c>
      <c r="X893" s="38">
        <v>3.7698999999999998</v>
      </c>
      <c r="Y893" s="38">
        <f t="shared" si="105"/>
        <v>4</v>
      </c>
      <c r="Z893" s="38">
        <v>0</v>
      </c>
      <c r="AA893" s="117">
        <v>0</v>
      </c>
      <c r="AB893" s="117">
        <v>20</v>
      </c>
      <c r="AC893" s="117">
        <v>1.1499699999999999</v>
      </c>
      <c r="AD893" s="254">
        <v>158.19999999999999</v>
      </c>
      <c r="AE893" s="117">
        <v>3.26</v>
      </c>
      <c r="AF893" s="117">
        <f t="shared" si="111"/>
        <v>0.22832857142857144</v>
      </c>
      <c r="AG893" s="38">
        <f t="shared" si="106"/>
        <v>0.2</v>
      </c>
      <c r="AH893" s="117">
        <v>136.9</v>
      </c>
      <c r="AI893" s="117">
        <f t="shared" si="112"/>
        <v>0.19557142857142859</v>
      </c>
      <c r="AJ893" s="117">
        <v>0</v>
      </c>
      <c r="AK893" s="117">
        <f t="shared" si="113"/>
        <v>0</v>
      </c>
      <c r="AL893" s="117">
        <v>0</v>
      </c>
      <c r="AM893" s="117">
        <f>AJ893/(3.5*I893*1000)*100</f>
        <v>0</v>
      </c>
      <c r="AN893" s="12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</row>
    <row r="894" spans="1:88" s="22" customFormat="1">
      <c r="A894" s="1">
        <v>1153</v>
      </c>
      <c r="B894" s="74" t="s">
        <v>1577</v>
      </c>
      <c r="C894" s="34">
        <v>432</v>
      </c>
      <c r="D894" s="34">
        <v>3188</v>
      </c>
      <c r="E894" s="34">
        <v>101</v>
      </c>
      <c r="F894" s="34" t="s">
        <v>1611</v>
      </c>
      <c r="G894" s="34" t="s">
        <v>92</v>
      </c>
      <c r="H894" s="34" t="s">
        <v>1612</v>
      </c>
      <c r="I894" s="55">
        <v>5.3380000000000001</v>
      </c>
      <c r="J894" s="5">
        <v>6</v>
      </c>
      <c r="K894" s="181" t="s">
        <v>238</v>
      </c>
      <c r="L894" s="10">
        <v>42282</v>
      </c>
      <c r="M894" s="37" t="s">
        <v>191</v>
      </c>
      <c r="N894" s="38">
        <v>1.85</v>
      </c>
      <c r="O894" s="38">
        <v>1.95</v>
      </c>
      <c r="P894" s="38">
        <v>1</v>
      </c>
      <c r="Q894" s="38">
        <v>0.57499999999999996</v>
      </c>
      <c r="R894" s="38">
        <v>3.7548400000000002</v>
      </c>
      <c r="S894" s="38">
        <f t="shared" si="104"/>
        <v>4</v>
      </c>
      <c r="T894" s="38">
        <v>5.125</v>
      </c>
      <c r="U894" s="38">
        <v>0.25</v>
      </c>
      <c r="V894" s="38">
        <v>0</v>
      </c>
      <c r="W894" s="38">
        <v>0</v>
      </c>
      <c r="X894" s="38">
        <v>3.6633800000000001</v>
      </c>
      <c r="Y894" s="38">
        <f t="shared" si="105"/>
        <v>3.5</v>
      </c>
      <c r="Z894" s="38">
        <v>0</v>
      </c>
      <c r="AA894" s="38">
        <v>0</v>
      </c>
      <c r="AB894" s="38">
        <v>5.375</v>
      </c>
      <c r="AC894" s="38">
        <v>1.25491</v>
      </c>
      <c r="AD894" s="39">
        <v>39.1</v>
      </c>
      <c r="AE894" s="38">
        <v>6.5</v>
      </c>
      <c r="AF894" s="38">
        <v>0.22667699999999999</v>
      </c>
      <c r="AG894" s="38">
        <f t="shared" si="106"/>
        <v>0.2</v>
      </c>
      <c r="AH894" s="38">
        <v>14.65</v>
      </c>
      <c r="AI894" s="38">
        <v>7.8413999999999998E-2</v>
      </c>
      <c r="AJ894" s="38">
        <v>1.3</v>
      </c>
      <c r="AK894" s="38">
        <v>6.9579999999999998E-3</v>
      </c>
      <c r="AL894" s="38">
        <v>0</v>
      </c>
      <c r="AM894" s="38">
        <v>0</v>
      </c>
      <c r="AN894" s="114"/>
      <c r="AO894" s="73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</row>
    <row r="895" spans="1:88" s="22" customFormat="1">
      <c r="A895" s="1">
        <v>762</v>
      </c>
      <c r="B895" s="34" t="s">
        <v>1149</v>
      </c>
      <c r="C895" s="34">
        <v>622</v>
      </c>
      <c r="D895" s="8">
        <v>202</v>
      </c>
      <c r="E895" s="34">
        <v>400</v>
      </c>
      <c r="F895" s="34" t="s">
        <v>1150</v>
      </c>
      <c r="G895" s="58">
        <v>127975</v>
      </c>
      <c r="H895" s="58">
        <v>162395</v>
      </c>
      <c r="I895" s="35">
        <v>34.42</v>
      </c>
      <c r="J895" s="9">
        <v>2</v>
      </c>
      <c r="K895" s="34" t="s">
        <v>238</v>
      </c>
      <c r="L895" s="10">
        <v>42151</v>
      </c>
      <c r="M895" s="37" t="s">
        <v>191</v>
      </c>
      <c r="N895" s="38">
        <v>16.5</v>
      </c>
      <c r="O895" s="38">
        <v>10.6</v>
      </c>
      <c r="P895" s="38">
        <v>5.7249999999999996</v>
      </c>
      <c r="Q895" s="38">
        <v>1.9</v>
      </c>
      <c r="R895" s="38">
        <v>2.7250000000000001</v>
      </c>
      <c r="S895" s="38">
        <f t="shared" si="104"/>
        <v>2.5</v>
      </c>
      <c r="T895" s="38">
        <v>29.46</v>
      </c>
      <c r="U895" s="38">
        <v>4.45</v>
      </c>
      <c r="V895" s="38">
        <v>0.13</v>
      </c>
      <c r="W895" s="38">
        <v>0.4</v>
      </c>
      <c r="X895" s="38">
        <v>5.2370000000000001</v>
      </c>
      <c r="Y895" s="38">
        <f t="shared" si="105"/>
        <v>5</v>
      </c>
      <c r="Z895" s="38">
        <v>0</v>
      </c>
      <c r="AA895" s="38">
        <v>0</v>
      </c>
      <c r="AB895" s="38">
        <v>34.42</v>
      </c>
      <c r="AC895" s="38">
        <v>2.3690000000000002</v>
      </c>
      <c r="AD895" s="39">
        <v>256</v>
      </c>
      <c r="AE895" s="38">
        <v>28</v>
      </c>
      <c r="AF895" s="38">
        <f>(AD895+AE895*0.5)/(3.5*I895*1000)*100</f>
        <v>0.22412218809662157</v>
      </c>
      <c r="AG895" s="38">
        <f t="shared" si="106"/>
        <v>0.2</v>
      </c>
      <c r="AH895" s="38">
        <v>0</v>
      </c>
      <c r="AI895" s="38">
        <f>AH895/(3.5*I895*1000)*100</f>
        <v>0</v>
      </c>
      <c r="AJ895" s="38">
        <v>709</v>
      </c>
      <c r="AK895" s="38">
        <f>AJ895/(3.5*I895*1000)*100</f>
        <v>0.58852826429816552</v>
      </c>
      <c r="AL895" s="38">
        <v>0</v>
      </c>
      <c r="AM895" s="38">
        <f>AL895/(3.5*I895*1000)*100</f>
        <v>0</v>
      </c>
      <c r="AN895" s="25"/>
      <c r="AO895" s="25">
        <f>AE895*0.5</f>
        <v>14</v>
      </c>
      <c r="AP895" s="25">
        <f>(AD895+AH895+AJ895+AL895+AO895)*I895</f>
        <v>33697.18</v>
      </c>
      <c r="AQ895" s="25">
        <f>SUM(N895:Q895)</f>
        <v>34.725000000000001</v>
      </c>
      <c r="AR895" s="25">
        <f>SUM(T895:W895)</f>
        <v>34.440000000000005</v>
      </c>
      <c r="AS895" s="268">
        <v>34.42</v>
      </c>
      <c r="AT895" s="41"/>
      <c r="AU895" s="41">
        <f>SUM(N895:Q895)</f>
        <v>34.725000000000001</v>
      </c>
      <c r="AV895" s="41">
        <f>SUM(T895:W895)</f>
        <v>34.440000000000005</v>
      </c>
      <c r="AW895" s="41">
        <f>SUM(Z895:AB895)</f>
        <v>34.42</v>
      </c>
      <c r="AY895" s="22">
        <f>I895/AU895</f>
        <v>0.99121670266378692</v>
      </c>
      <c r="AZ895" s="22">
        <f>I895/AV895</f>
        <v>0.99941927990708468</v>
      </c>
      <c r="BA895" s="22">
        <f>I895/AW895</f>
        <v>1</v>
      </c>
    </row>
    <row r="896" spans="1:88" s="22" customFormat="1">
      <c r="A896" s="1">
        <v>2214</v>
      </c>
      <c r="B896" s="34" t="s">
        <v>2853</v>
      </c>
      <c r="C896" s="34">
        <v>318</v>
      </c>
      <c r="D896" s="75">
        <v>406</v>
      </c>
      <c r="E896" s="8">
        <v>103</v>
      </c>
      <c r="F896" s="9" t="s">
        <v>2856</v>
      </c>
      <c r="G896" s="20" t="s">
        <v>2859</v>
      </c>
      <c r="H896" s="20" t="s">
        <v>2858</v>
      </c>
      <c r="I896" s="21">
        <v>13.39</v>
      </c>
      <c r="J896" s="8">
        <v>2</v>
      </c>
      <c r="K896" s="8" t="s">
        <v>96</v>
      </c>
      <c r="L896" s="18">
        <v>42150</v>
      </c>
      <c r="M896" s="37" t="s">
        <v>191</v>
      </c>
      <c r="N896" s="38">
        <v>10.025</v>
      </c>
      <c r="O896" s="38">
        <v>2.375</v>
      </c>
      <c r="P896" s="38">
        <v>0.72499999999999998</v>
      </c>
      <c r="Q896" s="38">
        <v>0.35</v>
      </c>
      <c r="R896" s="38">
        <v>2.2697799999999999</v>
      </c>
      <c r="S896" s="38">
        <f t="shared" si="104"/>
        <v>2.5</v>
      </c>
      <c r="T896" s="38">
        <v>13.25</v>
      </c>
      <c r="U896" s="38">
        <v>0.2</v>
      </c>
      <c r="V896" s="38">
        <v>2.5000000000000001E-2</v>
      </c>
      <c r="W896" s="38">
        <v>0</v>
      </c>
      <c r="X896" s="38">
        <v>3.7820299999999998</v>
      </c>
      <c r="Y896" s="38">
        <f t="shared" si="105"/>
        <v>4</v>
      </c>
      <c r="Z896" s="38">
        <v>0</v>
      </c>
      <c r="AA896" s="38">
        <v>0</v>
      </c>
      <c r="AB896" s="38">
        <v>13.475</v>
      </c>
      <c r="AC896" s="38">
        <v>1.0749299999999999</v>
      </c>
      <c r="AD896" s="39">
        <v>103.71</v>
      </c>
      <c r="AE896" s="38">
        <v>2</v>
      </c>
      <c r="AF896" s="38">
        <v>0.22342899818627973</v>
      </c>
      <c r="AG896" s="38">
        <f t="shared" si="106"/>
        <v>0.2</v>
      </c>
      <c r="AH896" s="38">
        <v>0</v>
      </c>
      <c r="AI896" s="38">
        <v>0</v>
      </c>
      <c r="AJ896" s="38">
        <v>0</v>
      </c>
      <c r="AK896" s="38">
        <v>0</v>
      </c>
      <c r="AL896" s="38">
        <v>0</v>
      </c>
      <c r="AM896" s="38">
        <f>AL896/(3.5*I896*1000)*100</f>
        <v>0</v>
      </c>
      <c r="AO896" s="25"/>
      <c r="AP896" s="25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</row>
    <row r="897" spans="1:88" s="22" customFormat="1">
      <c r="A897" s="1">
        <v>1212</v>
      </c>
      <c r="B897" s="34" t="s">
        <v>1674</v>
      </c>
      <c r="C897" s="34">
        <v>435</v>
      </c>
      <c r="D897" s="34">
        <v>2273</v>
      </c>
      <c r="E897" s="34">
        <v>200</v>
      </c>
      <c r="F897" s="34" t="s">
        <v>1705</v>
      </c>
      <c r="G897" s="34" t="s">
        <v>1706</v>
      </c>
      <c r="H897" s="34" t="s">
        <v>1590</v>
      </c>
      <c r="I897" s="55">
        <v>26.341000000000001</v>
      </c>
      <c r="J897" s="34">
        <v>2</v>
      </c>
      <c r="K897" s="34" t="s">
        <v>12</v>
      </c>
      <c r="L897" s="10">
        <v>42282</v>
      </c>
      <c r="M897" s="37" t="s">
        <v>191</v>
      </c>
      <c r="N897" s="38">
        <v>9</v>
      </c>
      <c r="O897" s="38">
        <v>7.4749999999999996</v>
      </c>
      <c r="P897" s="38">
        <v>5.4749999999999996</v>
      </c>
      <c r="Q897" s="38">
        <v>4.4249999999999998</v>
      </c>
      <c r="R897" s="38">
        <v>3.5811299999999999</v>
      </c>
      <c r="S897" s="38">
        <f t="shared" si="104"/>
        <v>3.5</v>
      </c>
      <c r="T897" s="38">
        <v>25.2</v>
      </c>
      <c r="U897" s="38">
        <v>0.875</v>
      </c>
      <c r="V897" s="38">
        <v>0.2</v>
      </c>
      <c r="W897" s="38">
        <v>0.1</v>
      </c>
      <c r="X897" s="38">
        <v>3.9489399999999999</v>
      </c>
      <c r="Y897" s="38">
        <f t="shared" si="105"/>
        <v>4</v>
      </c>
      <c r="Z897" s="38">
        <v>0</v>
      </c>
      <c r="AA897" s="38">
        <v>0</v>
      </c>
      <c r="AB897" s="55">
        <v>26.341000000000001</v>
      </c>
      <c r="AC897" s="38">
        <v>1.5358799999999999</v>
      </c>
      <c r="AD897" s="39">
        <v>203.84</v>
      </c>
      <c r="AE897" s="38">
        <v>4.1689999999999996</v>
      </c>
      <c r="AF897" s="38">
        <f>(AD897+AE897*0.5)/(3.5*I897*1000)*100</f>
        <v>0.22336119140720334</v>
      </c>
      <c r="AG897" s="38">
        <f t="shared" si="106"/>
        <v>0.2</v>
      </c>
      <c r="AH897" s="38">
        <v>18.690000000000001</v>
      </c>
      <c r="AI897" s="38">
        <v>2.0272999999999999E-2</v>
      </c>
      <c r="AJ897" s="38">
        <v>50.65</v>
      </c>
      <c r="AK897" s="38">
        <v>5.4939000000000002E-2</v>
      </c>
      <c r="AL897" s="38">
        <v>0</v>
      </c>
      <c r="AM897" s="38">
        <v>0</v>
      </c>
      <c r="AN897" s="12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</row>
    <row r="898" spans="1:88" s="22" customFormat="1">
      <c r="A898" s="1">
        <v>2217</v>
      </c>
      <c r="B898" s="34" t="s">
        <v>2853</v>
      </c>
      <c r="C898" s="34">
        <v>318</v>
      </c>
      <c r="D898" s="75">
        <v>416</v>
      </c>
      <c r="E898" s="8">
        <v>101</v>
      </c>
      <c r="F898" s="9" t="s">
        <v>2861</v>
      </c>
      <c r="G898" s="20">
        <v>37039</v>
      </c>
      <c r="H898" s="20">
        <v>0</v>
      </c>
      <c r="I898" s="21">
        <v>37.039000000000001</v>
      </c>
      <c r="J898" s="8">
        <v>4</v>
      </c>
      <c r="K898" s="8" t="s">
        <v>12</v>
      </c>
      <c r="L898" s="18">
        <v>42150</v>
      </c>
      <c r="M898" s="37" t="s">
        <v>191</v>
      </c>
      <c r="N898" s="38">
        <v>20.024999999999999</v>
      </c>
      <c r="O898" s="38">
        <v>10.4</v>
      </c>
      <c r="P898" s="38">
        <v>5.0750000000000002</v>
      </c>
      <c r="Q898" s="38">
        <v>1.55</v>
      </c>
      <c r="R898" s="38">
        <v>2.6620599999999999</v>
      </c>
      <c r="S898" s="38">
        <f t="shared" si="104"/>
        <v>2.5</v>
      </c>
      <c r="T898" s="38">
        <v>34.125</v>
      </c>
      <c r="U898" s="38">
        <v>2.4750000000000001</v>
      </c>
      <c r="V898" s="38">
        <v>0.4</v>
      </c>
      <c r="W898" s="38">
        <v>0.05</v>
      </c>
      <c r="X898" s="11">
        <v>4.7019500000000001</v>
      </c>
      <c r="Y898" s="38">
        <f t="shared" si="105"/>
        <v>4.5</v>
      </c>
      <c r="Z898" s="38">
        <v>0</v>
      </c>
      <c r="AA898" s="38">
        <v>0</v>
      </c>
      <c r="AB898" s="38">
        <v>37.049999999999997</v>
      </c>
      <c r="AC898" s="11">
        <v>1.1552899999999999</v>
      </c>
      <c r="AD898" s="39">
        <v>205.07</v>
      </c>
      <c r="AE898" s="38">
        <v>167</v>
      </c>
      <c r="AF898" s="38">
        <v>0.22259934509185295</v>
      </c>
      <c r="AG898" s="38">
        <f t="shared" si="106"/>
        <v>0.2</v>
      </c>
      <c r="AH898" s="38">
        <v>644</v>
      </c>
      <c r="AI898" s="38">
        <v>0.49677367099543718</v>
      </c>
      <c r="AJ898" s="38">
        <v>0</v>
      </c>
      <c r="AK898" s="38">
        <v>0</v>
      </c>
      <c r="AL898" s="38">
        <v>0</v>
      </c>
      <c r="AM898" s="38">
        <f t="shared" ref="AM898:AM908" si="114">AL898/(3.5*I898*1000)*100</f>
        <v>0</v>
      </c>
      <c r="AO898" s="25"/>
      <c r="AP898" s="25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</row>
    <row r="899" spans="1:88" s="22" customFormat="1">
      <c r="A899" s="1">
        <v>1464</v>
      </c>
      <c r="B899" s="34" t="s">
        <v>1987</v>
      </c>
      <c r="C899" s="34">
        <v>448</v>
      </c>
      <c r="D899" s="75">
        <v>3454</v>
      </c>
      <c r="E899" s="69">
        <v>302</v>
      </c>
      <c r="F899" s="34" t="s">
        <v>2012</v>
      </c>
      <c r="G899" s="20">
        <v>74609</v>
      </c>
      <c r="H899" s="20">
        <v>62493</v>
      </c>
      <c r="I899" s="21">
        <v>12.116</v>
      </c>
      <c r="J899" s="8">
        <v>2</v>
      </c>
      <c r="K899" s="34" t="s">
        <v>12</v>
      </c>
      <c r="L899" s="10">
        <v>42182</v>
      </c>
      <c r="M899" s="37" t="s">
        <v>191</v>
      </c>
      <c r="N899" s="38">
        <v>9.25</v>
      </c>
      <c r="O899" s="38">
        <v>2.2749999999999999</v>
      </c>
      <c r="P899" s="38">
        <v>0.7</v>
      </c>
      <c r="Q899" s="38">
        <v>0.3</v>
      </c>
      <c r="R899" s="38">
        <v>2.23142</v>
      </c>
      <c r="S899" s="38">
        <f t="shared" ref="S899:S962" si="115">ROUND(R899/5,1)*5</f>
        <v>2</v>
      </c>
      <c r="T899" s="38">
        <v>11.824999999999999</v>
      </c>
      <c r="U899" s="38">
        <v>0.625</v>
      </c>
      <c r="V899" s="38">
        <v>0.05</v>
      </c>
      <c r="W899" s="38">
        <v>2.5000000000000001E-2</v>
      </c>
      <c r="X899" s="38">
        <v>3.32246</v>
      </c>
      <c r="Y899" s="38">
        <f t="shared" ref="Y899:Y962" si="116">ROUND(X899/5,1)*5</f>
        <v>3.5</v>
      </c>
      <c r="Z899" s="38">
        <v>0</v>
      </c>
      <c r="AA899" s="38">
        <v>0</v>
      </c>
      <c r="AB899" s="38">
        <v>12.525</v>
      </c>
      <c r="AC899" s="38">
        <v>1.0952599999999999</v>
      </c>
      <c r="AD899" s="39">
        <v>67.239999999999995</v>
      </c>
      <c r="AE899" s="38">
        <v>54.27</v>
      </c>
      <c r="AF899" s="38">
        <f>(AD899+AE899*0.5)/(3.5*I899*1000)*100</f>
        <v>0.22255105409611847</v>
      </c>
      <c r="AG899" s="38">
        <f t="shared" ref="AG899:AG962" si="117">ROUND(AF899,1)</f>
        <v>0.2</v>
      </c>
      <c r="AH899" s="38">
        <v>256.39999999999998</v>
      </c>
      <c r="AI899" s="38">
        <f>AH899/(3.5*I899*1000)*100</f>
        <v>0.60463142008206383</v>
      </c>
      <c r="AJ899" s="38">
        <v>0</v>
      </c>
      <c r="AK899" s="38">
        <f>AJ899/(3.5*I899*1000)*100</f>
        <v>0</v>
      </c>
      <c r="AL899" s="38">
        <v>2.1</v>
      </c>
      <c r="AM899" s="38">
        <f t="shared" si="114"/>
        <v>4.9521294156487294E-3</v>
      </c>
      <c r="AN899" s="72"/>
      <c r="AO899" s="41"/>
      <c r="AP899" s="41"/>
      <c r="AQ899" s="73"/>
      <c r="AR899" s="73"/>
      <c r="AS899" s="73"/>
      <c r="AT899" s="73"/>
      <c r="AU899" s="73"/>
      <c r="AV899" s="73"/>
    </row>
    <row r="900" spans="1:88" s="22" customFormat="1" ht="23.25" customHeight="1">
      <c r="A900" s="1">
        <v>2012</v>
      </c>
      <c r="B900" s="34" t="s">
        <v>2646</v>
      </c>
      <c r="C900" s="34">
        <v>325</v>
      </c>
      <c r="D900" s="75">
        <v>4152</v>
      </c>
      <c r="E900" s="8">
        <v>100</v>
      </c>
      <c r="F900" s="34" t="s">
        <v>2660</v>
      </c>
      <c r="G900" s="58">
        <v>1410</v>
      </c>
      <c r="H900" s="58">
        <v>0</v>
      </c>
      <c r="I900" s="21">
        <v>1.41</v>
      </c>
      <c r="J900" s="8">
        <v>2</v>
      </c>
      <c r="K900" s="8" t="s">
        <v>12</v>
      </c>
      <c r="L900" s="18">
        <v>42120</v>
      </c>
      <c r="M900" s="37" t="s">
        <v>191</v>
      </c>
      <c r="N900" s="38">
        <v>0.9</v>
      </c>
      <c r="O900" s="38">
        <v>0.41</v>
      </c>
      <c r="P900" s="38">
        <v>0.05</v>
      </c>
      <c r="Q900" s="38">
        <v>0.05</v>
      </c>
      <c r="R900" s="38">
        <v>2.41255</v>
      </c>
      <c r="S900" s="38">
        <f t="shared" si="115"/>
        <v>2.5</v>
      </c>
      <c r="T900" s="38">
        <v>1.41</v>
      </c>
      <c r="U900" s="38">
        <v>0</v>
      </c>
      <c r="V900" s="38">
        <v>0</v>
      </c>
      <c r="W900" s="38">
        <v>0</v>
      </c>
      <c r="X900" s="38">
        <v>1.5418400000000001</v>
      </c>
      <c r="Y900" s="38">
        <f t="shared" si="116"/>
        <v>1.5</v>
      </c>
      <c r="Z900" s="38">
        <v>0</v>
      </c>
      <c r="AA900" s="38">
        <v>0</v>
      </c>
      <c r="AB900" s="38">
        <v>1.41</v>
      </c>
      <c r="AC900" s="38">
        <v>1.17442</v>
      </c>
      <c r="AD900" s="39">
        <v>9.48</v>
      </c>
      <c r="AE900" s="38">
        <v>3.0049999999999999</v>
      </c>
      <c r="AF900" s="38">
        <f>(AD900+AE900*0.5)/(3.5*I900*1000)*100</f>
        <v>0.22254305977710231</v>
      </c>
      <c r="AG900" s="38">
        <f t="shared" si="117"/>
        <v>0.2</v>
      </c>
      <c r="AH900" s="38">
        <v>19.963999999999999</v>
      </c>
      <c r="AI900" s="38">
        <f>AH900/(3.5*I900*1000)*100</f>
        <v>0.40453900709219853</v>
      </c>
      <c r="AJ900" s="38">
        <v>1.06</v>
      </c>
      <c r="AK900" s="38">
        <f>AJ900/(3.5*I900*1000)*100</f>
        <v>2.147922998986829E-2</v>
      </c>
      <c r="AL900" s="38">
        <v>0</v>
      </c>
      <c r="AM900" s="38">
        <f t="shared" si="114"/>
        <v>0</v>
      </c>
      <c r="AN900" s="12"/>
      <c r="AO900" s="12"/>
      <c r="AP900" s="1"/>
      <c r="AQ900" s="41">
        <f>SUM(N900:Q900)</f>
        <v>1.4100000000000001</v>
      </c>
      <c r="AR900" s="41">
        <f>SUM(T900:W900)</f>
        <v>1.41</v>
      </c>
      <c r="AS900" s="12">
        <f>SUM(Z900:AB900)</f>
        <v>1.41</v>
      </c>
      <c r="AT900" s="1"/>
      <c r="AU900" s="1">
        <f>I900/AQ900</f>
        <v>0.99999999999999989</v>
      </c>
      <c r="AV900" s="1">
        <f>I900/AR900</f>
        <v>1</v>
      </c>
      <c r="AW900" s="1">
        <f>I900/AS900</f>
        <v>1</v>
      </c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</row>
    <row r="901" spans="1:88" s="22" customFormat="1">
      <c r="A901" s="1">
        <v>2170</v>
      </c>
      <c r="B901" s="34" t="s">
        <v>2798</v>
      </c>
      <c r="C901" s="34">
        <v>311</v>
      </c>
      <c r="D901" s="75">
        <v>414</v>
      </c>
      <c r="E901" s="8">
        <v>102</v>
      </c>
      <c r="F901" s="9" t="s">
        <v>2807</v>
      </c>
      <c r="G901" s="20" t="s">
        <v>2810</v>
      </c>
      <c r="H901" s="20" t="s">
        <v>2811</v>
      </c>
      <c r="I901" s="21">
        <v>3.282</v>
      </c>
      <c r="J901" s="8">
        <v>2</v>
      </c>
      <c r="K901" s="8" t="s">
        <v>238</v>
      </c>
      <c r="L901" s="18">
        <v>42147</v>
      </c>
      <c r="M901" s="37" t="s">
        <v>191</v>
      </c>
      <c r="N901" s="38">
        <v>1.5249999999999999</v>
      </c>
      <c r="O901" s="38">
        <v>0.55000000000000004</v>
      </c>
      <c r="P901" s="38">
        <v>0.5</v>
      </c>
      <c r="Q901" s="38">
        <v>0.67500000000000004</v>
      </c>
      <c r="R901" s="38">
        <v>3.53931</v>
      </c>
      <c r="S901" s="38">
        <f t="shared" si="115"/>
        <v>3.5</v>
      </c>
      <c r="T901" s="38">
        <v>3.0750000000000002</v>
      </c>
      <c r="U901" s="38">
        <v>7.4999999999999997E-2</v>
      </c>
      <c r="V901" s="38">
        <v>7.4999999999999997E-2</v>
      </c>
      <c r="W901" s="38">
        <v>2.5000000000000001E-2</v>
      </c>
      <c r="X901" s="38">
        <v>3.32185</v>
      </c>
      <c r="Y901" s="38">
        <f t="shared" si="116"/>
        <v>3.5</v>
      </c>
      <c r="Z901" s="38">
        <v>0</v>
      </c>
      <c r="AA901" s="38">
        <v>0</v>
      </c>
      <c r="AB901" s="38">
        <v>3.25</v>
      </c>
      <c r="AC901" s="38">
        <v>1.17445</v>
      </c>
      <c r="AD901" s="39">
        <v>25.33</v>
      </c>
      <c r="AE901" s="38">
        <v>0</v>
      </c>
      <c r="AF901" s="38">
        <f>(AD901+AE901*0.5)/(3.5*I901*1000)*100</f>
        <v>0.22051014189953858</v>
      </c>
      <c r="AG901" s="38">
        <f t="shared" si="117"/>
        <v>0.2</v>
      </c>
      <c r="AH901" s="38">
        <v>2.36</v>
      </c>
      <c r="AI901" s="38">
        <f>AH901/(3.5*I901*1000)*100</f>
        <v>2.0544963872203358E-2</v>
      </c>
      <c r="AJ901" s="38">
        <v>0</v>
      </c>
      <c r="AK901" s="38">
        <f>AJ901/(3.5*I901*1000)*100</f>
        <v>0</v>
      </c>
      <c r="AL901" s="38">
        <v>0</v>
      </c>
      <c r="AM901" s="38">
        <f t="shared" si="114"/>
        <v>0</v>
      </c>
      <c r="AN901" s="72"/>
      <c r="AO901" s="41"/>
      <c r="AP901" s="41"/>
      <c r="AQ901" s="41">
        <f>SUM(N901:Q901)</f>
        <v>3.25</v>
      </c>
      <c r="AR901" s="41">
        <f>SUM(T901:W901)</f>
        <v>3.2500000000000004</v>
      </c>
      <c r="AS901" s="12">
        <f>SUM(Z901:AB901)</f>
        <v>3.25</v>
      </c>
      <c r="AT901" s="1"/>
      <c r="AU901" s="1">
        <f>I901/AQ901</f>
        <v>1.0098461538461538</v>
      </c>
      <c r="AV901" s="1">
        <f>I901/AR901</f>
        <v>1.0098461538461536</v>
      </c>
      <c r="AW901" s="1">
        <f>I901/AS901</f>
        <v>1.0098461538461538</v>
      </c>
    </row>
    <row r="902" spans="1:88" s="22" customFormat="1">
      <c r="A902" s="1">
        <v>1840</v>
      </c>
      <c r="B902" s="34" t="s">
        <v>2461</v>
      </c>
      <c r="C902" s="34">
        <v>332</v>
      </c>
      <c r="D902" s="75">
        <v>3180</v>
      </c>
      <c r="E902" s="8">
        <v>102</v>
      </c>
      <c r="F902" s="34" t="s">
        <v>2464</v>
      </c>
      <c r="G902" s="20">
        <v>14864</v>
      </c>
      <c r="H902" s="20">
        <v>27722</v>
      </c>
      <c r="I902" s="21">
        <v>12.858000000000001</v>
      </c>
      <c r="J902" s="8">
        <v>2</v>
      </c>
      <c r="K902" s="8" t="s">
        <v>238</v>
      </c>
      <c r="L902" s="18">
        <v>42101</v>
      </c>
      <c r="M902" s="247" t="s">
        <v>191</v>
      </c>
      <c r="N902" s="38">
        <v>8.125</v>
      </c>
      <c r="O902" s="38">
        <v>3.05</v>
      </c>
      <c r="P902" s="38">
        <v>1.0249999999999999</v>
      </c>
      <c r="Q902" s="38">
        <v>0.6</v>
      </c>
      <c r="R902" s="38">
        <v>2.4701200000000001</v>
      </c>
      <c r="S902" s="38">
        <f t="shared" si="115"/>
        <v>2.5</v>
      </c>
      <c r="T902" s="38">
        <v>12.45</v>
      </c>
      <c r="U902" s="38">
        <v>0.25</v>
      </c>
      <c r="V902" s="38">
        <v>0.05</v>
      </c>
      <c r="W902" s="38">
        <v>0.05</v>
      </c>
      <c r="X902" s="38">
        <v>3.0976900000000001</v>
      </c>
      <c r="Y902" s="38">
        <f t="shared" si="116"/>
        <v>3</v>
      </c>
      <c r="Z902" s="38">
        <v>0</v>
      </c>
      <c r="AA902" s="11">
        <v>0</v>
      </c>
      <c r="AB902" s="38">
        <v>12.8</v>
      </c>
      <c r="AC902" s="38">
        <v>1.12724</v>
      </c>
      <c r="AD902" s="39">
        <v>89.9</v>
      </c>
      <c r="AE902" s="38">
        <v>18.64</v>
      </c>
      <c r="AF902" s="38">
        <v>0.2204741906095149</v>
      </c>
      <c r="AG902" s="38">
        <f t="shared" si="117"/>
        <v>0.2</v>
      </c>
      <c r="AH902" s="38">
        <v>22.38</v>
      </c>
      <c r="AI902" s="38">
        <v>4.9730017998800072E-2</v>
      </c>
      <c r="AJ902" s="38">
        <v>1.36</v>
      </c>
      <c r="AK902" s="38">
        <v>3.0220207541719443E-3</v>
      </c>
      <c r="AL902" s="38">
        <v>0</v>
      </c>
      <c r="AM902" s="38">
        <f t="shared" si="114"/>
        <v>0</v>
      </c>
      <c r="AN902" s="73"/>
      <c r="AO902" s="73"/>
      <c r="AP902" s="73"/>
      <c r="AQ902" s="73"/>
      <c r="AR902" s="73"/>
      <c r="AS902" s="73"/>
      <c r="AT902" s="73"/>
      <c r="AU902" s="73"/>
      <c r="AV902" s="73"/>
      <c r="AW902" s="73"/>
      <c r="AX902" s="73"/>
      <c r="AY902" s="73"/>
      <c r="AZ902" s="73"/>
      <c r="BA902" s="73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</row>
    <row r="903" spans="1:88" s="22" customFormat="1">
      <c r="A903" s="1">
        <v>59</v>
      </c>
      <c r="B903" s="4" t="s">
        <v>37</v>
      </c>
      <c r="C903" s="14">
        <v>523</v>
      </c>
      <c r="D903" s="19">
        <v>1352</v>
      </c>
      <c r="E903" s="16">
        <v>100</v>
      </c>
      <c r="F903" s="14" t="s">
        <v>125</v>
      </c>
      <c r="G903" s="20" t="s">
        <v>92</v>
      </c>
      <c r="H903" s="20" t="s">
        <v>112</v>
      </c>
      <c r="I903" s="8">
        <v>2.1749999999999998</v>
      </c>
      <c r="J903" s="8">
        <v>4</v>
      </c>
      <c r="K903" s="9" t="s">
        <v>237</v>
      </c>
      <c r="L903" s="18">
        <v>42221</v>
      </c>
      <c r="M903" s="37" t="s">
        <v>191</v>
      </c>
      <c r="N903" s="26">
        <v>1.1499999999999999</v>
      </c>
      <c r="O903" s="26">
        <v>0.6</v>
      </c>
      <c r="P903" s="26">
        <v>0.2</v>
      </c>
      <c r="Q903" s="26">
        <v>0.2</v>
      </c>
      <c r="R903" s="26">
        <v>2.8233700000000002</v>
      </c>
      <c r="S903" s="38">
        <f t="shared" si="115"/>
        <v>3</v>
      </c>
      <c r="T903" s="26">
        <v>2.1</v>
      </c>
      <c r="U903" s="26">
        <v>0.05</v>
      </c>
      <c r="V903" s="26">
        <v>0</v>
      </c>
      <c r="W903" s="26">
        <v>0</v>
      </c>
      <c r="X903" s="26">
        <v>3.9629799999999999</v>
      </c>
      <c r="Y903" s="38">
        <f t="shared" si="116"/>
        <v>4</v>
      </c>
      <c r="Z903" s="26">
        <v>0</v>
      </c>
      <c r="AA903" s="26">
        <v>0</v>
      </c>
      <c r="AB903" s="26">
        <f>SUM(N903:Q903)</f>
        <v>2.15</v>
      </c>
      <c r="AC903" s="26">
        <v>1.1936899999999999</v>
      </c>
      <c r="AD903" s="258">
        <v>16.78</v>
      </c>
      <c r="AE903" s="26">
        <v>0</v>
      </c>
      <c r="AF903" s="26">
        <f>(AD903+AE903*0.5)/(3.5*I903*1000)*100</f>
        <v>0.22042692939244668</v>
      </c>
      <c r="AG903" s="38">
        <f t="shared" si="117"/>
        <v>0.2</v>
      </c>
      <c r="AH903" s="26">
        <v>145.55000000000001</v>
      </c>
      <c r="AI903" s="26">
        <f>AH903/(3.5*I903*1000)*100</f>
        <v>1.911986863711002</v>
      </c>
      <c r="AJ903" s="26">
        <v>1.36</v>
      </c>
      <c r="AK903" s="26">
        <f>AJ903/(3.5*I903*1000)*100</f>
        <v>1.7865353037766835E-2</v>
      </c>
      <c r="AL903" s="26">
        <v>0</v>
      </c>
      <c r="AM903" s="26">
        <f t="shared" si="114"/>
        <v>0</v>
      </c>
      <c r="AO903" s="25"/>
      <c r="AP903" s="25"/>
    </row>
    <row r="904" spans="1:88" s="22" customFormat="1">
      <c r="A904" s="1">
        <v>605</v>
      </c>
      <c r="B904" s="34" t="s">
        <v>994</v>
      </c>
      <c r="C904" s="34">
        <v>554</v>
      </c>
      <c r="D904" s="34">
        <v>2108</v>
      </c>
      <c r="E904" s="34">
        <v>102</v>
      </c>
      <c r="F904" s="9" t="s">
        <v>1007</v>
      </c>
      <c r="G904" s="118">
        <v>20000</v>
      </c>
      <c r="H904" s="118">
        <v>62524</v>
      </c>
      <c r="I904" s="35">
        <v>42.524000000000001</v>
      </c>
      <c r="J904" s="71">
        <v>2</v>
      </c>
      <c r="K904" s="34" t="s">
        <v>238</v>
      </c>
      <c r="L904" s="10">
        <v>42181</v>
      </c>
      <c r="M904" s="37" t="s">
        <v>191</v>
      </c>
      <c r="N904" s="38">
        <v>21.55</v>
      </c>
      <c r="O904" s="38">
        <v>13.62</v>
      </c>
      <c r="P904" s="38">
        <v>5.16</v>
      </c>
      <c r="Q904" s="38">
        <v>2.2000000000000002</v>
      </c>
      <c r="R904" s="38">
        <v>2.7205400000000002</v>
      </c>
      <c r="S904" s="38">
        <f t="shared" si="115"/>
        <v>2.5</v>
      </c>
      <c r="T904" s="38">
        <v>41.8</v>
      </c>
      <c r="U904" s="38">
        <v>0.49</v>
      </c>
      <c r="V904" s="38">
        <v>0.08</v>
      </c>
      <c r="W904" s="38">
        <v>0.03</v>
      </c>
      <c r="X904" s="38">
        <v>4.4008399999999996</v>
      </c>
      <c r="Y904" s="38">
        <f t="shared" si="116"/>
        <v>4.5</v>
      </c>
      <c r="Z904" s="38">
        <v>0</v>
      </c>
      <c r="AA904" s="38">
        <v>0</v>
      </c>
      <c r="AB904" s="38">
        <v>42.53</v>
      </c>
      <c r="AC904" s="38">
        <v>1.10606</v>
      </c>
      <c r="AD904" s="39">
        <v>328</v>
      </c>
      <c r="AE904" s="38">
        <v>0</v>
      </c>
      <c r="AF904" s="38">
        <v>0.2203797519384012</v>
      </c>
      <c r="AG904" s="38">
        <f t="shared" si="117"/>
        <v>0.2</v>
      </c>
      <c r="AH904" s="38">
        <v>4</v>
      </c>
      <c r="AI904" s="38">
        <v>2.6875579504683071E-3</v>
      </c>
      <c r="AJ904" s="38">
        <v>681</v>
      </c>
      <c r="AK904" s="38">
        <v>0.45755674106722932</v>
      </c>
      <c r="AL904" s="38">
        <v>0</v>
      </c>
      <c r="AM904" s="38">
        <f t="shared" si="114"/>
        <v>0</v>
      </c>
      <c r="AN904" s="60"/>
      <c r="AO904" s="60">
        <f>AE904*0.5</f>
        <v>0</v>
      </c>
      <c r="AP904" s="60">
        <f>(AD904+AH904+AJ904+AL904+AO904)*I904</f>
        <v>43076.811999999998</v>
      </c>
      <c r="AQ904" s="25">
        <f>SUM(N904:Q904)</f>
        <v>42.53</v>
      </c>
      <c r="AR904" s="25">
        <f>SUM(T904:W904)</f>
        <v>42.4</v>
      </c>
      <c r="AS904" s="268">
        <v>42.524000000000001</v>
      </c>
      <c r="AT904" s="40"/>
      <c r="AU904" s="41">
        <f>SUM(N904:Q904)</f>
        <v>42.53</v>
      </c>
      <c r="AV904" s="41">
        <f>SUM(T904:W904)</f>
        <v>42.4</v>
      </c>
      <c r="AW904" s="41">
        <f>SUM(Z904:AB904)</f>
        <v>42.53</v>
      </c>
      <c r="AY904" s="22">
        <f>I904/AU904</f>
        <v>0.99985892311309665</v>
      </c>
      <c r="AZ904" s="22">
        <f>I904/AV904</f>
        <v>1.0029245283018868</v>
      </c>
      <c r="BA904" s="22">
        <f>I904/AW904</f>
        <v>0.99985892311309665</v>
      </c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</row>
    <row r="905" spans="1:88" s="22" customFormat="1">
      <c r="A905" s="1">
        <v>787</v>
      </c>
      <c r="B905" s="34" t="s">
        <v>1171</v>
      </c>
      <c r="C905" s="34">
        <v>633</v>
      </c>
      <c r="D905" s="8">
        <v>2043</v>
      </c>
      <c r="E905" s="34">
        <v>200</v>
      </c>
      <c r="F905" s="34" t="s">
        <v>1178</v>
      </c>
      <c r="G905" s="58" t="s">
        <v>1179</v>
      </c>
      <c r="H905" s="58" t="s">
        <v>1180</v>
      </c>
      <c r="I905" s="35">
        <v>40.064999999999998</v>
      </c>
      <c r="J905" s="9">
        <v>2</v>
      </c>
      <c r="K905" s="34" t="s">
        <v>238</v>
      </c>
      <c r="L905" s="10">
        <v>42149</v>
      </c>
      <c r="M905" s="37" t="s">
        <v>191</v>
      </c>
      <c r="N905" s="38">
        <v>30.599999999999998</v>
      </c>
      <c r="O905" s="38">
        <v>6.0500000000000007</v>
      </c>
      <c r="P905" s="38">
        <v>1.625</v>
      </c>
      <c r="Q905" s="38">
        <v>1.7749999999999999</v>
      </c>
      <c r="R905" s="38">
        <v>2.7732099999999997</v>
      </c>
      <c r="S905" s="38">
        <f t="shared" si="115"/>
        <v>3</v>
      </c>
      <c r="T905" s="38">
        <v>38.774999999999999</v>
      </c>
      <c r="U905" s="38">
        <v>0.8</v>
      </c>
      <c r="V905" s="38">
        <v>0.35</v>
      </c>
      <c r="W905" s="38">
        <v>0.125</v>
      </c>
      <c r="X905" s="38">
        <v>4.5535605518763811</v>
      </c>
      <c r="Y905" s="38">
        <f t="shared" si="116"/>
        <v>4.5</v>
      </c>
      <c r="Z905" s="38">
        <v>0</v>
      </c>
      <c r="AA905" s="38">
        <v>0</v>
      </c>
      <c r="AB905" s="38">
        <f>N905+O905+P905+Q905</f>
        <v>40.049999999999997</v>
      </c>
      <c r="AC905" s="38">
        <v>1.1487099999999999</v>
      </c>
      <c r="AD905" s="39">
        <v>295</v>
      </c>
      <c r="AE905" s="38">
        <v>28</v>
      </c>
      <c r="AF905" s="38">
        <f>(AD905+AE905*0.5)/(3.5*I905*1000)*100</f>
        <v>0.22035620687810881</v>
      </c>
      <c r="AG905" s="38">
        <f t="shared" si="117"/>
        <v>0.2</v>
      </c>
      <c r="AH905" s="38">
        <v>219</v>
      </c>
      <c r="AI905" s="38">
        <f>AH905/(3.5*I905*1000)*100</f>
        <v>0.156174787399048</v>
      </c>
      <c r="AJ905" s="38">
        <v>349</v>
      </c>
      <c r="AK905" s="38">
        <f>AJ905/(3.5*I905*1000)*100</f>
        <v>0.24888128220213582</v>
      </c>
      <c r="AL905" s="38">
        <v>0</v>
      </c>
      <c r="AM905" s="38">
        <f t="shared" si="114"/>
        <v>0</v>
      </c>
      <c r="AN905" s="25"/>
      <c r="AO905" s="25">
        <f>AE905*0.5</f>
        <v>14</v>
      </c>
      <c r="AP905" s="25">
        <f>(AD905+AH905+AJ905+AL905+AO905)*I905</f>
        <v>35137.004999999997</v>
      </c>
      <c r="AQ905" s="25">
        <f>SUM(N905:Q905)</f>
        <v>40.049999999999997</v>
      </c>
      <c r="AR905" s="25">
        <f>SUM(T905:W905)</f>
        <v>40.049999999999997</v>
      </c>
      <c r="AT905" s="41"/>
      <c r="AU905" s="41"/>
      <c r="AV905" s="41"/>
      <c r="AW905" s="41"/>
    </row>
    <row r="906" spans="1:88" s="22" customFormat="1">
      <c r="A906" s="1">
        <v>1499</v>
      </c>
      <c r="B906" s="88" t="s">
        <v>2069</v>
      </c>
      <c r="C906" s="88">
        <v>413</v>
      </c>
      <c r="D906" s="69">
        <v>308</v>
      </c>
      <c r="E906" s="34">
        <v>100</v>
      </c>
      <c r="F906" s="34" t="s">
        <v>2070</v>
      </c>
      <c r="G906" s="58" t="s">
        <v>92</v>
      </c>
      <c r="H906" s="58" t="s">
        <v>2071</v>
      </c>
      <c r="I906" s="35">
        <v>6.55</v>
      </c>
      <c r="J906" s="34">
        <v>6</v>
      </c>
      <c r="K906" s="34" t="s">
        <v>238</v>
      </c>
      <c r="L906" s="10">
        <v>42263</v>
      </c>
      <c r="M906" s="37" t="s">
        <v>191</v>
      </c>
      <c r="N906" s="38">
        <v>4.3250000000000002</v>
      </c>
      <c r="O906" s="38">
        <v>1.075</v>
      </c>
      <c r="P906" s="38">
        <v>0.8</v>
      </c>
      <c r="Q906" s="38">
        <v>0.4</v>
      </c>
      <c r="R906" s="38">
        <v>3.0434000000000001</v>
      </c>
      <c r="S906" s="38">
        <f t="shared" si="115"/>
        <v>3</v>
      </c>
      <c r="T906" s="38">
        <v>6.125</v>
      </c>
      <c r="U906" s="38">
        <v>0.375</v>
      </c>
      <c r="V906" s="38">
        <v>0.05</v>
      </c>
      <c r="W906" s="38">
        <v>0.05</v>
      </c>
      <c r="X906" s="38">
        <v>5.0541</v>
      </c>
      <c r="Y906" s="38">
        <f t="shared" si="116"/>
        <v>5</v>
      </c>
      <c r="Z906" s="38">
        <v>0</v>
      </c>
      <c r="AA906" s="38">
        <v>0</v>
      </c>
      <c r="AB906" s="196">
        <v>6.55</v>
      </c>
      <c r="AC906" s="38">
        <v>1.032</v>
      </c>
      <c r="AD906" s="39">
        <v>35</v>
      </c>
      <c r="AE906" s="38">
        <v>30.83</v>
      </c>
      <c r="AF906" s="38">
        <f>(AD906+AE906*0.5)/(3.5*I906*1000)*100</f>
        <v>0.21991275899672846</v>
      </c>
      <c r="AG906" s="38">
        <f t="shared" si="117"/>
        <v>0.2</v>
      </c>
      <c r="AH906" s="38">
        <v>0</v>
      </c>
      <c r="AI906" s="38">
        <f>AH906/(3.5*I906*1000)*100</f>
        <v>0</v>
      </c>
      <c r="AJ906" s="38">
        <v>0</v>
      </c>
      <c r="AK906" s="38">
        <f>AJ906/(3.5*I906*1000)*100</f>
        <v>0</v>
      </c>
      <c r="AL906" s="38">
        <v>0</v>
      </c>
      <c r="AM906" s="38">
        <f t="shared" si="114"/>
        <v>0</v>
      </c>
      <c r="AN906" s="25"/>
      <c r="AO906" s="25">
        <f>AE906*0.5</f>
        <v>15.414999999999999</v>
      </c>
      <c r="AP906" s="25">
        <f>(AD906+AH906+AJ906+AL906+AO906)*I906</f>
        <v>330.21825000000001</v>
      </c>
      <c r="AQ906" s="25">
        <f>(AD906+AH906+AJ906+AL906)*I906</f>
        <v>229.25</v>
      </c>
      <c r="AR906" s="25">
        <f>SUM(N906:Q906)</f>
        <v>6.6000000000000005</v>
      </c>
      <c r="AS906" s="25">
        <f>SUM(T906:W906)</f>
        <v>6.6</v>
      </c>
      <c r="AU906" s="275">
        <v>6.55</v>
      </c>
      <c r="AV906" s="41">
        <f>SUM(N906:Q906)</f>
        <v>6.6000000000000005</v>
      </c>
      <c r="AW906" s="41">
        <f>SUM(T906:W906)</f>
        <v>6.6</v>
      </c>
      <c r="AX906" s="41">
        <f>SUM(Z906:AB906)</f>
        <v>6.55</v>
      </c>
      <c r="AZ906" s="22">
        <f>I906/AV906</f>
        <v>0.99242424242424232</v>
      </c>
      <c r="BA906" s="22">
        <f>I906/AW906</f>
        <v>0.99242424242424243</v>
      </c>
      <c r="BB906" s="22">
        <f>I906/AX906</f>
        <v>1</v>
      </c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</row>
    <row r="907" spans="1:88" s="22" customFormat="1">
      <c r="A907" s="1">
        <v>1879</v>
      </c>
      <c r="B907" s="34" t="s">
        <v>2495</v>
      </c>
      <c r="C907" s="34">
        <v>335</v>
      </c>
      <c r="D907" s="75">
        <v>3291</v>
      </c>
      <c r="E907" s="8">
        <v>101</v>
      </c>
      <c r="F907" s="9" t="s">
        <v>2510</v>
      </c>
      <c r="G907" s="20" t="s">
        <v>2513</v>
      </c>
      <c r="H907" s="20" t="s">
        <v>2512</v>
      </c>
      <c r="I907" s="21">
        <v>10</v>
      </c>
      <c r="J907" s="34">
        <v>2</v>
      </c>
      <c r="K907" s="34" t="s">
        <v>12</v>
      </c>
      <c r="L907" s="18">
        <v>42095</v>
      </c>
      <c r="M907" s="247" t="s">
        <v>191</v>
      </c>
      <c r="N907" s="38">
        <v>9.5500000000000007</v>
      </c>
      <c r="O907" s="38">
        <v>0.43</v>
      </c>
      <c r="P907" s="38">
        <v>0.03</v>
      </c>
      <c r="Q907" s="38">
        <v>0</v>
      </c>
      <c r="R907" s="38">
        <v>1.8237399999999999</v>
      </c>
      <c r="S907" s="38">
        <f t="shared" si="115"/>
        <v>2</v>
      </c>
      <c r="T907" s="38">
        <v>9.4</v>
      </c>
      <c r="U907" s="38">
        <v>0.45</v>
      </c>
      <c r="V907" s="38">
        <v>0.13</v>
      </c>
      <c r="W907" s="38">
        <v>0.03</v>
      </c>
      <c r="X907" s="38">
        <v>3.5794199999999998</v>
      </c>
      <c r="Y907" s="38">
        <f t="shared" si="116"/>
        <v>3.5</v>
      </c>
      <c r="Z907" s="38">
        <v>0</v>
      </c>
      <c r="AA907" s="38">
        <v>0</v>
      </c>
      <c r="AB907" s="38">
        <v>10</v>
      </c>
      <c r="AC907" s="38">
        <v>1.1001399999999999</v>
      </c>
      <c r="AD907" s="39">
        <v>75.900000000000006</v>
      </c>
      <c r="AE907" s="38">
        <v>2.0099999999999998</v>
      </c>
      <c r="AF907" s="38">
        <f>(AD907+AE907*0.5)/(3.5*I907*1000)*100</f>
        <v>0.21972857142857141</v>
      </c>
      <c r="AG907" s="38">
        <f t="shared" si="117"/>
        <v>0.2</v>
      </c>
      <c r="AH907" s="38">
        <v>26.66</v>
      </c>
      <c r="AI907" s="38">
        <f>AH907/(3.5*I907*1000)*100</f>
        <v>7.617142857142857E-2</v>
      </c>
      <c r="AJ907" s="38">
        <v>0</v>
      </c>
      <c r="AK907" s="38">
        <f>AJ907/(3.5*I907*1000)*100</f>
        <v>0</v>
      </c>
      <c r="AL907" s="38">
        <v>0</v>
      </c>
      <c r="AM907" s="38">
        <f t="shared" si="114"/>
        <v>0</v>
      </c>
      <c r="AN907" s="73"/>
      <c r="AO907" s="73"/>
      <c r="AP907" s="73"/>
      <c r="AQ907" s="41">
        <f>SUM(N907:Q907)</f>
        <v>10.01</v>
      </c>
      <c r="AR907" s="41">
        <f>SUM(T907:W907)</f>
        <v>10.01</v>
      </c>
      <c r="AS907" s="12">
        <f>SUM(Z907:AB907)</f>
        <v>10</v>
      </c>
      <c r="AT907" s="1"/>
      <c r="AU907" s="1">
        <f>I907/AQ907</f>
        <v>0.99900099900099903</v>
      </c>
      <c r="AV907" s="1">
        <f>I907/AR907</f>
        <v>0.99900099900099903</v>
      </c>
      <c r="AW907" s="1">
        <f>I907/AS907</f>
        <v>1</v>
      </c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</row>
    <row r="908" spans="1:88" s="22" customFormat="1">
      <c r="A908" s="1">
        <v>824</v>
      </c>
      <c r="B908" s="34" t="s">
        <v>1204</v>
      </c>
      <c r="C908" s="34">
        <v>647</v>
      </c>
      <c r="D908" s="151">
        <v>2156</v>
      </c>
      <c r="E908" s="34">
        <v>100</v>
      </c>
      <c r="F908" s="34" t="s">
        <v>1216</v>
      </c>
      <c r="G908" s="58">
        <v>0</v>
      </c>
      <c r="H908" s="58">
        <v>9268</v>
      </c>
      <c r="I908" s="35">
        <v>9.2680000000000007</v>
      </c>
      <c r="J908" s="9">
        <v>2</v>
      </c>
      <c r="K908" s="34" t="s">
        <v>238</v>
      </c>
      <c r="L908" s="10">
        <v>42154</v>
      </c>
      <c r="M908" s="37" t="s">
        <v>191</v>
      </c>
      <c r="N908" s="38">
        <v>8.2750000000000004</v>
      </c>
      <c r="O908" s="38">
        <v>0.67500000000000004</v>
      </c>
      <c r="P908" s="38">
        <v>0.2</v>
      </c>
      <c r="Q908" s="38">
        <v>0.1</v>
      </c>
      <c r="R908" s="38">
        <v>2.0270899999999998</v>
      </c>
      <c r="S908" s="38">
        <f t="shared" si="115"/>
        <v>2</v>
      </c>
      <c r="T908" s="38">
        <v>9.25</v>
      </c>
      <c r="U908" s="38">
        <v>0</v>
      </c>
      <c r="V908" s="38">
        <v>0</v>
      </c>
      <c r="W908" s="38">
        <v>0</v>
      </c>
      <c r="X908" s="38">
        <v>3.4349400000000001</v>
      </c>
      <c r="Y908" s="38">
        <f t="shared" si="116"/>
        <v>3.5</v>
      </c>
      <c r="Z908" s="38">
        <v>0</v>
      </c>
      <c r="AA908" s="38">
        <v>0</v>
      </c>
      <c r="AB908" s="38">
        <f>N908+O908+P908+Q908</f>
        <v>9.25</v>
      </c>
      <c r="AC908" s="38">
        <v>1.3580300000000001</v>
      </c>
      <c r="AD908" s="39">
        <v>0</v>
      </c>
      <c r="AE908" s="38">
        <v>142</v>
      </c>
      <c r="AF908" s="38">
        <f>(AD908+AE908*0.5)/(3.5*I908*1000)*100</f>
        <v>0.21887909242246745</v>
      </c>
      <c r="AG908" s="38">
        <f t="shared" si="117"/>
        <v>0.2</v>
      </c>
      <c r="AH908" s="38">
        <v>0</v>
      </c>
      <c r="AI908" s="38">
        <f>AH908/(3.5*I908*1000)*100</f>
        <v>0</v>
      </c>
      <c r="AJ908" s="38">
        <v>114</v>
      </c>
      <c r="AK908" s="38">
        <f>AJ908/(3.5*I908*1000)*100</f>
        <v>0.35143966952339845</v>
      </c>
      <c r="AL908" s="38">
        <v>0</v>
      </c>
      <c r="AM908" s="38">
        <f t="shared" si="114"/>
        <v>0</v>
      </c>
      <c r="AN908" s="25"/>
      <c r="AO908" s="25">
        <f>AE908*0.5</f>
        <v>71</v>
      </c>
      <c r="AP908" s="25">
        <f>(AD908+AH908+AJ908+AL908+AO908)*I908</f>
        <v>1714.5800000000002</v>
      </c>
      <c r="AQ908" s="25">
        <f>SUM(N908:Q908)</f>
        <v>9.25</v>
      </c>
      <c r="AR908" s="25">
        <f>SUM(T908:W908)</f>
        <v>9.25</v>
      </c>
      <c r="AS908" s="268">
        <v>9.2680000000000007</v>
      </c>
      <c r="AT908" s="41"/>
      <c r="AU908" s="41"/>
      <c r="AV908" s="41"/>
      <c r="AW908" s="41"/>
    </row>
    <row r="909" spans="1:88" s="22" customFormat="1">
      <c r="A909" s="1">
        <v>1384</v>
      </c>
      <c r="B909" s="74" t="s">
        <v>1905</v>
      </c>
      <c r="C909" s="34">
        <v>445</v>
      </c>
      <c r="D909" s="75">
        <v>3488</v>
      </c>
      <c r="E909" s="69">
        <v>100</v>
      </c>
      <c r="F909" s="184" t="s">
        <v>1937</v>
      </c>
      <c r="G909" s="20">
        <v>0</v>
      </c>
      <c r="H909" s="20">
        <v>25700</v>
      </c>
      <c r="I909" s="21">
        <v>25.7</v>
      </c>
      <c r="J909" s="8">
        <v>2</v>
      </c>
      <c r="K909" s="34" t="s">
        <v>238</v>
      </c>
      <c r="L909" s="10">
        <v>42208</v>
      </c>
      <c r="M909" s="37" t="s">
        <v>191</v>
      </c>
      <c r="N909" s="38">
        <v>18.574999999999999</v>
      </c>
      <c r="O909" s="38">
        <v>3.25</v>
      </c>
      <c r="P909" s="38">
        <v>2.5750000000000002</v>
      </c>
      <c r="Q909" s="38">
        <v>1.3</v>
      </c>
      <c r="R909" s="38">
        <v>3.4980000000000002</v>
      </c>
      <c r="S909" s="38">
        <f t="shared" si="115"/>
        <v>3.5</v>
      </c>
      <c r="T909" s="147">
        <v>22.47398900032352</v>
      </c>
      <c r="U909" s="147">
        <v>3.2260109996764799</v>
      </c>
      <c r="V909" s="147">
        <v>0</v>
      </c>
      <c r="W909" s="147">
        <v>0</v>
      </c>
      <c r="X909" s="38">
        <v>2.3940000000000001</v>
      </c>
      <c r="Y909" s="38">
        <f t="shared" si="116"/>
        <v>2.5</v>
      </c>
      <c r="Z909" s="38">
        <v>0</v>
      </c>
      <c r="AA909" s="38">
        <v>0</v>
      </c>
      <c r="AB909" s="38">
        <v>25.7</v>
      </c>
      <c r="AC909" s="38">
        <v>1.1240000000000001</v>
      </c>
      <c r="AD909" s="39">
        <v>58.32</v>
      </c>
      <c r="AE909" s="38">
        <v>98.14</v>
      </c>
      <c r="AF909" s="38">
        <v>0.217</v>
      </c>
      <c r="AG909" s="38">
        <f t="shared" si="117"/>
        <v>0.2</v>
      </c>
      <c r="AH909" s="38">
        <v>26.25</v>
      </c>
      <c r="AI909" s="38">
        <v>1.0999999999999999E-2</v>
      </c>
      <c r="AJ909" s="38">
        <v>0</v>
      </c>
      <c r="AK909" s="38">
        <v>0</v>
      </c>
      <c r="AL909" s="38">
        <v>0</v>
      </c>
      <c r="AM909" s="38">
        <v>0</v>
      </c>
      <c r="AN909" s="72"/>
      <c r="AO909" s="41"/>
      <c r="AP909" s="41"/>
      <c r="AQ909" s="41"/>
      <c r="AR909" s="41"/>
      <c r="AS909" s="73"/>
      <c r="AT909" s="73"/>
      <c r="AU909" s="73"/>
      <c r="AV909" s="73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</row>
    <row r="910" spans="1:88" s="22" customFormat="1">
      <c r="A910" s="1">
        <v>255</v>
      </c>
      <c r="B910" s="34" t="s">
        <v>265</v>
      </c>
      <c r="C910" s="34">
        <v>539</v>
      </c>
      <c r="D910" s="34">
        <v>101</v>
      </c>
      <c r="E910" s="34">
        <v>602</v>
      </c>
      <c r="F910" s="34" t="s">
        <v>270</v>
      </c>
      <c r="G910" s="20" t="s">
        <v>271</v>
      </c>
      <c r="H910" s="20" t="s">
        <v>272</v>
      </c>
      <c r="I910" s="35">
        <v>75.415000000000006</v>
      </c>
      <c r="J910" s="36">
        <v>2</v>
      </c>
      <c r="K910" s="34" t="s">
        <v>12</v>
      </c>
      <c r="L910" s="10">
        <v>42213</v>
      </c>
      <c r="M910" s="37" t="s">
        <v>191</v>
      </c>
      <c r="N910" s="38">
        <v>42.15</v>
      </c>
      <c r="O910" s="38">
        <v>17.22</v>
      </c>
      <c r="P910" s="38">
        <v>10.37</v>
      </c>
      <c r="Q910" s="38">
        <v>5.67</v>
      </c>
      <c r="R910" s="38">
        <v>2.5969899999999999</v>
      </c>
      <c r="S910" s="38">
        <f t="shared" si="115"/>
        <v>2.5</v>
      </c>
      <c r="T910" s="38">
        <v>66.709999999999994</v>
      </c>
      <c r="U910" s="38">
        <v>6.43</v>
      </c>
      <c r="V910" s="38">
        <v>1.76</v>
      </c>
      <c r="W910" s="38">
        <v>0.53</v>
      </c>
      <c r="X910" s="38">
        <v>6.19496</v>
      </c>
      <c r="Y910" s="38">
        <f t="shared" si="116"/>
        <v>6</v>
      </c>
      <c r="Z910" s="38">
        <v>0.03</v>
      </c>
      <c r="AA910" s="38">
        <v>0</v>
      </c>
      <c r="AB910" s="38">
        <v>75.39</v>
      </c>
      <c r="AC910" s="38">
        <v>1.296</v>
      </c>
      <c r="AD910" s="39">
        <v>566</v>
      </c>
      <c r="AE910" s="38">
        <v>12.62</v>
      </c>
      <c r="AF910" s="38">
        <v>0.21682310264157367</v>
      </c>
      <c r="AG910" s="38">
        <f t="shared" si="117"/>
        <v>0.2</v>
      </c>
      <c r="AH910" s="38">
        <v>0</v>
      </c>
      <c r="AI910" s="38">
        <v>0</v>
      </c>
      <c r="AJ910" s="38">
        <v>0</v>
      </c>
      <c r="AK910" s="38">
        <v>0</v>
      </c>
      <c r="AL910" s="38">
        <v>0</v>
      </c>
      <c r="AM910" s="38">
        <v>0</v>
      </c>
      <c r="AN910" s="56"/>
      <c r="AO910" s="56"/>
      <c r="AP910" s="25">
        <f>SUM(N910:Q910)</f>
        <v>75.41</v>
      </c>
      <c r="AQ910" s="25">
        <f>SUM(T910:W910)</f>
        <v>75.429999999999993</v>
      </c>
      <c r="AS910" s="41"/>
      <c r="AT910" s="41"/>
      <c r="AU910" s="41"/>
      <c r="AV910" s="41">
        <f>SUM(N910:Q910)</f>
        <v>75.41</v>
      </c>
      <c r="AW910" s="41">
        <f>SUM(T910:W910)</f>
        <v>75.429999999999993</v>
      </c>
      <c r="AX910" s="41">
        <f>SUM(Z910:AB910)</f>
        <v>75.42</v>
      </c>
      <c r="AZ910" s="22">
        <f>I910/AV910</f>
        <v>1.0000663042036866</v>
      </c>
      <c r="BA910" s="22">
        <f>I910/AW910</f>
        <v>0.99980114012992194</v>
      </c>
      <c r="BB910" s="22">
        <f>I910/AX910</f>
        <v>0.99993370458764264</v>
      </c>
    </row>
    <row r="911" spans="1:88" s="22" customFormat="1">
      <c r="A911" s="1">
        <v>2037</v>
      </c>
      <c r="B911" s="34" t="s">
        <v>2678</v>
      </c>
      <c r="C911" s="34">
        <v>326</v>
      </c>
      <c r="D911" s="75">
        <v>4110</v>
      </c>
      <c r="E911" s="8">
        <v>102</v>
      </c>
      <c r="F911" s="34" t="s">
        <v>2687</v>
      </c>
      <c r="G911" s="58">
        <v>50933</v>
      </c>
      <c r="H911" s="58">
        <v>71254</v>
      </c>
      <c r="I911" s="21">
        <v>20.321000000000002</v>
      </c>
      <c r="J911" s="8">
        <v>2</v>
      </c>
      <c r="K911" s="8" t="s">
        <v>238</v>
      </c>
      <c r="L911" s="18">
        <v>42125</v>
      </c>
      <c r="M911" s="37" t="s">
        <v>191</v>
      </c>
      <c r="N911" s="38">
        <v>29.375</v>
      </c>
      <c r="O911" s="38">
        <v>11.45</v>
      </c>
      <c r="P911" s="38">
        <v>5.0750000000000002</v>
      </c>
      <c r="Q911" s="38">
        <v>1.85</v>
      </c>
      <c r="R911" s="38">
        <v>2.5235400000000001</v>
      </c>
      <c r="S911" s="38">
        <f t="shared" si="115"/>
        <v>2.5</v>
      </c>
      <c r="T911" s="38">
        <v>46.2</v>
      </c>
      <c r="U911" s="38">
        <v>1.2</v>
      </c>
      <c r="V911" s="38">
        <v>0.3</v>
      </c>
      <c r="W911" s="38">
        <v>0.05</v>
      </c>
      <c r="X911" s="38">
        <v>3.64669</v>
      </c>
      <c r="Y911" s="38">
        <f t="shared" si="116"/>
        <v>3.5</v>
      </c>
      <c r="Z911" s="38">
        <v>0</v>
      </c>
      <c r="AA911" s="38">
        <v>0</v>
      </c>
      <c r="AB911" s="38">
        <v>47.750000000000007</v>
      </c>
      <c r="AC911" s="38">
        <v>1.21166</v>
      </c>
      <c r="AD911" s="39">
        <v>130.35</v>
      </c>
      <c r="AE911" s="38">
        <v>47.38</v>
      </c>
      <c r="AF911" s="38">
        <f>(AD911+AE911*0.5)/(3.5*I911*1000)*100</f>
        <v>0.21658101752585293</v>
      </c>
      <c r="AG911" s="38">
        <f t="shared" si="117"/>
        <v>0.2</v>
      </c>
      <c r="AH911" s="38">
        <v>736</v>
      </c>
      <c r="AI911" s="38">
        <v>1.0348197150027767</v>
      </c>
      <c r="AJ911" s="55">
        <v>4</v>
      </c>
      <c r="AK911" s="55">
        <v>5.624020190232483E-3</v>
      </c>
      <c r="AL911" s="55">
        <v>0</v>
      </c>
      <c r="AM911" s="55">
        <f>AL911/(3.5*I911*1000)*100</f>
        <v>0</v>
      </c>
      <c r="AN911" s="1"/>
      <c r="AO911" s="12"/>
      <c r="AP911" s="12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</row>
    <row r="912" spans="1:88" s="22" customFormat="1">
      <c r="A912" s="1">
        <v>504</v>
      </c>
      <c r="B912" s="88" t="s">
        <v>821</v>
      </c>
      <c r="C912" s="88">
        <v>519</v>
      </c>
      <c r="D912" s="88">
        <v>1289</v>
      </c>
      <c r="E912" s="88">
        <v>102</v>
      </c>
      <c r="F912" s="88" t="s">
        <v>859</v>
      </c>
      <c r="G912" s="88" t="s">
        <v>860</v>
      </c>
      <c r="H912" s="88" t="s">
        <v>858</v>
      </c>
      <c r="I912" s="115">
        <v>14.327999999999999</v>
      </c>
      <c r="J912" s="88" t="s">
        <v>12</v>
      </c>
      <c r="K912" s="34">
        <v>2</v>
      </c>
      <c r="L912" s="10">
        <v>42276</v>
      </c>
      <c r="M912" s="37" t="s">
        <v>191</v>
      </c>
      <c r="N912" s="38">
        <v>5.75</v>
      </c>
      <c r="O912" s="38">
        <v>2.61</v>
      </c>
      <c r="P912" s="38">
        <v>3.27</v>
      </c>
      <c r="Q912" s="38">
        <v>2.68</v>
      </c>
      <c r="R912" s="38">
        <v>2.0861399999999999</v>
      </c>
      <c r="S912" s="38">
        <f t="shared" si="115"/>
        <v>2</v>
      </c>
      <c r="T912" s="38">
        <v>11.89</v>
      </c>
      <c r="U912" s="38">
        <v>2.11</v>
      </c>
      <c r="V912" s="38">
        <v>0.34</v>
      </c>
      <c r="W912" s="38">
        <v>0</v>
      </c>
      <c r="X912" s="38">
        <v>2.2646999999999999</v>
      </c>
      <c r="Y912" s="38">
        <f t="shared" si="116"/>
        <v>2.5</v>
      </c>
      <c r="Z912" s="38">
        <v>0</v>
      </c>
      <c r="AA912" s="117">
        <v>0</v>
      </c>
      <c r="AB912" s="117">
        <v>6.25</v>
      </c>
      <c r="AC912" s="117">
        <v>1.21051</v>
      </c>
      <c r="AD912" s="254">
        <v>99.5</v>
      </c>
      <c r="AE912" s="117">
        <v>18.193999999999999</v>
      </c>
      <c r="AF912" s="117">
        <v>0.216553</v>
      </c>
      <c r="AG912" s="38">
        <f t="shared" si="117"/>
        <v>0.2</v>
      </c>
      <c r="AH912" s="117">
        <v>67.58</v>
      </c>
      <c r="AI912" s="117">
        <v>0.13476099999999999</v>
      </c>
      <c r="AJ912" s="117">
        <v>0</v>
      </c>
      <c r="AK912" s="117">
        <v>0</v>
      </c>
      <c r="AL912" s="117">
        <v>0</v>
      </c>
      <c r="AM912" s="117">
        <v>0</v>
      </c>
      <c r="AN912" s="41"/>
      <c r="AO912" s="41"/>
      <c r="AP912" s="41"/>
      <c r="AQ912" s="41">
        <f>SUM(N912:Q912)</f>
        <v>14.309999999999999</v>
      </c>
      <c r="AR912" s="41">
        <f>SUM(T912:W912)</f>
        <v>14.34</v>
      </c>
      <c r="AS912" s="41">
        <f>SUM(Z912:AB912)</f>
        <v>6.25</v>
      </c>
      <c r="AU912" s="22">
        <f>I912/AQ912</f>
        <v>1.0012578616352201</v>
      </c>
      <c r="AV912" s="22">
        <f>I912/AR912</f>
        <v>0.99916317991631798</v>
      </c>
      <c r="AW912" s="22">
        <f>I912/AS912</f>
        <v>2.2924799999999999</v>
      </c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</row>
    <row r="913" spans="1:88" s="22" customFormat="1">
      <c r="A913" s="1">
        <v>412</v>
      </c>
      <c r="B913" s="74" t="s">
        <v>655</v>
      </c>
      <c r="C913" s="34">
        <v>511</v>
      </c>
      <c r="D913" s="75">
        <v>1303</v>
      </c>
      <c r="E913" s="69">
        <v>100</v>
      </c>
      <c r="F913" s="34" t="s">
        <v>692</v>
      </c>
      <c r="G913" s="20" t="s">
        <v>92</v>
      </c>
      <c r="H913" s="20" t="s">
        <v>693</v>
      </c>
      <c r="I913" s="21">
        <v>21.117999999999999</v>
      </c>
      <c r="J913" s="8" t="s">
        <v>238</v>
      </c>
      <c r="K913" s="34">
        <v>2</v>
      </c>
      <c r="L913" s="18">
        <v>42265</v>
      </c>
      <c r="M913" s="37" t="s">
        <v>191</v>
      </c>
      <c r="N913" s="38">
        <v>10.039999999999999</v>
      </c>
      <c r="O913" s="38">
        <v>7.53</v>
      </c>
      <c r="P913" s="38">
        <v>2.6</v>
      </c>
      <c r="Q913" s="38">
        <v>0.95</v>
      </c>
      <c r="R913" s="38">
        <v>2.8053400000000002</v>
      </c>
      <c r="S913" s="38">
        <f t="shared" si="115"/>
        <v>3</v>
      </c>
      <c r="T913" s="38">
        <v>18.239999999999998</v>
      </c>
      <c r="U913" s="38">
        <v>2.2000000000000002</v>
      </c>
      <c r="V913" s="38">
        <v>0.53</v>
      </c>
      <c r="W913" s="38">
        <v>0.15</v>
      </c>
      <c r="X913" s="38">
        <v>5.8414700000000002</v>
      </c>
      <c r="Y913" s="38">
        <f t="shared" si="116"/>
        <v>6</v>
      </c>
      <c r="Z913" s="38">
        <v>0</v>
      </c>
      <c r="AA913" s="38">
        <v>0</v>
      </c>
      <c r="AB913" s="38">
        <v>21.12</v>
      </c>
      <c r="AC913" s="38">
        <v>1.1817</v>
      </c>
      <c r="AD913" s="39">
        <v>158.63</v>
      </c>
      <c r="AE913" s="38">
        <v>1.36</v>
      </c>
      <c r="AF913" s="38">
        <v>0.21553700000000001</v>
      </c>
      <c r="AG913" s="38">
        <f t="shared" si="117"/>
        <v>0.2</v>
      </c>
      <c r="AH913" s="38">
        <v>113.58</v>
      </c>
      <c r="AI913" s="38">
        <v>0.153667</v>
      </c>
      <c r="AJ913" s="38">
        <v>1.6</v>
      </c>
      <c r="AK913" s="38">
        <v>2.1649999999999998E-3</v>
      </c>
      <c r="AL913" s="38">
        <v>0</v>
      </c>
      <c r="AM913" s="38">
        <v>0</v>
      </c>
      <c r="AN913" s="72"/>
      <c r="AO913" s="41"/>
      <c r="AP913" s="41"/>
      <c r="AQ913" s="41">
        <f>SUM(N913:Q913)</f>
        <v>21.12</v>
      </c>
      <c r="AR913" s="41">
        <f>SUM(T913:W913)</f>
        <v>21.119999999999997</v>
      </c>
      <c r="AS913" s="41">
        <f>SUM(Z913:AB913)</f>
        <v>21.12</v>
      </c>
      <c r="AU913" s="22">
        <f>I913/AQ913</f>
        <v>0.99990530303030289</v>
      </c>
      <c r="AV913" s="22">
        <f>I913/AR913</f>
        <v>0.99990530303030312</v>
      </c>
      <c r="AW913" s="22">
        <f>I913/AS913</f>
        <v>0.99990530303030289</v>
      </c>
    </row>
    <row r="914" spans="1:88" s="22" customFormat="1">
      <c r="A914" s="1">
        <v>1787</v>
      </c>
      <c r="B914" s="34" t="s">
        <v>2382</v>
      </c>
      <c r="C914" s="34">
        <v>428</v>
      </c>
      <c r="D914" s="8">
        <v>332</v>
      </c>
      <c r="E914" s="34">
        <v>100</v>
      </c>
      <c r="F914" s="34" t="s">
        <v>2388</v>
      </c>
      <c r="G914" s="58" t="s">
        <v>92</v>
      </c>
      <c r="H914" s="58" t="s">
        <v>2389</v>
      </c>
      <c r="I914" s="35">
        <v>14.487</v>
      </c>
      <c r="J914" s="9">
        <v>2</v>
      </c>
      <c r="K914" s="34" t="s">
        <v>238</v>
      </c>
      <c r="L914" s="10">
        <v>42230</v>
      </c>
      <c r="M914" s="37" t="s">
        <v>191</v>
      </c>
      <c r="N914" s="38">
        <v>7.7</v>
      </c>
      <c r="O914" s="38">
        <v>4.8499999999999996</v>
      </c>
      <c r="P914" s="38">
        <v>1.5249999999999999</v>
      </c>
      <c r="Q914" s="38">
        <v>0.5</v>
      </c>
      <c r="R914" s="38">
        <v>2.97</v>
      </c>
      <c r="S914" s="38">
        <f t="shared" si="115"/>
        <v>3</v>
      </c>
      <c r="T914" s="38">
        <v>13.025</v>
      </c>
      <c r="U914" s="38">
        <v>1.45</v>
      </c>
      <c r="V914" s="38">
        <v>0.1</v>
      </c>
      <c r="W914" s="38">
        <v>0</v>
      </c>
      <c r="X914" s="38">
        <v>6.3109999999999999</v>
      </c>
      <c r="Y914" s="38">
        <f t="shared" si="116"/>
        <v>6.5</v>
      </c>
      <c r="Z914" s="38">
        <v>0</v>
      </c>
      <c r="AA914" s="38">
        <v>0</v>
      </c>
      <c r="AB914" s="38">
        <f>SUM(N914:Q914)</f>
        <v>14.575000000000001</v>
      </c>
      <c r="AC914" s="38">
        <v>1.208</v>
      </c>
      <c r="AD914" s="39">
        <v>109.26</v>
      </c>
      <c r="AE914" s="38">
        <v>0</v>
      </c>
      <c r="AF914" s="38">
        <f t="shared" ref="AF914:AF919" si="118">(AD914+AE914*0.5)/(3.5*I914*1000)*100</f>
        <v>0.21548383279590572</v>
      </c>
      <c r="AG914" s="38">
        <f t="shared" si="117"/>
        <v>0.2</v>
      </c>
      <c r="AH914" s="38">
        <v>0</v>
      </c>
      <c r="AI914" s="38">
        <f t="shared" ref="AI914:AI919" si="119">AH914/(3.5*I914*1000)*100</f>
        <v>0</v>
      </c>
      <c r="AJ914" s="38">
        <v>0</v>
      </c>
      <c r="AK914" s="38">
        <f t="shared" ref="AK914:AK919" si="120">AJ914/(3.5*I914*1000)*100</f>
        <v>0</v>
      </c>
      <c r="AL914" s="38">
        <v>0</v>
      </c>
      <c r="AM914" s="38">
        <f t="shared" ref="AM914:AM919" si="121">AL914/(3.5*I914*1000)*100</f>
        <v>0</v>
      </c>
      <c r="AN914" s="25"/>
      <c r="AO914" s="25">
        <f>AE914*0.5</f>
        <v>0</v>
      </c>
      <c r="AP914" s="25">
        <f>(AD914+AH914+AJ914+AL914+AO914)*I914</f>
        <v>1582.8496200000002</v>
      </c>
      <c r="AQ914" s="136"/>
      <c r="AR914" s="12"/>
      <c r="AT914" s="41"/>
      <c r="AU914" s="41"/>
      <c r="AV914" s="41"/>
      <c r="AW914" s="41"/>
    </row>
    <row r="915" spans="1:88" s="22" customFormat="1">
      <c r="A915" s="1">
        <v>185</v>
      </c>
      <c r="B915" s="34" t="s">
        <v>332</v>
      </c>
      <c r="C915" s="34">
        <v>533</v>
      </c>
      <c r="D915" s="34">
        <v>1338</v>
      </c>
      <c r="E915" s="34">
        <v>100</v>
      </c>
      <c r="F915" s="34" t="s">
        <v>372</v>
      </c>
      <c r="G915" s="20" t="s">
        <v>92</v>
      </c>
      <c r="H915" s="20" t="s">
        <v>373</v>
      </c>
      <c r="I915" s="35">
        <v>19.440000000000001</v>
      </c>
      <c r="J915" s="36">
        <v>2</v>
      </c>
      <c r="K915" s="34" t="s">
        <v>238</v>
      </c>
      <c r="L915" s="10">
        <v>42202</v>
      </c>
      <c r="M915" s="37" t="s">
        <v>191</v>
      </c>
      <c r="N915" s="38">
        <v>7.42</v>
      </c>
      <c r="O915" s="38">
        <v>7.15</v>
      </c>
      <c r="P915" s="38">
        <v>3.36</v>
      </c>
      <c r="Q915" s="38">
        <v>1.51</v>
      </c>
      <c r="R915" s="38">
        <v>3.0670000000000002</v>
      </c>
      <c r="S915" s="38">
        <f t="shared" si="115"/>
        <v>3</v>
      </c>
      <c r="T915" s="38">
        <v>17.27</v>
      </c>
      <c r="U915" s="38">
        <v>1.24</v>
      </c>
      <c r="V915" s="38">
        <v>0.5</v>
      </c>
      <c r="W915" s="38">
        <v>0.43</v>
      </c>
      <c r="X915" s="38">
        <v>6.0389999999999997</v>
      </c>
      <c r="Y915" s="38">
        <f t="shared" si="116"/>
        <v>6</v>
      </c>
      <c r="Z915" s="38">
        <v>0.3</v>
      </c>
      <c r="AA915" s="38">
        <v>0.53</v>
      </c>
      <c r="AB915" s="38">
        <v>18.61</v>
      </c>
      <c r="AC915" s="38">
        <v>1.355</v>
      </c>
      <c r="AD915" s="39">
        <v>48.7</v>
      </c>
      <c r="AE915" s="38">
        <v>195.14</v>
      </c>
      <c r="AF915" s="38">
        <f t="shared" si="118"/>
        <v>0.21497648442092887</v>
      </c>
      <c r="AG915" s="38">
        <f t="shared" si="117"/>
        <v>0.2</v>
      </c>
      <c r="AH915" s="38">
        <v>0</v>
      </c>
      <c r="AI915" s="38">
        <f t="shared" si="119"/>
        <v>0</v>
      </c>
      <c r="AJ915" s="38">
        <v>0</v>
      </c>
      <c r="AK915" s="38">
        <f t="shared" si="120"/>
        <v>0</v>
      </c>
      <c r="AL915" s="38">
        <v>0</v>
      </c>
      <c r="AM915" s="38">
        <f t="shared" si="121"/>
        <v>0</v>
      </c>
      <c r="AN915" s="25"/>
      <c r="AO915" s="25">
        <f>AE915*0.5</f>
        <v>97.57</v>
      </c>
      <c r="AP915" s="25">
        <f>(AD915+AH915+AJ915+AL915+AO915)*I915</f>
        <v>2843.4887999999996</v>
      </c>
      <c r="AQ915" s="25"/>
      <c r="AR915" s="25">
        <f>SUM(N915:Q915)</f>
        <v>19.440000000000001</v>
      </c>
      <c r="AS915" s="25">
        <f>SUM(T915:W915)</f>
        <v>19.439999999999998</v>
      </c>
      <c r="AU915" s="41">
        <f>SUM(N915:Q915)</f>
        <v>19.440000000000001</v>
      </c>
      <c r="AV915" s="41">
        <f>SUM(T915:W915)</f>
        <v>19.439999999999998</v>
      </c>
      <c r="AW915" s="41">
        <f>SUM(Z915:AB915)</f>
        <v>19.439999999999998</v>
      </c>
      <c r="AX915" s="41"/>
      <c r="AY915" s="22">
        <f>I915/AU915</f>
        <v>1</v>
      </c>
      <c r="AZ915" s="22">
        <f>I915/AV915</f>
        <v>1.0000000000000002</v>
      </c>
      <c r="BA915" s="22">
        <f>I915/AW915</f>
        <v>1.0000000000000002</v>
      </c>
    </row>
    <row r="916" spans="1:88" s="22" customFormat="1">
      <c r="A916" s="1">
        <v>1096</v>
      </c>
      <c r="B916" s="9" t="s">
        <v>1513</v>
      </c>
      <c r="C916" s="34">
        <v>431</v>
      </c>
      <c r="D916" s="75">
        <v>205</v>
      </c>
      <c r="E916" s="69">
        <v>102</v>
      </c>
      <c r="F916" s="34" t="s">
        <v>1516</v>
      </c>
      <c r="G916" s="20" t="s">
        <v>1515</v>
      </c>
      <c r="H916" s="20" t="s">
        <v>1517</v>
      </c>
      <c r="I916" s="21">
        <v>9.4090000000000007</v>
      </c>
      <c r="J916" s="8">
        <v>4</v>
      </c>
      <c r="K916" s="5" t="s">
        <v>237</v>
      </c>
      <c r="L916" s="18">
        <v>42282</v>
      </c>
      <c r="M916" s="37" t="s">
        <v>191</v>
      </c>
      <c r="N916" s="38">
        <v>4.3</v>
      </c>
      <c r="O916" s="38">
        <v>2.9</v>
      </c>
      <c r="P916" s="38">
        <v>1.425</v>
      </c>
      <c r="Q916" s="38">
        <v>0.72499999999999998</v>
      </c>
      <c r="R916" s="38">
        <v>2.9157000000000002</v>
      </c>
      <c r="S916" s="38">
        <f t="shared" si="115"/>
        <v>3</v>
      </c>
      <c r="T916" s="38">
        <v>7.4749999999999996</v>
      </c>
      <c r="U916" s="38">
        <v>1.2749999999999999</v>
      </c>
      <c r="V916" s="38">
        <v>0.3</v>
      </c>
      <c r="W916" s="38">
        <v>0.3</v>
      </c>
      <c r="X916" s="38">
        <v>6.78484</v>
      </c>
      <c r="Y916" s="38">
        <f t="shared" si="116"/>
        <v>7</v>
      </c>
      <c r="Z916" s="38">
        <v>0</v>
      </c>
      <c r="AA916" s="38">
        <v>0</v>
      </c>
      <c r="AB916" s="38">
        <v>9.35</v>
      </c>
      <c r="AC916" s="38">
        <v>1.34643</v>
      </c>
      <c r="AD916" s="39">
        <v>69.34</v>
      </c>
      <c r="AE916" s="38">
        <v>2.9</v>
      </c>
      <c r="AF916" s="38">
        <f t="shared" si="118"/>
        <v>0.21496135918497489</v>
      </c>
      <c r="AG916" s="38">
        <f t="shared" si="117"/>
        <v>0.2</v>
      </c>
      <c r="AH916" s="38">
        <v>99.569000000000003</v>
      </c>
      <c r="AI916" s="38">
        <f t="shared" si="119"/>
        <v>0.30235185157068462</v>
      </c>
      <c r="AJ916" s="38">
        <v>0</v>
      </c>
      <c r="AK916" s="38">
        <f t="shared" si="120"/>
        <v>0</v>
      </c>
      <c r="AL916" s="38">
        <v>2E-3</v>
      </c>
      <c r="AM916" s="38">
        <f t="shared" si="121"/>
        <v>6.0732125776232485E-6</v>
      </c>
      <c r="AN916" s="41"/>
      <c r="AO916" s="72"/>
      <c r="AP916" s="73"/>
      <c r="AQ916" s="73"/>
    </row>
    <row r="917" spans="1:88" s="22" customFormat="1">
      <c r="A917" s="1">
        <v>1079</v>
      </c>
      <c r="B917" s="34" t="s">
        <v>1467</v>
      </c>
      <c r="C917" s="34">
        <v>619</v>
      </c>
      <c r="D917" s="8">
        <v>3395</v>
      </c>
      <c r="E917" s="34">
        <v>201</v>
      </c>
      <c r="F917" s="34" t="s">
        <v>1487</v>
      </c>
      <c r="G917" s="58">
        <v>8908</v>
      </c>
      <c r="H917" s="58">
        <v>59008</v>
      </c>
      <c r="I917" s="35">
        <v>50.1</v>
      </c>
      <c r="J917" s="9">
        <v>2</v>
      </c>
      <c r="K917" s="34" t="s">
        <v>238</v>
      </c>
      <c r="L917" s="10">
        <v>42094</v>
      </c>
      <c r="M917" s="37" t="s">
        <v>191</v>
      </c>
      <c r="N917" s="38">
        <v>37.130000000000003</v>
      </c>
      <c r="O917" s="38">
        <v>8.4</v>
      </c>
      <c r="P917" s="38">
        <v>3.03</v>
      </c>
      <c r="Q917" s="38">
        <v>1.55</v>
      </c>
      <c r="R917" s="38">
        <v>3.0137999999999998</v>
      </c>
      <c r="S917" s="38">
        <f t="shared" si="115"/>
        <v>3</v>
      </c>
      <c r="T917" s="38">
        <v>43.95</v>
      </c>
      <c r="U917" s="38">
        <v>4.5999999999999996</v>
      </c>
      <c r="V917" s="38">
        <v>1.28</v>
      </c>
      <c r="W917" s="38">
        <v>0.28000000000000003</v>
      </c>
      <c r="X917" s="38">
        <v>6.8496300000000003</v>
      </c>
      <c r="Y917" s="38">
        <f t="shared" si="116"/>
        <v>7</v>
      </c>
      <c r="Z917" s="117">
        <v>0</v>
      </c>
      <c r="AA917" s="117">
        <v>0</v>
      </c>
      <c r="AB917" s="117">
        <v>50.1</v>
      </c>
      <c r="AC917" s="38">
        <v>1.2447299999999999</v>
      </c>
      <c r="AD917" s="39">
        <v>376.51</v>
      </c>
      <c r="AE917" s="38">
        <v>0</v>
      </c>
      <c r="AF917" s="11">
        <f t="shared" si="118"/>
        <v>0.21471913316224692</v>
      </c>
      <c r="AG917" s="38">
        <f t="shared" si="117"/>
        <v>0.2</v>
      </c>
      <c r="AH917" s="38">
        <v>7.12</v>
      </c>
      <c r="AI917" s="38">
        <f t="shared" si="119"/>
        <v>4.0604505275163962E-3</v>
      </c>
      <c r="AJ917" s="38">
        <v>0</v>
      </c>
      <c r="AK917" s="38">
        <f t="shared" si="120"/>
        <v>0</v>
      </c>
      <c r="AL917" s="38">
        <v>0</v>
      </c>
      <c r="AM917" s="38">
        <f t="shared" si="121"/>
        <v>0</v>
      </c>
      <c r="AN917" s="25"/>
      <c r="AO917" s="25"/>
      <c r="AP917" s="12">
        <f>AE917*0.5</f>
        <v>0</v>
      </c>
      <c r="AQ917" s="12">
        <f>(AD917+AH917+AJ917+AL917+AP917)*I917</f>
        <v>19219.863000000001</v>
      </c>
      <c r="AR917" s="25"/>
      <c r="AS917" s="25">
        <f>SUM(N917:Q917)</f>
        <v>50.11</v>
      </c>
      <c r="AT917" s="22">
        <f>SUM(T917:W917)</f>
        <v>50.110000000000007</v>
      </c>
      <c r="AU917" s="268">
        <v>50.1</v>
      </c>
      <c r="AV917" s="41">
        <f>SUM(N917:Q917)</f>
        <v>50.11</v>
      </c>
      <c r="AW917" s="41">
        <f>SUM(T917:W917)</f>
        <v>50.110000000000007</v>
      </c>
      <c r="AX917" s="41">
        <f>SUM(Z917:AB917)</f>
        <v>50.1</v>
      </c>
      <c r="AZ917" s="22">
        <f>I917/AV917</f>
        <v>0.99980043903412497</v>
      </c>
      <c r="BA917" s="22">
        <f>I917/AW917</f>
        <v>0.99980043903412485</v>
      </c>
      <c r="BB917" s="22">
        <f>I917/AX917</f>
        <v>1</v>
      </c>
    </row>
    <row r="918" spans="1:88" s="22" customFormat="1">
      <c r="A918" s="1">
        <v>1005</v>
      </c>
      <c r="B918" s="9" t="s">
        <v>1394</v>
      </c>
      <c r="C918" s="9">
        <v>617</v>
      </c>
      <c r="D918" s="8">
        <v>226</v>
      </c>
      <c r="E918" s="9">
        <v>201</v>
      </c>
      <c r="F918" s="9" t="s">
        <v>1404</v>
      </c>
      <c r="G918" s="20">
        <v>78698</v>
      </c>
      <c r="H918" s="20">
        <v>91010</v>
      </c>
      <c r="I918" s="35">
        <v>12.311999999999999</v>
      </c>
      <c r="J918" s="9">
        <v>4</v>
      </c>
      <c r="K918" s="9" t="s">
        <v>237</v>
      </c>
      <c r="L918" s="18">
        <v>42129</v>
      </c>
      <c r="M918" s="37" t="s">
        <v>191</v>
      </c>
      <c r="N918" s="11">
        <v>4.55</v>
      </c>
      <c r="O918" s="11">
        <v>4.5250000000000004</v>
      </c>
      <c r="P918" s="11">
        <v>2.25</v>
      </c>
      <c r="Q918" s="11">
        <v>0.8</v>
      </c>
      <c r="R918" s="11">
        <v>3.04094</v>
      </c>
      <c r="S918" s="38">
        <f t="shared" si="115"/>
        <v>3</v>
      </c>
      <c r="T918" s="11">
        <v>9.4749999999999996</v>
      </c>
      <c r="U918" s="11">
        <v>1.825</v>
      </c>
      <c r="V918" s="11">
        <v>0.5</v>
      </c>
      <c r="W918" s="11">
        <v>0.32500000000000001</v>
      </c>
      <c r="X918" s="11">
        <v>5.9077500000000001</v>
      </c>
      <c r="Y918" s="38">
        <f t="shared" si="116"/>
        <v>6</v>
      </c>
      <c r="Z918" s="11">
        <v>0</v>
      </c>
      <c r="AA918" s="11">
        <v>0</v>
      </c>
      <c r="AB918" s="11">
        <f>SUM(N918:Q918)</f>
        <v>12.125</v>
      </c>
      <c r="AC918" s="11">
        <v>1.28061</v>
      </c>
      <c r="AD918" s="164">
        <v>32.08</v>
      </c>
      <c r="AE918" s="11">
        <v>120.43</v>
      </c>
      <c r="AF918" s="11">
        <f t="shared" si="118"/>
        <v>0.21418128654970761</v>
      </c>
      <c r="AG918" s="38">
        <f t="shared" si="117"/>
        <v>0.2</v>
      </c>
      <c r="AH918" s="11">
        <v>53.85</v>
      </c>
      <c r="AI918" s="38">
        <f t="shared" si="119"/>
        <v>0.12496519075466445</v>
      </c>
      <c r="AJ918" s="11">
        <v>91.64</v>
      </c>
      <c r="AK918" s="38">
        <f t="shared" si="120"/>
        <v>0.21266128283672142</v>
      </c>
      <c r="AL918" s="11">
        <v>0.19</v>
      </c>
      <c r="AM918" s="38">
        <f t="shared" si="121"/>
        <v>4.4091710758377428E-4</v>
      </c>
      <c r="AN918" s="25"/>
      <c r="AO918" s="25">
        <f>AE918*0.5</f>
        <v>60.215000000000003</v>
      </c>
      <c r="AP918" s="25">
        <f>(AD918+AH918+AJ918+AL918+AO918)*I918</f>
        <v>2929.9481999999998</v>
      </c>
      <c r="AQ918" s="25"/>
      <c r="AR918" s="25"/>
      <c r="AS918" s="25">
        <f>SUM(N918:Q918)</f>
        <v>12.125</v>
      </c>
      <c r="AT918" s="25">
        <f>SUM(T918:W918)</f>
        <v>12.124999999999998</v>
      </c>
      <c r="AU918" s="41"/>
      <c r="AV918" s="41"/>
      <c r="AW918" s="41"/>
    </row>
    <row r="919" spans="1:88" s="22" customFormat="1">
      <c r="A919" s="1">
        <v>1006</v>
      </c>
      <c r="B919" s="9" t="s">
        <v>1394</v>
      </c>
      <c r="C919" s="9">
        <v>617</v>
      </c>
      <c r="D919" s="8">
        <v>226</v>
      </c>
      <c r="E919" s="9">
        <v>201</v>
      </c>
      <c r="F919" s="9" t="s">
        <v>1404</v>
      </c>
      <c r="G919" s="20" t="s">
        <v>1405</v>
      </c>
      <c r="H919" s="20" t="s">
        <v>1406</v>
      </c>
      <c r="I919" s="35">
        <v>12.311999999999999</v>
      </c>
      <c r="J919" s="9">
        <v>4</v>
      </c>
      <c r="K919" s="9" t="s">
        <v>96</v>
      </c>
      <c r="L919" s="18">
        <v>42129</v>
      </c>
      <c r="M919" s="37" t="s">
        <v>191</v>
      </c>
      <c r="N919" s="11">
        <v>4.75</v>
      </c>
      <c r="O919" s="11">
        <v>4.875</v>
      </c>
      <c r="P919" s="11">
        <v>1.675</v>
      </c>
      <c r="Q919" s="11">
        <v>0.77500000000000002</v>
      </c>
      <c r="R919" s="11">
        <v>3.1181199999999998</v>
      </c>
      <c r="S919" s="38">
        <f t="shared" si="115"/>
        <v>3</v>
      </c>
      <c r="T919" s="11">
        <v>10.625</v>
      </c>
      <c r="U919" s="11">
        <v>1.075</v>
      </c>
      <c r="V919" s="11">
        <v>0.22500000000000001</v>
      </c>
      <c r="W919" s="11">
        <v>0.15</v>
      </c>
      <c r="X919" s="11">
        <v>5.6376200000000001</v>
      </c>
      <c r="Y919" s="38">
        <f t="shared" si="116"/>
        <v>5.5</v>
      </c>
      <c r="Z919" s="11">
        <v>0</v>
      </c>
      <c r="AA919" s="11">
        <v>0</v>
      </c>
      <c r="AB919" s="11">
        <f>SUM(N919:Q919)</f>
        <v>12.075000000000001</v>
      </c>
      <c r="AC919" s="11">
        <v>1.28233</v>
      </c>
      <c r="AD919" s="164">
        <v>32.08</v>
      </c>
      <c r="AE919" s="11">
        <v>120.43</v>
      </c>
      <c r="AF919" s="11">
        <f t="shared" si="118"/>
        <v>0.21418128654970761</v>
      </c>
      <c r="AG919" s="38">
        <f t="shared" si="117"/>
        <v>0.2</v>
      </c>
      <c r="AH919" s="11">
        <v>53.85</v>
      </c>
      <c r="AI919" s="38">
        <f t="shared" si="119"/>
        <v>0.12496519075466445</v>
      </c>
      <c r="AJ919" s="11">
        <v>91.64</v>
      </c>
      <c r="AK919" s="38">
        <f t="shared" si="120"/>
        <v>0.21266128283672142</v>
      </c>
      <c r="AL919" s="11">
        <v>0.19</v>
      </c>
      <c r="AM919" s="38">
        <f t="shared" si="121"/>
        <v>4.4091710758377428E-4</v>
      </c>
      <c r="AN919" s="25"/>
      <c r="AO919" s="25">
        <f>AE919*0.5</f>
        <v>60.215000000000003</v>
      </c>
      <c r="AP919" s="25">
        <f>(AD919+AH919+AJ919+AL919+AO919)*I919</f>
        <v>2929.9481999999998</v>
      </c>
      <c r="AQ919" s="25"/>
      <c r="AR919" s="25"/>
      <c r="AS919" s="25">
        <f>SUM(N919:Q919)</f>
        <v>12.075000000000001</v>
      </c>
      <c r="AT919" s="25">
        <f>SUM(T919:W919)</f>
        <v>12.074999999999999</v>
      </c>
      <c r="AU919" s="41"/>
      <c r="AV919" s="41"/>
      <c r="AW919" s="41"/>
    </row>
    <row r="920" spans="1:88" s="22" customFormat="1">
      <c r="A920" s="1">
        <v>1370</v>
      </c>
      <c r="B920" s="74" t="s">
        <v>1905</v>
      </c>
      <c r="C920" s="34">
        <v>445</v>
      </c>
      <c r="D920" s="75">
        <v>3358</v>
      </c>
      <c r="E920" s="69">
        <v>100</v>
      </c>
      <c r="F920" s="184" t="s">
        <v>1920</v>
      </c>
      <c r="G920" s="20">
        <v>20213</v>
      </c>
      <c r="H920" s="20">
        <v>0</v>
      </c>
      <c r="I920" s="21">
        <v>20.213000000000001</v>
      </c>
      <c r="J920" s="8">
        <v>2</v>
      </c>
      <c r="K920" s="34" t="s">
        <v>12</v>
      </c>
      <c r="L920" s="10">
        <v>42188</v>
      </c>
      <c r="M920" s="37" t="s">
        <v>191</v>
      </c>
      <c r="N920" s="38">
        <v>15.6</v>
      </c>
      <c r="O920" s="38">
        <v>3.15</v>
      </c>
      <c r="P920" s="38">
        <v>0.92500000000000004</v>
      </c>
      <c r="Q920" s="38">
        <v>0.42499999999999999</v>
      </c>
      <c r="R920" s="38">
        <v>2.09598</v>
      </c>
      <c r="S920" s="38">
        <f t="shared" si="115"/>
        <v>2</v>
      </c>
      <c r="T920" s="38">
        <v>19.7</v>
      </c>
      <c r="U920" s="38">
        <v>0.3</v>
      </c>
      <c r="V920" s="38">
        <v>7.4999999999999997E-2</v>
      </c>
      <c r="W920" s="38">
        <v>2.5000000000000001E-2</v>
      </c>
      <c r="X920" s="38">
        <v>4.2315399999999999</v>
      </c>
      <c r="Y920" s="38">
        <f t="shared" si="116"/>
        <v>4</v>
      </c>
      <c r="Z920" s="38">
        <v>0</v>
      </c>
      <c r="AA920" s="38">
        <v>0</v>
      </c>
      <c r="AB920" s="38">
        <v>20.100000000000001</v>
      </c>
      <c r="AC920" s="38">
        <v>0.99338400000000004</v>
      </c>
      <c r="AD920" s="39">
        <v>134.69</v>
      </c>
      <c r="AE920" s="38">
        <v>33.340000000000003</v>
      </c>
      <c r="AF920" s="38">
        <v>0.21395000388717303</v>
      </c>
      <c r="AG920" s="38">
        <f t="shared" si="117"/>
        <v>0.2</v>
      </c>
      <c r="AH920" s="38">
        <v>6.5</v>
      </c>
      <c r="AI920" s="38">
        <v>9.1878635390236843E-3</v>
      </c>
      <c r="AJ920" s="38">
        <v>1.6</v>
      </c>
      <c r="AK920" s="38">
        <v>2.2616279480673681E-3</v>
      </c>
      <c r="AL920" s="38">
        <v>0</v>
      </c>
      <c r="AM920" s="38">
        <v>0</v>
      </c>
      <c r="AN920" s="72"/>
      <c r="AO920" s="41"/>
      <c r="AP920" s="41"/>
      <c r="AQ920" s="41"/>
      <c r="AR920" s="41"/>
      <c r="AS920" s="73"/>
      <c r="AT920" s="73"/>
      <c r="AU920" s="73"/>
      <c r="AV920" s="73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</row>
    <row r="921" spans="1:88" s="22" customFormat="1">
      <c r="A921" s="1">
        <v>555</v>
      </c>
      <c r="B921" s="34" t="s">
        <v>948</v>
      </c>
      <c r="C921" s="34">
        <v>551</v>
      </c>
      <c r="D921" s="34">
        <v>2215</v>
      </c>
      <c r="E921" s="34">
        <v>100</v>
      </c>
      <c r="F921" s="9" t="s">
        <v>956</v>
      </c>
      <c r="G921" s="118">
        <v>0</v>
      </c>
      <c r="H921" s="118">
        <v>18595</v>
      </c>
      <c r="I921" s="35">
        <v>18.594999999999999</v>
      </c>
      <c r="J921" s="71">
        <v>2</v>
      </c>
      <c r="K921" s="34" t="s">
        <v>238</v>
      </c>
      <c r="L921" s="10">
        <v>42192</v>
      </c>
      <c r="M921" s="37" t="s">
        <v>191</v>
      </c>
      <c r="N921" s="38">
        <v>13.7</v>
      </c>
      <c r="O921" s="38">
        <v>3.21</v>
      </c>
      <c r="P921" s="38">
        <v>1.07</v>
      </c>
      <c r="Q921" s="38">
        <v>0.63</v>
      </c>
      <c r="R921" s="38">
        <v>2.173</v>
      </c>
      <c r="S921" s="38">
        <f t="shared" si="115"/>
        <v>2</v>
      </c>
      <c r="T921" s="38">
        <v>18.55</v>
      </c>
      <c r="U921" s="38">
        <v>0.03</v>
      </c>
      <c r="V921" s="38">
        <v>0</v>
      </c>
      <c r="W921" s="38">
        <v>0.03</v>
      </c>
      <c r="X921" s="38">
        <v>2.7850000000000001</v>
      </c>
      <c r="Y921" s="38">
        <f t="shared" si="116"/>
        <v>3</v>
      </c>
      <c r="Z921" s="38">
        <v>0</v>
      </c>
      <c r="AA921" s="38">
        <v>0</v>
      </c>
      <c r="AB921" s="38">
        <f>T921+U921+V921+W921</f>
        <v>18.610000000000003</v>
      </c>
      <c r="AC921" s="38">
        <v>1.147</v>
      </c>
      <c r="AD921" s="39">
        <v>20.5</v>
      </c>
      <c r="AE921" s="38">
        <v>236.35</v>
      </c>
      <c r="AF921" s="38">
        <f>(AD921+AE921*0.5)/(3.5*I921*1000)*100</f>
        <v>0.21307571159681948</v>
      </c>
      <c r="AG921" s="38">
        <f t="shared" si="117"/>
        <v>0.2</v>
      </c>
      <c r="AH921" s="38">
        <v>268</v>
      </c>
      <c r="AI921" s="38">
        <f>AH921/(3.5*I921*1000)*100</f>
        <v>0.41178504206199829</v>
      </c>
      <c r="AJ921" s="38">
        <v>2612.5800000000004</v>
      </c>
      <c r="AK921" s="38">
        <f>AJ921/(3.5*I921*1000)*100</f>
        <v>4.0142588253370732</v>
      </c>
      <c r="AL921" s="38">
        <v>65.400000000000006</v>
      </c>
      <c r="AM921" s="38">
        <f>AL921/(3.5*I921*1000)*100</f>
        <v>0.1004878423539354</v>
      </c>
      <c r="AN921" s="25"/>
      <c r="AO921" s="25">
        <f>AE921*0.5</f>
        <v>118.175</v>
      </c>
      <c r="AP921" s="25">
        <f>(AD921+AH921+AJ921+AL921+AO921)*I921</f>
        <v>57359.159725000012</v>
      </c>
      <c r="AQ921" s="25">
        <f>SUM(N921:Q921)</f>
        <v>18.61</v>
      </c>
      <c r="AR921" s="25">
        <f>SUM(T921:W921)</f>
        <v>18.610000000000003</v>
      </c>
      <c r="AS921" s="268">
        <v>18.594999999999999</v>
      </c>
      <c r="AT921" s="41"/>
      <c r="AU921" s="41">
        <f>SUM(N921:Q921)</f>
        <v>18.61</v>
      </c>
      <c r="AV921" s="41">
        <f>SUM(T921:W921)</f>
        <v>18.610000000000003</v>
      </c>
      <c r="AW921" s="41">
        <f>SUM(Z921:AB921)</f>
        <v>18.610000000000003</v>
      </c>
      <c r="AY921" s="22">
        <f>I921/AU921</f>
        <v>0.99919398173025253</v>
      </c>
      <c r="AZ921" s="22">
        <f>I921/AV921</f>
        <v>0.99919398173025231</v>
      </c>
      <c r="BA921" s="22">
        <f>I921/AW921</f>
        <v>0.99919398173025231</v>
      </c>
    </row>
    <row r="922" spans="1:88" s="22" customFormat="1">
      <c r="A922" s="1">
        <v>399</v>
      </c>
      <c r="B922" s="74" t="s">
        <v>655</v>
      </c>
      <c r="C922" s="34">
        <v>511</v>
      </c>
      <c r="D922" s="75">
        <v>126</v>
      </c>
      <c r="E922" s="69">
        <v>200</v>
      </c>
      <c r="F922" s="34" t="s">
        <v>663</v>
      </c>
      <c r="G922" s="20" t="s">
        <v>665</v>
      </c>
      <c r="H922" s="20" t="s">
        <v>664</v>
      </c>
      <c r="I922" s="21">
        <v>20.850999999999999</v>
      </c>
      <c r="J922" s="8" t="s">
        <v>12</v>
      </c>
      <c r="K922" s="34">
        <v>2</v>
      </c>
      <c r="L922" s="18">
        <v>42266</v>
      </c>
      <c r="M922" s="37" t="s">
        <v>191</v>
      </c>
      <c r="N922" s="38">
        <v>15.27</v>
      </c>
      <c r="O922" s="38">
        <v>3.28</v>
      </c>
      <c r="P922" s="38">
        <v>1.52</v>
      </c>
      <c r="Q922" s="38">
        <v>0.78</v>
      </c>
      <c r="R922" s="38">
        <v>2.13951</v>
      </c>
      <c r="S922" s="38">
        <f t="shared" si="115"/>
        <v>2</v>
      </c>
      <c r="T922" s="38">
        <v>20.85</v>
      </c>
      <c r="U922" s="38">
        <v>0</v>
      </c>
      <c r="V922" s="38">
        <v>0</v>
      </c>
      <c r="W922" s="38">
        <v>0</v>
      </c>
      <c r="X922" s="38">
        <v>1.94069</v>
      </c>
      <c r="Y922" s="38">
        <f t="shared" si="116"/>
        <v>2</v>
      </c>
      <c r="Z922" s="38">
        <v>0</v>
      </c>
      <c r="AA922" s="38">
        <v>0</v>
      </c>
      <c r="AB922" s="38">
        <v>20.85</v>
      </c>
      <c r="AC922" s="38">
        <v>1.23634</v>
      </c>
      <c r="AD922" s="39">
        <v>154.62</v>
      </c>
      <c r="AE922" s="38">
        <v>1.3</v>
      </c>
      <c r="AF922" s="38">
        <v>0.21276100000000001</v>
      </c>
      <c r="AG922" s="38">
        <f t="shared" si="117"/>
        <v>0.2</v>
      </c>
      <c r="AH922" s="38">
        <v>18.625</v>
      </c>
      <c r="AI922" s="38">
        <v>2.5520999999999999E-2</v>
      </c>
      <c r="AJ922" s="38">
        <v>0.54</v>
      </c>
      <c r="AK922" s="38">
        <v>7.3999999999999999E-4</v>
      </c>
      <c r="AL922" s="38">
        <v>0</v>
      </c>
      <c r="AM922" s="38">
        <v>0</v>
      </c>
      <c r="AN922" s="72"/>
      <c r="AO922" s="41"/>
      <c r="AP922" s="41"/>
      <c r="AQ922" s="41">
        <f>SUM(N922:Q922)</f>
        <v>20.85</v>
      </c>
      <c r="AR922" s="41">
        <f>SUM(T922:W922)</f>
        <v>20.85</v>
      </c>
      <c r="AS922" s="41">
        <f>SUM(Z922:AB922)</f>
        <v>20.85</v>
      </c>
      <c r="AU922" s="22">
        <f>I922/AQ922</f>
        <v>1.0000479616306954</v>
      </c>
      <c r="AV922" s="22">
        <f>I922/AR922</f>
        <v>1.0000479616306954</v>
      </c>
      <c r="AW922" s="22">
        <f>I922/AS922</f>
        <v>1.0000479616306954</v>
      </c>
    </row>
    <row r="923" spans="1:88" s="22" customFormat="1">
      <c r="A923" s="1">
        <v>2233</v>
      </c>
      <c r="B923" s="34" t="s">
        <v>2876</v>
      </c>
      <c r="C923" s="34">
        <v>319</v>
      </c>
      <c r="D923" s="68">
        <v>408</v>
      </c>
      <c r="E923" s="89">
        <v>301</v>
      </c>
      <c r="F923" s="170" t="s">
        <v>2879</v>
      </c>
      <c r="G923" s="6">
        <v>182261</v>
      </c>
      <c r="H923" s="6">
        <v>190317</v>
      </c>
      <c r="I923" s="7">
        <v>8.0559999999999992</v>
      </c>
      <c r="J923" s="89">
        <v>2</v>
      </c>
      <c r="K923" s="89" t="s">
        <v>238</v>
      </c>
      <c r="L923" s="172">
        <v>42149</v>
      </c>
      <c r="M923" s="37" t="s">
        <v>191</v>
      </c>
      <c r="N923" s="38">
        <v>5.75</v>
      </c>
      <c r="O923" s="38">
        <v>1.7749999999999999</v>
      </c>
      <c r="P923" s="38">
        <v>0.47499999999999998</v>
      </c>
      <c r="Q923" s="38">
        <v>0.15</v>
      </c>
      <c r="R923" s="38">
        <v>2.3206099999999998</v>
      </c>
      <c r="S923" s="38">
        <f t="shared" si="115"/>
        <v>2.5</v>
      </c>
      <c r="T923" s="38">
        <v>8</v>
      </c>
      <c r="U923" s="38">
        <v>0.15</v>
      </c>
      <c r="V923" s="38">
        <v>0</v>
      </c>
      <c r="W923" s="38">
        <v>0</v>
      </c>
      <c r="X923" s="38">
        <v>3.9422799999999998</v>
      </c>
      <c r="Y923" s="38">
        <f t="shared" si="116"/>
        <v>4</v>
      </c>
      <c r="Z923" s="38">
        <v>0</v>
      </c>
      <c r="AA923" s="38">
        <v>0</v>
      </c>
      <c r="AB923" s="38">
        <v>8.15</v>
      </c>
      <c r="AC923" s="38">
        <v>1.37896</v>
      </c>
      <c r="AD923" s="39">
        <v>55.56</v>
      </c>
      <c r="AE923" s="38">
        <v>8.74</v>
      </c>
      <c r="AF923" s="38">
        <v>0.21254787913179174</v>
      </c>
      <c r="AG923" s="38">
        <f t="shared" si="117"/>
        <v>0.2</v>
      </c>
      <c r="AH923" s="38">
        <v>5.5</v>
      </c>
      <c r="AI923" s="38">
        <v>1.9506312952191802E-2</v>
      </c>
      <c r="AJ923" s="38">
        <v>0</v>
      </c>
      <c r="AK923" s="38">
        <v>0</v>
      </c>
      <c r="AL923" s="38">
        <v>0</v>
      </c>
      <c r="AM923" s="38">
        <f>AL923/(3.5*I923*1000)*100</f>
        <v>0</v>
      </c>
      <c r="AN923" s="12"/>
      <c r="AO923" s="12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</row>
    <row r="924" spans="1:88" s="22" customFormat="1">
      <c r="A924" s="1">
        <v>370</v>
      </c>
      <c r="B924" s="71" t="s">
        <v>602</v>
      </c>
      <c r="C924" s="78">
        <v>514</v>
      </c>
      <c r="D924" s="79">
        <v>1175</v>
      </c>
      <c r="E924" s="80">
        <v>100</v>
      </c>
      <c r="F924" s="78" t="s">
        <v>613</v>
      </c>
      <c r="G924" s="81">
        <v>0</v>
      </c>
      <c r="H924" s="81" t="s">
        <v>614</v>
      </c>
      <c r="I924" s="78">
        <v>16.100000000000001</v>
      </c>
      <c r="J924" s="78">
        <v>2</v>
      </c>
      <c r="K924" s="78" t="s">
        <v>238</v>
      </c>
      <c r="L924" s="82">
        <v>42254</v>
      </c>
      <c r="M924" s="123" t="s">
        <v>191</v>
      </c>
      <c r="N924" s="83">
        <v>4.5</v>
      </c>
      <c r="O924" s="83">
        <v>6.125</v>
      </c>
      <c r="P924" s="83">
        <v>3.55</v>
      </c>
      <c r="Q924" s="83">
        <v>2.0750000000000002</v>
      </c>
      <c r="R924" s="83">
        <v>3.452</v>
      </c>
      <c r="S924" s="38">
        <f t="shared" si="115"/>
        <v>3.5</v>
      </c>
      <c r="T924" s="83">
        <v>15.025</v>
      </c>
      <c r="U924" s="83">
        <v>0.92500000000000004</v>
      </c>
      <c r="V924" s="83">
        <v>0.1</v>
      </c>
      <c r="W924" s="83">
        <v>0.2</v>
      </c>
      <c r="X924" s="83">
        <v>4.3781299999999996</v>
      </c>
      <c r="Y924" s="38">
        <f t="shared" si="116"/>
        <v>4.5</v>
      </c>
      <c r="Z924" s="83">
        <v>0</v>
      </c>
      <c r="AA924" s="83">
        <v>0</v>
      </c>
      <c r="AB924" s="83">
        <v>16.25</v>
      </c>
      <c r="AC924" s="83">
        <v>1.3404100000000001</v>
      </c>
      <c r="AD924" s="125">
        <v>108.38</v>
      </c>
      <c r="AE924" s="83">
        <v>22.315000000000001</v>
      </c>
      <c r="AF924" s="83">
        <f>(AD924+AE924*0.5)/(3.5*I924*1000)*100</f>
        <v>0.2121339840283939</v>
      </c>
      <c r="AG924" s="38">
        <f t="shared" si="117"/>
        <v>0.2</v>
      </c>
      <c r="AH924" s="83">
        <v>130.25399999999999</v>
      </c>
      <c r="AI924" s="83">
        <f>AH924/(3.5*I924*1000)*100</f>
        <v>0.23115173025732025</v>
      </c>
      <c r="AJ924" s="83">
        <v>0</v>
      </c>
      <c r="AK924" s="83">
        <f>AJ924/(3.5*I924*1000)*100</f>
        <v>0</v>
      </c>
      <c r="AL924" s="83">
        <v>0</v>
      </c>
      <c r="AM924" s="83">
        <f>AL924/(3.5*I924*1000)*100</f>
        <v>0</v>
      </c>
      <c r="AN924" s="84"/>
      <c r="AO924" s="41"/>
      <c r="AP924" s="41"/>
      <c r="AQ924" s="85"/>
      <c r="AR924" s="86"/>
      <c r="AS924" s="86"/>
      <c r="AT924" s="86"/>
      <c r="AU924" s="86"/>
      <c r="AV924" s="86"/>
      <c r="AW924" s="86"/>
      <c r="AX924" s="86"/>
      <c r="AY924" s="86"/>
      <c r="AZ924" s="86"/>
      <c r="BA924" s="86"/>
      <c r="BB924" s="86"/>
      <c r="BC924" s="86"/>
      <c r="BD924" s="86"/>
      <c r="BE924" s="86"/>
      <c r="BF924" s="86"/>
      <c r="BG924" s="86"/>
      <c r="BH924" s="86"/>
      <c r="BI924" s="86"/>
      <c r="BJ924" s="86"/>
      <c r="BK924" s="86"/>
      <c r="BL924" s="86"/>
      <c r="BM924" s="86"/>
      <c r="BN924" s="86"/>
      <c r="BO924" s="86"/>
      <c r="BP924" s="86"/>
      <c r="BQ924" s="86"/>
      <c r="BR924" s="86"/>
      <c r="BS924" s="86"/>
      <c r="BT924" s="86"/>
      <c r="BU924" s="86"/>
      <c r="BV924" s="86"/>
      <c r="BW924" s="86"/>
      <c r="BX924" s="86"/>
      <c r="BY924" s="86"/>
      <c r="BZ924" s="86"/>
      <c r="CA924" s="86"/>
      <c r="CB924" s="86"/>
      <c r="CC924" s="86"/>
      <c r="CD924" s="86"/>
      <c r="CE924" s="86"/>
      <c r="CF924" s="86"/>
      <c r="CG924" s="86"/>
      <c r="CH924" s="86"/>
      <c r="CI924" s="86"/>
      <c r="CJ924" s="86"/>
    </row>
    <row r="925" spans="1:88" s="22" customFormat="1">
      <c r="A925" s="1">
        <v>675</v>
      </c>
      <c r="B925" s="34" t="s">
        <v>1084</v>
      </c>
      <c r="C925" s="34">
        <v>624</v>
      </c>
      <c r="D925" s="34">
        <v>227</v>
      </c>
      <c r="E925" s="34">
        <v>200</v>
      </c>
      <c r="F925" s="34" t="s">
        <v>1085</v>
      </c>
      <c r="G925" s="58">
        <v>83967</v>
      </c>
      <c r="H925" s="58">
        <v>120850</v>
      </c>
      <c r="I925" s="35">
        <v>36.883000000000003</v>
      </c>
      <c r="J925" s="34">
        <v>2</v>
      </c>
      <c r="K925" s="34" t="s">
        <v>238</v>
      </c>
      <c r="L925" s="10">
        <v>42170</v>
      </c>
      <c r="M925" s="37" t="s">
        <v>191</v>
      </c>
      <c r="N925" s="38">
        <v>21.35</v>
      </c>
      <c r="O925" s="38">
        <v>9.4499999999999993</v>
      </c>
      <c r="P925" s="38">
        <v>3.4</v>
      </c>
      <c r="Q925" s="38">
        <v>2.4750000000000001</v>
      </c>
      <c r="R925" s="38">
        <v>2.6959499999999998</v>
      </c>
      <c r="S925" s="38">
        <f t="shared" si="115"/>
        <v>2.5</v>
      </c>
      <c r="T925" s="38">
        <v>35.85</v>
      </c>
      <c r="U925" s="38">
        <v>0.7</v>
      </c>
      <c r="V925" s="38">
        <v>0.1</v>
      </c>
      <c r="W925" s="38">
        <v>2.5000000000000001E-2</v>
      </c>
      <c r="X925" s="38">
        <v>3.27738</v>
      </c>
      <c r="Y925" s="38">
        <f t="shared" si="116"/>
        <v>3.5</v>
      </c>
      <c r="Z925" s="38">
        <v>0</v>
      </c>
      <c r="AA925" s="38">
        <v>2.5000000000000001E-2</v>
      </c>
      <c r="AB925" s="38">
        <v>36.65</v>
      </c>
      <c r="AC925" s="38">
        <v>1.1450400000000001</v>
      </c>
      <c r="AD925" s="56">
        <v>47.84</v>
      </c>
      <c r="AE925" s="38">
        <v>447.47</v>
      </c>
      <c r="AF925" s="38">
        <v>0.21038000000000001</v>
      </c>
      <c r="AG925" s="38">
        <f t="shared" si="117"/>
        <v>0.2</v>
      </c>
      <c r="AH925" s="38">
        <v>95.21</v>
      </c>
      <c r="AI925" s="38">
        <v>7.3749999999999996E-2</v>
      </c>
      <c r="AJ925" s="38">
        <v>135.57</v>
      </c>
      <c r="AK925" s="38">
        <v>0.105019</v>
      </c>
      <c r="AL925" s="38">
        <v>3.35</v>
      </c>
      <c r="AM925" s="38">
        <v>2.5999999999999999E-3</v>
      </c>
      <c r="AN925" s="25"/>
      <c r="AO925" s="25">
        <f>AE925*0.5</f>
        <v>223.73500000000001</v>
      </c>
      <c r="AP925" s="25">
        <f>(AD925+AH925+AJ925+AL925+AO925)*I925</f>
        <v>18651.917515000005</v>
      </c>
      <c r="AQ925" s="25">
        <f>SUM(N925:Q925)</f>
        <v>36.675000000000004</v>
      </c>
      <c r="AR925" s="25">
        <f>SUM(T925:W925)</f>
        <v>36.675000000000004</v>
      </c>
      <c r="AT925" s="41"/>
      <c r="AU925" s="41"/>
      <c r="AV925" s="41"/>
      <c r="AW925" s="41"/>
    </row>
    <row r="926" spans="1:88" s="22" customFormat="1">
      <c r="A926" s="1">
        <v>684</v>
      </c>
      <c r="B926" s="34" t="s">
        <v>1084</v>
      </c>
      <c r="C926" s="34">
        <v>624</v>
      </c>
      <c r="D926" s="34">
        <v>2231</v>
      </c>
      <c r="E926" s="34">
        <v>100</v>
      </c>
      <c r="F926" s="34" t="s">
        <v>1094</v>
      </c>
      <c r="G926" s="58">
        <v>0</v>
      </c>
      <c r="H926" s="58">
        <v>4425</v>
      </c>
      <c r="I926" s="35">
        <v>4.4249999999999998</v>
      </c>
      <c r="J926" s="127">
        <v>2</v>
      </c>
      <c r="K926" s="34" t="s">
        <v>238</v>
      </c>
      <c r="L926" s="10">
        <v>42170</v>
      </c>
      <c r="M926" s="37" t="s">
        <v>191</v>
      </c>
      <c r="N926" s="38">
        <v>2.5249999999999999</v>
      </c>
      <c r="O926" s="38">
        <v>1.05</v>
      </c>
      <c r="P926" s="38">
        <v>0.6</v>
      </c>
      <c r="Q926" s="38">
        <v>0.25</v>
      </c>
      <c r="R926" s="38">
        <v>2.7453699999999999</v>
      </c>
      <c r="S926" s="38">
        <f t="shared" si="115"/>
        <v>2.5</v>
      </c>
      <c r="T926" s="38">
        <v>4.4249999999999998</v>
      </c>
      <c r="U926" s="38">
        <v>0</v>
      </c>
      <c r="V926" s="38">
        <v>0</v>
      </c>
      <c r="W926" s="38">
        <v>0</v>
      </c>
      <c r="X926" s="38">
        <v>1.8440399999999999</v>
      </c>
      <c r="Y926" s="38">
        <f t="shared" si="116"/>
        <v>2</v>
      </c>
      <c r="Z926" s="38">
        <v>0</v>
      </c>
      <c r="AA926" s="38">
        <v>0</v>
      </c>
      <c r="AB926" s="38">
        <f>N926+O926+P926+Q926</f>
        <v>4.4249999999999998</v>
      </c>
      <c r="AC926" s="38">
        <v>1.30606</v>
      </c>
      <c r="AD926" s="56">
        <v>12</v>
      </c>
      <c r="AE926" s="38">
        <v>3.78</v>
      </c>
      <c r="AF926" s="38">
        <f>(AD917+AE917*0.5)/(3.5*I917*1000)*100</f>
        <v>0.21471913316224692</v>
      </c>
      <c r="AG926" s="38">
        <f t="shared" si="117"/>
        <v>0.2</v>
      </c>
      <c r="AH926" s="38">
        <v>110.42</v>
      </c>
      <c r="AI926" s="38">
        <v>0.71296206618240521</v>
      </c>
      <c r="AJ926" s="38">
        <v>0</v>
      </c>
      <c r="AK926" s="38">
        <v>0</v>
      </c>
      <c r="AL926" s="38">
        <v>0</v>
      </c>
      <c r="AM926" s="38">
        <v>0</v>
      </c>
      <c r="AN926" s="25"/>
      <c r="AO926" s="25">
        <f>AE926*0.5</f>
        <v>1.89</v>
      </c>
      <c r="AP926" s="25">
        <f>(AD926+AH926+AJ926+AL926+AO926)*I926</f>
        <v>550.07174999999995</v>
      </c>
      <c r="AQ926" s="25">
        <f>SUM(N926:Q926)</f>
        <v>4.4249999999999998</v>
      </c>
      <c r="AR926" s="25">
        <f>SUM(T926:W926)</f>
        <v>4.4249999999999998</v>
      </c>
      <c r="AT926" s="41"/>
      <c r="AU926" s="41"/>
      <c r="AV926" s="41"/>
      <c r="AW926" s="41"/>
    </row>
    <row r="927" spans="1:88" s="22" customFormat="1">
      <c r="A927" s="1">
        <v>1916</v>
      </c>
      <c r="B927" s="34" t="s">
        <v>2559</v>
      </c>
      <c r="C927" s="34">
        <v>338</v>
      </c>
      <c r="D927" s="75">
        <v>4</v>
      </c>
      <c r="E927" s="8">
        <v>503</v>
      </c>
      <c r="F927" s="9" t="s">
        <v>2561</v>
      </c>
      <c r="G927" s="20">
        <v>191982</v>
      </c>
      <c r="H927" s="20">
        <v>210060</v>
      </c>
      <c r="I927" s="21">
        <v>18.077999999999999</v>
      </c>
      <c r="J927" s="8">
        <v>6</v>
      </c>
      <c r="K927" s="8" t="s">
        <v>1520</v>
      </c>
      <c r="L927" s="18">
        <v>42102</v>
      </c>
      <c r="M927" s="247" t="s">
        <v>191</v>
      </c>
      <c r="N927" s="38">
        <v>14.79</v>
      </c>
      <c r="O927" s="38">
        <v>2.04</v>
      </c>
      <c r="P927" s="38">
        <v>1.02</v>
      </c>
      <c r="Q927" s="38">
        <v>0.22</v>
      </c>
      <c r="R927" s="38">
        <v>2.0081500000000001</v>
      </c>
      <c r="S927" s="38">
        <f t="shared" si="115"/>
        <v>2</v>
      </c>
      <c r="T927" s="38">
        <v>17.850000000000001</v>
      </c>
      <c r="U927" s="38">
        <v>0.22</v>
      </c>
      <c r="V927" s="38">
        <v>0</v>
      </c>
      <c r="W927" s="38">
        <v>0</v>
      </c>
      <c r="X927" s="38">
        <v>3.6758899999999999</v>
      </c>
      <c r="Y927" s="38">
        <f t="shared" si="116"/>
        <v>3.5</v>
      </c>
      <c r="Z927" s="38">
        <v>0</v>
      </c>
      <c r="AA927" s="38">
        <v>0</v>
      </c>
      <c r="AB927" s="38">
        <v>18.079999999999998</v>
      </c>
      <c r="AC927" s="38">
        <v>1.30077</v>
      </c>
      <c r="AD927" s="39">
        <v>87.22</v>
      </c>
      <c r="AE927" s="38">
        <v>90.3</v>
      </c>
      <c r="AF927" s="38">
        <v>0.20920455802633039</v>
      </c>
      <c r="AG927" s="38">
        <f t="shared" si="117"/>
        <v>0.2</v>
      </c>
      <c r="AH927" s="38">
        <v>96.23</v>
      </c>
      <c r="AI927" s="38">
        <v>0.15208698813079832</v>
      </c>
      <c r="AJ927" s="38">
        <v>0</v>
      </c>
      <c r="AK927" s="38">
        <v>0</v>
      </c>
      <c r="AL927" s="38">
        <v>0</v>
      </c>
      <c r="AM927" s="38">
        <f>AL927/(3.5*I927*1000)*100</f>
        <v>0</v>
      </c>
      <c r="AN927" s="41"/>
      <c r="AO927" s="73"/>
      <c r="AP927" s="41"/>
      <c r="AQ927" s="41">
        <f>SUM(N927:Q927)</f>
        <v>18.069999999999997</v>
      </c>
      <c r="AR927" s="41">
        <f>SUM(T927:W927)</f>
        <v>18.07</v>
      </c>
      <c r="AS927" s="12">
        <f>SUM(Z927:AB927)</f>
        <v>18.079999999999998</v>
      </c>
      <c r="AT927" s="1"/>
      <c r="AU927" s="1">
        <f>I927/AQ927</f>
        <v>1.0004427227448811</v>
      </c>
      <c r="AV927" s="1">
        <f>I927/AR927</f>
        <v>1.0004427227448809</v>
      </c>
      <c r="AW927" s="1">
        <f>I927/AS927</f>
        <v>0.99988938053097354</v>
      </c>
      <c r="AX927" s="1">
        <f>AT927/I952</f>
        <v>0</v>
      </c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</row>
    <row r="928" spans="1:88" s="22" customFormat="1">
      <c r="A928" s="1">
        <v>1237</v>
      </c>
      <c r="B928" s="34" t="s">
        <v>1725</v>
      </c>
      <c r="C928" s="88">
        <v>437</v>
      </c>
      <c r="D928" s="88">
        <v>3008</v>
      </c>
      <c r="E928" s="88">
        <v>100</v>
      </c>
      <c r="F928" s="88" t="s">
        <v>1746</v>
      </c>
      <c r="G928" s="88" t="s">
        <v>1747</v>
      </c>
      <c r="H928" s="88" t="s">
        <v>1748</v>
      </c>
      <c r="I928" s="115">
        <v>3.653</v>
      </c>
      <c r="J928" s="88">
        <v>2</v>
      </c>
      <c r="K928" s="181" t="s">
        <v>238</v>
      </c>
      <c r="L928" s="116">
        <v>42282</v>
      </c>
      <c r="M928" s="37" t="s">
        <v>191</v>
      </c>
      <c r="N928" s="38">
        <v>2.2999999999999998</v>
      </c>
      <c r="O928" s="38">
        <v>0.77500000000000002</v>
      </c>
      <c r="P928" s="38">
        <v>0.25</v>
      </c>
      <c r="Q928" s="38">
        <v>0.42499999999999999</v>
      </c>
      <c r="R928" s="38">
        <v>3.1273300000000002</v>
      </c>
      <c r="S928" s="38">
        <f t="shared" si="115"/>
        <v>3</v>
      </c>
      <c r="T928" s="38">
        <v>3.75</v>
      </c>
      <c r="U928" s="38">
        <v>0</v>
      </c>
      <c r="V928" s="38">
        <v>0</v>
      </c>
      <c r="W928" s="38">
        <v>0</v>
      </c>
      <c r="X928" s="38">
        <v>2.41472</v>
      </c>
      <c r="Y928" s="38">
        <f t="shared" si="116"/>
        <v>2.5</v>
      </c>
      <c r="Z928" s="38">
        <v>0</v>
      </c>
      <c r="AA928" s="117">
        <v>0</v>
      </c>
      <c r="AB928" s="117">
        <v>3.653</v>
      </c>
      <c r="AC928" s="117">
        <v>1.1614599999999999</v>
      </c>
      <c r="AD928" s="254">
        <v>14.2</v>
      </c>
      <c r="AE928" s="117">
        <v>25</v>
      </c>
      <c r="AF928" s="117">
        <f>(AD928+AE928*0.5)/(3.5*I928*1000)*100</f>
        <v>0.20883031559188145</v>
      </c>
      <c r="AG928" s="38">
        <f t="shared" si="117"/>
        <v>0.2</v>
      </c>
      <c r="AH928" s="117">
        <v>0</v>
      </c>
      <c r="AI928" s="117">
        <f>AH928/(3.5*I928*1000)*100</f>
        <v>0</v>
      </c>
      <c r="AJ928" s="117">
        <v>0</v>
      </c>
      <c r="AK928" s="117">
        <f>AJ928/(3.5*I928*1000)*100</f>
        <v>0</v>
      </c>
      <c r="AL928" s="117">
        <v>0</v>
      </c>
      <c r="AM928" s="117">
        <f>AJ928/(3.5*I928*1000)*100</f>
        <v>0</v>
      </c>
      <c r="AN928" s="12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</row>
    <row r="929" spans="1:88" s="22" customFormat="1">
      <c r="A929" s="1">
        <v>738</v>
      </c>
      <c r="B929" s="34" t="s">
        <v>1138</v>
      </c>
      <c r="C929" s="34">
        <v>628</v>
      </c>
      <c r="D929" s="34">
        <v>2233</v>
      </c>
      <c r="E929" s="34">
        <v>101</v>
      </c>
      <c r="F929" s="34" t="s">
        <v>1143</v>
      </c>
      <c r="G929" s="58">
        <v>0</v>
      </c>
      <c r="H929" s="58">
        <v>13258</v>
      </c>
      <c r="I929" s="51">
        <v>13.257999999999999</v>
      </c>
      <c r="J929" s="34">
        <v>2</v>
      </c>
      <c r="K929" s="34" t="s">
        <v>238</v>
      </c>
      <c r="L929" s="10">
        <v>42173</v>
      </c>
      <c r="M929" s="37" t="s">
        <v>191</v>
      </c>
      <c r="N929" s="38">
        <v>5.5750000000000002</v>
      </c>
      <c r="O929" s="38">
        <v>4.3499999999999996</v>
      </c>
      <c r="P929" s="38">
        <v>2.35</v>
      </c>
      <c r="Q929" s="38">
        <v>0.9</v>
      </c>
      <c r="R929" s="38">
        <v>2.9720900000000001</v>
      </c>
      <c r="S929" s="38">
        <f t="shared" si="115"/>
        <v>3</v>
      </c>
      <c r="T929" s="38">
        <v>11.25</v>
      </c>
      <c r="U929" s="38">
        <v>1.425</v>
      </c>
      <c r="V929" s="38">
        <v>0.35</v>
      </c>
      <c r="W929" s="38">
        <v>0.15</v>
      </c>
      <c r="X929" s="38">
        <v>6.3945699999999999</v>
      </c>
      <c r="Y929" s="38">
        <f t="shared" si="116"/>
        <v>6.5</v>
      </c>
      <c r="Z929" s="38">
        <v>0</v>
      </c>
      <c r="AA929" s="38">
        <v>0</v>
      </c>
      <c r="AB929" s="38">
        <f>N929+O929+P929+Q929</f>
        <v>13.175000000000001</v>
      </c>
      <c r="AC929" s="38">
        <v>1.26772</v>
      </c>
      <c r="AD929" s="39">
        <v>79.44</v>
      </c>
      <c r="AE929" s="38">
        <v>34.57</v>
      </c>
      <c r="AF929" s="38">
        <v>0.20844557463957072</v>
      </c>
      <c r="AG929" s="38">
        <f t="shared" si="117"/>
        <v>0.2</v>
      </c>
      <c r="AH929" s="38">
        <v>0</v>
      </c>
      <c r="AI929" s="38">
        <v>0</v>
      </c>
      <c r="AJ929" s="38">
        <v>30.12</v>
      </c>
      <c r="AK929" s="38">
        <v>6.4909596362304159E-2</v>
      </c>
      <c r="AL929" s="38">
        <v>0</v>
      </c>
      <c r="AM929" s="38">
        <v>0</v>
      </c>
      <c r="AN929" s="25"/>
      <c r="AO929" s="25">
        <f>AE929*0.5</f>
        <v>17.285</v>
      </c>
      <c r="AP929" s="25">
        <f>(AD929+AH929+AJ929+AL929+AO929)*I929</f>
        <v>1681.7110099999998</v>
      </c>
      <c r="AQ929" s="25">
        <f>SUM(N929:Q929)</f>
        <v>13.175000000000001</v>
      </c>
      <c r="AR929" s="25">
        <f>SUM(T929:W929)</f>
        <v>13.175000000000001</v>
      </c>
      <c r="AT929" s="41"/>
      <c r="AU929" s="41"/>
      <c r="AV929" s="41"/>
      <c r="AW929" s="41"/>
    </row>
    <row r="930" spans="1:88" s="22" customFormat="1">
      <c r="A930" s="1">
        <v>1440</v>
      </c>
      <c r="B930" s="34" t="s">
        <v>1987</v>
      </c>
      <c r="C930" s="34">
        <v>448</v>
      </c>
      <c r="D930" s="75">
        <v>33</v>
      </c>
      <c r="E930" s="69">
        <v>202</v>
      </c>
      <c r="F930" s="34" t="s">
        <v>1991</v>
      </c>
      <c r="G930" s="20">
        <v>40318</v>
      </c>
      <c r="H930" s="20">
        <v>48242</v>
      </c>
      <c r="I930" s="21">
        <v>7.9240000000000004</v>
      </c>
      <c r="J930" s="8">
        <v>4</v>
      </c>
      <c r="K930" s="34" t="s">
        <v>237</v>
      </c>
      <c r="L930" s="10">
        <v>42182</v>
      </c>
      <c r="M930" s="37" t="s">
        <v>191</v>
      </c>
      <c r="N930" s="38">
        <v>3.9750000000000001</v>
      </c>
      <c r="O930" s="38">
        <v>2.5499999999999998</v>
      </c>
      <c r="P930" s="38">
        <v>0.75</v>
      </c>
      <c r="Q930" s="38">
        <v>0.65</v>
      </c>
      <c r="R930" s="38">
        <v>2.625</v>
      </c>
      <c r="S930" s="38">
        <f t="shared" si="115"/>
        <v>2.5</v>
      </c>
      <c r="T930" s="38">
        <v>6.55</v>
      </c>
      <c r="U930" s="38">
        <v>0.8</v>
      </c>
      <c r="V930" s="38">
        <v>0.5</v>
      </c>
      <c r="W930" s="38">
        <v>0</v>
      </c>
      <c r="X930" s="38">
        <v>4.5979999999999999</v>
      </c>
      <c r="Y930" s="38">
        <f t="shared" si="116"/>
        <v>4.5</v>
      </c>
      <c r="Z930" s="38">
        <v>0</v>
      </c>
      <c r="AA930" s="38">
        <v>0</v>
      </c>
      <c r="AB930" s="38">
        <v>7.9250000000000007</v>
      </c>
      <c r="AC930" s="38">
        <v>1.1890000000000001</v>
      </c>
      <c r="AD930" s="39">
        <v>32.15</v>
      </c>
      <c r="AE930" s="38">
        <v>51.25</v>
      </c>
      <c r="AF930" s="38">
        <f>(AD930+AE930*0.5)/(3.5*I930*1000)*100</f>
        <v>0.20831830965601789</v>
      </c>
      <c r="AG930" s="38">
        <f t="shared" si="117"/>
        <v>0.2</v>
      </c>
      <c r="AH930" s="38">
        <v>0</v>
      </c>
      <c r="AI930" s="38">
        <f>AH930/(3.5*I930*1000)*100</f>
        <v>0</v>
      </c>
      <c r="AJ930" s="38">
        <v>0</v>
      </c>
      <c r="AK930" s="38">
        <f>AJ930/(3.5*I930*1000)*100</f>
        <v>0</v>
      </c>
      <c r="AL930" s="38">
        <v>0</v>
      </c>
      <c r="AM930" s="38">
        <f t="shared" ref="AM930:AM941" si="122">AL930/(3.5*I930*1000)*100</f>
        <v>0</v>
      </c>
      <c r="AN930" s="72"/>
      <c r="AO930" s="41"/>
      <c r="AP930" s="41"/>
      <c r="AQ930" s="73"/>
      <c r="AR930" s="73"/>
      <c r="AS930" s="73"/>
      <c r="AT930" s="73"/>
      <c r="AU930" s="73"/>
      <c r="AV930" s="73"/>
    </row>
    <row r="931" spans="1:88" s="22" customFormat="1">
      <c r="A931" s="1">
        <v>3</v>
      </c>
      <c r="B931" s="13" t="s">
        <v>8</v>
      </c>
      <c r="C931" s="14">
        <v>521</v>
      </c>
      <c r="D931" s="15">
        <v>108</v>
      </c>
      <c r="E931" s="16">
        <v>102</v>
      </c>
      <c r="F931" s="17" t="s">
        <v>9</v>
      </c>
      <c r="G931" s="6" t="s">
        <v>90</v>
      </c>
      <c r="H931" s="6" t="s">
        <v>89</v>
      </c>
      <c r="I931" s="7">
        <v>12.78</v>
      </c>
      <c r="J931" s="8">
        <v>4</v>
      </c>
      <c r="K931" s="9" t="s">
        <v>12</v>
      </c>
      <c r="L931" s="18">
        <v>42231</v>
      </c>
      <c r="M931" s="37" t="s">
        <v>191</v>
      </c>
      <c r="N931" s="11">
        <v>9.9499999999999993</v>
      </c>
      <c r="O931" s="11">
        <v>1.575</v>
      </c>
      <c r="P931" s="11">
        <v>0.875</v>
      </c>
      <c r="Q931" s="11">
        <v>0.5</v>
      </c>
      <c r="R931" s="11">
        <v>2.2031399999999999</v>
      </c>
      <c r="S931" s="38">
        <f t="shared" si="115"/>
        <v>2</v>
      </c>
      <c r="T931" s="11">
        <v>11.824999999999999</v>
      </c>
      <c r="U931" s="11">
        <v>0.82499999999999996</v>
      </c>
      <c r="V931" s="11">
        <v>0.22500000000000001</v>
      </c>
      <c r="W931" s="11">
        <v>2.5000000000000001E-2</v>
      </c>
      <c r="X931" s="11">
        <v>4.1338800000000004</v>
      </c>
      <c r="Y931" s="38">
        <f t="shared" si="116"/>
        <v>4</v>
      </c>
      <c r="Z931" s="11">
        <v>0</v>
      </c>
      <c r="AA931" s="11">
        <v>0</v>
      </c>
      <c r="AB931" s="11">
        <v>12.899999999999999</v>
      </c>
      <c r="AC931" s="11">
        <v>0.95299199999999995</v>
      </c>
      <c r="AD931" s="164">
        <v>85.63</v>
      </c>
      <c r="AE931" s="11">
        <v>15.1</v>
      </c>
      <c r="AF931" s="11">
        <f>(AD931+AE931*0.5)/(3.5*I931*1000)*100</f>
        <v>0.20831656606304494</v>
      </c>
      <c r="AG931" s="38">
        <f t="shared" si="117"/>
        <v>0.2</v>
      </c>
      <c r="AH931" s="11">
        <v>0</v>
      </c>
      <c r="AI931" s="11">
        <f>AH931/(3.5*I931*1000)*100</f>
        <v>0</v>
      </c>
      <c r="AJ931" s="11">
        <v>0</v>
      </c>
      <c r="AK931" s="11">
        <f>AJ931/(3.5*I931*1000)*100</f>
        <v>0</v>
      </c>
      <c r="AL931" s="11">
        <v>1</v>
      </c>
      <c r="AM931" s="11">
        <f t="shared" si="122"/>
        <v>2.2356360384529401E-3</v>
      </c>
      <c r="AN931" s="1"/>
      <c r="AO931" s="1"/>
      <c r="AP931" s="1"/>
      <c r="AQ931" s="12">
        <f>N931+O931+P931+Q931</f>
        <v>12.899999999999999</v>
      </c>
      <c r="AR931" s="12">
        <f>T931+U931+V931+W931</f>
        <v>12.899999999999999</v>
      </c>
      <c r="AS931" s="12">
        <f>Z931+AA931+AB931</f>
        <v>12.899999999999999</v>
      </c>
      <c r="AT931" s="1"/>
      <c r="AU931" s="1">
        <v>1.0093896713615023</v>
      </c>
      <c r="AV931" s="1">
        <v>1.0093896713615023</v>
      </c>
      <c r="AW931" s="1">
        <v>1.0093896713615023</v>
      </c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</row>
    <row r="932" spans="1:88" s="22" customFormat="1">
      <c r="A932" s="1">
        <v>2081</v>
      </c>
      <c r="B932" s="34" t="s">
        <v>2715</v>
      </c>
      <c r="C932" s="34">
        <v>329</v>
      </c>
      <c r="D932" s="75">
        <v>4224</v>
      </c>
      <c r="E932" s="8">
        <v>200</v>
      </c>
      <c r="F932" s="34" t="s">
        <v>2727</v>
      </c>
      <c r="G932" s="58">
        <v>16940</v>
      </c>
      <c r="H932" s="58">
        <v>150</v>
      </c>
      <c r="I932" s="21">
        <v>16.79</v>
      </c>
      <c r="J932" s="8">
        <v>2</v>
      </c>
      <c r="K932" s="8" t="s">
        <v>12</v>
      </c>
      <c r="L932" s="18">
        <v>42122</v>
      </c>
      <c r="M932" s="37" t="s">
        <v>191</v>
      </c>
      <c r="N932" s="38">
        <v>5.55</v>
      </c>
      <c r="O932" s="38">
        <v>6.6749999999999998</v>
      </c>
      <c r="P932" s="38">
        <v>2.85</v>
      </c>
      <c r="Q932" s="38">
        <v>1.4750000000000001</v>
      </c>
      <c r="R932" s="38">
        <v>3.2307700000000001</v>
      </c>
      <c r="S932" s="38">
        <f t="shared" si="115"/>
        <v>3</v>
      </c>
      <c r="T932" s="38">
        <v>15.375</v>
      </c>
      <c r="U932" s="38">
        <v>0.75</v>
      </c>
      <c r="V932" s="38">
        <v>0.27500000000000002</v>
      </c>
      <c r="W932" s="38">
        <v>0.15</v>
      </c>
      <c r="X932" s="38">
        <v>4.2480200000000004</v>
      </c>
      <c r="Y932" s="38">
        <f t="shared" si="116"/>
        <v>4</v>
      </c>
      <c r="Z932" s="38">
        <v>0</v>
      </c>
      <c r="AA932" s="38">
        <v>0</v>
      </c>
      <c r="AB932" s="38">
        <v>16.55</v>
      </c>
      <c r="AC932" s="38">
        <v>1.1589100000000001</v>
      </c>
      <c r="AD932" s="39">
        <v>53.09</v>
      </c>
      <c r="AE932" s="38">
        <v>138.36000000000001</v>
      </c>
      <c r="AF932" s="38">
        <v>0.20806602569556709</v>
      </c>
      <c r="AG932" s="38">
        <f t="shared" si="117"/>
        <v>0.2</v>
      </c>
      <c r="AH932" s="38">
        <v>127.97</v>
      </c>
      <c r="AI932" s="38">
        <v>0.21776567684846423</v>
      </c>
      <c r="AJ932" s="38">
        <v>22.99</v>
      </c>
      <c r="AK932" s="38">
        <v>3.9121926316685096E-2</v>
      </c>
      <c r="AL932" s="38">
        <v>0</v>
      </c>
      <c r="AM932" s="38">
        <f t="shared" si="122"/>
        <v>0</v>
      </c>
      <c r="AN932" s="12"/>
      <c r="AO932" s="12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</row>
    <row r="933" spans="1:88" s="22" customFormat="1">
      <c r="A933" s="1">
        <v>446</v>
      </c>
      <c r="B933" s="74" t="s">
        <v>699</v>
      </c>
      <c r="C933" s="34">
        <v>513</v>
      </c>
      <c r="D933" s="75">
        <v>1311</v>
      </c>
      <c r="E933" s="69">
        <v>100</v>
      </c>
      <c r="F933" s="76" t="s">
        <v>758</v>
      </c>
      <c r="G933" s="58" t="s">
        <v>759</v>
      </c>
      <c r="H933" s="58" t="s">
        <v>92</v>
      </c>
      <c r="I933" s="55">
        <v>11.839</v>
      </c>
      <c r="J933" s="5" t="s">
        <v>12</v>
      </c>
      <c r="K933" s="34">
        <v>2</v>
      </c>
      <c r="L933" s="18">
        <v>42264</v>
      </c>
      <c r="M933" s="37" t="s">
        <v>191</v>
      </c>
      <c r="N933" s="38">
        <v>9.17</v>
      </c>
      <c r="O933" s="38">
        <v>1.76</v>
      </c>
      <c r="P933" s="38">
        <v>0.63</v>
      </c>
      <c r="Q933" s="38">
        <v>0.28000000000000003</v>
      </c>
      <c r="R933" s="38">
        <v>2.1573899999999999</v>
      </c>
      <c r="S933" s="38">
        <f t="shared" si="115"/>
        <v>2</v>
      </c>
      <c r="T933" s="38">
        <v>11.51</v>
      </c>
      <c r="U933" s="38">
        <v>0.15</v>
      </c>
      <c r="V933" s="38">
        <v>0.05</v>
      </c>
      <c r="W933" s="38">
        <v>0.13</v>
      </c>
      <c r="X933" s="38">
        <v>2.89785</v>
      </c>
      <c r="Y933" s="38">
        <f t="shared" si="116"/>
        <v>3</v>
      </c>
      <c r="Z933" s="38">
        <v>0</v>
      </c>
      <c r="AA933" s="38">
        <v>0</v>
      </c>
      <c r="AB933" s="38">
        <v>11.84</v>
      </c>
      <c r="AC933" s="38">
        <v>1.3792</v>
      </c>
      <c r="AD933" s="39">
        <v>78.650000000000006</v>
      </c>
      <c r="AE933" s="38">
        <v>14.62</v>
      </c>
      <c r="AF933" s="38">
        <f t="shared" ref="AF933:AF938" si="123">(AD933+AE933*0.5)/(3.5*I933*1000)*100</f>
        <v>0.20744995354337359</v>
      </c>
      <c r="AG933" s="38">
        <f t="shared" si="117"/>
        <v>0.2</v>
      </c>
      <c r="AH933" s="38">
        <v>76.48</v>
      </c>
      <c r="AI933" s="38">
        <f t="shared" ref="AI933:AI938" si="124">AH933/(3.5*I933*1000)*100</f>
        <v>0.18457157337130309</v>
      </c>
      <c r="AJ933" s="38">
        <v>0</v>
      </c>
      <c r="AK933" s="38">
        <f>AJ933/(3.5*I933*1000)*100</f>
        <v>0</v>
      </c>
      <c r="AL933" s="38">
        <v>0.97</v>
      </c>
      <c r="AM933" s="38">
        <f t="shared" si="122"/>
        <v>2.340931304526203E-3</v>
      </c>
      <c r="AN933" s="41"/>
      <c r="AO933" s="41"/>
      <c r="AP933" s="73"/>
      <c r="AQ933" s="41">
        <f>SUM(N933:Q933)</f>
        <v>11.84</v>
      </c>
      <c r="AR933" s="41">
        <f>SUM(T933:W933)</f>
        <v>11.840000000000002</v>
      </c>
      <c r="AS933" s="41">
        <f>SUM(Z933:AB933)</f>
        <v>11.84</v>
      </c>
      <c r="AU933" s="22">
        <f>I933/AQ933</f>
        <v>0.99991554054054055</v>
      </c>
      <c r="AV933" s="22">
        <f>I933/AR933</f>
        <v>0.99991554054054044</v>
      </c>
      <c r="AW933" s="22">
        <f>I933/AS933</f>
        <v>0.99991554054054055</v>
      </c>
      <c r="AX933" s="73"/>
      <c r="AY933" s="73"/>
      <c r="AZ933" s="73"/>
      <c r="BA933" s="73"/>
      <c r="BB933" s="73"/>
      <c r="BC933" s="73"/>
      <c r="BD933" s="73"/>
      <c r="BE933" s="73"/>
      <c r="BF933" s="73"/>
      <c r="BG933" s="73"/>
      <c r="BH933" s="73"/>
      <c r="BI933" s="73"/>
      <c r="BJ933" s="73"/>
      <c r="BK933" s="73"/>
      <c r="BL933" s="73"/>
      <c r="BM933" s="73"/>
      <c r="BN933" s="73"/>
      <c r="BO933" s="73"/>
      <c r="BP933" s="73"/>
      <c r="BQ933" s="73"/>
      <c r="BR933" s="73"/>
      <c r="BS933" s="73"/>
      <c r="BT933" s="73"/>
      <c r="BU933" s="73"/>
      <c r="BV933" s="73"/>
      <c r="BW933" s="73"/>
      <c r="BX933" s="73"/>
      <c r="BY933" s="73"/>
      <c r="BZ933" s="73"/>
      <c r="CA933" s="73"/>
      <c r="CB933" s="73"/>
      <c r="CC933" s="73"/>
      <c r="CD933" s="73"/>
      <c r="CE933" s="73"/>
      <c r="CF933" s="73"/>
      <c r="CG933" s="73"/>
      <c r="CH933" s="73"/>
      <c r="CI933" s="73"/>
      <c r="CJ933" s="73"/>
    </row>
    <row r="934" spans="1:88" s="22" customFormat="1">
      <c r="A934" s="1">
        <v>1522</v>
      </c>
      <c r="B934" s="34" t="s">
        <v>2069</v>
      </c>
      <c r="C934" s="34">
        <v>413</v>
      </c>
      <c r="D934" s="69">
        <v>3469</v>
      </c>
      <c r="E934" s="34">
        <v>100</v>
      </c>
      <c r="F934" s="34" t="s">
        <v>2094</v>
      </c>
      <c r="G934" s="58" t="s">
        <v>92</v>
      </c>
      <c r="H934" s="58" t="s">
        <v>2095</v>
      </c>
      <c r="I934" s="35">
        <v>17.103000000000002</v>
      </c>
      <c r="J934" s="34">
        <v>2</v>
      </c>
      <c r="K934" s="34" t="s">
        <v>238</v>
      </c>
      <c r="L934" s="10">
        <v>42264</v>
      </c>
      <c r="M934" s="37" t="s">
        <v>191</v>
      </c>
      <c r="N934" s="38">
        <v>12.15</v>
      </c>
      <c r="O934" s="38">
        <v>3.5</v>
      </c>
      <c r="P934" s="38">
        <v>1.4</v>
      </c>
      <c r="Q934" s="38">
        <v>0.52500000000000002</v>
      </c>
      <c r="R934" s="38">
        <v>2.0989200000000001</v>
      </c>
      <c r="S934" s="38">
        <f t="shared" si="115"/>
        <v>2</v>
      </c>
      <c r="T934" s="38">
        <v>2.657</v>
      </c>
      <c r="U934" s="38">
        <v>0.26600000000000001</v>
      </c>
      <c r="V934" s="38">
        <v>4.8000000000000001E-2</v>
      </c>
      <c r="W934" s="38">
        <v>14.132</v>
      </c>
      <c r="X934" s="38">
        <v>4.54237</v>
      </c>
      <c r="Y934" s="38">
        <f t="shared" si="116"/>
        <v>4.5</v>
      </c>
      <c r="Z934" s="38">
        <v>0</v>
      </c>
      <c r="AA934" s="38">
        <v>0</v>
      </c>
      <c r="AB934" s="196">
        <v>17.103000000000002</v>
      </c>
      <c r="AC934" s="38">
        <v>1.16299</v>
      </c>
      <c r="AD934" s="39">
        <v>124</v>
      </c>
      <c r="AE934" s="38">
        <v>0</v>
      </c>
      <c r="AF934" s="38">
        <f t="shared" si="123"/>
        <v>0.20714828643262251</v>
      </c>
      <c r="AG934" s="38">
        <f t="shared" si="117"/>
        <v>0.2</v>
      </c>
      <c r="AH934" s="38">
        <v>0</v>
      </c>
      <c r="AI934" s="38">
        <f t="shared" si="124"/>
        <v>0</v>
      </c>
      <c r="AJ934" s="38">
        <v>36.950000000000003</v>
      </c>
      <c r="AK934" s="38">
        <f>AJ934/(3.5*I934*1000)*100</f>
        <v>6.172684825552744E-2</v>
      </c>
      <c r="AL934" s="38">
        <v>0</v>
      </c>
      <c r="AM934" s="38">
        <f t="shared" si="122"/>
        <v>0</v>
      </c>
      <c r="AN934" s="25"/>
      <c r="AO934" s="25">
        <f>AE934*0.5</f>
        <v>0</v>
      </c>
      <c r="AP934" s="25">
        <f>(AD934+AH934+AJ934+AL934+AO934)*I934</f>
        <v>2752.7278500000002</v>
      </c>
      <c r="AQ934" s="25">
        <f>(AD934+AH934+AJ934+AL934)*I934</f>
        <v>2752.7278500000002</v>
      </c>
      <c r="AR934" s="25"/>
      <c r="AS934" s="25"/>
      <c r="AU934" s="275"/>
      <c r="AV934" s="41">
        <f>SUM(N934:Q934)</f>
        <v>17.574999999999999</v>
      </c>
      <c r="AW934" s="41">
        <f>SUM(T934:W934)</f>
        <v>17.103000000000002</v>
      </c>
      <c r="AX934" s="41">
        <f>SUM(Z934:AB934)</f>
        <v>17.103000000000002</v>
      </c>
      <c r="AZ934" s="22">
        <f>I934/AV934</f>
        <v>0.97314366998577539</v>
      </c>
      <c r="BA934" s="22">
        <f>I934/AW934</f>
        <v>1</v>
      </c>
      <c r="BB934" s="22">
        <f>I934/AX934</f>
        <v>1</v>
      </c>
    </row>
    <row r="935" spans="1:88" s="22" customFormat="1">
      <c r="A935" s="1">
        <v>1954</v>
      </c>
      <c r="B935" s="34" t="s">
        <v>2586</v>
      </c>
      <c r="C935" s="34">
        <v>321</v>
      </c>
      <c r="D935" s="75">
        <v>4094</v>
      </c>
      <c r="E935" s="8">
        <v>101</v>
      </c>
      <c r="F935" s="34" t="s">
        <v>2599</v>
      </c>
      <c r="G935" s="58">
        <v>0</v>
      </c>
      <c r="H935" s="58">
        <v>9426</v>
      </c>
      <c r="I935" s="21">
        <v>9.4260000000000002</v>
      </c>
      <c r="J935" s="8">
        <v>2</v>
      </c>
      <c r="K935" s="8" t="s">
        <v>238</v>
      </c>
      <c r="L935" s="18">
        <v>42123</v>
      </c>
      <c r="M935" s="37" t="s">
        <v>191</v>
      </c>
      <c r="N935" s="38">
        <v>8.2750000000000004</v>
      </c>
      <c r="O935" s="38">
        <v>0.67500000000000004</v>
      </c>
      <c r="P935" s="38">
        <v>0.3</v>
      </c>
      <c r="Q935" s="38">
        <v>0.125</v>
      </c>
      <c r="R935" s="38">
        <v>1.86117</v>
      </c>
      <c r="S935" s="38">
        <f t="shared" si="115"/>
        <v>2</v>
      </c>
      <c r="T935" s="38">
        <v>8.875</v>
      </c>
      <c r="U935" s="38">
        <v>0.47499999999999998</v>
      </c>
      <c r="V935" s="38">
        <v>2.5000000000000001E-2</v>
      </c>
      <c r="W935" s="38">
        <v>0</v>
      </c>
      <c r="X935" s="38">
        <v>4.5537299999999998</v>
      </c>
      <c r="Y935" s="38">
        <f t="shared" si="116"/>
        <v>4.5</v>
      </c>
      <c r="Z935" s="38">
        <v>0</v>
      </c>
      <c r="AA935" s="38">
        <v>0</v>
      </c>
      <c r="AB935" s="38">
        <v>9.375</v>
      </c>
      <c r="AC935" s="38">
        <v>1.2426200000000001</v>
      </c>
      <c r="AD935" s="56">
        <v>0</v>
      </c>
      <c r="AE935" s="38">
        <v>136</v>
      </c>
      <c r="AF935" s="38">
        <f t="shared" si="123"/>
        <v>0.20611681973871659</v>
      </c>
      <c r="AG935" s="38">
        <f t="shared" si="117"/>
        <v>0.2</v>
      </c>
      <c r="AH935" s="38">
        <v>0</v>
      </c>
      <c r="AI935" s="38">
        <f t="shared" si="124"/>
        <v>0</v>
      </c>
      <c r="AJ935" s="38">
        <v>0</v>
      </c>
      <c r="AK935" s="38">
        <v>0</v>
      </c>
      <c r="AL935" s="38">
        <v>0</v>
      </c>
      <c r="AM935" s="38">
        <f t="shared" si="122"/>
        <v>0</v>
      </c>
      <c r="AN935" s="73"/>
      <c r="AO935" s="72"/>
      <c r="AP935" s="41"/>
      <c r="AQ935" s="41"/>
      <c r="AR935" s="73"/>
      <c r="AS935" s="73"/>
      <c r="AT935" s="73"/>
      <c r="AU935" s="73"/>
      <c r="AV935" s="73"/>
      <c r="AW935" s="73"/>
      <c r="AX935" s="73"/>
      <c r="AY935" s="73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</row>
    <row r="936" spans="1:88" s="22" customFormat="1" ht="24.75" customHeight="1">
      <c r="A936" s="1">
        <v>176</v>
      </c>
      <c r="B936" s="34" t="s">
        <v>332</v>
      </c>
      <c r="C936" s="34">
        <v>533</v>
      </c>
      <c r="D936" s="34">
        <v>1152</v>
      </c>
      <c r="E936" s="34">
        <v>100</v>
      </c>
      <c r="F936" s="34" t="s">
        <v>356</v>
      </c>
      <c r="G936" s="20">
        <v>0</v>
      </c>
      <c r="H936" s="20">
        <v>19000</v>
      </c>
      <c r="I936" s="35">
        <v>19</v>
      </c>
      <c r="J936" s="33">
        <v>2</v>
      </c>
      <c r="K936" s="34" t="s">
        <v>12</v>
      </c>
      <c r="L936" s="10">
        <v>42203</v>
      </c>
      <c r="M936" s="37" t="s">
        <v>191</v>
      </c>
      <c r="N936" s="38">
        <v>8.57</v>
      </c>
      <c r="O936" s="38">
        <v>5.69</v>
      </c>
      <c r="P936" s="38">
        <v>2.9</v>
      </c>
      <c r="Q936" s="38">
        <v>1.84</v>
      </c>
      <c r="R936" s="38">
        <v>3.0621100000000001</v>
      </c>
      <c r="S936" s="38">
        <f t="shared" si="115"/>
        <v>3</v>
      </c>
      <c r="T936" s="38">
        <v>13.95</v>
      </c>
      <c r="U936" s="38">
        <v>3.28</v>
      </c>
      <c r="V936" s="38">
        <v>1.24</v>
      </c>
      <c r="W936" s="38">
        <v>0.53</v>
      </c>
      <c r="X936" s="38">
        <v>8.0821799999999993</v>
      </c>
      <c r="Y936" s="38">
        <f t="shared" si="116"/>
        <v>8</v>
      </c>
      <c r="Z936" s="38">
        <v>0</v>
      </c>
      <c r="AA936" s="38">
        <v>0</v>
      </c>
      <c r="AB936" s="38">
        <v>19</v>
      </c>
      <c r="AC936" s="38">
        <v>1.0346</v>
      </c>
      <c r="AD936" s="39">
        <v>113</v>
      </c>
      <c r="AE936" s="38">
        <v>47.99</v>
      </c>
      <c r="AF936" s="38">
        <f t="shared" si="123"/>
        <v>0.2060075187969925</v>
      </c>
      <c r="AG936" s="38">
        <f t="shared" si="117"/>
        <v>0.2</v>
      </c>
      <c r="AH936" s="38">
        <v>1</v>
      </c>
      <c r="AI936" s="38">
        <f t="shared" si="124"/>
        <v>1.5037593984962405E-3</v>
      </c>
      <c r="AJ936" s="38">
        <v>7</v>
      </c>
      <c r="AK936" s="38">
        <f>AJ936/(3.5*I936*1000)*100</f>
        <v>1.0526315789473684E-2</v>
      </c>
      <c r="AL936" s="38">
        <v>0</v>
      </c>
      <c r="AM936" s="38">
        <f t="shared" si="122"/>
        <v>0</v>
      </c>
      <c r="AN936" s="25"/>
      <c r="AO936" s="25">
        <f>AE936*0.5</f>
        <v>23.995000000000001</v>
      </c>
      <c r="AP936" s="25">
        <f>(AD936+AH936+AJ936+AL936+AO936)*I936</f>
        <v>2754.9050000000002</v>
      </c>
      <c r="AQ936" s="25"/>
      <c r="AR936" s="25">
        <f>SUM(N936:Q936)</f>
        <v>19</v>
      </c>
      <c r="AS936" s="25">
        <f>SUM(T936:W936)</f>
        <v>19</v>
      </c>
      <c r="AT936" s="48"/>
      <c r="AU936" s="41">
        <f>SUM(N936:Q936)</f>
        <v>19</v>
      </c>
      <c r="AV936" s="41">
        <f>SUM(T936:W936)</f>
        <v>19</v>
      </c>
      <c r="AW936" s="41">
        <f>SUM(Z936:AB936)</f>
        <v>19</v>
      </c>
      <c r="AX936" s="41"/>
      <c r="AY936" s="22">
        <f>I936/AU936</f>
        <v>1</v>
      </c>
      <c r="AZ936" s="22">
        <f>I936/AV936</f>
        <v>1</v>
      </c>
      <c r="BA936" s="22">
        <f>I936/AW936</f>
        <v>1</v>
      </c>
    </row>
    <row r="937" spans="1:88" s="22" customFormat="1" ht="24.75" customHeight="1">
      <c r="A937" s="1">
        <v>1670</v>
      </c>
      <c r="B937" s="34" t="s">
        <v>2272</v>
      </c>
      <c r="C937" s="34">
        <v>419</v>
      </c>
      <c r="D937" s="69">
        <v>338</v>
      </c>
      <c r="E937" s="34">
        <v>101</v>
      </c>
      <c r="F937" s="34" t="s">
        <v>2276</v>
      </c>
      <c r="G937" s="58">
        <v>0</v>
      </c>
      <c r="H937" s="58">
        <v>15111</v>
      </c>
      <c r="I937" s="35">
        <v>15.111000000000001</v>
      </c>
      <c r="J937" s="34">
        <v>10</v>
      </c>
      <c r="K937" s="34" t="s">
        <v>96</v>
      </c>
      <c r="L937" s="10">
        <v>42243</v>
      </c>
      <c r="M937" s="37" t="s">
        <v>191</v>
      </c>
      <c r="N937" s="55">
        <v>3.875</v>
      </c>
      <c r="O937" s="55">
        <v>8</v>
      </c>
      <c r="P937" s="55">
        <v>2.35</v>
      </c>
      <c r="Q937" s="55">
        <v>0.875</v>
      </c>
      <c r="R937" s="55">
        <v>2.79819</v>
      </c>
      <c r="S937" s="38">
        <f t="shared" si="115"/>
        <v>3</v>
      </c>
      <c r="T937" s="38">
        <v>13.2</v>
      </c>
      <c r="U937" s="38">
        <v>1.3</v>
      </c>
      <c r="V937" s="38">
        <v>0.45</v>
      </c>
      <c r="W937" s="38">
        <v>0.15</v>
      </c>
      <c r="X937" s="38">
        <v>6.81067</v>
      </c>
      <c r="Y937" s="38">
        <f t="shared" si="116"/>
        <v>7</v>
      </c>
      <c r="Z937" s="38">
        <v>0</v>
      </c>
      <c r="AA937" s="38">
        <v>0</v>
      </c>
      <c r="AB937" s="38">
        <f>SUM(N937:Q937)</f>
        <v>15.1</v>
      </c>
      <c r="AC937" s="38">
        <v>1.1736</v>
      </c>
      <c r="AD937" s="39">
        <v>95</v>
      </c>
      <c r="AE937" s="38">
        <v>27.78</v>
      </c>
      <c r="AF937" s="38">
        <f t="shared" si="123"/>
        <v>0.20588596764892181</v>
      </c>
      <c r="AG937" s="38">
        <f t="shared" si="117"/>
        <v>0.2</v>
      </c>
      <c r="AH937" s="38">
        <v>0</v>
      </c>
      <c r="AI937" s="38">
        <f t="shared" si="124"/>
        <v>0</v>
      </c>
      <c r="AJ937" s="38">
        <v>0</v>
      </c>
      <c r="AK937" s="38">
        <f>AJ937/(3.5*I937*1000)*100</f>
        <v>0</v>
      </c>
      <c r="AL937" s="38">
        <v>0</v>
      </c>
      <c r="AM937" s="38">
        <f t="shared" si="122"/>
        <v>0</v>
      </c>
      <c r="AN937" s="25"/>
      <c r="AO937" s="25">
        <f>AE937*0.5</f>
        <v>13.89</v>
      </c>
      <c r="AP937" s="25">
        <f>(AD937+AH937+AJ937+AL937+AO937)*I937</f>
        <v>1645.43679</v>
      </c>
      <c r="AQ937" s="25">
        <f>(AD937+AH937+AJ937+AL937)*I937</f>
        <v>1435.5450000000001</v>
      </c>
      <c r="AR937" s="25">
        <f>SUM(N937:Q937)</f>
        <v>15.1</v>
      </c>
      <c r="AS937" s="25">
        <f>SUM(T937:W937)</f>
        <v>15.1</v>
      </c>
      <c r="AT937" s="48"/>
      <c r="AU937" s="41"/>
      <c r="AV937" s="41"/>
      <c r="AW937" s="41"/>
      <c r="AX937" s="41"/>
    </row>
    <row r="938" spans="1:88" s="22" customFormat="1" ht="24.75" customHeight="1">
      <c r="A938" s="1">
        <v>1451</v>
      </c>
      <c r="B938" s="34" t="s">
        <v>1987</v>
      </c>
      <c r="C938" s="34">
        <v>448</v>
      </c>
      <c r="D938" s="75">
        <v>368</v>
      </c>
      <c r="E938" s="69">
        <v>100</v>
      </c>
      <c r="F938" s="34" t="s">
        <v>2001</v>
      </c>
      <c r="G938" s="20">
        <v>4865</v>
      </c>
      <c r="H938" s="20">
        <v>0</v>
      </c>
      <c r="I938" s="21">
        <v>4.8650000000000002</v>
      </c>
      <c r="J938" s="8">
        <v>4</v>
      </c>
      <c r="K938" s="34" t="s">
        <v>96</v>
      </c>
      <c r="L938" s="10">
        <v>42181</v>
      </c>
      <c r="M938" s="37" t="s">
        <v>191</v>
      </c>
      <c r="N938" s="38">
        <v>2.5</v>
      </c>
      <c r="O938" s="38">
        <v>1.1499999999999999</v>
      </c>
      <c r="P938" s="38">
        <v>0.77500000000000002</v>
      </c>
      <c r="Q938" s="38">
        <v>0.47499999999999998</v>
      </c>
      <c r="R938" s="38">
        <v>3.1100500000000002</v>
      </c>
      <c r="S938" s="38">
        <f t="shared" si="115"/>
        <v>3</v>
      </c>
      <c r="T938" s="38">
        <v>4.05</v>
      </c>
      <c r="U938" s="38">
        <v>0.75</v>
      </c>
      <c r="V938" s="38">
        <v>0.1</v>
      </c>
      <c r="W938" s="38">
        <v>0</v>
      </c>
      <c r="X938" s="38">
        <v>6.1210199999999997</v>
      </c>
      <c r="Y938" s="38">
        <f t="shared" si="116"/>
        <v>6</v>
      </c>
      <c r="Z938" s="38">
        <v>0</v>
      </c>
      <c r="AA938" s="38">
        <v>0</v>
      </c>
      <c r="AB938" s="38">
        <v>4.8999999999999995</v>
      </c>
      <c r="AC938" s="38">
        <v>0.956403</v>
      </c>
      <c r="AD938" s="39">
        <v>0</v>
      </c>
      <c r="AE938" s="38">
        <v>70</v>
      </c>
      <c r="AF938" s="38">
        <f t="shared" si="123"/>
        <v>0.20554984583761562</v>
      </c>
      <c r="AG938" s="38">
        <f t="shared" si="117"/>
        <v>0.2</v>
      </c>
      <c r="AH938" s="38">
        <v>28</v>
      </c>
      <c r="AI938" s="38">
        <f t="shared" si="124"/>
        <v>0.16443987667009249</v>
      </c>
      <c r="AJ938" s="38">
        <v>3</v>
      </c>
      <c r="AK938" s="38">
        <f>AJ938/(3.5*I938*1000)*100</f>
        <v>1.7618558214652767E-2</v>
      </c>
      <c r="AL938" s="38">
        <v>0</v>
      </c>
      <c r="AM938" s="38">
        <f t="shared" si="122"/>
        <v>0</v>
      </c>
      <c r="AN938" s="72"/>
      <c r="AO938" s="41"/>
      <c r="AP938" s="41"/>
      <c r="AQ938" s="73"/>
      <c r="AR938" s="73"/>
      <c r="AS938" s="73"/>
      <c r="AT938" s="48"/>
      <c r="AU938" s="73"/>
      <c r="AV938" s="73"/>
    </row>
    <row r="939" spans="1:88" s="22" customFormat="1" ht="24.75" customHeight="1">
      <c r="A939" s="1">
        <v>1975</v>
      </c>
      <c r="B939" s="34" t="s">
        <v>2615</v>
      </c>
      <c r="C939" s="34">
        <v>322</v>
      </c>
      <c r="D939" s="75">
        <v>403</v>
      </c>
      <c r="E939" s="8">
        <v>303</v>
      </c>
      <c r="F939" s="34" t="s">
        <v>2618</v>
      </c>
      <c r="G939" s="58">
        <v>118075</v>
      </c>
      <c r="H939" s="58">
        <v>93211</v>
      </c>
      <c r="I939" s="21">
        <v>24.864000000000001</v>
      </c>
      <c r="J939" s="8">
        <v>4</v>
      </c>
      <c r="K939" s="8" t="s">
        <v>672</v>
      </c>
      <c r="L939" s="18">
        <v>42129</v>
      </c>
      <c r="M939" s="37" t="s">
        <v>191</v>
      </c>
      <c r="N939" s="38">
        <v>19.024999999999999</v>
      </c>
      <c r="O939" s="38">
        <v>3.5249999999999999</v>
      </c>
      <c r="P939" s="38">
        <v>1.375</v>
      </c>
      <c r="Q939" s="38">
        <v>0.85</v>
      </c>
      <c r="R939" s="38">
        <v>2.2011799999999999</v>
      </c>
      <c r="S939" s="38">
        <f t="shared" si="115"/>
        <v>2</v>
      </c>
      <c r="T939" s="38">
        <v>23.225000000000001</v>
      </c>
      <c r="U939" s="38">
        <v>1.2749999999999999</v>
      </c>
      <c r="V939" s="38">
        <v>0.2</v>
      </c>
      <c r="W939" s="38">
        <v>0</v>
      </c>
      <c r="X939" s="38">
        <v>4.9826100000000002</v>
      </c>
      <c r="Y939" s="38">
        <f t="shared" si="116"/>
        <v>5</v>
      </c>
      <c r="Z939" s="38">
        <v>0</v>
      </c>
      <c r="AA939" s="38">
        <v>0</v>
      </c>
      <c r="AB939" s="38">
        <v>24.774999999999999</v>
      </c>
      <c r="AC939" s="38">
        <v>1.1467700000000001</v>
      </c>
      <c r="AD939" s="39">
        <v>175.56</v>
      </c>
      <c r="AE939" s="38">
        <v>6</v>
      </c>
      <c r="AF939" s="38">
        <v>0.20518477661334802</v>
      </c>
      <c r="AG939" s="38">
        <f t="shared" si="117"/>
        <v>0.2</v>
      </c>
      <c r="AH939" s="38">
        <v>31.91</v>
      </c>
      <c r="AI939" s="38">
        <v>3.6668045596617023E-2</v>
      </c>
      <c r="AJ939" s="38">
        <v>0</v>
      </c>
      <c r="AK939" s="38">
        <v>0</v>
      </c>
      <c r="AL939" s="38">
        <v>0</v>
      </c>
      <c r="AM939" s="38">
        <f t="shared" si="122"/>
        <v>0</v>
      </c>
      <c r="AN939" s="72"/>
      <c r="AO939" s="41"/>
      <c r="AP939" s="41"/>
      <c r="AQ939" s="73"/>
      <c r="AR939" s="73"/>
      <c r="AS939" s="73"/>
      <c r="AT939" s="48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</row>
    <row r="940" spans="1:88" s="22" customFormat="1" ht="24.75" customHeight="1">
      <c r="A940" s="1">
        <v>1867</v>
      </c>
      <c r="B940" s="34" t="s">
        <v>2495</v>
      </c>
      <c r="C940" s="34">
        <v>335</v>
      </c>
      <c r="D940" s="75">
        <v>3087</v>
      </c>
      <c r="E940" s="8">
        <v>100</v>
      </c>
      <c r="F940" s="9" t="s">
        <v>2497</v>
      </c>
      <c r="G940" s="20">
        <v>0</v>
      </c>
      <c r="H940" s="20">
        <v>54940</v>
      </c>
      <c r="I940" s="21">
        <v>54.94</v>
      </c>
      <c r="J940" s="34">
        <v>2</v>
      </c>
      <c r="K940" s="34" t="s">
        <v>238</v>
      </c>
      <c r="L940" s="18">
        <v>42093</v>
      </c>
      <c r="M940" s="247" t="s">
        <v>191</v>
      </c>
      <c r="N940" s="38">
        <v>32.72</v>
      </c>
      <c r="O940" s="38">
        <v>14.17</v>
      </c>
      <c r="P940" s="38">
        <v>4.97</v>
      </c>
      <c r="Q940" s="38">
        <v>3.08</v>
      </c>
      <c r="R940" s="38">
        <v>2.6897199999999999</v>
      </c>
      <c r="S940" s="38">
        <f t="shared" si="115"/>
        <v>2.5</v>
      </c>
      <c r="T940" s="38">
        <v>52.48</v>
      </c>
      <c r="U940" s="38">
        <v>1.98</v>
      </c>
      <c r="V940" s="38">
        <v>0.4</v>
      </c>
      <c r="W940" s="38">
        <v>0.08</v>
      </c>
      <c r="X940" s="38">
        <v>3.9349699999999999</v>
      </c>
      <c r="Y940" s="38">
        <f t="shared" si="116"/>
        <v>4</v>
      </c>
      <c r="Z940" s="38">
        <v>0</v>
      </c>
      <c r="AA940" s="38">
        <v>0</v>
      </c>
      <c r="AB940" s="38">
        <v>54.94</v>
      </c>
      <c r="AC940" s="38">
        <v>1.34954</v>
      </c>
      <c r="AD940" s="39">
        <v>362.05</v>
      </c>
      <c r="AE940" s="38">
        <v>59.66</v>
      </c>
      <c r="AF940" s="38">
        <f>(AD940+AE940*0.5)/(3.5*I940*1000)*100</f>
        <v>0.20379634926413229</v>
      </c>
      <c r="AG940" s="38">
        <f t="shared" si="117"/>
        <v>0.2</v>
      </c>
      <c r="AH940" s="38">
        <v>29.353999999999999</v>
      </c>
      <c r="AI940" s="38">
        <f>AH940/(3.5*I940*1000)*100</f>
        <v>1.5265484424567058E-2</v>
      </c>
      <c r="AJ940" s="38">
        <v>0</v>
      </c>
      <c r="AK940" s="38">
        <f>AJ940/(3.5*I940*1000)*100</f>
        <v>0</v>
      </c>
      <c r="AL940" s="38">
        <v>0</v>
      </c>
      <c r="AM940" s="38">
        <f t="shared" si="122"/>
        <v>0</v>
      </c>
      <c r="AN940" s="73"/>
      <c r="AO940" s="73"/>
      <c r="AP940" s="73"/>
      <c r="AQ940" s="41">
        <f>SUM(N940:Q940)</f>
        <v>54.94</v>
      </c>
      <c r="AR940" s="41">
        <f>SUM(T940:W940)</f>
        <v>54.939999999999991</v>
      </c>
      <c r="AS940" s="12">
        <f>SUM(Z940:AB940)</f>
        <v>54.94</v>
      </c>
      <c r="AT940" s="48"/>
      <c r="AU940" s="1">
        <f>I940/AQ940</f>
        <v>1</v>
      </c>
      <c r="AV940" s="1">
        <f>I940/AR940</f>
        <v>1.0000000000000002</v>
      </c>
      <c r="AW940" s="1">
        <f>I940/AS940</f>
        <v>1</v>
      </c>
    </row>
    <row r="941" spans="1:88" s="22" customFormat="1" ht="24.75" customHeight="1">
      <c r="A941" s="1">
        <v>1915</v>
      </c>
      <c r="B941" s="34" t="s">
        <v>2559</v>
      </c>
      <c r="C941" s="34">
        <v>338</v>
      </c>
      <c r="D941" s="75">
        <v>4</v>
      </c>
      <c r="E941" s="8">
        <v>501</v>
      </c>
      <c r="F941" s="9" t="s">
        <v>2560</v>
      </c>
      <c r="G941" s="20">
        <v>162217</v>
      </c>
      <c r="H941" s="20">
        <v>134587</v>
      </c>
      <c r="I941" s="21">
        <v>27.63</v>
      </c>
      <c r="J941" s="8">
        <v>7</v>
      </c>
      <c r="K941" s="8" t="s">
        <v>1521</v>
      </c>
      <c r="L941" s="18">
        <v>42095</v>
      </c>
      <c r="M941" s="247" t="s">
        <v>191</v>
      </c>
      <c r="N941" s="38">
        <v>18.41</v>
      </c>
      <c r="O941" s="38">
        <v>4.47</v>
      </c>
      <c r="P941" s="38">
        <v>2.91</v>
      </c>
      <c r="Q941" s="38">
        <v>1.83</v>
      </c>
      <c r="R941" s="38">
        <v>2.4160200000000001</v>
      </c>
      <c r="S941" s="38">
        <f t="shared" si="115"/>
        <v>2.5</v>
      </c>
      <c r="T941" s="38">
        <v>22.96</v>
      </c>
      <c r="U941" s="38">
        <v>3.47</v>
      </c>
      <c r="V941" s="38">
        <v>0.88</v>
      </c>
      <c r="W941" s="38">
        <v>0.33</v>
      </c>
      <c r="X941" s="38">
        <v>6.8119699999999996</v>
      </c>
      <c r="Y941" s="38">
        <f t="shared" si="116"/>
        <v>7</v>
      </c>
      <c r="Z941" s="38">
        <v>0</v>
      </c>
      <c r="AA941" s="38">
        <v>0</v>
      </c>
      <c r="AB941" s="38">
        <v>27.63</v>
      </c>
      <c r="AC941" s="38">
        <v>1.50797</v>
      </c>
      <c r="AD941" s="39">
        <v>154.32</v>
      </c>
      <c r="AE941" s="38">
        <v>84.2</v>
      </c>
      <c r="AF941" s="38">
        <v>0.20311255881288454</v>
      </c>
      <c r="AG941" s="38">
        <f t="shared" si="117"/>
        <v>0.2</v>
      </c>
      <c r="AH941" s="38">
        <v>342.6</v>
      </c>
      <c r="AI941" s="38">
        <v>0.3542733054133706</v>
      </c>
      <c r="AJ941" s="38">
        <v>0</v>
      </c>
      <c r="AK941" s="38">
        <v>0</v>
      </c>
      <c r="AL941" s="38">
        <v>0</v>
      </c>
      <c r="AM941" s="38">
        <f t="shared" si="122"/>
        <v>0</v>
      </c>
      <c r="AN941" s="41"/>
      <c r="AO941" s="73"/>
      <c r="AP941" s="41"/>
      <c r="AQ941" s="41">
        <f>SUM(N941:Q941)</f>
        <v>27.619999999999997</v>
      </c>
      <c r="AR941" s="41">
        <f>SUM(T941:W941)</f>
        <v>27.639999999999997</v>
      </c>
      <c r="AS941" s="12">
        <f>SUM(Z941:AB941)</f>
        <v>27.63</v>
      </c>
      <c r="AT941" s="178"/>
      <c r="AU941" s="1">
        <f>I941/AQ941</f>
        <v>1.0003620564808111</v>
      </c>
      <c r="AV941" s="1">
        <f>I941/AR941</f>
        <v>0.99963820549927651</v>
      </c>
      <c r="AW941" s="1">
        <f>I941/AS941</f>
        <v>1</v>
      </c>
      <c r="AX941" s="1">
        <f>AT941/I966</f>
        <v>0</v>
      </c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</row>
    <row r="942" spans="1:88" s="22" customFormat="1" ht="24.75" customHeight="1">
      <c r="A942" s="1">
        <v>512</v>
      </c>
      <c r="B942" s="88" t="s">
        <v>871</v>
      </c>
      <c r="C942" s="88">
        <v>557</v>
      </c>
      <c r="D942" s="88">
        <v>117</v>
      </c>
      <c r="E942" s="88">
        <v>401</v>
      </c>
      <c r="F942" s="88" t="s">
        <v>874</v>
      </c>
      <c r="G942" s="88" t="s">
        <v>659</v>
      </c>
      <c r="H942" s="88" t="s">
        <v>875</v>
      </c>
      <c r="I942" s="115">
        <v>22.821000000000002</v>
      </c>
      <c r="J942" s="88" t="s">
        <v>238</v>
      </c>
      <c r="K942" s="88">
        <v>2</v>
      </c>
      <c r="L942" s="116">
        <v>42270</v>
      </c>
      <c r="M942" s="37" t="s">
        <v>191</v>
      </c>
      <c r="N942" s="117">
        <v>13.75</v>
      </c>
      <c r="O942" s="117">
        <v>5.875</v>
      </c>
      <c r="P942" s="117">
        <v>2.5499999999999998</v>
      </c>
      <c r="Q942" s="117">
        <v>0.65</v>
      </c>
      <c r="R942" s="117">
        <v>2.5346899999999999</v>
      </c>
      <c r="S942" s="38">
        <f t="shared" si="115"/>
        <v>2.5</v>
      </c>
      <c r="T942" s="117">
        <v>21.774999999999999</v>
      </c>
      <c r="U942" s="117">
        <v>0.82499999999999996</v>
      </c>
      <c r="V942" s="117">
        <v>0.17499999999999999</v>
      </c>
      <c r="W942" s="117">
        <v>0.05</v>
      </c>
      <c r="X942" s="117">
        <v>3.3687499999999999</v>
      </c>
      <c r="Y942" s="38">
        <f t="shared" si="116"/>
        <v>3.5</v>
      </c>
      <c r="Z942" s="117">
        <v>0</v>
      </c>
      <c r="AA942" s="117">
        <v>0</v>
      </c>
      <c r="AB942" s="117">
        <v>22.824999999999999</v>
      </c>
      <c r="AC942" s="117">
        <v>1.1656200000000001</v>
      </c>
      <c r="AD942" s="254">
        <v>153.25</v>
      </c>
      <c r="AE942" s="117">
        <v>16.45</v>
      </c>
      <c r="AF942" s="117">
        <v>0.20216300000000001</v>
      </c>
      <c r="AG942" s="38">
        <f t="shared" si="117"/>
        <v>0.2</v>
      </c>
      <c r="AH942" s="117">
        <v>85.466999999999999</v>
      </c>
      <c r="AI942" s="117">
        <v>0.107003</v>
      </c>
      <c r="AJ942" s="117">
        <v>0</v>
      </c>
      <c r="AK942" s="117">
        <v>0</v>
      </c>
      <c r="AL942" s="117">
        <v>0</v>
      </c>
      <c r="AM942" s="117">
        <v>0</v>
      </c>
      <c r="AN942" s="25"/>
      <c r="AO942" s="25"/>
      <c r="AR942" s="1"/>
      <c r="AS942" s="1"/>
      <c r="AT942" s="178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</row>
    <row r="943" spans="1:88" s="22" customFormat="1" ht="24.75" customHeight="1">
      <c r="A943" s="1">
        <v>763</v>
      </c>
      <c r="B943" s="34" t="s">
        <v>1149</v>
      </c>
      <c r="C943" s="34">
        <v>622</v>
      </c>
      <c r="D943" s="8">
        <v>219</v>
      </c>
      <c r="E943" s="34">
        <v>101</v>
      </c>
      <c r="F943" s="34" t="s">
        <v>1151</v>
      </c>
      <c r="G943" s="58" t="s">
        <v>1152</v>
      </c>
      <c r="H943" s="58" t="s">
        <v>1153</v>
      </c>
      <c r="I943" s="35">
        <v>47.4</v>
      </c>
      <c r="J943" s="9">
        <v>2</v>
      </c>
      <c r="K943" s="34" t="s">
        <v>238</v>
      </c>
      <c r="L943" s="10">
        <v>42151</v>
      </c>
      <c r="M943" s="37" t="s">
        <v>191</v>
      </c>
      <c r="N943" s="38">
        <v>35.274999999999999</v>
      </c>
      <c r="O943" s="38">
        <v>9.4749999999999996</v>
      </c>
      <c r="P943" s="38">
        <v>2.5499999999999998</v>
      </c>
      <c r="Q943" s="38">
        <v>0.45</v>
      </c>
      <c r="R943" s="38">
        <v>2.2370000000000001</v>
      </c>
      <c r="S943" s="38">
        <f t="shared" si="115"/>
        <v>2</v>
      </c>
      <c r="T943" s="38">
        <v>46.2</v>
      </c>
      <c r="U943" s="38">
        <v>1.35</v>
      </c>
      <c r="V943" s="38">
        <v>0.28000000000000003</v>
      </c>
      <c r="W943" s="38">
        <v>0.03</v>
      </c>
      <c r="X943" s="147">
        <v>3.7670050677966103</v>
      </c>
      <c r="Y943" s="38">
        <f t="shared" si="116"/>
        <v>4</v>
      </c>
      <c r="Z943" s="38">
        <v>0</v>
      </c>
      <c r="AA943" s="38">
        <v>0</v>
      </c>
      <c r="AB943" s="38">
        <v>47.85</v>
      </c>
      <c r="AC943" s="38">
        <v>1.2580199999999999</v>
      </c>
      <c r="AD943" s="39">
        <v>309.16000000000003</v>
      </c>
      <c r="AE943" s="38">
        <v>50.67</v>
      </c>
      <c r="AF943" s="38">
        <f>(AD943+AE943*0.5)/(3.5*I943*1000)*100</f>
        <v>0.2016244725738397</v>
      </c>
      <c r="AG943" s="38">
        <f t="shared" si="117"/>
        <v>0.2</v>
      </c>
      <c r="AH943" s="38">
        <v>0</v>
      </c>
      <c r="AI943" s="38">
        <f>AH943/(3.5*I943*1000)*100</f>
        <v>0</v>
      </c>
      <c r="AJ943" s="38">
        <v>114.25</v>
      </c>
      <c r="AK943" s="38">
        <f>AJ943/(3.5*I943*1000)*100</f>
        <v>6.8866787221217599E-2</v>
      </c>
      <c r="AL943" s="38">
        <v>0</v>
      </c>
      <c r="AM943" s="38">
        <f>AL943/(3.5*I943*1000)*100</f>
        <v>0</v>
      </c>
      <c r="AN943" s="25"/>
      <c r="AO943" s="25">
        <f>AE943*0.5</f>
        <v>25.335000000000001</v>
      </c>
      <c r="AP943" s="25">
        <f>(AD943+AH943+AJ943+AL943+AO943)*I943</f>
        <v>21270.512999999999</v>
      </c>
      <c r="AQ943" s="25">
        <f>SUM(N943:Q943)</f>
        <v>47.75</v>
      </c>
      <c r="AR943" s="25">
        <f>SUM(T943:W943)</f>
        <v>47.860000000000007</v>
      </c>
      <c r="AS943" s="268">
        <v>47.79</v>
      </c>
      <c r="AT943" s="49"/>
      <c r="AU943" s="41">
        <f>SUM(N943:Q943)</f>
        <v>47.75</v>
      </c>
      <c r="AV943" s="41">
        <f>SUM(T943:W943)</f>
        <v>47.860000000000007</v>
      </c>
      <c r="AW943" s="41">
        <f>SUM(Z943:AB943)</f>
        <v>47.85</v>
      </c>
      <c r="AY943" s="22">
        <f>I943/AU943</f>
        <v>0.99267015706806283</v>
      </c>
      <c r="AZ943" s="22">
        <f>I943/AV943</f>
        <v>0.99038863351441686</v>
      </c>
      <c r="BA943" s="22">
        <f>I943/AW943</f>
        <v>0.99059561128526641</v>
      </c>
    </row>
    <row r="944" spans="1:88" s="22" customFormat="1" ht="24.75" customHeight="1">
      <c r="A944" s="1">
        <v>2090</v>
      </c>
      <c r="B944" s="34" t="s">
        <v>2732</v>
      </c>
      <c r="C944" s="34">
        <v>323</v>
      </c>
      <c r="D944" s="75">
        <v>4041</v>
      </c>
      <c r="E944" s="8">
        <v>100</v>
      </c>
      <c r="F944" s="9" t="s">
        <v>2737</v>
      </c>
      <c r="G944" s="20">
        <v>0</v>
      </c>
      <c r="H944" s="20">
        <v>4393</v>
      </c>
      <c r="I944" s="21">
        <v>4.3929999999999998</v>
      </c>
      <c r="J944" s="9">
        <v>2</v>
      </c>
      <c r="K944" s="34" t="s">
        <v>238</v>
      </c>
      <c r="L944" s="18">
        <v>42132</v>
      </c>
      <c r="M944" s="37" t="s">
        <v>191</v>
      </c>
      <c r="N944" s="38">
        <v>2.58</v>
      </c>
      <c r="O944" s="38">
        <v>1.1399999999999999</v>
      </c>
      <c r="P944" s="38">
        <v>0.4</v>
      </c>
      <c r="Q944" s="38">
        <v>0.28000000000000003</v>
      </c>
      <c r="R944" s="38">
        <v>2.7761499999999999</v>
      </c>
      <c r="S944" s="38">
        <f t="shared" si="115"/>
        <v>3</v>
      </c>
      <c r="T944" s="38">
        <v>4.34</v>
      </c>
      <c r="U944" s="38">
        <v>0.05</v>
      </c>
      <c r="V944" s="38">
        <v>0</v>
      </c>
      <c r="W944" s="38">
        <v>0</v>
      </c>
      <c r="X944" s="38">
        <v>2.3585600000000002</v>
      </c>
      <c r="Y944" s="38">
        <f t="shared" si="116"/>
        <v>2.5</v>
      </c>
      <c r="Z944" s="38">
        <v>0</v>
      </c>
      <c r="AA944" s="38">
        <v>0</v>
      </c>
      <c r="AB944" s="38">
        <v>4.3899999999999997</v>
      </c>
      <c r="AC944" s="38">
        <v>1.1894499999999999</v>
      </c>
      <c r="AD944" s="39">
        <v>20</v>
      </c>
      <c r="AE944" s="38">
        <v>22</v>
      </c>
      <c r="AF944" s="38">
        <f>(AD944+AE944*0.5)/(3.5*I944*1000)*100</f>
        <v>0.20161945952977142</v>
      </c>
      <c r="AG944" s="38">
        <f t="shared" si="117"/>
        <v>0.2</v>
      </c>
      <c r="AH944" s="38">
        <v>0</v>
      </c>
      <c r="AI944" s="38">
        <f>AH944/(3.5*I944*1000)*100</f>
        <v>0</v>
      </c>
      <c r="AJ944" s="38">
        <v>0</v>
      </c>
      <c r="AK944" s="38">
        <v>0</v>
      </c>
      <c r="AL944" s="38">
        <v>0</v>
      </c>
      <c r="AM944" s="38">
        <f>AL944/(3.5*I944*1000)*100</f>
        <v>0</v>
      </c>
      <c r="AN944" s="25"/>
      <c r="AO944" s="25"/>
      <c r="AQ944" s="41">
        <f>SUM(N944:Q944)</f>
        <v>4.4000000000000004</v>
      </c>
      <c r="AR944" s="41">
        <f>SUM(T944:W944)</f>
        <v>4.3899999999999997</v>
      </c>
      <c r="AS944" s="12">
        <f>SUM(Z944:AB944)</f>
        <v>4.3899999999999997</v>
      </c>
      <c r="AT944" s="178"/>
      <c r="AU944" s="1">
        <f>I944/AQ944</f>
        <v>0.9984090909090908</v>
      </c>
      <c r="AV944" s="1">
        <f>I944/AR944</f>
        <v>1.0006833712984056</v>
      </c>
      <c r="AW944" s="1">
        <f>I944/AS944</f>
        <v>1.0006833712984056</v>
      </c>
    </row>
    <row r="945" spans="1:88" s="22" customFormat="1" ht="24.75" customHeight="1">
      <c r="A945" s="1">
        <v>885</v>
      </c>
      <c r="B945" s="34" t="s">
        <v>1271</v>
      </c>
      <c r="C945" s="34">
        <v>632</v>
      </c>
      <c r="D945" s="8">
        <v>2182</v>
      </c>
      <c r="E945" s="34">
        <v>102</v>
      </c>
      <c r="F945" s="34" t="s">
        <v>1278</v>
      </c>
      <c r="G945" s="58">
        <v>35000</v>
      </c>
      <c r="H945" s="58">
        <v>49489</v>
      </c>
      <c r="I945" s="35">
        <v>14.489000000000001</v>
      </c>
      <c r="J945" s="9">
        <v>2</v>
      </c>
      <c r="K945" s="34" t="s">
        <v>238</v>
      </c>
      <c r="L945" s="10">
        <v>42144</v>
      </c>
      <c r="M945" s="37" t="s">
        <v>191</v>
      </c>
      <c r="N945" s="38">
        <v>6.1319999999999997</v>
      </c>
      <c r="O945" s="38">
        <v>3.5190000000000001</v>
      </c>
      <c r="P945" s="38">
        <v>2.7650000000000001</v>
      </c>
      <c r="Q945" s="38">
        <v>2.073</v>
      </c>
      <c r="R945" s="38">
        <v>3.83914</v>
      </c>
      <c r="S945" s="38">
        <f t="shared" si="115"/>
        <v>4</v>
      </c>
      <c r="T945" s="38">
        <v>13.346</v>
      </c>
      <c r="U945" s="38">
        <v>0.753</v>
      </c>
      <c r="V945" s="38">
        <v>0.35199999999999998</v>
      </c>
      <c r="W945" s="38">
        <v>3.7999999999999999E-2</v>
      </c>
      <c r="X945" s="38">
        <v>4.2199200000000001</v>
      </c>
      <c r="Y945" s="38">
        <f t="shared" si="116"/>
        <v>4</v>
      </c>
      <c r="Z945" s="38">
        <v>0</v>
      </c>
      <c r="AA945" s="38">
        <v>0</v>
      </c>
      <c r="AB945" s="38">
        <f>N945+O945+P945+Q945</f>
        <v>14.489000000000001</v>
      </c>
      <c r="AC945" s="38">
        <v>1.64499</v>
      </c>
      <c r="AD945" s="39">
        <v>102.2</v>
      </c>
      <c r="AE945" s="38">
        <v>0</v>
      </c>
      <c r="AF945" s="38">
        <v>0.20153199999999999</v>
      </c>
      <c r="AG945" s="38">
        <f t="shared" si="117"/>
        <v>0.2</v>
      </c>
      <c r="AH945" s="38">
        <v>677.1</v>
      </c>
      <c r="AI945" s="38">
        <v>1.3351999999999999</v>
      </c>
      <c r="AJ945" s="38">
        <v>0</v>
      </c>
      <c r="AK945" s="38">
        <v>0</v>
      </c>
      <c r="AL945" s="38">
        <v>4.7</v>
      </c>
      <c r="AM945" s="38">
        <v>9.2680000000000002E-3</v>
      </c>
      <c r="AN945" s="25"/>
      <c r="AO945" s="25">
        <f>AE945*0.5</f>
        <v>0</v>
      </c>
      <c r="AP945" s="25">
        <f>(AD945+AH945+AJ945+AL945+AO945)*I945</f>
        <v>11359.376000000002</v>
      </c>
      <c r="AQ945" s="25">
        <f>SUM(N945:Q945)</f>
        <v>14.489000000000001</v>
      </c>
      <c r="AR945" s="25">
        <f>SUM(T945:W945)</f>
        <v>14.489000000000001</v>
      </c>
      <c r="AT945" s="49"/>
      <c r="AU945" s="41"/>
      <c r="AV945" s="41"/>
      <c r="AW945" s="41"/>
    </row>
    <row r="946" spans="1:88" s="22" customFormat="1" ht="24.75" customHeight="1">
      <c r="A946" s="1">
        <v>2030</v>
      </c>
      <c r="B946" s="34" t="s">
        <v>2678</v>
      </c>
      <c r="C946" s="34">
        <v>326</v>
      </c>
      <c r="D946" s="75">
        <v>403</v>
      </c>
      <c r="E946" s="8">
        <v>201</v>
      </c>
      <c r="F946" s="34" t="s">
        <v>2679</v>
      </c>
      <c r="G946" s="58">
        <v>14276</v>
      </c>
      <c r="H946" s="58">
        <v>32352</v>
      </c>
      <c r="I946" s="21">
        <v>18.076000000000001</v>
      </c>
      <c r="J946" s="8">
        <v>4</v>
      </c>
      <c r="K946" s="8" t="s">
        <v>237</v>
      </c>
      <c r="L946" s="18">
        <v>42124</v>
      </c>
      <c r="M946" s="37" t="s">
        <v>191</v>
      </c>
      <c r="N946" s="38">
        <v>10.85</v>
      </c>
      <c r="O946" s="38">
        <v>4.0750000000000002</v>
      </c>
      <c r="P946" s="38">
        <v>2.2000000000000002</v>
      </c>
      <c r="Q946" s="38">
        <v>0.95</v>
      </c>
      <c r="R946" s="38">
        <v>2.5159899999999999</v>
      </c>
      <c r="S946" s="38">
        <f t="shared" si="115"/>
        <v>2.5</v>
      </c>
      <c r="T946" s="38">
        <v>14.975</v>
      </c>
      <c r="U946" s="38">
        <v>2.4750000000000001</v>
      </c>
      <c r="V946" s="38">
        <v>0.5</v>
      </c>
      <c r="W946" s="38">
        <v>0.125</v>
      </c>
      <c r="X946" s="38">
        <v>6.1505000000000001</v>
      </c>
      <c r="Y946" s="38">
        <f t="shared" si="116"/>
        <v>6</v>
      </c>
      <c r="Z946" s="38">
        <v>0</v>
      </c>
      <c r="AA946" s="38">
        <v>0</v>
      </c>
      <c r="AB946" s="38">
        <v>18.074999999999999</v>
      </c>
      <c r="AC946" s="38">
        <v>1.2442599999999999</v>
      </c>
      <c r="AD946" s="39">
        <v>104.78</v>
      </c>
      <c r="AE946" s="38">
        <v>45.19</v>
      </c>
      <c r="AF946" s="38">
        <f>(AD946+AE946*0.5)/(3.5*I946*1000)*100</f>
        <v>0.20133246925678874</v>
      </c>
      <c r="AG946" s="38">
        <f t="shared" si="117"/>
        <v>0.2</v>
      </c>
      <c r="AH946" s="38">
        <v>29.03</v>
      </c>
      <c r="AI946" s="38">
        <v>4.5885625770556063E-2</v>
      </c>
      <c r="AJ946" s="55">
        <v>189.15</v>
      </c>
      <c r="AK946" s="55">
        <v>0.29897575316915875</v>
      </c>
      <c r="AL946" s="55">
        <v>0</v>
      </c>
      <c r="AM946" s="55">
        <f>AL946/(3.5*I946*1000)*100</f>
        <v>0</v>
      </c>
      <c r="AN946" s="1"/>
      <c r="AO946" s="12"/>
      <c r="AP946" s="12"/>
      <c r="AQ946" s="1"/>
      <c r="AR946" s="1"/>
      <c r="AS946" s="1"/>
      <c r="AT946" s="178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</row>
    <row r="947" spans="1:88" s="22" customFormat="1" ht="24.75" customHeight="1">
      <c r="A947" s="1">
        <v>1899</v>
      </c>
      <c r="B947" s="34" t="s">
        <v>2528</v>
      </c>
      <c r="C947" s="34">
        <v>336</v>
      </c>
      <c r="D947" s="75">
        <v>3297</v>
      </c>
      <c r="E947" s="8">
        <v>100</v>
      </c>
      <c r="F947" s="9" t="s">
        <v>2541</v>
      </c>
      <c r="G947" s="20" t="s">
        <v>92</v>
      </c>
      <c r="H947" s="20" t="s">
        <v>2542</v>
      </c>
      <c r="I947" s="21">
        <v>8.4220000000000006</v>
      </c>
      <c r="J947" s="8">
        <v>2</v>
      </c>
      <c r="K947" s="8" t="s">
        <v>238</v>
      </c>
      <c r="L947" s="18">
        <v>42089</v>
      </c>
      <c r="M947" s="247" t="s">
        <v>191</v>
      </c>
      <c r="N947" s="26">
        <v>5.34</v>
      </c>
      <c r="O947" s="26">
        <v>1.97</v>
      </c>
      <c r="P947" s="26">
        <v>0.88</v>
      </c>
      <c r="Q947" s="26">
        <v>0.24</v>
      </c>
      <c r="R947" s="26">
        <v>2.3805399999999999</v>
      </c>
      <c r="S947" s="38">
        <f t="shared" si="115"/>
        <v>2.5</v>
      </c>
      <c r="T947" s="26">
        <v>7.36</v>
      </c>
      <c r="U947" s="26">
        <v>0.77</v>
      </c>
      <c r="V947" s="26">
        <v>0.24</v>
      </c>
      <c r="W947" s="26">
        <v>0.05</v>
      </c>
      <c r="X947" s="26">
        <v>5.9729999999999999</v>
      </c>
      <c r="Y947" s="38">
        <f t="shared" si="116"/>
        <v>6</v>
      </c>
      <c r="Z947" s="11">
        <v>0</v>
      </c>
      <c r="AA947" s="11">
        <v>0</v>
      </c>
      <c r="AB947" s="11">
        <v>8.42</v>
      </c>
      <c r="AC947" s="11">
        <v>1.04809</v>
      </c>
      <c r="AD947" s="164">
        <v>55.220999999999997</v>
      </c>
      <c r="AE947" s="11">
        <v>7.7</v>
      </c>
      <c r="AF947" s="38">
        <f>(AD947+AE947*0.5)/(3.5*I947*1000)*100</f>
        <v>0.20039691963225562</v>
      </c>
      <c r="AG947" s="38">
        <f t="shared" si="117"/>
        <v>0.2</v>
      </c>
      <c r="AH947" s="38">
        <v>16.38</v>
      </c>
      <c r="AI947" s="38">
        <f>AH947/(3.5*I947*1000)*100</f>
        <v>5.5568748515791959E-2</v>
      </c>
      <c r="AJ947" s="38">
        <v>0</v>
      </c>
      <c r="AK947" s="38">
        <f>AJ947/(3.5*I947*1000)*100</f>
        <v>0</v>
      </c>
      <c r="AL947" s="38">
        <v>1.0034000000000001</v>
      </c>
      <c r="AM947" s="38">
        <f>AL947/(3.5*I947*1000)*100</f>
        <v>3.4040099060284289E-3</v>
      </c>
      <c r="AN947" s="1"/>
      <c r="AO947" s="1"/>
      <c r="AQ947" s="41">
        <f>SUM(N947:Q947)</f>
        <v>8.43</v>
      </c>
      <c r="AR947" s="41">
        <f>SUM(T947:W947)</f>
        <v>8.4200000000000017</v>
      </c>
      <c r="AS947" s="12">
        <f>SUM(Z947:AB947)</f>
        <v>8.42</v>
      </c>
      <c r="AT947" s="178"/>
      <c r="AU947" s="1">
        <f>I947/AQ947</f>
        <v>0.99905100830367743</v>
      </c>
      <c r="AV947" s="1">
        <f>I947/AR947</f>
        <v>1.0002375296912114</v>
      </c>
      <c r="AW947" s="1">
        <f>I947/AS947</f>
        <v>1.0002375296912114</v>
      </c>
    </row>
    <row r="948" spans="1:88" s="22" customFormat="1" ht="24.75" customHeight="1">
      <c r="A948" s="1">
        <v>344</v>
      </c>
      <c r="B948" s="34" t="s">
        <v>470</v>
      </c>
      <c r="C948" s="34">
        <v>639</v>
      </c>
      <c r="D948" s="34">
        <v>2292</v>
      </c>
      <c r="E948" s="34">
        <v>101</v>
      </c>
      <c r="F948" s="34" t="s">
        <v>481</v>
      </c>
      <c r="G948" s="58" t="s">
        <v>279</v>
      </c>
      <c r="H948" s="58" t="s">
        <v>92</v>
      </c>
      <c r="I948" s="35">
        <v>10</v>
      </c>
      <c r="J948" s="62">
        <v>2</v>
      </c>
      <c r="K948" s="34" t="s">
        <v>12</v>
      </c>
      <c r="L948" s="10">
        <v>42157</v>
      </c>
      <c r="M948" s="37" t="s">
        <v>191</v>
      </c>
      <c r="N948" s="38">
        <v>4.9749999999999996</v>
      </c>
      <c r="O948" s="38">
        <v>3.35</v>
      </c>
      <c r="P948" s="38">
        <v>0.97499999999999998</v>
      </c>
      <c r="Q948" s="38">
        <v>0.625</v>
      </c>
      <c r="R948" s="38">
        <v>3.0420600000000002</v>
      </c>
      <c r="S948" s="38">
        <f t="shared" si="115"/>
        <v>3</v>
      </c>
      <c r="T948" s="38">
        <v>9.6</v>
      </c>
      <c r="U948" s="38">
        <v>0.32500000000000001</v>
      </c>
      <c r="V948" s="38">
        <v>0</v>
      </c>
      <c r="W948" s="38">
        <v>0</v>
      </c>
      <c r="X948" s="38">
        <v>4.1389399999999998</v>
      </c>
      <c r="Y948" s="38">
        <f t="shared" si="116"/>
        <v>4</v>
      </c>
      <c r="Z948" s="38">
        <v>0</v>
      </c>
      <c r="AA948" s="38">
        <v>0</v>
      </c>
      <c r="AB948" s="38">
        <f>N948+O948+P948+Q948</f>
        <v>9.9249999999999989</v>
      </c>
      <c r="AC948" s="38">
        <v>1.20076</v>
      </c>
      <c r="AD948" s="39">
        <v>67</v>
      </c>
      <c r="AE948" s="38">
        <v>6</v>
      </c>
      <c r="AF948" s="38">
        <f>(AD948+AE948*0.5)/(3.5*I948*1000)*100</f>
        <v>0.2</v>
      </c>
      <c r="AG948" s="38">
        <f t="shared" si="117"/>
        <v>0.2</v>
      </c>
      <c r="AH948" s="38">
        <v>38.92</v>
      </c>
      <c r="AI948" s="38">
        <f>AH948/(3.5*I948*1000)*100</f>
        <v>0.11120000000000002</v>
      </c>
      <c r="AJ948" s="38">
        <v>0</v>
      </c>
      <c r="AK948" s="38">
        <v>0</v>
      </c>
      <c r="AL948" s="38">
        <v>0</v>
      </c>
      <c r="AM948" s="38">
        <v>0</v>
      </c>
      <c r="AN948" s="25"/>
      <c r="AO948" s="25">
        <f>AE948*0.5</f>
        <v>3</v>
      </c>
      <c r="AP948" s="25">
        <f>(AD948+AH948+AJ948+AL948+AO948)*I948</f>
        <v>1089.2</v>
      </c>
      <c r="AQ948" s="25"/>
      <c r="AR948" s="25"/>
      <c r="AS948" s="25">
        <f>SUM(N948:Q948)</f>
        <v>9.9249999999999989</v>
      </c>
      <c r="AT948" s="49"/>
      <c r="AU948" s="41">
        <f>SUM(N948:Q948)</f>
        <v>9.9249999999999989</v>
      </c>
      <c r="AV948" s="41">
        <f>SUM(T948:W948)</f>
        <v>9.9249999999999989</v>
      </c>
      <c r="AW948" s="41">
        <f>SUM(Z948:AB948)</f>
        <v>9.9249999999999989</v>
      </c>
      <c r="AY948" s="22">
        <f>I948/AU948</f>
        <v>1.0075566750629723</v>
      </c>
      <c r="AZ948" s="22">
        <f>I948/AV948</f>
        <v>1.0075566750629723</v>
      </c>
      <c r="BA948" s="22">
        <f>I948/AW948</f>
        <v>1.0075566750629723</v>
      </c>
    </row>
    <row r="949" spans="1:88" s="22" customFormat="1" ht="24.75" customHeight="1">
      <c r="A949" s="1">
        <v>1657</v>
      </c>
      <c r="B949" s="34" t="s">
        <v>2251</v>
      </c>
      <c r="C949" s="34">
        <v>418</v>
      </c>
      <c r="D949" s="69">
        <v>307</v>
      </c>
      <c r="E949" s="34">
        <v>102</v>
      </c>
      <c r="F949" s="34" t="s">
        <v>2255</v>
      </c>
      <c r="G949" s="58" t="s">
        <v>2256</v>
      </c>
      <c r="H949" s="58" t="s">
        <v>2257</v>
      </c>
      <c r="I949" s="35">
        <v>1.758</v>
      </c>
      <c r="J949" s="34">
        <v>2</v>
      </c>
      <c r="K949" s="34" t="s">
        <v>237</v>
      </c>
      <c r="L949" s="10">
        <v>42245</v>
      </c>
      <c r="M949" s="37" t="s">
        <v>191</v>
      </c>
      <c r="N949" s="55">
        <v>1.05</v>
      </c>
      <c r="O949" s="55">
        <v>0.45</v>
      </c>
      <c r="P949" s="55">
        <v>0.2</v>
      </c>
      <c r="Q949" s="55">
        <v>0.1</v>
      </c>
      <c r="R949" s="55">
        <v>2.6237499999999998</v>
      </c>
      <c r="S949" s="38">
        <f t="shared" si="115"/>
        <v>2.5</v>
      </c>
      <c r="T949" s="38">
        <v>1.8</v>
      </c>
      <c r="U949" s="38">
        <v>0</v>
      </c>
      <c r="V949" s="38">
        <v>0</v>
      </c>
      <c r="W949" s="38">
        <v>0</v>
      </c>
      <c r="X949" s="38">
        <v>4.0245699999999998</v>
      </c>
      <c r="Y949" s="38">
        <f t="shared" si="116"/>
        <v>4</v>
      </c>
      <c r="Z949" s="38">
        <v>0</v>
      </c>
      <c r="AA949" s="38">
        <v>0</v>
      </c>
      <c r="AB949" s="38">
        <f>SUM(N949:Q949)</f>
        <v>1.8</v>
      </c>
      <c r="AC949" s="38">
        <v>1.1184700000000001</v>
      </c>
      <c r="AD949" s="39">
        <v>12.3</v>
      </c>
      <c r="AE949" s="38">
        <v>0</v>
      </c>
      <c r="AF949" s="38">
        <f>(AD949+AE949*0.5)/(3.5*I949*1000)*100</f>
        <v>0.19990248659190638</v>
      </c>
      <c r="AG949" s="38">
        <f t="shared" si="117"/>
        <v>0.2</v>
      </c>
      <c r="AH949" s="38">
        <v>0</v>
      </c>
      <c r="AI949" s="38">
        <f>AH949/(3.5*I949*1000)*100</f>
        <v>0</v>
      </c>
      <c r="AJ949" s="38">
        <v>0</v>
      </c>
      <c r="AK949" s="38">
        <f>AJ949/(3.5*I949*1000)*100</f>
        <v>0</v>
      </c>
      <c r="AL949" s="38">
        <v>0</v>
      </c>
      <c r="AM949" s="38">
        <f>AL949/(3.5*I949*1000)*100</f>
        <v>0</v>
      </c>
      <c r="AN949" s="25"/>
      <c r="AO949" s="25">
        <f>AE949*0.5</f>
        <v>0</v>
      </c>
      <c r="AP949" s="25">
        <f>(AD949+AH949+AJ949+AL949+AO949)*I949</f>
        <v>21.6234</v>
      </c>
      <c r="AQ949" s="25">
        <f>(AD949+AH949+AJ949+AL949)*I949</f>
        <v>21.6234</v>
      </c>
      <c r="AR949" s="25">
        <f>SUM(N949:Q949)</f>
        <v>1.8</v>
      </c>
      <c r="AS949" s="25">
        <f>SUM(T949:W949)</f>
        <v>1.8</v>
      </c>
      <c r="AT949" s="48"/>
      <c r="AU949" s="41"/>
      <c r="AV949" s="41"/>
      <c r="AW949" s="41"/>
      <c r="AX949" s="41"/>
    </row>
    <row r="950" spans="1:88" s="22" customFormat="1" ht="24.75" customHeight="1">
      <c r="A950" s="1">
        <v>842</v>
      </c>
      <c r="B950" s="34" t="s">
        <v>1231</v>
      </c>
      <c r="C950" s="34">
        <v>615</v>
      </c>
      <c r="D950" s="34">
        <v>214</v>
      </c>
      <c r="E950" s="34">
        <v>301</v>
      </c>
      <c r="F950" s="34" t="s">
        <v>1236</v>
      </c>
      <c r="G950" s="58">
        <v>119391</v>
      </c>
      <c r="H950" s="58">
        <v>130855</v>
      </c>
      <c r="I950" s="35">
        <v>11.464</v>
      </c>
      <c r="J950" s="9">
        <v>2</v>
      </c>
      <c r="K950" s="34" t="s">
        <v>238</v>
      </c>
      <c r="L950" s="10">
        <v>42135</v>
      </c>
      <c r="M950" s="37" t="s">
        <v>191</v>
      </c>
      <c r="N950" s="38">
        <v>7.85</v>
      </c>
      <c r="O950" s="38">
        <v>2.4500000000000002</v>
      </c>
      <c r="P950" s="38">
        <v>0.8</v>
      </c>
      <c r="Q950" s="38">
        <v>0.32500000000000001</v>
      </c>
      <c r="R950" s="38">
        <v>2.3706299999999998</v>
      </c>
      <c r="S950" s="38">
        <f t="shared" si="115"/>
        <v>2.5</v>
      </c>
      <c r="T950" s="38">
        <v>11.225</v>
      </c>
      <c r="U950" s="38">
        <v>0.17499999999999999</v>
      </c>
      <c r="V950" s="38">
        <v>0</v>
      </c>
      <c r="W950" s="38">
        <v>2.5000000000000001E-2</v>
      </c>
      <c r="X950" s="38">
        <v>3.18404</v>
      </c>
      <c r="Y950" s="38">
        <f t="shared" si="116"/>
        <v>3</v>
      </c>
      <c r="Z950" s="38">
        <v>0.05</v>
      </c>
      <c r="AA950" s="38">
        <v>2.5000000000000001E-2</v>
      </c>
      <c r="AB950" s="38">
        <v>11.375</v>
      </c>
      <c r="AC950" s="38">
        <v>1.3342700000000001</v>
      </c>
      <c r="AD950" s="39">
        <v>29.4</v>
      </c>
      <c r="AE950" s="38">
        <v>99.79</v>
      </c>
      <c r="AF950" s="38">
        <v>0.19761999999999999</v>
      </c>
      <c r="AG950" s="38">
        <f t="shared" si="117"/>
        <v>0.2</v>
      </c>
      <c r="AH950" s="38">
        <v>27.74</v>
      </c>
      <c r="AI950" s="38">
        <v>6.9139999999999993E-2</v>
      </c>
      <c r="AJ950" s="38">
        <v>108.97</v>
      </c>
      <c r="AK950" s="38">
        <v>0.27158300000000002</v>
      </c>
      <c r="AL950" s="38">
        <v>14.96</v>
      </c>
      <c r="AM950" s="38">
        <v>3.7280000000000001E-2</v>
      </c>
      <c r="AN950" s="25"/>
      <c r="AO950" s="25">
        <f>AE950*0.5</f>
        <v>49.895000000000003</v>
      </c>
      <c r="AP950" s="25">
        <f>(AD950+AH950+AJ950+AL950+AO950)*I950</f>
        <v>2647.7827600000005</v>
      </c>
      <c r="AQ950" s="25">
        <f>SUM(N950:Q950)</f>
        <v>11.425000000000001</v>
      </c>
      <c r="AR950" s="25">
        <f>SUM(T950:W950)</f>
        <v>11.425000000000001</v>
      </c>
      <c r="AS950" s="268">
        <v>11.464</v>
      </c>
      <c r="AT950" s="49"/>
      <c r="AU950" s="41"/>
      <c r="AV950" s="41"/>
      <c r="AW950" s="41"/>
    </row>
    <row r="951" spans="1:88" s="22" customFormat="1" ht="24.75" customHeight="1">
      <c r="A951" s="1">
        <v>506</v>
      </c>
      <c r="B951" s="88" t="s">
        <v>821</v>
      </c>
      <c r="C951" s="88">
        <v>519</v>
      </c>
      <c r="D951" s="88">
        <v>1312</v>
      </c>
      <c r="E951" s="88">
        <v>100</v>
      </c>
      <c r="F951" s="88" t="s">
        <v>863</v>
      </c>
      <c r="G951" s="88" t="s">
        <v>92</v>
      </c>
      <c r="H951" s="88" t="s">
        <v>864</v>
      </c>
      <c r="I951" s="115">
        <v>9.15</v>
      </c>
      <c r="J951" s="88" t="s">
        <v>238</v>
      </c>
      <c r="K951" s="34">
        <v>2</v>
      </c>
      <c r="L951" s="10">
        <v>42276</v>
      </c>
      <c r="M951" s="37" t="s">
        <v>191</v>
      </c>
      <c r="N951" s="38">
        <v>2.54</v>
      </c>
      <c r="O951" s="38">
        <v>3.12</v>
      </c>
      <c r="P951" s="38">
        <v>3.12</v>
      </c>
      <c r="Q951" s="38">
        <v>0.35</v>
      </c>
      <c r="R951" s="38">
        <v>3.4831599999999998</v>
      </c>
      <c r="S951" s="38">
        <f t="shared" si="115"/>
        <v>3.5</v>
      </c>
      <c r="T951" s="38">
        <v>9.1199999999999992</v>
      </c>
      <c r="U951" s="38">
        <v>0</v>
      </c>
      <c r="V951" s="38">
        <v>0</v>
      </c>
      <c r="W951" s="38">
        <v>0</v>
      </c>
      <c r="X951" s="38">
        <v>4.0016400000000001</v>
      </c>
      <c r="Y951" s="38">
        <f t="shared" si="116"/>
        <v>4</v>
      </c>
      <c r="Z951" s="38">
        <v>0</v>
      </c>
      <c r="AA951" s="117">
        <v>0</v>
      </c>
      <c r="AB951" s="117">
        <v>15.45</v>
      </c>
      <c r="AC951" s="117">
        <v>1.27704</v>
      </c>
      <c r="AD951" s="254">
        <v>63.23</v>
      </c>
      <c r="AE951" s="117">
        <v>0</v>
      </c>
      <c r="AF951" s="117">
        <v>0.19744</v>
      </c>
      <c r="AG951" s="38">
        <f t="shared" si="117"/>
        <v>0.2</v>
      </c>
      <c r="AH951" s="117">
        <v>69.245000000000005</v>
      </c>
      <c r="AI951" s="117">
        <v>0.216222</v>
      </c>
      <c r="AJ951" s="117">
        <v>0</v>
      </c>
      <c r="AK951" s="117">
        <v>0</v>
      </c>
      <c r="AL951" s="117">
        <v>0</v>
      </c>
      <c r="AM951" s="117">
        <v>0</v>
      </c>
      <c r="AN951" s="41"/>
      <c r="AO951" s="41"/>
      <c r="AP951" s="41"/>
      <c r="AQ951" s="41">
        <f>SUM(N951:Q951)</f>
        <v>9.1300000000000008</v>
      </c>
      <c r="AR951" s="41">
        <f>SUM(T951:W951)</f>
        <v>9.1199999999999992</v>
      </c>
      <c r="AS951" s="41">
        <f>SUM(Z951:AB951)</f>
        <v>15.45</v>
      </c>
      <c r="AT951" s="48"/>
      <c r="AU951" s="22">
        <f>I951/AQ951</f>
        <v>1.0021905805038334</v>
      </c>
      <c r="AV951" s="22">
        <f>I951/AR951</f>
        <v>1.0032894736842106</v>
      </c>
      <c r="AW951" s="22">
        <f>I951/AS951</f>
        <v>0.59223300970873793</v>
      </c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</row>
    <row r="952" spans="1:88" s="22" customFormat="1" ht="24.75" customHeight="1">
      <c r="A952" s="1">
        <v>29</v>
      </c>
      <c r="B952" s="4" t="s">
        <v>21</v>
      </c>
      <c r="C952" s="14">
        <v>522</v>
      </c>
      <c r="D952" s="19">
        <v>1001</v>
      </c>
      <c r="E952" s="16">
        <v>100</v>
      </c>
      <c r="F952" s="16" t="s">
        <v>25</v>
      </c>
      <c r="G952" s="20" t="s">
        <v>95</v>
      </c>
      <c r="H952" s="20" t="s">
        <v>92</v>
      </c>
      <c r="I952" s="21">
        <v>34.14</v>
      </c>
      <c r="J952" s="8">
        <v>2</v>
      </c>
      <c r="K952" s="9" t="s">
        <v>12</v>
      </c>
      <c r="L952" s="24">
        <v>42235</v>
      </c>
      <c r="M952" s="37" t="s">
        <v>191</v>
      </c>
      <c r="N952" s="11">
        <v>18.975000000000001</v>
      </c>
      <c r="O952" s="11">
        <v>9.5749999999999993</v>
      </c>
      <c r="P952" s="11">
        <v>3.9249999999999998</v>
      </c>
      <c r="Q952" s="11">
        <v>1.7</v>
      </c>
      <c r="R952" s="11">
        <v>2.6682000000000001</v>
      </c>
      <c r="S952" s="38">
        <f t="shared" si="115"/>
        <v>2.5</v>
      </c>
      <c r="T952" s="11">
        <v>33.950000000000003</v>
      </c>
      <c r="U952" s="11">
        <v>0.17499999999999999</v>
      </c>
      <c r="V952" s="11">
        <v>0.05</v>
      </c>
      <c r="W952" s="11">
        <v>0</v>
      </c>
      <c r="X952" s="11">
        <v>2.6717200000000001</v>
      </c>
      <c r="Y952" s="38">
        <f t="shared" si="116"/>
        <v>2.5</v>
      </c>
      <c r="Z952" s="11">
        <v>0</v>
      </c>
      <c r="AA952" s="11">
        <v>0</v>
      </c>
      <c r="AB952" s="11">
        <f>SUM(N952:Q952)</f>
        <v>34.175000000000004</v>
      </c>
      <c r="AC952" s="11">
        <v>1.0325500000000001</v>
      </c>
      <c r="AD952" s="164">
        <v>223.34</v>
      </c>
      <c r="AE952" s="11">
        <v>23.17</v>
      </c>
      <c r="AF952" s="11">
        <f>(AD952+AE952*0.5)/(3.5*I952*1000)*100</f>
        <v>0.19660641057829106</v>
      </c>
      <c r="AG952" s="38">
        <f t="shared" si="117"/>
        <v>0.2</v>
      </c>
      <c r="AH952" s="11">
        <v>0</v>
      </c>
      <c r="AI952" s="11">
        <f>AH952/(3.5*I952*1000)*100</f>
        <v>0</v>
      </c>
      <c r="AJ952" s="11">
        <v>28</v>
      </c>
      <c r="AK952" s="11">
        <f>AJ952/(3.5*I952*1000)*100</f>
        <v>2.343292325717633E-2</v>
      </c>
      <c r="AL952" s="11">
        <v>0</v>
      </c>
      <c r="AM952" s="11">
        <f>AL952/(3.5*I952*1000)*100</f>
        <v>0</v>
      </c>
      <c r="AO952" s="25"/>
      <c r="AP952" s="25"/>
      <c r="AT952" s="48"/>
    </row>
    <row r="953" spans="1:88" s="22" customFormat="1" ht="24.75" customHeight="1">
      <c r="A953" s="1">
        <v>1216</v>
      </c>
      <c r="B953" s="34" t="s">
        <v>1674</v>
      </c>
      <c r="C953" s="34">
        <v>435</v>
      </c>
      <c r="D953" s="34">
        <v>2321</v>
      </c>
      <c r="E953" s="34">
        <v>100</v>
      </c>
      <c r="F953" s="34" t="s">
        <v>1714</v>
      </c>
      <c r="G953" s="34" t="s">
        <v>92</v>
      </c>
      <c r="H953" s="34" t="s">
        <v>1534</v>
      </c>
      <c r="I953" s="55">
        <v>34.301000000000002</v>
      </c>
      <c r="J953" s="34">
        <v>2</v>
      </c>
      <c r="K953" s="181" t="s">
        <v>238</v>
      </c>
      <c r="L953" s="10">
        <v>42282</v>
      </c>
      <c r="M953" s="37" t="s">
        <v>191</v>
      </c>
      <c r="N953" s="38">
        <v>18.05</v>
      </c>
      <c r="O953" s="38">
        <v>11.025</v>
      </c>
      <c r="P953" s="38">
        <v>3.85</v>
      </c>
      <c r="Q953" s="38">
        <v>1.8</v>
      </c>
      <c r="R953" s="38">
        <v>2.8064900000000002</v>
      </c>
      <c r="S953" s="38">
        <f t="shared" si="115"/>
        <v>3</v>
      </c>
      <c r="T953" s="38">
        <v>30.875</v>
      </c>
      <c r="U953" s="38">
        <v>2.9</v>
      </c>
      <c r="V953" s="38">
        <v>0.82499999999999996</v>
      </c>
      <c r="W953" s="38">
        <v>0.125</v>
      </c>
      <c r="X953" s="38">
        <v>4.8523800000000001</v>
      </c>
      <c r="Y953" s="38">
        <f t="shared" si="116"/>
        <v>5</v>
      </c>
      <c r="Z953" s="38">
        <v>0</v>
      </c>
      <c r="AA953" s="38">
        <v>0</v>
      </c>
      <c r="AB953" s="55">
        <v>34.301000000000002</v>
      </c>
      <c r="AC953" s="38">
        <v>1.40696</v>
      </c>
      <c r="AD953" s="39">
        <v>226.98</v>
      </c>
      <c r="AE953" s="38">
        <v>17.8</v>
      </c>
      <c r="AF953" s="38">
        <f>(AD953+AE953*0.5)/(3.5*I953*1000)*100</f>
        <v>0.19647906974807061</v>
      </c>
      <c r="AG953" s="38">
        <f t="shared" si="117"/>
        <v>0.2</v>
      </c>
      <c r="AH953" s="38">
        <v>154.69</v>
      </c>
      <c r="AI953" s="38">
        <v>0.12885099999999999</v>
      </c>
      <c r="AJ953" s="38">
        <v>0</v>
      </c>
      <c r="AK953" s="38">
        <v>0</v>
      </c>
      <c r="AL953" s="38">
        <v>1.2014</v>
      </c>
      <c r="AM953" s="38">
        <v>1.0009999999999999E-3</v>
      </c>
      <c r="AN953" s="12"/>
      <c r="AO953" s="1"/>
      <c r="AP953" s="1"/>
      <c r="AQ953" s="1"/>
      <c r="AR953" s="1"/>
      <c r="AS953" s="1"/>
      <c r="AT953" s="178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</row>
    <row r="954" spans="1:88" s="22" customFormat="1" ht="24.75" customHeight="1">
      <c r="A954" s="1">
        <v>1728</v>
      </c>
      <c r="B954" s="34" t="s">
        <v>2324</v>
      </c>
      <c r="C954" s="34">
        <v>423</v>
      </c>
      <c r="D954" s="8">
        <v>317</v>
      </c>
      <c r="E954" s="88">
        <v>101</v>
      </c>
      <c r="F954" s="34" t="s">
        <v>2325</v>
      </c>
      <c r="G954" s="58">
        <v>0</v>
      </c>
      <c r="H954" s="58">
        <v>10000</v>
      </c>
      <c r="I954" s="35">
        <v>10</v>
      </c>
      <c r="J954" s="9">
        <v>4</v>
      </c>
      <c r="K954" s="88" t="s">
        <v>237</v>
      </c>
      <c r="L954" s="116">
        <v>42234</v>
      </c>
      <c r="M954" s="37" t="s">
        <v>191</v>
      </c>
      <c r="N954" s="117">
        <v>7.5750000000000002</v>
      </c>
      <c r="O954" s="117">
        <v>1.7</v>
      </c>
      <c r="P954" s="117">
        <v>0.5</v>
      </c>
      <c r="Q954" s="117">
        <v>0.27500000000000002</v>
      </c>
      <c r="R954" s="117">
        <v>2.78268</v>
      </c>
      <c r="S954" s="38">
        <f t="shared" si="115"/>
        <v>3</v>
      </c>
      <c r="T954" s="117">
        <v>9.625</v>
      </c>
      <c r="U954" s="117">
        <v>0.375</v>
      </c>
      <c r="V954" s="117">
        <v>0.05</v>
      </c>
      <c r="W954" s="117">
        <v>0</v>
      </c>
      <c r="X954" s="117">
        <v>6.9831500000000002</v>
      </c>
      <c r="Y954" s="38">
        <f t="shared" si="116"/>
        <v>7</v>
      </c>
      <c r="Z954" s="117">
        <v>0</v>
      </c>
      <c r="AA954" s="117">
        <v>0</v>
      </c>
      <c r="AB954" s="35">
        <v>10</v>
      </c>
      <c r="AC954" s="117">
        <v>1.1054999999999999</v>
      </c>
      <c r="AD954" s="39">
        <v>68.64</v>
      </c>
      <c r="AE954" s="38">
        <v>0</v>
      </c>
      <c r="AF954" s="38">
        <f>(AD954+AE954*0.5)/(3.5*I954*1000)*100</f>
        <v>0.19611428571428571</v>
      </c>
      <c r="AG954" s="38">
        <f t="shared" si="117"/>
        <v>0.2</v>
      </c>
      <c r="AH954" s="38">
        <v>0</v>
      </c>
      <c r="AI954" s="38">
        <f>AH954/(3.5*I954*1000)*100</f>
        <v>0</v>
      </c>
      <c r="AJ954" s="38">
        <v>104</v>
      </c>
      <c r="AK954" s="38">
        <f>AJ954/(3.5*I954*1000)*100</f>
        <v>0.29714285714285715</v>
      </c>
      <c r="AL954" s="38">
        <v>0</v>
      </c>
      <c r="AM954" s="38">
        <v>0</v>
      </c>
      <c r="AN954" s="12"/>
      <c r="AO954" s="12">
        <f>AE954*0.5</f>
        <v>0</v>
      </c>
      <c r="AP954" s="12">
        <f>(AD954+AH954+AJ954+AL954+AO954)*I954</f>
        <v>1726.3999999999999</v>
      </c>
      <c r="AQ954" s="136">
        <f>SUM(N954:Q954)</f>
        <v>10.050000000000001</v>
      </c>
      <c r="AR954" s="136">
        <f>SUM(T954:W954)</f>
        <v>10.050000000000001</v>
      </c>
      <c r="AS954" s="1"/>
      <c r="AT954" s="49"/>
      <c r="AU954" s="41"/>
      <c r="AV954" s="41"/>
      <c r="AW954" s="4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</row>
    <row r="955" spans="1:88" s="22" customFormat="1" ht="24.75" customHeight="1">
      <c r="A955" s="1">
        <v>1837</v>
      </c>
      <c r="B955" s="34" t="s">
        <v>2461</v>
      </c>
      <c r="C955" s="34">
        <v>332</v>
      </c>
      <c r="D955" s="75">
        <v>327</v>
      </c>
      <c r="E955" s="69">
        <v>100</v>
      </c>
      <c r="F955" s="9" t="s">
        <v>2462</v>
      </c>
      <c r="G955" s="20">
        <v>0</v>
      </c>
      <c r="H955" s="20">
        <v>7833</v>
      </c>
      <c r="I955" s="21">
        <v>7.8330000000000002</v>
      </c>
      <c r="J955" s="8">
        <v>6</v>
      </c>
      <c r="K955" s="8" t="s">
        <v>1520</v>
      </c>
      <c r="L955" s="18">
        <v>42101</v>
      </c>
      <c r="M955" s="247" t="s">
        <v>191</v>
      </c>
      <c r="N955" s="38">
        <v>5.45</v>
      </c>
      <c r="O955" s="38">
        <v>1.2</v>
      </c>
      <c r="P955" s="38">
        <v>0.57499999999999996</v>
      </c>
      <c r="Q955" s="38">
        <v>0.52500000000000002</v>
      </c>
      <c r="R955" s="38">
        <v>2.4268100000000001</v>
      </c>
      <c r="S955" s="38">
        <f t="shared" si="115"/>
        <v>2.5</v>
      </c>
      <c r="T955" s="38">
        <v>7.6</v>
      </c>
      <c r="U955" s="38">
        <v>0.05</v>
      </c>
      <c r="V955" s="38">
        <v>2.5000000000000001E-2</v>
      </c>
      <c r="W955" s="38">
        <v>7.4999999999999997E-2</v>
      </c>
      <c r="X955" s="38">
        <v>3.3525999999999998</v>
      </c>
      <c r="Y955" s="38">
        <f t="shared" si="116"/>
        <v>3.5</v>
      </c>
      <c r="Z955" s="38">
        <v>0</v>
      </c>
      <c r="AA955" s="11">
        <v>0</v>
      </c>
      <c r="AB955" s="11">
        <v>7.7500000000000009</v>
      </c>
      <c r="AC955" s="38">
        <v>1.1763699999999999</v>
      </c>
      <c r="AD955" s="164">
        <v>53.68</v>
      </c>
      <c r="AE955" s="11">
        <v>0</v>
      </c>
      <c r="AF955" s="38">
        <v>0.19580164505480499</v>
      </c>
      <c r="AG955" s="38">
        <f t="shared" si="117"/>
        <v>0.2</v>
      </c>
      <c r="AH955" s="38">
        <v>2.33</v>
      </c>
      <c r="AI955" s="38">
        <v>8.4988418960077299E-3</v>
      </c>
      <c r="AJ955" s="38">
        <v>1.69</v>
      </c>
      <c r="AK955" s="38">
        <v>6.1643960533275003E-3</v>
      </c>
      <c r="AL955" s="38">
        <v>0</v>
      </c>
      <c r="AM955" s="38">
        <f>AL955/(3.5*I955*1000)*100</f>
        <v>0</v>
      </c>
      <c r="AN955" s="73"/>
      <c r="AO955" s="73"/>
      <c r="AP955" s="73"/>
      <c r="AQ955" s="73"/>
      <c r="AR955" s="73"/>
      <c r="AS955" s="73"/>
      <c r="AT955" s="48"/>
      <c r="AU955" s="73"/>
      <c r="AV955" s="73"/>
      <c r="AW955" s="73"/>
      <c r="AX955" s="73"/>
      <c r="AY955" s="73"/>
      <c r="AZ955" s="73"/>
      <c r="BA955" s="73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</row>
    <row r="956" spans="1:88" s="22" customFormat="1" ht="24.75" customHeight="1">
      <c r="A956" s="1">
        <v>2088</v>
      </c>
      <c r="B956" s="34" t="s">
        <v>2732</v>
      </c>
      <c r="C956" s="34">
        <v>323</v>
      </c>
      <c r="D956" s="75">
        <v>4037</v>
      </c>
      <c r="E956" s="8">
        <v>100</v>
      </c>
      <c r="F956" s="9" t="s">
        <v>2735</v>
      </c>
      <c r="G956" s="20">
        <v>0</v>
      </c>
      <c r="H956" s="20">
        <v>33450</v>
      </c>
      <c r="I956" s="21">
        <v>33.450000000000003</v>
      </c>
      <c r="J956" s="9">
        <v>2</v>
      </c>
      <c r="K956" s="34" t="s">
        <v>238</v>
      </c>
      <c r="L956" s="18">
        <v>42132</v>
      </c>
      <c r="M956" s="37" t="s">
        <v>191</v>
      </c>
      <c r="N956" s="38">
        <v>27.18</v>
      </c>
      <c r="O956" s="38">
        <v>4.67</v>
      </c>
      <c r="P956" s="38">
        <v>1.25</v>
      </c>
      <c r="Q956" s="38">
        <v>0.35</v>
      </c>
      <c r="R956" s="38">
        <v>1.9648600000000001</v>
      </c>
      <c r="S956" s="38">
        <f t="shared" si="115"/>
        <v>2</v>
      </c>
      <c r="T956" s="38">
        <v>32.6</v>
      </c>
      <c r="U956" s="38">
        <v>0.8</v>
      </c>
      <c r="V956" s="38">
        <v>0.03</v>
      </c>
      <c r="W956" s="38">
        <v>0.03</v>
      </c>
      <c r="X956" s="38">
        <v>3.3094100000000002</v>
      </c>
      <c r="Y956" s="38">
        <f t="shared" si="116"/>
        <v>3.5</v>
      </c>
      <c r="Z956" s="38">
        <v>0</v>
      </c>
      <c r="AA956" s="38">
        <v>0</v>
      </c>
      <c r="AB956" s="38">
        <v>33.450000000000003</v>
      </c>
      <c r="AC956" s="38">
        <v>1.4138599999999999</v>
      </c>
      <c r="AD956" s="39">
        <v>228.35</v>
      </c>
      <c r="AE956" s="38">
        <v>1.69</v>
      </c>
      <c r="AF956" s="38">
        <f>(AD956+AE956*0.5)/(3.5*I956*1000)*100</f>
        <v>0.19576767029681827</v>
      </c>
      <c r="AG956" s="38">
        <f t="shared" si="117"/>
        <v>0.2</v>
      </c>
      <c r="AH956" s="38">
        <v>159.69</v>
      </c>
      <c r="AI956" s="38">
        <f>AH956/(3.5*I956*1000)*100</f>
        <v>0.13639974375400382</v>
      </c>
      <c r="AJ956" s="38">
        <v>0</v>
      </c>
      <c r="AK956" s="38">
        <v>0</v>
      </c>
      <c r="AL956" s="38">
        <v>5.96</v>
      </c>
      <c r="AM956" s="38">
        <f>AL956/(3.5*I956*1000)*100</f>
        <v>5.0907537903053593E-3</v>
      </c>
      <c r="AN956" s="25"/>
      <c r="AO956" s="25"/>
      <c r="AQ956" s="41">
        <f>SUM(N956:Q956)</f>
        <v>33.450000000000003</v>
      </c>
      <c r="AR956" s="41">
        <f>SUM(T956:W956)</f>
        <v>33.46</v>
      </c>
      <c r="AS956" s="12">
        <f>SUM(Z956:AB956)</f>
        <v>33.450000000000003</v>
      </c>
      <c r="AT956" s="178"/>
      <c r="AU956" s="1">
        <f>I956/AQ956</f>
        <v>1</v>
      </c>
      <c r="AV956" s="1">
        <f>I956/AR956</f>
        <v>0.99970113568439933</v>
      </c>
      <c r="AW956" s="1">
        <f>I956/AS956</f>
        <v>1</v>
      </c>
    </row>
    <row r="957" spans="1:88" s="22" customFormat="1" ht="24.75" customHeight="1">
      <c r="A957" s="1">
        <v>1550</v>
      </c>
      <c r="B957" s="34" t="s">
        <v>2121</v>
      </c>
      <c r="C957" s="34">
        <v>415</v>
      </c>
      <c r="D957" s="69">
        <v>3415</v>
      </c>
      <c r="E957" s="34">
        <v>100</v>
      </c>
      <c r="F957" s="34" t="s">
        <v>2132</v>
      </c>
      <c r="G957" s="58" t="s">
        <v>2133</v>
      </c>
      <c r="H957" s="58" t="s">
        <v>92</v>
      </c>
      <c r="I957" s="51">
        <v>5.1529999999999996</v>
      </c>
      <c r="J957" s="34">
        <v>2</v>
      </c>
      <c r="K957" s="34" t="s">
        <v>12</v>
      </c>
      <c r="L957" s="10">
        <v>42242</v>
      </c>
      <c r="M957" s="37" t="s">
        <v>191</v>
      </c>
      <c r="N957" s="38">
        <v>0.625</v>
      </c>
      <c r="O957" s="38">
        <v>0.625</v>
      </c>
      <c r="P957" s="38">
        <v>2.8250000000000002</v>
      </c>
      <c r="Q957" s="38">
        <v>1.1499999999999999</v>
      </c>
      <c r="R957" s="38">
        <v>3.8209</v>
      </c>
      <c r="S957" s="38">
        <f t="shared" si="115"/>
        <v>4</v>
      </c>
      <c r="T957" s="38">
        <v>5.2249999999999996</v>
      </c>
      <c r="U957" s="38">
        <v>0</v>
      </c>
      <c r="V957" s="38">
        <v>0</v>
      </c>
      <c r="W957" s="38">
        <v>0</v>
      </c>
      <c r="X957" s="38">
        <v>3.0007799999999998</v>
      </c>
      <c r="Y957" s="38">
        <f t="shared" si="116"/>
        <v>3</v>
      </c>
      <c r="Z957" s="117">
        <v>0</v>
      </c>
      <c r="AA957" s="117">
        <v>0</v>
      </c>
      <c r="AB957" s="117">
        <f>SUM(N957:Q957)</f>
        <v>5.2249999999999996</v>
      </c>
      <c r="AC957" s="38">
        <v>1.3491899999999999</v>
      </c>
      <c r="AD957" s="39">
        <v>0</v>
      </c>
      <c r="AE957" s="38">
        <v>70.52</v>
      </c>
      <c r="AF957" s="38">
        <v>0.19550000000000001</v>
      </c>
      <c r="AG957" s="38">
        <f t="shared" si="117"/>
        <v>0.2</v>
      </c>
      <c r="AH957" s="38">
        <v>0</v>
      </c>
      <c r="AI957" s="38">
        <v>0</v>
      </c>
      <c r="AJ957" s="38">
        <v>10.97</v>
      </c>
      <c r="AK957" s="38">
        <v>6.0824000000000003E-2</v>
      </c>
      <c r="AL957" s="38">
        <v>0</v>
      </c>
      <c r="AM957" s="38">
        <v>0</v>
      </c>
      <c r="AN957" s="25"/>
      <c r="AO957" s="12">
        <f>AE957*0.5</f>
        <v>35.26</v>
      </c>
      <c r="AP957" s="12">
        <f>(AD957+AH957+AJ957+AL957+AO957)*I957</f>
        <v>238.22318999999996</v>
      </c>
      <c r="AQ957" s="25">
        <f>SUM(N957:Q957)</f>
        <v>5.2249999999999996</v>
      </c>
      <c r="AR957" s="25">
        <f>SUM(T957:W957)</f>
        <v>5.2249999999999996</v>
      </c>
      <c r="AS957" s="25"/>
      <c r="AT957" s="48"/>
      <c r="AU957" s="41"/>
      <c r="AV957" s="41"/>
      <c r="AW957" s="41"/>
      <c r="AX957" s="41"/>
    </row>
    <row r="958" spans="1:88" s="22" customFormat="1" ht="24.75" customHeight="1">
      <c r="A958" s="1">
        <v>583</v>
      </c>
      <c r="B958" s="34" t="s">
        <v>976</v>
      </c>
      <c r="C958" s="34">
        <v>552</v>
      </c>
      <c r="D958" s="34">
        <v>2244</v>
      </c>
      <c r="E958" s="34">
        <v>100</v>
      </c>
      <c r="F958" s="9" t="s">
        <v>984</v>
      </c>
      <c r="G958" s="118">
        <v>0</v>
      </c>
      <c r="H958" s="118">
        <v>14500</v>
      </c>
      <c r="I958" s="35">
        <v>14.5</v>
      </c>
      <c r="J958" s="71">
        <v>2</v>
      </c>
      <c r="K958" s="34" t="s">
        <v>238</v>
      </c>
      <c r="L958" s="10">
        <v>42194</v>
      </c>
      <c r="M958" s="37" t="s">
        <v>191</v>
      </c>
      <c r="N958" s="38">
        <v>9.5</v>
      </c>
      <c r="O958" s="38">
        <v>2.4</v>
      </c>
      <c r="P958" s="38">
        <v>1.3</v>
      </c>
      <c r="Q958" s="38">
        <v>1.325</v>
      </c>
      <c r="R958" s="38">
        <v>2.2729400000000002</v>
      </c>
      <c r="S958" s="38">
        <f t="shared" si="115"/>
        <v>2.5</v>
      </c>
      <c r="T958" s="38">
        <v>14.225</v>
      </c>
      <c r="U958" s="38">
        <v>0.17499999999999999</v>
      </c>
      <c r="V958" s="38">
        <v>7.4999999999999997E-2</v>
      </c>
      <c r="W958" s="38">
        <v>0.05</v>
      </c>
      <c r="X958" s="38">
        <v>3.2328399999999999</v>
      </c>
      <c r="Y958" s="38">
        <f t="shared" si="116"/>
        <v>3</v>
      </c>
      <c r="Z958" s="38">
        <v>0</v>
      </c>
      <c r="AA958" s="38">
        <v>0</v>
      </c>
      <c r="AB958" s="38">
        <f>N958+O958+P958+Q958</f>
        <v>14.525</v>
      </c>
      <c r="AC958" s="38">
        <v>1.3307599999999999</v>
      </c>
      <c r="AD958" s="39">
        <v>94</v>
      </c>
      <c r="AE958" s="38">
        <v>10.07</v>
      </c>
      <c r="AF958" s="38">
        <f>(AD958+AE958*0.5)/(3.5*I958*1000)*100</f>
        <v>0.19514285714285715</v>
      </c>
      <c r="AG958" s="38">
        <f t="shared" si="117"/>
        <v>0.2</v>
      </c>
      <c r="AH958" s="38">
        <v>0</v>
      </c>
      <c r="AI958" s="38">
        <f>AH958/(3.5*I958*1000)*100</f>
        <v>0</v>
      </c>
      <c r="AJ958" s="38">
        <v>0</v>
      </c>
      <c r="AK958" s="38">
        <f>AJ958/(3.5*I958*1000)*100</f>
        <v>0</v>
      </c>
      <c r="AL958" s="38">
        <v>21</v>
      </c>
      <c r="AM958" s="38">
        <f t="shared" ref="AM958:AM963" si="125">AL958/(3.5*I958*1000)*100</f>
        <v>4.1379310344827586E-2</v>
      </c>
      <c r="AN958" s="25"/>
      <c r="AO958" s="25">
        <f>AE958*0.5</f>
        <v>5.0350000000000001</v>
      </c>
      <c r="AP958" s="25">
        <f>(AD958+AH958+AJ958+AL958+AO958)*I958</f>
        <v>1740.5074999999999</v>
      </c>
      <c r="AQ958" s="25">
        <f>SUM(N958:Q958)</f>
        <v>14.525</v>
      </c>
      <c r="AR958" s="25">
        <f>SUM(T958:W958)</f>
        <v>14.525</v>
      </c>
      <c r="AS958" s="268">
        <v>14.5</v>
      </c>
      <c r="AT958" s="49"/>
      <c r="AU958" s="41"/>
      <c r="AV958" s="41"/>
      <c r="AW958" s="41"/>
    </row>
    <row r="959" spans="1:88" s="22" customFormat="1" ht="24.75" customHeight="1">
      <c r="A959" s="1">
        <v>1862</v>
      </c>
      <c r="B959" s="34" t="s">
        <v>2485</v>
      </c>
      <c r="C959" s="34">
        <v>333</v>
      </c>
      <c r="D959" s="75">
        <v>3325</v>
      </c>
      <c r="E959" s="8">
        <v>100</v>
      </c>
      <c r="F959" s="9" t="s">
        <v>2491</v>
      </c>
      <c r="G959" s="20">
        <v>30</v>
      </c>
      <c r="H959" s="20">
        <v>4200</v>
      </c>
      <c r="I959" s="21">
        <v>4.17</v>
      </c>
      <c r="J959" s="34">
        <v>2</v>
      </c>
      <c r="K959" s="34" t="s">
        <v>238</v>
      </c>
      <c r="L959" s="18">
        <v>42098</v>
      </c>
      <c r="M959" s="247" t="s">
        <v>191</v>
      </c>
      <c r="N959" s="38">
        <v>2.8250000000000002</v>
      </c>
      <c r="O959" s="38">
        <v>0.625</v>
      </c>
      <c r="P959" s="38">
        <v>0.25</v>
      </c>
      <c r="Q959" s="38">
        <v>0.375</v>
      </c>
      <c r="R959" s="38">
        <v>2.6642299999999999</v>
      </c>
      <c r="S959" s="38">
        <f t="shared" si="115"/>
        <v>2.5</v>
      </c>
      <c r="T959" s="38">
        <v>4.0750000000000002</v>
      </c>
      <c r="U959" s="38">
        <v>0</v>
      </c>
      <c r="V959" s="38">
        <v>0</v>
      </c>
      <c r="W959" s="38">
        <v>0</v>
      </c>
      <c r="X959" s="38">
        <v>1.32847</v>
      </c>
      <c r="Y959" s="38">
        <f t="shared" si="116"/>
        <v>1.5</v>
      </c>
      <c r="Z959" s="38">
        <v>0</v>
      </c>
      <c r="AA959" s="38">
        <v>0</v>
      </c>
      <c r="AB959" s="38">
        <v>4.0750000000000002</v>
      </c>
      <c r="AC959" s="38">
        <v>1.2083699999999999</v>
      </c>
      <c r="AD959" s="39">
        <v>0</v>
      </c>
      <c r="AE959" s="38">
        <v>56.88</v>
      </c>
      <c r="AF959" s="38">
        <v>0.19486125385405964</v>
      </c>
      <c r="AG959" s="38">
        <f t="shared" si="117"/>
        <v>0.2</v>
      </c>
      <c r="AH959" s="38">
        <v>0</v>
      </c>
      <c r="AI959" s="38">
        <v>0</v>
      </c>
      <c r="AJ959" s="38">
        <v>0</v>
      </c>
      <c r="AK959" s="38">
        <v>0</v>
      </c>
      <c r="AL959" s="38">
        <v>0</v>
      </c>
      <c r="AM959" s="38">
        <f t="shared" si="125"/>
        <v>0</v>
      </c>
      <c r="AN959" s="1"/>
      <c r="AO959" s="1"/>
      <c r="AP959" s="1"/>
      <c r="AQ959" s="1"/>
      <c r="AR959" s="1"/>
      <c r="AS959" s="1"/>
      <c r="AT959" s="178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</row>
    <row r="960" spans="1:88" s="22" customFormat="1" ht="24.75" customHeight="1">
      <c r="A960" s="1">
        <v>166</v>
      </c>
      <c r="B960" s="34" t="s">
        <v>332</v>
      </c>
      <c r="C960" s="34">
        <v>533</v>
      </c>
      <c r="D960" s="34">
        <v>1</v>
      </c>
      <c r="E960" s="34">
        <v>1404</v>
      </c>
      <c r="F960" s="34" t="s">
        <v>341</v>
      </c>
      <c r="G960" s="50" t="s">
        <v>340</v>
      </c>
      <c r="H960" s="50" t="s">
        <v>342</v>
      </c>
      <c r="I960" s="35">
        <v>25.247</v>
      </c>
      <c r="J960" s="33">
        <v>4</v>
      </c>
      <c r="K960" s="34" t="s">
        <v>237</v>
      </c>
      <c r="L960" s="10">
        <v>42202</v>
      </c>
      <c r="M960" s="37" t="s">
        <v>191</v>
      </c>
      <c r="N960" s="38">
        <v>17.989999999999998</v>
      </c>
      <c r="O960" s="38">
        <v>3.68</v>
      </c>
      <c r="P960" s="38">
        <v>2.48</v>
      </c>
      <c r="Q960" s="38">
        <v>1.1000000000000001</v>
      </c>
      <c r="R960" s="38">
        <v>2.5230000000000001</v>
      </c>
      <c r="S960" s="38">
        <f t="shared" si="115"/>
        <v>2.5</v>
      </c>
      <c r="T960" s="38">
        <v>19.55</v>
      </c>
      <c r="U960" s="38">
        <v>4.79</v>
      </c>
      <c r="V960" s="38">
        <v>0.68</v>
      </c>
      <c r="W960" s="38">
        <v>0.23</v>
      </c>
      <c r="X960" s="38">
        <v>8.11</v>
      </c>
      <c r="Y960" s="38">
        <f t="shared" si="116"/>
        <v>8</v>
      </c>
      <c r="Z960" s="38">
        <v>0</v>
      </c>
      <c r="AA960" s="38">
        <v>0</v>
      </c>
      <c r="AB960" s="38">
        <v>25.25</v>
      </c>
      <c r="AC960" s="38">
        <v>1.0620000000000001</v>
      </c>
      <c r="AD960" s="39">
        <v>109.92</v>
      </c>
      <c r="AE960" s="38">
        <v>124.48</v>
      </c>
      <c r="AF960" s="38">
        <f>(AD960+AE960*0.5)/(3.5*I960*1000)*100</f>
        <v>0.19482937152363225</v>
      </c>
      <c r="AG960" s="38">
        <f t="shared" si="117"/>
        <v>0.2</v>
      </c>
      <c r="AH960" s="38">
        <v>0.95</v>
      </c>
      <c r="AI960" s="38">
        <f>AH960/(3.5*I960*1000)*100</f>
        <v>1.0750923730683704E-3</v>
      </c>
      <c r="AJ960" s="38">
        <v>263.14999999999998</v>
      </c>
      <c r="AK960" s="38">
        <f>AJ960/(3.5*I960*1000)*100</f>
        <v>0.29780058733993858</v>
      </c>
      <c r="AL960" s="38">
        <v>27.49</v>
      </c>
      <c r="AM960" s="38">
        <f t="shared" si="125"/>
        <v>3.1109778248052104E-2</v>
      </c>
      <c r="AN960" s="25"/>
      <c r="AO960" s="25">
        <f>AE960*0.5</f>
        <v>62.24</v>
      </c>
      <c r="AP960" s="25">
        <f>(AD960+AH960+AJ960+AL960+AO960)*I960</f>
        <v>11708.296249999999</v>
      </c>
      <c r="AQ960" s="25"/>
      <c r="AR960" s="25">
        <f>SUM(N960:Q960)</f>
        <v>25.25</v>
      </c>
      <c r="AS960" s="25">
        <f>SUM(T960:W960)</f>
        <v>25.25</v>
      </c>
      <c r="AT960" s="48"/>
      <c r="AU960" s="41">
        <f>SUM(N960:Q960)</f>
        <v>25.25</v>
      </c>
      <c r="AV960" s="41">
        <f>SUM(T960:W960)</f>
        <v>25.25</v>
      </c>
      <c r="AW960" s="41">
        <f>SUM(Z960:AB960)</f>
        <v>25.25</v>
      </c>
      <c r="AX960" s="41"/>
      <c r="AY960" s="22">
        <f>I960/AU960</f>
        <v>0.99988118811881188</v>
      </c>
      <c r="AZ960" s="22">
        <f>I960/AV960</f>
        <v>0.99988118811881188</v>
      </c>
      <c r="BA960" s="22">
        <f>I960/AW960</f>
        <v>0.99988118811881188</v>
      </c>
    </row>
    <row r="961" spans="1:88" s="22" customFormat="1" ht="24.75" customHeight="1">
      <c r="A961" s="1">
        <v>2013</v>
      </c>
      <c r="B961" s="34" t="s">
        <v>2646</v>
      </c>
      <c r="C961" s="34">
        <v>325</v>
      </c>
      <c r="D961" s="75">
        <v>4153</v>
      </c>
      <c r="E961" s="8">
        <v>100</v>
      </c>
      <c r="F961" s="34" t="s">
        <v>2661</v>
      </c>
      <c r="G961" s="58">
        <v>0</v>
      </c>
      <c r="H961" s="58">
        <v>8354</v>
      </c>
      <c r="I961" s="21">
        <v>8.3539999999999992</v>
      </c>
      <c r="J961" s="8">
        <v>6</v>
      </c>
      <c r="K961" s="8" t="s">
        <v>1520</v>
      </c>
      <c r="L961" s="18">
        <v>42117</v>
      </c>
      <c r="M961" s="37" t="s">
        <v>191</v>
      </c>
      <c r="N961" s="38">
        <v>5.35</v>
      </c>
      <c r="O961" s="38">
        <v>1.83</v>
      </c>
      <c r="P961" s="38">
        <v>0.85</v>
      </c>
      <c r="Q961" s="38">
        <v>0.33</v>
      </c>
      <c r="R961" s="38">
        <v>2.5103</v>
      </c>
      <c r="S961" s="38">
        <f t="shared" si="115"/>
        <v>2.5</v>
      </c>
      <c r="T961" s="38">
        <v>7.85</v>
      </c>
      <c r="U961" s="38">
        <v>0.45</v>
      </c>
      <c r="V961" s="38">
        <v>0.05</v>
      </c>
      <c r="W961" s="38">
        <v>0</v>
      </c>
      <c r="X961" s="38">
        <v>3.9691000000000001</v>
      </c>
      <c r="Y961" s="38">
        <f t="shared" si="116"/>
        <v>4</v>
      </c>
      <c r="Z961" s="38">
        <v>0</v>
      </c>
      <c r="AA961" s="38">
        <v>0</v>
      </c>
      <c r="AB961" s="38">
        <v>8.35</v>
      </c>
      <c r="AC961" s="38">
        <v>1.35063</v>
      </c>
      <c r="AD961" s="39">
        <v>56.76</v>
      </c>
      <c r="AE961" s="38">
        <v>0</v>
      </c>
      <c r="AF961" s="38">
        <f>(AD961+AE961*0.5)/(3.5*I961*1000)*100</f>
        <v>0.1941242860562947</v>
      </c>
      <c r="AG961" s="38">
        <f t="shared" si="117"/>
        <v>0.2</v>
      </c>
      <c r="AH961" s="38">
        <v>6</v>
      </c>
      <c r="AI961" s="38">
        <f>AH961/(3.5*I961*1000)*100</f>
        <v>2.0520537638086121E-2</v>
      </c>
      <c r="AJ961" s="38">
        <v>0</v>
      </c>
      <c r="AK961" s="38">
        <f>AJ961/(3.5*I961*1000)*100</f>
        <v>0</v>
      </c>
      <c r="AL961" s="38">
        <v>0</v>
      </c>
      <c r="AM961" s="38">
        <f t="shared" si="125"/>
        <v>0</v>
      </c>
      <c r="AN961" s="12"/>
      <c r="AO961" s="12"/>
      <c r="AP961" s="1"/>
      <c r="AQ961" s="41">
        <f>SUM(N961:Q961)</f>
        <v>8.36</v>
      </c>
      <c r="AR961" s="41">
        <f>SUM(T961:W961)</f>
        <v>8.35</v>
      </c>
      <c r="AS961" s="12">
        <f>SUM(Z961:AB961)</f>
        <v>8.35</v>
      </c>
      <c r="AT961" s="178"/>
      <c r="AU961" s="1">
        <f>I961/AQ961</f>
        <v>0.99928229665071766</v>
      </c>
      <c r="AV961" s="1">
        <f>I961/AR961</f>
        <v>1.0004790419161675</v>
      </c>
      <c r="AW961" s="1">
        <f>I961/AS961</f>
        <v>1.0004790419161675</v>
      </c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</row>
    <row r="962" spans="1:88" s="22" customFormat="1">
      <c r="A962" s="1">
        <v>550</v>
      </c>
      <c r="B962" s="34" t="s">
        <v>948</v>
      </c>
      <c r="C962" s="34">
        <v>551</v>
      </c>
      <c r="D962" s="34">
        <v>234</v>
      </c>
      <c r="E962" s="34">
        <v>100</v>
      </c>
      <c r="F962" s="9" t="s">
        <v>950</v>
      </c>
      <c r="G962" s="20">
        <v>18367</v>
      </c>
      <c r="H962" s="20">
        <v>0</v>
      </c>
      <c r="I962" s="35">
        <v>18.367000000000001</v>
      </c>
      <c r="J962" s="71">
        <v>4</v>
      </c>
      <c r="K962" s="34" t="s">
        <v>96</v>
      </c>
      <c r="L962" s="10">
        <v>42192</v>
      </c>
      <c r="M962" s="37" t="s">
        <v>191</v>
      </c>
      <c r="N962" s="38">
        <v>13.51</v>
      </c>
      <c r="O962" s="38">
        <v>2.84</v>
      </c>
      <c r="P962" s="38">
        <v>1.33</v>
      </c>
      <c r="Q962" s="38">
        <v>0.7</v>
      </c>
      <c r="R962" s="38">
        <v>2.1909800000000001</v>
      </c>
      <c r="S962" s="38">
        <f t="shared" si="115"/>
        <v>2</v>
      </c>
      <c r="T962" s="38">
        <v>16.690000000000001</v>
      </c>
      <c r="U962" s="38">
        <v>1.28</v>
      </c>
      <c r="V962" s="38">
        <v>0.3</v>
      </c>
      <c r="W962" s="38">
        <v>0.1</v>
      </c>
      <c r="X962" s="38">
        <v>6.2565299999999997</v>
      </c>
      <c r="Y962" s="38">
        <f t="shared" si="116"/>
        <v>6.5</v>
      </c>
      <c r="Z962" s="38">
        <v>0</v>
      </c>
      <c r="AA962" s="38">
        <v>0</v>
      </c>
      <c r="AB962" s="38">
        <f>T962+U962+V962+W962</f>
        <v>18.370000000000005</v>
      </c>
      <c r="AC962" s="38">
        <v>1.2338499999999999</v>
      </c>
      <c r="AD962" s="39">
        <v>119</v>
      </c>
      <c r="AE962" s="38">
        <v>11.54</v>
      </c>
      <c r="AF962" s="38">
        <f>(AD962+AE962*0.5)/(3.5*I962*1000)*100</f>
        <v>0.19409033281739763</v>
      </c>
      <c r="AG962" s="38">
        <f t="shared" si="117"/>
        <v>0.2</v>
      </c>
      <c r="AH962" s="38">
        <v>32</v>
      </c>
      <c r="AI962" s="38">
        <f>AH962/(3.5*I962*1000)*100</f>
        <v>4.9778718042451903E-2</v>
      </c>
      <c r="AJ962" s="38">
        <v>255</v>
      </c>
      <c r="AK962" s="38">
        <f>AJ962/(3.5*I962*1000)*100</f>
        <v>0.39667415940078865</v>
      </c>
      <c r="AL962" s="38">
        <v>0</v>
      </c>
      <c r="AM962" s="38">
        <f t="shared" si="125"/>
        <v>0</v>
      </c>
      <c r="AN962" s="25"/>
      <c r="AO962" s="25">
        <f>AE962*0.5</f>
        <v>5.77</v>
      </c>
      <c r="AP962" s="25">
        <f>(AD962+AH962+AJ962+AL962+AO962)*I962</f>
        <v>7562.9795899999999</v>
      </c>
      <c r="AQ962" s="25">
        <f>SUM(N962:Q962)</f>
        <v>18.38</v>
      </c>
      <c r="AR962" s="25">
        <f>SUM(T962:W962)</f>
        <v>18.370000000000005</v>
      </c>
      <c r="AS962" s="268">
        <v>18.367000000000001</v>
      </c>
      <c r="AT962" s="41"/>
      <c r="AU962" s="41">
        <f>SUM(N962:Q962)</f>
        <v>18.38</v>
      </c>
      <c r="AV962" s="41">
        <f>SUM(T962:W962)</f>
        <v>18.370000000000005</v>
      </c>
      <c r="AW962" s="41">
        <f>SUM(Z962:AB962)</f>
        <v>18.370000000000005</v>
      </c>
      <c r="AY962" s="22">
        <f>I962/AU962</f>
        <v>0.99929270946681181</v>
      </c>
      <c r="AZ962" s="22">
        <f>I962/AV962</f>
        <v>0.99983669025585176</v>
      </c>
      <c r="BA962" s="22">
        <f>I962/AW962</f>
        <v>0.99983669025585176</v>
      </c>
    </row>
    <row r="963" spans="1:88">
      <c r="A963" s="1">
        <v>2139</v>
      </c>
      <c r="B963" s="34" t="s">
        <v>2780</v>
      </c>
      <c r="C963" s="34">
        <v>327</v>
      </c>
      <c r="D963" s="75">
        <v>401</v>
      </c>
      <c r="E963" s="8">
        <v>100</v>
      </c>
      <c r="F963" s="9" t="s">
        <v>2781</v>
      </c>
      <c r="G963" s="20" t="s">
        <v>2782</v>
      </c>
      <c r="H963" s="20">
        <v>73742</v>
      </c>
      <c r="I963" s="21">
        <v>41.25</v>
      </c>
      <c r="J963" s="9">
        <v>2</v>
      </c>
      <c r="K963" s="9" t="s">
        <v>238</v>
      </c>
      <c r="L963" s="18">
        <v>42135</v>
      </c>
      <c r="M963" s="37" t="s">
        <v>191</v>
      </c>
      <c r="N963" s="38">
        <v>25.324999999999999</v>
      </c>
      <c r="O963" s="38">
        <v>10.15</v>
      </c>
      <c r="P963" s="38">
        <v>4.4749999999999996</v>
      </c>
      <c r="Q963" s="38">
        <v>1.45</v>
      </c>
      <c r="R963" s="38">
        <v>2.5209999999999999</v>
      </c>
      <c r="S963" s="38">
        <f t="shared" ref="S963:S1026" si="126">ROUND(R963/5,1)*5</f>
        <v>2.5</v>
      </c>
      <c r="T963" s="38">
        <v>39.4</v>
      </c>
      <c r="U963" s="38">
        <v>1.6</v>
      </c>
      <c r="V963" s="38">
        <v>0.35</v>
      </c>
      <c r="W963" s="38">
        <v>0.05</v>
      </c>
      <c r="X963" s="38">
        <v>4.2220000000000004</v>
      </c>
      <c r="Y963" s="38">
        <f t="shared" ref="Y963:Y1026" si="127">ROUND(X963/5,1)*5</f>
        <v>4</v>
      </c>
      <c r="Z963" s="38">
        <v>0</v>
      </c>
      <c r="AA963" s="38">
        <v>0</v>
      </c>
      <c r="AB963" s="38">
        <v>41.400000000000006</v>
      </c>
      <c r="AC963" s="38">
        <v>1.5209999999999999</v>
      </c>
      <c r="AD963" s="39">
        <v>249.3</v>
      </c>
      <c r="AE963" s="38">
        <v>61.6</v>
      </c>
      <c r="AF963" s="38">
        <f>(AD963+AE963*0.5)/(3.5*I963*1000)*100</f>
        <v>0.19400865800865802</v>
      </c>
      <c r="AG963" s="38">
        <f t="shared" ref="AG963:AG1026" si="128">ROUND(AF963,1)</f>
        <v>0.2</v>
      </c>
      <c r="AH963" s="38">
        <v>45.3</v>
      </c>
      <c r="AI963" s="38">
        <f>AH963/(3.5*I963*1000)*100</f>
        <v>3.1376623376623371E-2</v>
      </c>
      <c r="AJ963" s="38">
        <v>1.99</v>
      </c>
      <c r="AK963" s="38">
        <f>AP963/(3.5*I963*1000)*100</f>
        <v>0</v>
      </c>
      <c r="AL963" s="38">
        <v>0</v>
      </c>
      <c r="AM963" s="38">
        <f t="shared" si="125"/>
        <v>0</v>
      </c>
      <c r="AN963" s="25"/>
      <c r="AO963" s="25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  <c r="CH963" s="22"/>
      <c r="CI963" s="22"/>
      <c r="CJ963" s="22"/>
    </row>
    <row r="964" spans="1:88">
      <c r="A964" s="1">
        <v>858</v>
      </c>
      <c r="B964" s="34" t="s">
        <v>1231</v>
      </c>
      <c r="C964" s="34">
        <v>615</v>
      </c>
      <c r="D964" s="34">
        <v>2328</v>
      </c>
      <c r="E964" s="34">
        <v>102</v>
      </c>
      <c r="F964" s="34" t="s">
        <v>1252</v>
      </c>
      <c r="G964" s="58">
        <v>11359</v>
      </c>
      <c r="H964" s="58">
        <v>41982</v>
      </c>
      <c r="I964" s="35">
        <v>30.623000000000001</v>
      </c>
      <c r="J964" s="9">
        <v>2</v>
      </c>
      <c r="K964" s="34" t="s">
        <v>238</v>
      </c>
      <c r="L964" s="10">
        <v>42133</v>
      </c>
      <c r="M964" s="37" t="s">
        <v>191</v>
      </c>
      <c r="N964" s="38">
        <v>20.75</v>
      </c>
      <c r="O964" s="38">
        <v>6.875</v>
      </c>
      <c r="P964" s="38">
        <v>2.2749999999999999</v>
      </c>
      <c r="Q964" s="38">
        <v>0.6</v>
      </c>
      <c r="R964" s="38">
        <v>2.4684699999999999</v>
      </c>
      <c r="S964" s="38">
        <f t="shared" si="126"/>
        <v>2.5</v>
      </c>
      <c r="T964" s="38">
        <v>30.25</v>
      </c>
      <c r="U964" s="38">
        <v>0.15</v>
      </c>
      <c r="V964" s="38">
        <v>0.1</v>
      </c>
      <c r="W964" s="38">
        <v>0</v>
      </c>
      <c r="X964" s="38">
        <v>2.7581699999999998</v>
      </c>
      <c r="Y964" s="38">
        <f t="shared" si="127"/>
        <v>3</v>
      </c>
      <c r="Z964" s="38">
        <v>0</v>
      </c>
      <c r="AA964" s="38">
        <v>0</v>
      </c>
      <c r="AB964" s="38">
        <f>N964+O964+P964+Q964</f>
        <v>30.5</v>
      </c>
      <c r="AC964" s="38">
        <v>1.2742199999999999</v>
      </c>
      <c r="AD964" s="39">
        <v>10.07</v>
      </c>
      <c r="AE964" s="38">
        <v>395.55</v>
      </c>
      <c r="AF964" s="38">
        <v>0.19392000000000001</v>
      </c>
      <c r="AG964" s="38">
        <f t="shared" si="128"/>
        <v>0.2</v>
      </c>
      <c r="AH964" s="38">
        <v>138.82</v>
      </c>
      <c r="AI964" s="38">
        <v>0.12952</v>
      </c>
      <c r="AJ964" s="38">
        <v>0</v>
      </c>
      <c r="AK964" s="38">
        <v>0</v>
      </c>
      <c r="AL964" s="38">
        <v>0</v>
      </c>
      <c r="AM964" s="38">
        <v>0</v>
      </c>
      <c r="AN964" s="25"/>
      <c r="AO964" s="25">
        <f>AE964*0.5</f>
        <v>197.77500000000001</v>
      </c>
      <c r="AP964" s="25">
        <f>(AD964+AH964+AJ964+AL964+AO964)*I964</f>
        <v>10615.922294999998</v>
      </c>
      <c r="AQ964" s="25">
        <f>SUM(N964:Q964)</f>
        <v>30.5</v>
      </c>
      <c r="AR964" s="25">
        <f>SUM(T964:W964)</f>
        <v>30.5</v>
      </c>
      <c r="AS964" s="268">
        <v>30.623000000000001</v>
      </c>
      <c r="AT964" s="41"/>
      <c r="AU964" s="41"/>
      <c r="AV964" s="41"/>
      <c r="AW964" s="41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  <c r="CH964" s="22"/>
      <c r="CI964" s="22"/>
      <c r="CJ964" s="22"/>
    </row>
    <row r="965" spans="1:88">
      <c r="A965" s="1">
        <v>63</v>
      </c>
      <c r="B965" s="4" t="s">
        <v>44</v>
      </c>
      <c r="C965" s="14">
        <v>524</v>
      </c>
      <c r="D965" s="19">
        <v>106</v>
      </c>
      <c r="E965" s="16">
        <v>201</v>
      </c>
      <c r="F965" s="14" t="s">
        <v>45</v>
      </c>
      <c r="G965" s="20" t="s">
        <v>129</v>
      </c>
      <c r="H965" s="20" t="s">
        <v>97</v>
      </c>
      <c r="I965" s="21">
        <v>23.492999999999999</v>
      </c>
      <c r="J965" s="8">
        <v>2</v>
      </c>
      <c r="K965" s="9" t="s">
        <v>12</v>
      </c>
      <c r="L965" s="18">
        <v>42228</v>
      </c>
      <c r="M965" s="37" t="s">
        <v>191</v>
      </c>
      <c r="N965" s="11">
        <v>15.574999999999999</v>
      </c>
      <c r="O965" s="11">
        <v>4.5999999999999996</v>
      </c>
      <c r="P965" s="11">
        <v>2.2000000000000002</v>
      </c>
      <c r="Q965" s="11">
        <v>0.67500000000000004</v>
      </c>
      <c r="R965" s="11">
        <v>2.3933599999999999</v>
      </c>
      <c r="S965" s="38">
        <f t="shared" si="126"/>
        <v>2.5</v>
      </c>
      <c r="T965" s="11">
        <v>23.05</v>
      </c>
      <c r="U965" s="11">
        <v>0</v>
      </c>
      <c r="V965" s="11">
        <v>0</v>
      </c>
      <c r="W965" s="11">
        <v>0</v>
      </c>
      <c r="X965" s="11">
        <v>2.8139400000000001</v>
      </c>
      <c r="Y965" s="38">
        <f t="shared" si="127"/>
        <v>3</v>
      </c>
      <c r="Z965" s="11">
        <v>0</v>
      </c>
      <c r="AA965" s="11">
        <v>0</v>
      </c>
      <c r="AB965" s="11">
        <v>23.049999999999997</v>
      </c>
      <c r="AC965" s="11">
        <v>1.2609600000000001</v>
      </c>
      <c r="AD965" s="164">
        <v>158.96</v>
      </c>
      <c r="AE965" s="11">
        <v>0.63</v>
      </c>
      <c r="AF965" s="11">
        <f t="shared" ref="AF965:AF970" si="129">(AD965+AE965*0.5)/(3.5*I965*1000)*100</f>
        <v>0.19370511580957248</v>
      </c>
      <c r="AG965" s="38">
        <f t="shared" si="128"/>
        <v>0.2</v>
      </c>
      <c r="AH965" s="11">
        <v>0</v>
      </c>
      <c r="AI965" s="11">
        <f t="shared" ref="AI965:AI970" si="130">AH965/(3.5*I965*1000)*100</f>
        <v>0</v>
      </c>
      <c r="AJ965" s="11">
        <v>0</v>
      </c>
      <c r="AK965" s="11">
        <f>AJ965/(3.5*I965*1000)*100</f>
        <v>0</v>
      </c>
      <c r="AL965" s="11">
        <v>0</v>
      </c>
      <c r="AM965" s="11">
        <f t="shared" ref="AM965:AM970" si="131">AL965/(3.5*I965*1000)*100</f>
        <v>0</v>
      </c>
      <c r="AN965" s="25"/>
      <c r="AO965" s="25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  <c r="CH965" s="22"/>
      <c r="CI965" s="22"/>
      <c r="CJ965" s="22"/>
    </row>
    <row r="966" spans="1:88">
      <c r="A966" s="1">
        <v>19</v>
      </c>
      <c r="B966" s="4" t="s">
        <v>8</v>
      </c>
      <c r="C966" s="14">
        <v>521</v>
      </c>
      <c r="D966" s="19">
        <v>1103</v>
      </c>
      <c r="E966" s="16">
        <v>200</v>
      </c>
      <c r="F966" s="14" t="s">
        <v>18</v>
      </c>
      <c r="G966" s="20">
        <v>6000</v>
      </c>
      <c r="H966" s="20">
        <v>67784</v>
      </c>
      <c r="I966" s="21">
        <v>61.783999999999999</v>
      </c>
      <c r="J966" s="8">
        <v>2</v>
      </c>
      <c r="K966" s="9" t="s">
        <v>12</v>
      </c>
      <c r="L966" s="18">
        <v>42231</v>
      </c>
      <c r="M966" s="37" t="s">
        <v>191</v>
      </c>
      <c r="N966" s="11">
        <v>15.4</v>
      </c>
      <c r="O966" s="11">
        <v>22.1</v>
      </c>
      <c r="P966" s="11">
        <v>16.350000000000001</v>
      </c>
      <c r="Q966" s="11">
        <v>7.875</v>
      </c>
      <c r="R966" s="11">
        <v>3.4637799999999999</v>
      </c>
      <c r="S966" s="38">
        <f t="shared" si="126"/>
        <v>3.5</v>
      </c>
      <c r="T966" s="11">
        <v>56.5</v>
      </c>
      <c r="U966" s="11">
        <v>3.65</v>
      </c>
      <c r="V966" s="11">
        <v>1.45</v>
      </c>
      <c r="W966" s="11">
        <v>0.125</v>
      </c>
      <c r="X966" s="11">
        <v>4.3934100000000003</v>
      </c>
      <c r="Y966" s="38">
        <f t="shared" si="127"/>
        <v>4.5</v>
      </c>
      <c r="Z966" s="11">
        <v>0</v>
      </c>
      <c r="AA966" s="11">
        <v>0</v>
      </c>
      <c r="AB966" s="11">
        <v>61.725000000000001</v>
      </c>
      <c r="AC966" s="11">
        <v>1.36049</v>
      </c>
      <c r="AD966" s="164">
        <v>418.83</v>
      </c>
      <c r="AE966" s="11">
        <v>0</v>
      </c>
      <c r="AF966" s="11">
        <f t="shared" si="129"/>
        <v>0.1936839866077209</v>
      </c>
      <c r="AG966" s="38">
        <f t="shared" si="128"/>
        <v>0.2</v>
      </c>
      <c r="AH966" s="11">
        <v>0</v>
      </c>
      <c r="AI966" s="11">
        <f t="shared" si="130"/>
        <v>0</v>
      </c>
      <c r="AJ966" s="11">
        <v>0</v>
      </c>
      <c r="AK966" s="11">
        <f>AJ966/(3.5*I966*1000)*100</f>
        <v>0</v>
      </c>
      <c r="AL966" s="11">
        <v>0</v>
      </c>
      <c r="AM966" s="11">
        <f t="shared" si="131"/>
        <v>0</v>
      </c>
      <c r="AN966" s="22"/>
      <c r="AO966" s="22"/>
      <c r="AP966" s="22"/>
      <c r="AQ966" s="12">
        <f>N966+O966+P966+Q966</f>
        <v>61.725000000000001</v>
      </c>
      <c r="AR966" s="12">
        <f>T966+U966+V966+W966</f>
        <v>61.725000000000001</v>
      </c>
      <c r="AS966" s="12">
        <f>Z966+AA966+AB966</f>
        <v>61.725000000000001</v>
      </c>
      <c r="AT966" s="22"/>
      <c r="AU966" s="22">
        <v>0.99904506020976314</v>
      </c>
      <c r="AV966" s="22">
        <v>0.99904506020976314</v>
      </c>
      <c r="AW966" s="22">
        <v>0.99904506020976314</v>
      </c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  <c r="CH966" s="22"/>
      <c r="CI966" s="22"/>
      <c r="CJ966" s="22"/>
    </row>
    <row r="967" spans="1:88">
      <c r="A967" s="1">
        <v>457</v>
      </c>
      <c r="B967" s="74" t="s">
        <v>699</v>
      </c>
      <c r="C967" s="34">
        <v>513</v>
      </c>
      <c r="D967" s="34">
        <v>1404</v>
      </c>
      <c r="E967" s="34">
        <v>100</v>
      </c>
      <c r="F967" s="34" t="s">
        <v>778</v>
      </c>
      <c r="G967" s="34" t="s">
        <v>779</v>
      </c>
      <c r="H967" s="34" t="s">
        <v>92</v>
      </c>
      <c r="I967" s="55">
        <v>13.858000000000001</v>
      </c>
      <c r="J967" s="5" t="s">
        <v>12</v>
      </c>
      <c r="K967" s="34">
        <v>2</v>
      </c>
      <c r="L967" s="10">
        <v>42263</v>
      </c>
      <c r="M967" s="37" t="s">
        <v>191</v>
      </c>
      <c r="N967" s="38">
        <v>11.04</v>
      </c>
      <c r="O967" s="38">
        <v>2.2999999999999998</v>
      </c>
      <c r="P967" s="38">
        <v>0.47</v>
      </c>
      <c r="Q967" s="38">
        <v>0.05</v>
      </c>
      <c r="R967" s="38">
        <v>1.9474100000000001</v>
      </c>
      <c r="S967" s="38">
        <f t="shared" si="126"/>
        <v>2</v>
      </c>
      <c r="T967" s="38">
        <v>13.86</v>
      </c>
      <c r="U967" s="38">
        <v>0</v>
      </c>
      <c r="V967" s="38">
        <v>0</v>
      </c>
      <c r="W967" s="38">
        <v>0</v>
      </c>
      <c r="X967" s="38">
        <v>2.6118299999999999</v>
      </c>
      <c r="Y967" s="38">
        <f t="shared" si="127"/>
        <v>2.5</v>
      </c>
      <c r="Z967" s="38">
        <v>0</v>
      </c>
      <c r="AA967" s="38">
        <v>0</v>
      </c>
      <c r="AB967" s="38">
        <v>13.86</v>
      </c>
      <c r="AC967" s="38">
        <v>1.3160400000000001</v>
      </c>
      <c r="AD967" s="39">
        <v>92.3</v>
      </c>
      <c r="AE967" s="38">
        <v>3.21</v>
      </c>
      <c r="AF967" s="38">
        <f t="shared" si="129"/>
        <v>0.19360658103622458</v>
      </c>
      <c r="AG967" s="38">
        <f t="shared" si="128"/>
        <v>0.2</v>
      </c>
      <c r="AH967" s="38">
        <v>68.14</v>
      </c>
      <c r="AI967" s="38">
        <f t="shared" si="130"/>
        <v>0.14048615549553636</v>
      </c>
      <c r="AJ967" s="38">
        <v>0</v>
      </c>
      <c r="AK967" s="38">
        <f>AJ967/(3.5*I967*1000)*100</f>
        <v>0</v>
      </c>
      <c r="AL967" s="38">
        <v>0</v>
      </c>
      <c r="AM967" s="38">
        <f t="shared" si="131"/>
        <v>0</v>
      </c>
      <c r="AN967" s="41"/>
      <c r="AO967" s="41"/>
      <c r="AP967" s="73"/>
      <c r="AQ967" s="41">
        <f>SUM(N967:Q967)</f>
        <v>13.860000000000001</v>
      </c>
      <c r="AR967" s="41">
        <f>SUM(T967:W967)</f>
        <v>13.86</v>
      </c>
      <c r="AS967" s="41">
        <f>SUM(Z967:AB967)</f>
        <v>13.86</v>
      </c>
      <c r="AT967" s="22"/>
      <c r="AU967" s="22">
        <f>I967/AQ967</f>
        <v>0.99985569985569978</v>
      </c>
      <c r="AV967" s="22">
        <f>I967/AR967</f>
        <v>0.99985569985569989</v>
      </c>
      <c r="AW967" s="22">
        <f>I967/AS967</f>
        <v>0.99985569985569989</v>
      </c>
      <c r="AX967" s="73"/>
      <c r="AY967" s="73"/>
      <c r="AZ967" s="73"/>
      <c r="BA967" s="73"/>
      <c r="BB967" s="73"/>
      <c r="BC967" s="73"/>
      <c r="BD967" s="73"/>
      <c r="BE967" s="73"/>
      <c r="BF967" s="73"/>
      <c r="BG967" s="73"/>
      <c r="BH967" s="73"/>
      <c r="BI967" s="73"/>
      <c r="BJ967" s="73"/>
      <c r="BK967" s="73"/>
      <c r="BL967" s="73"/>
      <c r="BM967" s="73"/>
      <c r="BN967" s="73"/>
      <c r="BO967" s="73"/>
      <c r="BP967" s="73"/>
      <c r="BQ967" s="73"/>
      <c r="BR967" s="73"/>
      <c r="BS967" s="73"/>
      <c r="BT967" s="73"/>
      <c r="BU967" s="73"/>
      <c r="BV967" s="73"/>
      <c r="BW967" s="73"/>
      <c r="BX967" s="73"/>
      <c r="BY967" s="73"/>
      <c r="BZ967" s="73"/>
      <c r="CA967" s="73"/>
      <c r="CB967" s="73"/>
      <c r="CC967" s="73"/>
      <c r="CD967" s="73"/>
      <c r="CE967" s="73"/>
      <c r="CF967" s="73"/>
      <c r="CG967" s="73"/>
      <c r="CH967" s="73"/>
      <c r="CI967" s="73"/>
      <c r="CJ967" s="73"/>
    </row>
    <row r="968" spans="1:88" s="22" customFormat="1">
      <c r="A968" s="1">
        <v>1956</v>
      </c>
      <c r="B968" s="34" t="s">
        <v>2586</v>
      </c>
      <c r="C968" s="34">
        <v>321</v>
      </c>
      <c r="D968" s="75">
        <v>4103</v>
      </c>
      <c r="E968" s="8">
        <v>101</v>
      </c>
      <c r="F968" s="34" t="s">
        <v>2601</v>
      </c>
      <c r="G968" s="58">
        <v>0</v>
      </c>
      <c r="H968" s="58">
        <v>13699</v>
      </c>
      <c r="I968" s="21">
        <v>13.699</v>
      </c>
      <c r="J968" s="8">
        <v>4</v>
      </c>
      <c r="K968" s="8" t="s">
        <v>2602</v>
      </c>
      <c r="L968" s="18">
        <v>42124</v>
      </c>
      <c r="M968" s="37" t="s">
        <v>191</v>
      </c>
      <c r="N968" s="38">
        <v>8.0500000000000007</v>
      </c>
      <c r="O968" s="38">
        <v>3.6</v>
      </c>
      <c r="P968" s="38">
        <v>1.55</v>
      </c>
      <c r="Q968" s="38">
        <v>0.45</v>
      </c>
      <c r="R968" s="38">
        <v>2.5580599999999998</v>
      </c>
      <c r="S968" s="38">
        <f t="shared" si="126"/>
        <v>2.5</v>
      </c>
      <c r="T968" s="38">
        <v>12.975</v>
      </c>
      <c r="U968" s="38">
        <v>0.57499999999999996</v>
      </c>
      <c r="V968" s="38">
        <v>0.1</v>
      </c>
      <c r="W968" s="38">
        <v>0</v>
      </c>
      <c r="X968" s="38">
        <v>4.6648699999999996</v>
      </c>
      <c r="Y968" s="38">
        <f t="shared" si="127"/>
        <v>4.5</v>
      </c>
      <c r="Z968" s="38">
        <v>0</v>
      </c>
      <c r="AA968" s="38">
        <v>0</v>
      </c>
      <c r="AB968" s="38">
        <v>13.649999999999999</v>
      </c>
      <c r="AC968" s="38">
        <v>1.13984</v>
      </c>
      <c r="AD968" s="39">
        <v>88.3</v>
      </c>
      <c r="AE968" s="38">
        <v>7.92</v>
      </c>
      <c r="AF968" s="38">
        <f t="shared" si="129"/>
        <v>0.19242280458427621</v>
      </c>
      <c r="AG968" s="38">
        <f t="shared" si="128"/>
        <v>0.2</v>
      </c>
      <c r="AH968" s="38">
        <v>50.62</v>
      </c>
      <c r="AI968" s="38">
        <f t="shared" si="130"/>
        <v>0.1055760065906792</v>
      </c>
      <c r="AJ968" s="38">
        <v>32.81</v>
      </c>
      <c r="AK968" s="38">
        <v>6.8430438092457219E-2</v>
      </c>
      <c r="AL968" s="38">
        <v>0</v>
      </c>
      <c r="AM968" s="38">
        <f t="shared" si="131"/>
        <v>0</v>
      </c>
      <c r="AN968" s="73"/>
      <c r="AO968" s="72"/>
      <c r="AP968" s="41"/>
      <c r="AQ968" s="41"/>
      <c r="AR968" s="73"/>
      <c r="AS968" s="73"/>
      <c r="AT968" s="73"/>
      <c r="AU968" s="73"/>
      <c r="AV968" s="73"/>
      <c r="AW968" s="73"/>
      <c r="AX968" s="73"/>
      <c r="AY968" s="73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</row>
    <row r="969" spans="1:88" s="22" customFormat="1">
      <c r="A969" s="1">
        <v>817</v>
      </c>
      <c r="B969" s="34" t="s">
        <v>1204</v>
      </c>
      <c r="C969" s="34">
        <v>647</v>
      </c>
      <c r="D969" s="8">
        <v>214</v>
      </c>
      <c r="E969" s="34">
        <v>100</v>
      </c>
      <c r="F969" s="34" t="s">
        <v>1207</v>
      </c>
      <c r="G969" s="58" t="s">
        <v>1208</v>
      </c>
      <c r="H969" s="58" t="s">
        <v>1209</v>
      </c>
      <c r="I969" s="35">
        <v>11.5</v>
      </c>
      <c r="J969" s="9">
        <v>4</v>
      </c>
      <c r="K969" s="34" t="s">
        <v>238</v>
      </c>
      <c r="L969" s="10">
        <v>42154</v>
      </c>
      <c r="M969" s="37" t="s">
        <v>191</v>
      </c>
      <c r="N969" s="38">
        <v>7.1</v>
      </c>
      <c r="O969" s="38">
        <v>2.5499999999999998</v>
      </c>
      <c r="P969" s="38">
        <v>1.05</v>
      </c>
      <c r="Q969" s="38">
        <v>0.8</v>
      </c>
      <c r="R969" s="38">
        <v>2.8330000000000002</v>
      </c>
      <c r="S969" s="38">
        <f t="shared" si="126"/>
        <v>3</v>
      </c>
      <c r="T969" s="38">
        <v>10.5</v>
      </c>
      <c r="U969" s="38">
        <v>0.85</v>
      </c>
      <c r="V969" s="38">
        <v>0.1</v>
      </c>
      <c r="W969" s="38">
        <v>0.05</v>
      </c>
      <c r="X969" s="38">
        <v>6.2969999999999997</v>
      </c>
      <c r="Y969" s="38">
        <f t="shared" si="127"/>
        <v>6.5</v>
      </c>
      <c r="Z969" s="38">
        <v>0</v>
      </c>
      <c r="AA969" s="38">
        <v>0</v>
      </c>
      <c r="AB969" s="38">
        <f>N969+O969+P969+Q969</f>
        <v>11.5</v>
      </c>
      <c r="AC969" s="38">
        <v>1.171</v>
      </c>
      <c r="AD969" s="39">
        <v>24</v>
      </c>
      <c r="AE969" s="38">
        <v>106</v>
      </c>
      <c r="AF969" s="38">
        <f t="shared" si="129"/>
        <v>0.19130434782608696</v>
      </c>
      <c r="AG969" s="38">
        <f t="shared" si="128"/>
        <v>0.2</v>
      </c>
      <c r="AH969" s="38">
        <v>875</v>
      </c>
      <c r="AI969" s="38">
        <f t="shared" si="130"/>
        <v>2.1739130434782608</v>
      </c>
      <c r="AJ969" s="38">
        <v>345</v>
      </c>
      <c r="AK969" s="38">
        <f>AJ969/(3.5*I969*1000)*100</f>
        <v>0.85714285714285721</v>
      </c>
      <c r="AL969" s="38">
        <v>1</v>
      </c>
      <c r="AM969" s="38">
        <f t="shared" si="131"/>
        <v>2.4844720496894411E-3</v>
      </c>
      <c r="AN969" s="25"/>
      <c r="AO969" s="25">
        <f>AE969*0.5</f>
        <v>53</v>
      </c>
      <c r="AP969" s="25">
        <f>(AD969+AH969+AJ969+AL969+AO969)*I969</f>
        <v>14927</v>
      </c>
      <c r="AQ969" s="25"/>
      <c r="AR969" s="25"/>
      <c r="AS969" s="268"/>
      <c r="AT969" s="41"/>
      <c r="AU969" s="41"/>
      <c r="AV969" s="41"/>
      <c r="AW969" s="41"/>
    </row>
    <row r="970" spans="1:88">
      <c r="A970" s="1">
        <v>625</v>
      </c>
      <c r="B970" s="34" t="s">
        <v>1017</v>
      </c>
      <c r="C970" s="34">
        <v>555</v>
      </c>
      <c r="D970" s="34">
        <v>2294</v>
      </c>
      <c r="E970" s="34">
        <v>100</v>
      </c>
      <c r="F970" s="9" t="s">
        <v>1028</v>
      </c>
      <c r="G970" s="118">
        <v>0</v>
      </c>
      <c r="H970" s="118">
        <v>23930</v>
      </c>
      <c r="I970" s="35">
        <v>23.93</v>
      </c>
      <c r="J970" s="71">
        <v>2</v>
      </c>
      <c r="K970" s="34" t="s">
        <v>238</v>
      </c>
      <c r="L970" s="10">
        <v>42187</v>
      </c>
      <c r="M970" s="37" t="s">
        <v>191</v>
      </c>
      <c r="N970" s="38">
        <v>16.399999999999999</v>
      </c>
      <c r="O970" s="38">
        <v>4.5750000000000002</v>
      </c>
      <c r="P970" s="38">
        <v>2.0249999999999999</v>
      </c>
      <c r="Q970" s="38">
        <v>0.72499999999999998</v>
      </c>
      <c r="R970" s="38">
        <v>2.5963599999999998</v>
      </c>
      <c r="S970" s="38">
        <f t="shared" si="126"/>
        <v>2.5</v>
      </c>
      <c r="T970" s="38">
        <v>23.074999999999999</v>
      </c>
      <c r="U970" s="38">
        <v>0.625</v>
      </c>
      <c r="V970" s="38">
        <v>2.5000000000000001E-2</v>
      </c>
      <c r="W970" s="38">
        <v>0</v>
      </c>
      <c r="X970" s="38">
        <v>5.9980599999999997</v>
      </c>
      <c r="Y970" s="38">
        <f t="shared" si="127"/>
        <v>6</v>
      </c>
      <c r="Z970" s="38">
        <v>0</v>
      </c>
      <c r="AA970" s="38">
        <v>0</v>
      </c>
      <c r="AB970" s="38">
        <f>N970+O970+P970+Q970</f>
        <v>23.724999999999998</v>
      </c>
      <c r="AC970" s="38">
        <v>1.1718</v>
      </c>
      <c r="AD970" s="39">
        <v>0</v>
      </c>
      <c r="AE970" s="38">
        <v>320.27</v>
      </c>
      <c r="AF970" s="38">
        <f t="shared" si="129"/>
        <v>0.19119455554892245</v>
      </c>
      <c r="AG970" s="38">
        <f t="shared" si="128"/>
        <v>0.2</v>
      </c>
      <c r="AH970" s="38">
        <v>0</v>
      </c>
      <c r="AI970" s="38">
        <f t="shared" si="130"/>
        <v>0</v>
      </c>
      <c r="AJ970" s="38">
        <v>0</v>
      </c>
      <c r="AK970" s="38">
        <f>AJ970/(3.5*I970*1000)*100</f>
        <v>0</v>
      </c>
      <c r="AL970" s="38">
        <v>0</v>
      </c>
      <c r="AM970" s="38">
        <f t="shared" si="131"/>
        <v>0</v>
      </c>
      <c r="AN970" s="25"/>
      <c r="AO970" s="25">
        <f>AE970*0.5</f>
        <v>160.13499999999999</v>
      </c>
      <c r="AP970" s="25">
        <f>(AD970+AH970+AJ970+AL970+AO970)*I970</f>
        <v>3832.0305499999999</v>
      </c>
      <c r="AQ970" s="25">
        <f>SUM(N970:Q970)</f>
        <v>23.724999999999998</v>
      </c>
      <c r="AR970" s="25">
        <f>SUM(T970:W970)</f>
        <v>23.724999999999998</v>
      </c>
      <c r="AS970" s="22"/>
      <c r="AT970" s="41"/>
      <c r="AU970" s="41"/>
      <c r="AV970" s="41"/>
      <c r="AW970" s="41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  <c r="CH970" s="22"/>
      <c r="CI970" s="22"/>
      <c r="CJ970" s="22"/>
    </row>
    <row r="971" spans="1:88" s="22" customFormat="1">
      <c r="A971" s="1">
        <v>1313</v>
      </c>
      <c r="B971" s="74" t="s">
        <v>1851</v>
      </c>
      <c r="C971" s="34">
        <v>444</v>
      </c>
      <c r="D971" s="75">
        <v>323</v>
      </c>
      <c r="E971" s="69">
        <v>206</v>
      </c>
      <c r="F971" s="34" t="s">
        <v>1857</v>
      </c>
      <c r="G971" s="58">
        <v>155136</v>
      </c>
      <c r="H971" s="58">
        <v>199826</v>
      </c>
      <c r="I971" s="21">
        <v>44.69</v>
      </c>
      <c r="J971" s="8">
        <v>2</v>
      </c>
      <c r="K971" s="34" t="s">
        <v>238</v>
      </c>
      <c r="L971" s="10">
        <v>42209</v>
      </c>
      <c r="M971" s="37" t="s">
        <v>191</v>
      </c>
      <c r="N971" s="38">
        <v>32.799999999999997</v>
      </c>
      <c r="O971" s="38">
        <v>10.925000000000001</v>
      </c>
      <c r="P971" s="38">
        <v>1.05</v>
      </c>
      <c r="Q971" s="38">
        <v>0</v>
      </c>
      <c r="R971" s="38">
        <v>2.2485400000000002</v>
      </c>
      <c r="S971" s="38">
        <f t="shared" si="126"/>
        <v>2</v>
      </c>
      <c r="T971" s="38">
        <v>44.65</v>
      </c>
      <c r="U971" s="38">
        <v>0.125</v>
      </c>
      <c r="V971" s="38">
        <v>0</v>
      </c>
      <c r="W971" s="38">
        <v>0</v>
      </c>
      <c r="X971" s="38">
        <v>2.2328899999999998</v>
      </c>
      <c r="Y971" s="38">
        <f t="shared" si="127"/>
        <v>2</v>
      </c>
      <c r="Z971" s="38">
        <v>0</v>
      </c>
      <c r="AA971" s="38">
        <v>0</v>
      </c>
      <c r="AB971" s="38">
        <v>44.774999999999991</v>
      </c>
      <c r="AC971" s="38">
        <v>1.26946</v>
      </c>
      <c r="AD971" s="39">
        <v>165.56</v>
      </c>
      <c r="AE971" s="38">
        <v>264.60000000000002</v>
      </c>
      <c r="AF971" s="38">
        <v>0.19042930665217533</v>
      </c>
      <c r="AG971" s="38">
        <f t="shared" si="128"/>
        <v>0.2</v>
      </c>
      <c r="AH971" s="38">
        <v>1.5620000000000001</v>
      </c>
      <c r="AI971" s="38">
        <v>9.9862545152319161E-4</v>
      </c>
      <c r="AJ971" s="38">
        <v>0</v>
      </c>
      <c r="AK971" s="38">
        <v>0</v>
      </c>
      <c r="AL971" s="38">
        <v>0</v>
      </c>
      <c r="AM971" s="38">
        <v>0</v>
      </c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</row>
    <row r="972" spans="1:88" s="22" customFormat="1">
      <c r="A972" s="1">
        <v>160</v>
      </c>
      <c r="B972" s="34" t="s">
        <v>332</v>
      </c>
      <c r="C972" s="34">
        <v>533</v>
      </c>
      <c r="D972" s="34">
        <v>1</v>
      </c>
      <c r="E972" s="34">
        <v>1401</v>
      </c>
      <c r="F972" s="34" t="s">
        <v>333</v>
      </c>
      <c r="G972" s="50" t="s">
        <v>335</v>
      </c>
      <c r="H972" s="50" t="s">
        <v>334</v>
      </c>
      <c r="I972" s="35">
        <v>21.63</v>
      </c>
      <c r="J972" s="33">
        <v>4</v>
      </c>
      <c r="K972" s="34" t="s">
        <v>96</v>
      </c>
      <c r="L972" s="10">
        <v>42203</v>
      </c>
      <c r="M972" s="37" t="s">
        <v>191</v>
      </c>
      <c r="N972" s="38">
        <v>9.5399999999999991</v>
      </c>
      <c r="O972" s="38">
        <v>7.55</v>
      </c>
      <c r="P972" s="38">
        <v>3.02</v>
      </c>
      <c r="Q972" s="38">
        <v>1.53</v>
      </c>
      <c r="R972" s="38">
        <v>2.7592599999999998</v>
      </c>
      <c r="S972" s="38">
        <f t="shared" si="126"/>
        <v>3</v>
      </c>
      <c r="T972" s="38">
        <v>8.36</v>
      </c>
      <c r="U972" s="38">
        <v>7.51</v>
      </c>
      <c r="V972" s="38">
        <v>3.92</v>
      </c>
      <c r="W972" s="38">
        <v>1.84</v>
      </c>
      <c r="X972" s="38">
        <v>13.856299999999999</v>
      </c>
      <c r="Y972" s="38">
        <f t="shared" si="127"/>
        <v>14</v>
      </c>
      <c r="Z972" s="38">
        <v>0</v>
      </c>
      <c r="AA972" s="38">
        <v>0</v>
      </c>
      <c r="AB972" s="38">
        <v>21.63</v>
      </c>
      <c r="AC972" s="38">
        <v>1.1044799999999999</v>
      </c>
      <c r="AD972" s="39">
        <v>114</v>
      </c>
      <c r="AE972" s="38">
        <v>59.88</v>
      </c>
      <c r="AF972" s="38">
        <f>(AD972+AE972*0.5)/(3.5*I972*1000)*100</f>
        <v>0.19013275212997818</v>
      </c>
      <c r="AG972" s="38">
        <f t="shared" si="128"/>
        <v>0.2</v>
      </c>
      <c r="AH972" s="38">
        <v>0</v>
      </c>
      <c r="AI972" s="38">
        <f>AH972/(3.5*I972*1000)*100</f>
        <v>0</v>
      </c>
      <c r="AJ972" s="38">
        <v>59</v>
      </c>
      <c r="AK972" s="38">
        <f>AJ972/(3.5*I972*1000)*100</f>
        <v>7.7934086255861568E-2</v>
      </c>
      <c r="AL972" s="38">
        <v>0</v>
      </c>
      <c r="AM972" s="38">
        <f>AL972/(3.5*I972*1000)*100</f>
        <v>0</v>
      </c>
      <c r="AN972" s="25"/>
      <c r="AO972" s="25">
        <f>AE972*0.5</f>
        <v>29.94</v>
      </c>
      <c r="AP972" s="25">
        <f>(AD972+AH972+AJ972+AL972+AO972)*I972</f>
        <v>4389.5922</v>
      </c>
      <c r="AQ972" s="25"/>
      <c r="AR972" s="25">
        <f>SUM(N972:Q972)</f>
        <v>21.64</v>
      </c>
      <c r="AS972" s="25">
        <f>SUM(T972:W972)</f>
        <v>21.63</v>
      </c>
      <c r="AU972" s="41">
        <f>SUM(N972:Q972)</f>
        <v>21.64</v>
      </c>
      <c r="AV972" s="41">
        <f>SUM(T972:W972)</f>
        <v>21.63</v>
      </c>
      <c r="AW972" s="41">
        <f>SUM(Z972:AB972)</f>
        <v>21.63</v>
      </c>
      <c r="AX972" s="41"/>
      <c r="AY972" s="22">
        <f>I972/AU972</f>
        <v>0.99953789279112748</v>
      </c>
      <c r="AZ972" s="22">
        <f>I972/AV972</f>
        <v>1</v>
      </c>
      <c r="BA972" s="22">
        <f>I972/AW972</f>
        <v>1</v>
      </c>
    </row>
    <row r="973" spans="1:88">
      <c r="A973" s="1">
        <v>924</v>
      </c>
      <c r="B973" s="34" t="s">
        <v>1309</v>
      </c>
      <c r="C973" s="34">
        <v>638</v>
      </c>
      <c r="D973" s="8">
        <v>2157</v>
      </c>
      <c r="E973" s="34">
        <v>101</v>
      </c>
      <c r="F973" s="34" t="s">
        <v>1318</v>
      </c>
      <c r="G973" s="58">
        <v>0</v>
      </c>
      <c r="H973" s="58">
        <v>6495</v>
      </c>
      <c r="I973" s="35">
        <v>6.4950000000000001</v>
      </c>
      <c r="J973" s="9">
        <v>2</v>
      </c>
      <c r="K973" s="34" t="s">
        <v>238</v>
      </c>
      <c r="L973" s="10">
        <v>42137</v>
      </c>
      <c r="M973" s="37" t="s">
        <v>191</v>
      </c>
      <c r="N973" s="38">
        <v>2.5499999999999998</v>
      </c>
      <c r="O973" s="38">
        <v>1.35</v>
      </c>
      <c r="P973" s="38">
        <v>1.0249999999999999</v>
      </c>
      <c r="Q973" s="38">
        <v>0.65</v>
      </c>
      <c r="R973" s="38">
        <v>3.2082999999999999</v>
      </c>
      <c r="S973" s="38">
        <f t="shared" si="126"/>
        <v>3</v>
      </c>
      <c r="T973" s="38">
        <v>5.3</v>
      </c>
      <c r="U973" s="38">
        <v>0.27500000000000002</v>
      </c>
      <c r="V973" s="38">
        <v>0</v>
      </c>
      <c r="W973" s="38">
        <v>0</v>
      </c>
      <c r="X973" s="38">
        <v>4.75671</v>
      </c>
      <c r="Y973" s="38">
        <f t="shared" si="127"/>
        <v>5</v>
      </c>
      <c r="Z973" s="38">
        <v>0</v>
      </c>
      <c r="AA973" s="38">
        <v>0</v>
      </c>
      <c r="AB973" s="38">
        <f>N973+O973+P973+Q973</f>
        <v>5.5750000000000002</v>
      </c>
      <c r="AC973" s="38">
        <v>1.3226800000000001</v>
      </c>
      <c r="AD973" s="39">
        <v>35.39</v>
      </c>
      <c r="AE973" s="38">
        <v>2.0099999999999998</v>
      </c>
      <c r="AF973" s="38">
        <v>0.18923999999999999</v>
      </c>
      <c r="AG973" s="38">
        <f t="shared" si="128"/>
        <v>0.2</v>
      </c>
      <c r="AH973" s="38">
        <v>0</v>
      </c>
      <c r="AI973" s="38">
        <v>0</v>
      </c>
      <c r="AJ973" s="38">
        <v>613.69000000000005</v>
      </c>
      <c r="AK973" s="38">
        <v>3.1909010000000002</v>
      </c>
      <c r="AL973" s="38">
        <v>1.31</v>
      </c>
      <c r="AM973" s="38">
        <v>6.8100000000000001E-3</v>
      </c>
      <c r="AN973" s="40"/>
      <c r="AO973" s="40"/>
      <c r="AP973" s="40">
        <f>AE973*0.5</f>
        <v>1.0049999999999999</v>
      </c>
      <c r="AQ973" s="25">
        <f>(AD973+AH973+AJ973+AL973+AP973)*I973</f>
        <v>4230.8105249999999</v>
      </c>
      <c r="AR973" s="25"/>
      <c r="AS973" s="25"/>
      <c r="AT973" s="25">
        <f>SUM(N973:Q973)</f>
        <v>5.5750000000000002</v>
      </c>
      <c r="AU973" s="25">
        <f>SUM(T973:W973)</f>
        <v>5.5750000000000002</v>
      </c>
      <c r="AV973" s="22"/>
      <c r="AW973" s="41"/>
      <c r="AX973" s="41"/>
      <c r="AY973" s="41"/>
      <c r="AZ973" s="41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  <c r="CH973" s="22"/>
      <c r="CI973" s="22"/>
      <c r="CJ973" s="22"/>
    </row>
    <row r="974" spans="1:88">
      <c r="A974" s="1">
        <v>2179</v>
      </c>
      <c r="B974" s="34" t="s">
        <v>2798</v>
      </c>
      <c r="C974" s="34">
        <v>311</v>
      </c>
      <c r="D974" s="75">
        <v>4135</v>
      </c>
      <c r="E974" s="8">
        <v>100</v>
      </c>
      <c r="F974" s="9" t="s">
        <v>2818</v>
      </c>
      <c r="G974" s="20">
        <v>0</v>
      </c>
      <c r="H974" s="20">
        <v>10187</v>
      </c>
      <c r="I974" s="21">
        <v>10.186999999999999</v>
      </c>
      <c r="J974" s="8">
        <v>2</v>
      </c>
      <c r="K974" s="8" t="s">
        <v>238</v>
      </c>
      <c r="L974" s="18">
        <v>42147</v>
      </c>
      <c r="M974" s="37" t="s">
        <v>191</v>
      </c>
      <c r="N974" s="38">
        <v>6.625</v>
      </c>
      <c r="O974" s="38">
        <v>2.2749999999999999</v>
      </c>
      <c r="P974" s="38">
        <v>0.75</v>
      </c>
      <c r="Q974" s="38">
        <v>0.45</v>
      </c>
      <c r="R974" s="38">
        <v>2.51797</v>
      </c>
      <c r="S974" s="38">
        <f t="shared" si="126"/>
        <v>2.5</v>
      </c>
      <c r="T974" s="38">
        <v>9.0250000000000004</v>
      </c>
      <c r="U974" s="38">
        <v>0.9</v>
      </c>
      <c r="V974" s="38">
        <v>0.125</v>
      </c>
      <c r="W974" s="38">
        <v>0.05</v>
      </c>
      <c r="X974" s="38">
        <v>5.9420799999999998</v>
      </c>
      <c r="Y974" s="38">
        <f t="shared" si="127"/>
        <v>6</v>
      </c>
      <c r="Z974" s="38">
        <v>0</v>
      </c>
      <c r="AA974" s="38">
        <v>0</v>
      </c>
      <c r="AB974" s="38">
        <v>10.1</v>
      </c>
      <c r="AC974" s="38">
        <v>1.1957599999999999</v>
      </c>
      <c r="AD974" s="39">
        <v>66.680000000000007</v>
      </c>
      <c r="AE974" s="38">
        <v>0</v>
      </c>
      <c r="AF974" s="38">
        <f>(AD974+AE974*0.5)/(3.5*I974*1000)*100</f>
        <v>0.18701706656943726</v>
      </c>
      <c r="AG974" s="38">
        <f t="shared" si="128"/>
        <v>0.2</v>
      </c>
      <c r="AH974" s="38">
        <v>7.54</v>
      </c>
      <c r="AI974" s="38">
        <f>AH974/(3.5*I974*1000)*100</f>
        <v>2.1147400748853584E-2</v>
      </c>
      <c r="AJ974" s="38">
        <v>0</v>
      </c>
      <c r="AK974" s="38">
        <f>AJ974/(3.5*I974*1000)*100</f>
        <v>0</v>
      </c>
      <c r="AL974" s="38">
        <v>0</v>
      </c>
      <c r="AM974" s="38">
        <f>AL974/(3.5*I974*1000)*100</f>
        <v>0</v>
      </c>
      <c r="AN974" s="72"/>
      <c r="AO974" s="41"/>
      <c r="AP974" s="41"/>
      <c r="AQ974" s="41">
        <f>SUM(N974:Q974)</f>
        <v>10.1</v>
      </c>
      <c r="AR974" s="41">
        <f>SUM(T974:W974)</f>
        <v>10.100000000000001</v>
      </c>
      <c r="AS974" s="12">
        <f>SUM(Z974:AB974)</f>
        <v>10.1</v>
      </c>
      <c r="AU974" s="1">
        <f>I974/AQ974</f>
        <v>1.0086138613861386</v>
      </c>
      <c r="AV974" s="1">
        <f>I974/AR974</f>
        <v>1.0086138613861384</v>
      </c>
      <c r="AW974" s="1">
        <f>I974/AS974</f>
        <v>1.0086138613861386</v>
      </c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  <c r="CH974" s="22"/>
      <c r="CI974" s="22"/>
      <c r="CJ974" s="22"/>
    </row>
    <row r="975" spans="1:88">
      <c r="A975" s="1">
        <v>1376</v>
      </c>
      <c r="B975" s="74" t="s">
        <v>1905</v>
      </c>
      <c r="C975" s="34">
        <v>445</v>
      </c>
      <c r="D975" s="75">
        <v>3422</v>
      </c>
      <c r="E975" s="69">
        <v>100</v>
      </c>
      <c r="F975" s="184" t="s">
        <v>1927</v>
      </c>
      <c r="G975" s="20">
        <v>32355</v>
      </c>
      <c r="H975" s="20">
        <v>0</v>
      </c>
      <c r="I975" s="21">
        <v>32.354999999999997</v>
      </c>
      <c r="J975" s="8">
        <v>4</v>
      </c>
      <c r="K975" s="34" t="s">
        <v>96</v>
      </c>
      <c r="L975" s="10">
        <v>42207</v>
      </c>
      <c r="M975" s="37" t="s">
        <v>191</v>
      </c>
      <c r="N975" s="38">
        <v>22.925000000000001</v>
      </c>
      <c r="O975" s="38">
        <v>6.125</v>
      </c>
      <c r="P975" s="38">
        <v>2.0499999999999998</v>
      </c>
      <c r="Q975" s="38">
        <v>1.35</v>
      </c>
      <c r="R975" s="38">
        <v>2.37798</v>
      </c>
      <c r="S975" s="38">
        <f t="shared" si="126"/>
        <v>2.5</v>
      </c>
      <c r="T975" s="38">
        <v>23.5</v>
      </c>
      <c r="U975" s="38">
        <v>6</v>
      </c>
      <c r="V975" s="38">
        <v>2.0499999999999998</v>
      </c>
      <c r="W975" s="38">
        <v>0.9</v>
      </c>
      <c r="X975" s="38">
        <v>7.9175599999999999</v>
      </c>
      <c r="Y975" s="38">
        <f t="shared" si="127"/>
        <v>8</v>
      </c>
      <c r="Z975" s="38">
        <v>0</v>
      </c>
      <c r="AA975" s="38">
        <v>0</v>
      </c>
      <c r="AB975" s="38">
        <v>32.450000000000003</v>
      </c>
      <c r="AC975" s="38">
        <v>1.11816</v>
      </c>
      <c r="AD975" s="39">
        <v>161</v>
      </c>
      <c r="AE975" s="38">
        <v>100</v>
      </c>
      <c r="AF975" s="38">
        <v>0.1863258052409652</v>
      </c>
      <c r="AG975" s="38">
        <f t="shared" si="128"/>
        <v>0.2</v>
      </c>
      <c r="AH975" s="38">
        <v>0</v>
      </c>
      <c r="AI975" s="38">
        <v>0</v>
      </c>
      <c r="AJ975" s="38">
        <v>514</v>
      </c>
      <c r="AK975" s="38">
        <v>0.45389319380974463</v>
      </c>
      <c r="AL975" s="38">
        <v>2</v>
      </c>
      <c r="AM975" s="38">
        <v>1.7661213766916135E-3</v>
      </c>
      <c r="AN975" s="72"/>
      <c r="AO975" s="41"/>
      <c r="AP975" s="41"/>
      <c r="AQ975" s="41"/>
      <c r="AR975" s="41"/>
      <c r="AS975" s="73"/>
      <c r="AT975" s="73"/>
      <c r="AU975" s="73"/>
      <c r="AV975" s="73"/>
    </row>
    <row r="976" spans="1:88">
      <c r="A976" s="1">
        <v>991</v>
      </c>
      <c r="B976" s="34" t="s">
        <v>1380</v>
      </c>
      <c r="C976" s="34">
        <v>614</v>
      </c>
      <c r="D976" s="8">
        <v>2298</v>
      </c>
      <c r="E976" s="34">
        <v>100</v>
      </c>
      <c r="F976" s="34" t="s">
        <v>1389</v>
      </c>
      <c r="G976" s="58">
        <v>0</v>
      </c>
      <c r="H976" s="58">
        <v>14063</v>
      </c>
      <c r="I976" s="35">
        <v>14.063000000000001</v>
      </c>
      <c r="J976" s="9">
        <v>2</v>
      </c>
      <c r="K976" s="34" t="s">
        <v>238</v>
      </c>
      <c r="L976" s="10">
        <v>42125</v>
      </c>
      <c r="M976" s="37" t="s">
        <v>191</v>
      </c>
      <c r="N976" s="38">
        <v>11.175000000000001</v>
      </c>
      <c r="O976" s="38">
        <v>1.85</v>
      </c>
      <c r="P976" s="38">
        <v>0.3</v>
      </c>
      <c r="Q976" s="38">
        <v>0.05</v>
      </c>
      <c r="R976" s="38">
        <v>2.0001699999999998</v>
      </c>
      <c r="S976" s="38">
        <f t="shared" si="126"/>
        <v>2</v>
      </c>
      <c r="T976" s="38">
        <v>13.324999999999999</v>
      </c>
      <c r="U976" s="38">
        <v>0.05</v>
      </c>
      <c r="V976" s="38">
        <v>0</v>
      </c>
      <c r="W976" s="38">
        <v>0</v>
      </c>
      <c r="X976" s="38">
        <v>2.8862199999999998</v>
      </c>
      <c r="Y976" s="38">
        <f t="shared" si="127"/>
        <v>3</v>
      </c>
      <c r="Z976" s="38">
        <v>0</v>
      </c>
      <c r="AA976" s="38">
        <v>0</v>
      </c>
      <c r="AB976" s="38">
        <f>SUM(N976:Q976)</f>
        <v>13.375000000000002</v>
      </c>
      <c r="AC976" s="38">
        <v>1.16913</v>
      </c>
      <c r="AD976" s="39">
        <v>90.98</v>
      </c>
      <c r="AE976" s="38">
        <v>0</v>
      </c>
      <c r="AF976" s="11">
        <f>(AD976+AE976*0.5)/(3.5*I976*1000)*100</f>
        <v>0.18484168181956706</v>
      </c>
      <c r="AG976" s="38">
        <f t="shared" si="128"/>
        <v>0.2</v>
      </c>
      <c r="AH976" s="38">
        <v>8.42</v>
      </c>
      <c r="AI976" s="38">
        <f>AH976/(3.5*I976*1000)*100</f>
        <v>1.7106693349315832E-2</v>
      </c>
      <c r="AJ976" s="38">
        <v>0</v>
      </c>
      <c r="AK976" s="38">
        <f>AJ976/(3.5*I976*1000)*100</f>
        <v>0</v>
      </c>
      <c r="AL976" s="38">
        <v>0</v>
      </c>
      <c r="AM976" s="38">
        <f>AL976/(3.5*I976*1000)*100</f>
        <v>0</v>
      </c>
      <c r="AN976" s="25"/>
      <c r="AO976" s="25">
        <f>(AD976+AH976+AJ976+AL976)*I976</f>
        <v>1397.8622</v>
      </c>
      <c r="AP976" s="25"/>
      <c r="AQ976" s="25">
        <f>SUM(N976:Q976)</f>
        <v>13.375000000000002</v>
      </c>
      <c r="AR976" s="25">
        <f>SUM(T976:W976)</f>
        <v>13.375</v>
      </c>
      <c r="AS976" s="268">
        <v>14.063000000000001</v>
      </c>
      <c r="AT976" s="41"/>
      <c r="AU976" s="41"/>
      <c r="AV976" s="41"/>
    </row>
    <row r="977" spans="1:88">
      <c r="A977" s="1">
        <v>516</v>
      </c>
      <c r="B977" s="88" t="s">
        <v>871</v>
      </c>
      <c r="C977" s="88">
        <v>557</v>
      </c>
      <c r="D977" s="88">
        <v>1046</v>
      </c>
      <c r="E977" s="88">
        <v>100</v>
      </c>
      <c r="F977" s="88" t="s">
        <v>883</v>
      </c>
      <c r="G977" s="88" t="s">
        <v>884</v>
      </c>
      <c r="H977" s="88" t="s">
        <v>92</v>
      </c>
      <c r="I977" s="115">
        <v>14.596</v>
      </c>
      <c r="J977" s="88" t="s">
        <v>12</v>
      </c>
      <c r="K977" s="88">
        <v>2</v>
      </c>
      <c r="L977" s="116">
        <v>42271</v>
      </c>
      <c r="M977" s="37" t="s">
        <v>191</v>
      </c>
      <c r="N977" s="38">
        <v>9.8000000000000007</v>
      </c>
      <c r="O977" s="38">
        <v>3.2250000000000001</v>
      </c>
      <c r="P977" s="38">
        <v>1.075</v>
      </c>
      <c r="Q977" s="38">
        <v>0.48</v>
      </c>
      <c r="R977" s="38">
        <v>2.45763</v>
      </c>
      <c r="S977" s="38">
        <f t="shared" si="126"/>
        <v>2.5</v>
      </c>
      <c r="T977" s="38">
        <v>14.5</v>
      </c>
      <c r="U977" s="38">
        <v>7.4999999999999997E-2</v>
      </c>
      <c r="V977" s="38">
        <v>0</v>
      </c>
      <c r="W977" s="38">
        <v>0</v>
      </c>
      <c r="X977" s="38">
        <v>3.0355400000000001</v>
      </c>
      <c r="Y977" s="38">
        <f t="shared" si="127"/>
        <v>3</v>
      </c>
      <c r="Z977" s="117">
        <v>0</v>
      </c>
      <c r="AA977" s="117">
        <v>0</v>
      </c>
      <c r="AB977" s="117">
        <v>14.58</v>
      </c>
      <c r="AC977" s="117">
        <v>1.1504399999999999</v>
      </c>
      <c r="AD977" s="254">
        <v>77.12</v>
      </c>
      <c r="AE977" s="117">
        <v>34.119999999999997</v>
      </c>
      <c r="AF977" s="117">
        <v>0.18435599999999999</v>
      </c>
      <c r="AG977" s="38">
        <f t="shared" si="128"/>
        <v>0.2</v>
      </c>
      <c r="AH977" s="117">
        <v>88.49</v>
      </c>
      <c r="AI977" s="117">
        <v>0.17321800000000001</v>
      </c>
      <c r="AJ977" s="117">
        <v>0</v>
      </c>
      <c r="AK977" s="117">
        <v>0</v>
      </c>
      <c r="AL977" s="117">
        <v>0</v>
      </c>
      <c r="AM977" s="117">
        <v>0</v>
      </c>
      <c r="AN977" s="25"/>
      <c r="AO977" s="25"/>
      <c r="AP977" s="22"/>
      <c r="AQ977" s="22"/>
    </row>
    <row r="978" spans="1:88">
      <c r="A978" s="1">
        <v>1485</v>
      </c>
      <c r="B978" s="34" t="s">
        <v>2016</v>
      </c>
      <c r="C978" s="34">
        <v>411</v>
      </c>
      <c r="D978" s="69">
        <v>3701</v>
      </c>
      <c r="E978" s="34">
        <v>100</v>
      </c>
      <c r="F978" s="34" t="s">
        <v>2039</v>
      </c>
      <c r="G978" s="20" t="s">
        <v>2044</v>
      </c>
      <c r="H978" s="20" t="s">
        <v>2045</v>
      </c>
      <c r="I978" s="188">
        <v>7.2530000000000001</v>
      </c>
      <c r="J978" s="34">
        <v>2</v>
      </c>
      <c r="K978" s="34" t="s">
        <v>238</v>
      </c>
      <c r="L978" s="10">
        <v>42248</v>
      </c>
      <c r="M978" s="37" t="s">
        <v>191</v>
      </c>
      <c r="N978" s="38">
        <v>3.2749999999999999</v>
      </c>
      <c r="O978" s="38">
        <v>2.0249999999999999</v>
      </c>
      <c r="P978" s="38">
        <v>1.05</v>
      </c>
      <c r="Q978" s="38">
        <v>0.95</v>
      </c>
      <c r="R978" s="38">
        <v>3.16</v>
      </c>
      <c r="S978" s="38">
        <f t="shared" si="126"/>
        <v>3</v>
      </c>
      <c r="T978" s="38">
        <v>7.1749999999999998</v>
      </c>
      <c r="U978" s="38">
        <v>0.125</v>
      </c>
      <c r="V978" s="38">
        <v>0</v>
      </c>
      <c r="W978" s="38">
        <v>0</v>
      </c>
      <c r="X978" s="38">
        <v>4.2270000000000003</v>
      </c>
      <c r="Y978" s="38">
        <f t="shared" si="127"/>
        <v>4</v>
      </c>
      <c r="Z978" s="38">
        <v>0</v>
      </c>
      <c r="AA978" s="38">
        <v>0</v>
      </c>
      <c r="AB978" s="38">
        <f>SUM(T978:W978)</f>
        <v>7.3</v>
      </c>
      <c r="AC978" s="38">
        <v>1.1599999999999999</v>
      </c>
      <c r="AD978" s="39">
        <v>0</v>
      </c>
      <c r="AE978" s="38">
        <v>93.46</v>
      </c>
      <c r="AF978" s="38">
        <f>(AD978+AE978*0.5)/(3.5*I978*1000)*100</f>
        <v>0.18408146382777568</v>
      </c>
      <c r="AG978" s="38">
        <f t="shared" si="128"/>
        <v>0.2</v>
      </c>
      <c r="AH978" s="38">
        <v>736</v>
      </c>
      <c r="AI978" s="38">
        <f>AH978/(3.5*I978*1000)*100</f>
        <v>2.899292903429123</v>
      </c>
      <c r="AJ978" s="38">
        <v>546.64</v>
      </c>
      <c r="AK978" s="38">
        <f>AJ978/(3.5*I978*1000)*100</f>
        <v>2.1533552618620866</v>
      </c>
      <c r="AL978" s="38">
        <v>16</v>
      </c>
      <c r="AM978" s="38">
        <f>AL978/(3.5*I978*1000)*100</f>
        <v>6.3028106596285285E-2</v>
      </c>
      <c r="AN978" s="60"/>
      <c r="AO978" s="60">
        <f>AE978*0.5</f>
        <v>46.73</v>
      </c>
      <c r="AP978" s="60">
        <f>(AD978+AH978+AJ978+AL978+AO978)*I978</f>
        <v>9757.9686099999999</v>
      </c>
      <c r="AQ978" s="60"/>
      <c r="AR978" s="60"/>
      <c r="AS978" s="60"/>
      <c r="AT978" s="60"/>
      <c r="AU978" s="61"/>
      <c r="AV978" s="40"/>
      <c r="AW978" s="40"/>
      <c r="AX978" s="40"/>
      <c r="AY978" s="40"/>
      <c r="AZ978" s="61"/>
      <c r="BA978" s="61"/>
      <c r="BB978" s="61"/>
      <c r="BC978" s="61"/>
      <c r="BD978" s="61"/>
      <c r="BE978" s="61"/>
      <c r="BF978" s="61"/>
      <c r="BG978" s="61"/>
      <c r="BH978" s="61"/>
      <c r="BI978" s="61"/>
      <c r="BJ978" s="61"/>
      <c r="BK978" s="61"/>
      <c r="BL978" s="61"/>
      <c r="BM978" s="61"/>
      <c r="BN978" s="61"/>
      <c r="BO978" s="61"/>
      <c r="BP978" s="61"/>
      <c r="BQ978" s="61"/>
      <c r="BR978" s="61"/>
      <c r="BS978" s="61"/>
      <c r="BT978" s="61"/>
      <c r="BU978" s="61"/>
      <c r="BV978" s="61"/>
      <c r="BW978" s="61"/>
      <c r="BX978" s="61"/>
      <c r="BY978" s="61"/>
      <c r="BZ978" s="61"/>
      <c r="CA978" s="61"/>
      <c r="CB978" s="61"/>
      <c r="CC978" s="61"/>
      <c r="CD978" s="61"/>
      <c r="CE978" s="61"/>
      <c r="CF978" s="61"/>
      <c r="CG978" s="61"/>
      <c r="CH978" s="61"/>
      <c r="CI978" s="61"/>
      <c r="CJ978" s="61"/>
    </row>
    <row r="979" spans="1:88" s="22" customFormat="1">
      <c r="A979" s="1">
        <v>1704</v>
      </c>
      <c r="B979" s="34" t="s">
        <v>2279</v>
      </c>
      <c r="C979" s="34">
        <v>421</v>
      </c>
      <c r="D979" s="8">
        <v>3702</v>
      </c>
      <c r="E979" s="34">
        <v>300</v>
      </c>
      <c r="F979" s="34" t="s">
        <v>2301</v>
      </c>
      <c r="G979" s="58" t="s">
        <v>2222</v>
      </c>
      <c r="H979" s="58" t="s">
        <v>2302</v>
      </c>
      <c r="I979" s="35">
        <v>0.875</v>
      </c>
      <c r="J979" s="9">
        <v>2</v>
      </c>
      <c r="K979" s="34" t="s">
        <v>238</v>
      </c>
      <c r="L979" s="10">
        <v>42227</v>
      </c>
      <c r="M979" s="37" t="s">
        <v>191</v>
      </c>
      <c r="N979" s="38">
        <v>0.27500000000000002</v>
      </c>
      <c r="O979" s="38">
        <v>0.57499999999999996</v>
      </c>
      <c r="P979" s="38">
        <v>7.4999999999999997E-2</v>
      </c>
      <c r="Q979" s="38">
        <v>0</v>
      </c>
      <c r="R979" s="38">
        <v>2.762</v>
      </c>
      <c r="S979" s="38">
        <f t="shared" si="126"/>
        <v>3</v>
      </c>
      <c r="T979" s="38">
        <v>0.75</v>
      </c>
      <c r="U979" s="38">
        <v>0.05</v>
      </c>
      <c r="V979" s="38">
        <v>2.5000000000000001E-2</v>
      </c>
      <c r="W979" s="38">
        <v>0.1</v>
      </c>
      <c r="X979" s="38">
        <v>9.6609999999999996</v>
      </c>
      <c r="Y979" s="38">
        <f t="shared" si="127"/>
        <v>9.5</v>
      </c>
      <c r="Z979" s="38">
        <v>0</v>
      </c>
      <c r="AA979" s="38">
        <v>0</v>
      </c>
      <c r="AB979" s="38">
        <v>0.875</v>
      </c>
      <c r="AC979" s="38">
        <v>1.2150000000000001</v>
      </c>
      <c r="AD979" s="39">
        <v>5.63</v>
      </c>
      <c r="AE979" s="38">
        <v>0</v>
      </c>
      <c r="AF979" s="38">
        <f>(AD979+AE979*0.5)/(3.5*I979*1000)*100</f>
        <v>0.18383673469387754</v>
      </c>
      <c r="AG979" s="38">
        <f t="shared" si="128"/>
        <v>0.2</v>
      </c>
      <c r="AH979" s="38">
        <v>0</v>
      </c>
      <c r="AI979" s="38">
        <f>AH979/(3.5*I979*1000)*100</f>
        <v>0</v>
      </c>
      <c r="AJ979" s="38">
        <v>0</v>
      </c>
      <c r="AK979" s="38">
        <f>AJ979/(3.5*I979*1000)*100</f>
        <v>0</v>
      </c>
      <c r="AL979" s="38">
        <v>0</v>
      </c>
      <c r="AM979" s="38">
        <f>AL979/(3.5*I979*1000)*100</f>
        <v>0</v>
      </c>
      <c r="AN979" s="25"/>
      <c r="AO979" s="25">
        <f>AE979*0.5</f>
        <v>0</v>
      </c>
      <c r="AP979" s="25">
        <f>(AD979+AH979+AJ979+AL979+AO979)*I979</f>
        <v>4.9262499999999996</v>
      </c>
      <c r="AQ979" s="25">
        <f>SUM(N979:Q979)</f>
        <v>0.92499999999999993</v>
      </c>
      <c r="AR979" s="25">
        <f>SUM(T979:W979)</f>
        <v>0.92500000000000004</v>
      </c>
      <c r="AT979" s="41"/>
      <c r="AU979" s="41"/>
      <c r="AV979" s="41"/>
      <c r="AW979" s="41"/>
    </row>
    <row r="980" spans="1:88">
      <c r="A980" s="1">
        <v>1931</v>
      </c>
      <c r="B980" s="34" t="s">
        <v>2559</v>
      </c>
      <c r="C980" s="34">
        <v>338</v>
      </c>
      <c r="D980" s="75">
        <v>3410</v>
      </c>
      <c r="E980" s="8">
        <v>100</v>
      </c>
      <c r="F980" s="9" t="s">
        <v>2577</v>
      </c>
      <c r="G980" s="20">
        <v>43982</v>
      </c>
      <c r="H980" s="20">
        <v>0</v>
      </c>
      <c r="I980" s="21">
        <v>43.981999999999999</v>
      </c>
      <c r="J980" s="8">
        <v>2</v>
      </c>
      <c r="K980" s="8" t="s">
        <v>12</v>
      </c>
      <c r="L980" s="18">
        <v>42096</v>
      </c>
      <c r="M980" s="247" t="s">
        <v>191</v>
      </c>
      <c r="N980" s="38">
        <v>21.44</v>
      </c>
      <c r="O980" s="38">
        <v>14.48</v>
      </c>
      <c r="P980" s="38">
        <v>5.9</v>
      </c>
      <c r="Q980" s="38">
        <v>2.16</v>
      </c>
      <c r="R980" s="38">
        <v>2.7639100000000001</v>
      </c>
      <c r="S980" s="38">
        <f t="shared" si="126"/>
        <v>3</v>
      </c>
      <c r="T980" s="38">
        <v>42.33</v>
      </c>
      <c r="U980" s="38">
        <v>1.31</v>
      </c>
      <c r="V980" s="38">
        <v>0.13</v>
      </c>
      <c r="W980" s="38">
        <v>0.21</v>
      </c>
      <c r="X980" s="38">
        <v>3.5653199999999998</v>
      </c>
      <c r="Y980" s="38">
        <f t="shared" si="127"/>
        <v>3.5</v>
      </c>
      <c r="Z980" s="38">
        <v>0</v>
      </c>
      <c r="AA980" s="38">
        <v>0</v>
      </c>
      <c r="AB980" s="38">
        <v>43.98</v>
      </c>
      <c r="AC980" s="38">
        <v>1.3068900000000001</v>
      </c>
      <c r="AD980" s="39">
        <v>136</v>
      </c>
      <c r="AE980" s="38">
        <v>293.77</v>
      </c>
      <c r="AF980" s="38">
        <v>0.18376673574254401</v>
      </c>
      <c r="AG980" s="38">
        <f t="shared" si="128"/>
        <v>0.2</v>
      </c>
      <c r="AH980" s="38">
        <v>69.34</v>
      </c>
      <c r="AI980" s="38">
        <v>4.5044401281043547E-2</v>
      </c>
      <c r="AJ980" s="38">
        <v>4</v>
      </c>
      <c r="AK980" s="38">
        <v>2.5984656060596216E-3</v>
      </c>
      <c r="AL980" s="38">
        <v>2</v>
      </c>
      <c r="AM980" s="38">
        <f>AL980/(3.5*I980*1000)*100</f>
        <v>1.2992328030298108E-3</v>
      </c>
      <c r="AN980" s="41"/>
      <c r="AO980" s="73"/>
      <c r="AP980" s="41"/>
      <c r="AQ980" s="41">
        <f>SUM(N980:Q980)</f>
        <v>43.980000000000004</v>
      </c>
      <c r="AR980" s="41">
        <f>SUM(T980:W980)</f>
        <v>43.980000000000004</v>
      </c>
      <c r="AS980" s="12">
        <f>SUM(Z980:AB980)</f>
        <v>43.98</v>
      </c>
      <c r="AU980" s="1">
        <f>I980/AQ980</f>
        <v>1.0000454752160071</v>
      </c>
      <c r="AV980" s="1">
        <f>I980/AR980</f>
        <v>1.0000454752160071</v>
      </c>
      <c r="AW980" s="1">
        <f>I980/AS980</f>
        <v>1.0000454752160073</v>
      </c>
      <c r="AX980" s="1">
        <f>AT980/I1005</f>
        <v>0</v>
      </c>
    </row>
    <row r="981" spans="1:88" s="22" customFormat="1">
      <c r="A981" s="1">
        <v>2</v>
      </c>
      <c r="B981" s="4" t="s">
        <v>8</v>
      </c>
      <c r="C981" s="5">
        <v>521</v>
      </c>
      <c r="D981" s="5">
        <v>108</v>
      </c>
      <c r="E981" s="5">
        <v>101</v>
      </c>
      <c r="F981" s="5" t="s">
        <v>219</v>
      </c>
      <c r="G981" s="6">
        <v>49615</v>
      </c>
      <c r="H981" s="6">
        <v>14714</v>
      </c>
      <c r="I981" s="7">
        <v>34.901000000000003</v>
      </c>
      <c r="J981" s="8">
        <v>4</v>
      </c>
      <c r="K981" s="9" t="s">
        <v>96</v>
      </c>
      <c r="L981" s="10">
        <v>42223</v>
      </c>
      <c r="M981" s="37" t="s">
        <v>191</v>
      </c>
      <c r="N981" s="11">
        <v>19.55</v>
      </c>
      <c r="O981" s="11">
        <v>7.75</v>
      </c>
      <c r="P981" s="11">
        <v>5.6749999999999998</v>
      </c>
      <c r="Q981" s="11">
        <v>0.95</v>
      </c>
      <c r="R981" s="11">
        <v>3.5139999999999998</v>
      </c>
      <c r="S981" s="38">
        <f t="shared" si="126"/>
        <v>3.5</v>
      </c>
      <c r="T981" s="11">
        <v>27.3</v>
      </c>
      <c r="U981" s="11">
        <v>6.625</v>
      </c>
      <c r="V981" s="11">
        <v>0</v>
      </c>
      <c r="W981" s="11">
        <v>0</v>
      </c>
      <c r="X981" s="11">
        <v>3.8119999999999998</v>
      </c>
      <c r="Y981" s="38">
        <f t="shared" si="127"/>
        <v>4</v>
      </c>
      <c r="Z981" s="11">
        <v>0</v>
      </c>
      <c r="AA981" s="11">
        <v>0</v>
      </c>
      <c r="AB981" s="11">
        <v>33.925000000000004</v>
      </c>
      <c r="AC981" s="11">
        <v>1.089</v>
      </c>
      <c r="AD981" s="164">
        <v>214.3</v>
      </c>
      <c r="AE981" s="11">
        <v>18.690000000000001</v>
      </c>
      <c r="AF981" s="11">
        <f>(AD981+AE981*0.5)/(3.5*I981*1000)*100</f>
        <v>0.18308521655130633</v>
      </c>
      <c r="AG981" s="38">
        <f t="shared" si="128"/>
        <v>0.2</v>
      </c>
      <c r="AH981" s="11">
        <v>12.32</v>
      </c>
      <c r="AI981" s="11">
        <f>AH981/(3.5*I981*1000)*100</f>
        <v>1.0085670897682013E-2</v>
      </c>
      <c r="AJ981" s="11">
        <v>9.8000000000000007</v>
      </c>
      <c r="AK981" s="11">
        <f>AJ981/(3.5*I981*1000)*100</f>
        <v>8.0226927595197835E-3</v>
      </c>
      <c r="AL981" s="11">
        <v>1</v>
      </c>
      <c r="AM981" s="11">
        <f>AL981/(3.5*I981*1000)*100</f>
        <v>8.1864211831834521E-4</v>
      </c>
      <c r="AN981" s="1"/>
      <c r="AO981" s="1"/>
      <c r="AP981" s="1"/>
      <c r="AQ981" s="12">
        <f>N981+O981+P981+Q981</f>
        <v>33.925000000000004</v>
      </c>
      <c r="AR981" s="12">
        <f>T981+U981+V981+W981</f>
        <v>33.924999999999997</v>
      </c>
      <c r="AS981" s="12">
        <f>Z981+AA981+AB981</f>
        <v>33.925000000000004</v>
      </c>
      <c r="AT981" s="1"/>
      <c r="AU981" s="1">
        <v>0.97203518523824539</v>
      </c>
      <c r="AV981" s="1">
        <v>0.97203518523824517</v>
      </c>
      <c r="AW981" s="1">
        <v>0.97203518523824539</v>
      </c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</row>
    <row r="982" spans="1:88" s="22" customFormat="1">
      <c r="A982" s="1">
        <v>1242</v>
      </c>
      <c r="B982" s="34" t="s">
        <v>1725</v>
      </c>
      <c r="C982" s="88">
        <v>437</v>
      </c>
      <c r="D982" s="88">
        <v>3327</v>
      </c>
      <c r="E982" s="88">
        <v>100</v>
      </c>
      <c r="F982" s="88" t="s">
        <v>1757</v>
      </c>
      <c r="G982" s="88" t="s">
        <v>92</v>
      </c>
      <c r="H982" s="88" t="s">
        <v>1502</v>
      </c>
      <c r="I982" s="115">
        <v>8</v>
      </c>
      <c r="J982" s="88">
        <v>2</v>
      </c>
      <c r="K982" s="181" t="s">
        <v>238</v>
      </c>
      <c r="L982" s="116">
        <v>42282</v>
      </c>
      <c r="M982" s="37" t="s">
        <v>191</v>
      </c>
      <c r="N982" s="38">
        <v>4.05</v>
      </c>
      <c r="O982" s="38">
        <v>2.25</v>
      </c>
      <c r="P982" s="38">
        <v>1.0249999999999999</v>
      </c>
      <c r="Q982" s="38">
        <v>0.7</v>
      </c>
      <c r="R982" s="38">
        <v>2.9079100000000002</v>
      </c>
      <c r="S982" s="38">
        <f t="shared" si="126"/>
        <v>3</v>
      </c>
      <c r="T982" s="38">
        <v>7.55</v>
      </c>
      <c r="U982" s="38">
        <v>0.42499999999999999</v>
      </c>
      <c r="V982" s="38">
        <v>0.05</v>
      </c>
      <c r="W982" s="38">
        <v>0</v>
      </c>
      <c r="X982" s="38">
        <v>4.5149800000000004</v>
      </c>
      <c r="Y982" s="38">
        <f t="shared" si="127"/>
        <v>4.5</v>
      </c>
      <c r="Z982" s="38">
        <v>0</v>
      </c>
      <c r="AA982" s="117">
        <v>0</v>
      </c>
      <c r="AB982" s="117">
        <v>8</v>
      </c>
      <c r="AC982" s="117">
        <v>1.13123</v>
      </c>
      <c r="AD982" s="254">
        <v>48.9</v>
      </c>
      <c r="AE982" s="117">
        <v>4.6900000000000004</v>
      </c>
      <c r="AF982" s="117">
        <f>(AD982+AE982*0.5)/(3.5*I982*1000)*100</f>
        <v>0.18301785714285715</v>
      </c>
      <c r="AG982" s="38">
        <f t="shared" si="128"/>
        <v>0.2</v>
      </c>
      <c r="AH982" s="117">
        <v>4.21</v>
      </c>
      <c r="AI982" s="117">
        <f>AH982/(3.5*I982*1000)*100</f>
        <v>1.5035714285714286E-2</v>
      </c>
      <c r="AJ982" s="117">
        <v>1.2250000000000001</v>
      </c>
      <c r="AK982" s="117">
        <f>AJ982/(3.5*I982*1000)*100</f>
        <v>4.3750000000000004E-3</v>
      </c>
      <c r="AL982" s="117">
        <v>0</v>
      </c>
      <c r="AM982" s="117">
        <f>AJ982/(3.5*I982*1000)*100</f>
        <v>4.3750000000000004E-3</v>
      </c>
      <c r="AN982" s="12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</row>
    <row r="983" spans="1:88">
      <c r="A983" s="1">
        <v>1354</v>
      </c>
      <c r="B983" s="74" t="s">
        <v>1905</v>
      </c>
      <c r="C983" s="34">
        <v>445</v>
      </c>
      <c r="D983" s="75">
        <v>324</v>
      </c>
      <c r="E983" s="69">
        <v>201</v>
      </c>
      <c r="F983" s="9" t="s">
        <v>1906</v>
      </c>
      <c r="G983" s="20" t="s">
        <v>1907</v>
      </c>
      <c r="H983" s="20" t="s">
        <v>560</v>
      </c>
      <c r="I983" s="21">
        <v>31.7</v>
      </c>
      <c r="J983" s="8">
        <v>4</v>
      </c>
      <c r="K983" s="34" t="s">
        <v>96</v>
      </c>
      <c r="L983" s="10">
        <v>42188</v>
      </c>
      <c r="M983" s="37" t="s">
        <v>191</v>
      </c>
      <c r="N983" s="38">
        <v>25.4</v>
      </c>
      <c r="O983" s="38">
        <v>4.1500000000000004</v>
      </c>
      <c r="P983" s="38">
        <v>1.075</v>
      </c>
      <c r="Q983" s="38">
        <v>0.97499999999999998</v>
      </c>
      <c r="R983" s="38">
        <v>2.06237</v>
      </c>
      <c r="S983" s="38">
        <f t="shared" si="126"/>
        <v>2</v>
      </c>
      <c r="T983" s="38">
        <v>27.6</v>
      </c>
      <c r="U983" s="38">
        <v>2.875</v>
      </c>
      <c r="V983" s="38">
        <v>0.72499999999999998</v>
      </c>
      <c r="W983" s="38">
        <v>0.4</v>
      </c>
      <c r="X983" s="38">
        <v>5.8982799999999997</v>
      </c>
      <c r="Y983" s="38">
        <f t="shared" si="127"/>
        <v>6</v>
      </c>
      <c r="Z983" s="38">
        <v>0</v>
      </c>
      <c r="AA983" s="38">
        <v>0</v>
      </c>
      <c r="AB983" s="38">
        <v>31.599999999999998</v>
      </c>
      <c r="AC983" s="38">
        <v>1.13784</v>
      </c>
      <c r="AD983" s="39">
        <v>203</v>
      </c>
      <c r="AE983" s="38">
        <v>0</v>
      </c>
      <c r="AF983" s="38">
        <v>0.18296529968454259</v>
      </c>
      <c r="AG983" s="38">
        <f t="shared" si="128"/>
        <v>0.2</v>
      </c>
      <c r="AH983" s="38">
        <v>0</v>
      </c>
      <c r="AI983" s="38">
        <v>0</v>
      </c>
      <c r="AJ983" s="38">
        <v>0</v>
      </c>
      <c r="AK983" s="38">
        <v>0</v>
      </c>
      <c r="AL983" s="38">
        <v>0</v>
      </c>
      <c r="AM983" s="38">
        <v>0</v>
      </c>
      <c r="AN983" s="72"/>
      <c r="AO983" s="41"/>
      <c r="AP983" s="41"/>
      <c r="AQ983" s="41"/>
      <c r="AR983" s="41"/>
      <c r="AS983" s="48"/>
      <c r="AT983" s="73"/>
      <c r="AU983" s="73"/>
      <c r="AV983" s="73"/>
    </row>
    <row r="984" spans="1:88" s="100" customFormat="1">
      <c r="A984" s="1">
        <v>1113</v>
      </c>
      <c r="B984" s="9" t="s">
        <v>1513</v>
      </c>
      <c r="C984" s="34">
        <v>431</v>
      </c>
      <c r="D984" s="75">
        <v>3017</v>
      </c>
      <c r="E984" s="69">
        <v>102</v>
      </c>
      <c r="F984" s="34" t="s">
        <v>1542</v>
      </c>
      <c r="G984" s="20" t="s">
        <v>1544</v>
      </c>
      <c r="H984" s="20" t="s">
        <v>1543</v>
      </c>
      <c r="I984" s="21">
        <v>39.64</v>
      </c>
      <c r="J984" s="8">
        <v>4</v>
      </c>
      <c r="K984" s="5" t="s">
        <v>12</v>
      </c>
      <c r="L984" s="18">
        <v>42282</v>
      </c>
      <c r="M984" s="37" t="s">
        <v>191</v>
      </c>
      <c r="N984" s="38">
        <v>18.125</v>
      </c>
      <c r="O984" s="38">
        <v>8.375</v>
      </c>
      <c r="P984" s="38">
        <v>4.875</v>
      </c>
      <c r="Q984" s="38">
        <v>2.4750000000000001</v>
      </c>
      <c r="R984" s="38">
        <v>2.7622399999999998</v>
      </c>
      <c r="S984" s="38">
        <f t="shared" si="126"/>
        <v>3</v>
      </c>
      <c r="T984" s="38">
        <v>29.7</v>
      </c>
      <c r="U984" s="38">
        <v>3.125</v>
      </c>
      <c r="V984" s="38">
        <v>0.6</v>
      </c>
      <c r="W984" s="38">
        <v>0.42499999999999999</v>
      </c>
      <c r="X984" s="38">
        <v>5.5321999999999996</v>
      </c>
      <c r="Y984" s="38">
        <f t="shared" si="127"/>
        <v>5.5</v>
      </c>
      <c r="Z984" s="38">
        <v>0</v>
      </c>
      <c r="AA984" s="38">
        <v>0</v>
      </c>
      <c r="AB984" s="38">
        <v>33.85</v>
      </c>
      <c r="AC984" s="38">
        <v>1.2257199999999999</v>
      </c>
      <c r="AD984" s="39">
        <v>248.9</v>
      </c>
      <c r="AE984" s="38">
        <v>6.47</v>
      </c>
      <c r="AF984" s="38">
        <f>(AD984+AE984*0.5)/(3.5*I984*1000)*100</f>
        <v>0.1817320167219259</v>
      </c>
      <c r="AG984" s="38">
        <f t="shared" si="128"/>
        <v>0.2</v>
      </c>
      <c r="AH984" s="38">
        <v>32.365000000000002</v>
      </c>
      <c r="AI984" s="38">
        <f>AH984/(3.5*I984*1000)*100</f>
        <v>2.3327807409543034E-2</v>
      </c>
      <c r="AJ984" s="38">
        <v>0</v>
      </c>
      <c r="AK984" s="38">
        <f>AJ984/(3.5*I984*1000)*100</f>
        <v>0</v>
      </c>
      <c r="AL984" s="38">
        <v>0</v>
      </c>
      <c r="AM984" s="38">
        <f>AL984/(3.5*I984*1000)*100</f>
        <v>0</v>
      </c>
      <c r="AN984" s="41"/>
      <c r="AO984" s="72"/>
      <c r="AP984" s="73"/>
      <c r="AQ984" s="73"/>
      <c r="AR984" s="22"/>
      <c r="AS984" s="48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  <c r="CH984" s="22"/>
      <c r="CI984" s="22"/>
      <c r="CJ984" s="22"/>
    </row>
    <row r="985" spans="1:88">
      <c r="A985" s="1">
        <v>1173</v>
      </c>
      <c r="B985" s="34" t="s">
        <v>1639</v>
      </c>
      <c r="C985" s="34">
        <v>433</v>
      </c>
      <c r="D985" s="34">
        <v>311</v>
      </c>
      <c r="E985" s="34">
        <v>201</v>
      </c>
      <c r="F985" s="34" t="s">
        <v>1645</v>
      </c>
      <c r="G985" s="58" t="s">
        <v>1646</v>
      </c>
      <c r="H985" s="58" t="s">
        <v>1524</v>
      </c>
      <c r="I985" s="55">
        <v>14.041</v>
      </c>
      <c r="J985" s="34">
        <v>4</v>
      </c>
      <c r="K985" s="34" t="s">
        <v>96</v>
      </c>
      <c r="L985" s="10">
        <v>42282</v>
      </c>
      <c r="M985" s="37" t="s">
        <v>191</v>
      </c>
      <c r="N985" s="38">
        <v>9.3249999999999993</v>
      </c>
      <c r="O985" s="38">
        <v>3.8250000000000002</v>
      </c>
      <c r="P985" s="38">
        <v>1.0249999999999999</v>
      </c>
      <c r="Q985" s="38">
        <v>0.32500000000000001</v>
      </c>
      <c r="R985" s="38">
        <v>2.5016400000000001</v>
      </c>
      <c r="S985" s="38">
        <f t="shared" si="126"/>
        <v>2.5</v>
      </c>
      <c r="T985" s="38">
        <v>10.15</v>
      </c>
      <c r="U985" s="38">
        <v>2.5499999999999998</v>
      </c>
      <c r="V985" s="38">
        <v>0.65</v>
      </c>
      <c r="W985" s="38">
        <v>0.67500000000000004</v>
      </c>
      <c r="X985" s="38">
        <v>8.5190300000000008</v>
      </c>
      <c r="Y985" s="38">
        <f t="shared" si="127"/>
        <v>8.5</v>
      </c>
      <c r="Z985" s="38">
        <v>0</v>
      </c>
      <c r="AA985" s="38">
        <v>0</v>
      </c>
      <c r="AB985" s="38">
        <v>14.041</v>
      </c>
      <c r="AC985" s="38">
        <v>1.0954699999999999</v>
      </c>
      <c r="AD985" s="39">
        <v>86.13</v>
      </c>
      <c r="AE985" s="38">
        <v>6.31</v>
      </c>
      <c r="AF985" s="38">
        <f>(AD985+AE985*0.5)/(3.5*I985*1000)*100</f>
        <v>0.18168221636635568</v>
      </c>
      <c r="AG985" s="38">
        <f t="shared" si="128"/>
        <v>0.2</v>
      </c>
      <c r="AH985" s="38">
        <v>75.653999999999996</v>
      </c>
      <c r="AI985" s="38">
        <f>AH985/(3.5*I985*1000)*100</f>
        <v>0.15394507920681269</v>
      </c>
      <c r="AJ985" s="38">
        <v>0</v>
      </c>
      <c r="AK985" s="38">
        <f>AJ985/(3.5*I985*1000)*100</f>
        <v>0</v>
      </c>
      <c r="AL985" s="38">
        <v>1.2250000000000001</v>
      </c>
      <c r="AM985" s="38">
        <f>AJ985/(3.5*I985*1000)*100</f>
        <v>0</v>
      </c>
      <c r="AN985" s="25"/>
      <c r="AO985" s="22"/>
      <c r="AP985" s="22"/>
      <c r="AQ985" s="22"/>
      <c r="AR985" s="22"/>
      <c r="AS985" s="48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</row>
    <row r="986" spans="1:88" s="22" customFormat="1">
      <c r="A986" s="1">
        <v>1170</v>
      </c>
      <c r="B986" s="34" t="s">
        <v>1639</v>
      </c>
      <c r="C986" s="34">
        <v>433</v>
      </c>
      <c r="D986" s="34">
        <v>309</v>
      </c>
      <c r="E986" s="34">
        <v>302</v>
      </c>
      <c r="F986" s="34" t="s">
        <v>1643</v>
      </c>
      <c r="G986" s="58" t="s">
        <v>1641</v>
      </c>
      <c r="H986" s="58" t="s">
        <v>1644</v>
      </c>
      <c r="I986" s="55">
        <v>3.6680000000000001</v>
      </c>
      <c r="J986" s="34">
        <v>4</v>
      </c>
      <c r="K986" s="34" t="s">
        <v>237</v>
      </c>
      <c r="L986" s="10">
        <v>42282</v>
      </c>
      <c r="M986" s="37" t="s">
        <v>191</v>
      </c>
      <c r="N986" s="38">
        <v>1.4750000000000001</v>
      </c>
      <c r="O986" s="38">
        <v>1.075</v>
      </c>
      <c r="P986" s="38">
        <v>0.75</v>
      </c>
      <c r="Q986" s="38">
        <v>0.4</v>
      </c>
      <c r="R986" s="38">
        <v>3.7970899999999999</v>
      </c>
      <c r="S986" s="38">
        <f t="shared" si="126"/>
        <v>4</v>
      </c>
      <c r="T986" s="38">
        <v>3.7</v>
      </c>
      <c r="U986" s="38">
        <v>0</v>
      </c>
      <c r="V986" s="38">
        <v>0</v>
      </c>
      <c r="W986" s="38">
        <v>0</v>
      </c>
      <c r="X986" s="38">
        <v>1.59039</v>
      </c>
      <c r="Y986" s="38">
        <f t="shared" si="127"/>
        <v>1.5</v>
      </c>
      <c r="Z986" s="38">
        <v>0</v>
      </c>
      <c r="AA986" s="38">
        <v>0</v>
      </c>
      <c r="AB986" s="38">
        <v>3.6680000000000001</v>
      </c>
      <c r="AC986" s="38">
        <v>1.20123</v>
      </c>
      <c r="AD986" s="39">
        <v>14</v>
      </c>
      <c r="AE986" s="38">
        <v>18.63</v>
      </c>
      <c r="AF986" s="38">
        <f>(AD986+AE986*0.5)/(3.5*I986*1000)*100</f>
        <v>0.18160928493534814</v>
      </c>
      <c r="AG986" s="38">
        <f t="shared" si="128"/>
        <v>0.2</v>
      </c>
      <c r="AH986" s="38">
        <v>4.32</v>
      </c>
      <c r="AI986" s="38">
        <f>AH986/(3.5*I986*1000)*100</f>
        <v>3.3650101261878798E-2</v>
      </c>
      <c r="AJ986" s="38">
        <v>0</v>
      </c>
      <c r="AK986" s="38">
        <f>AJ986/(3.5*I986*1000)*100</f>
        <v>0</v>
      </c>
      <c r="AL986" s="38">
        <v>0</v>
      </c>
      <c r="AM986" s="38">
        <f>AJ986/(3.5*I986*1000)*100</f>
        <v>0</v>
      </c>
      <c r="AN986" s="25"/>
      <c r="AS986" s="48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</row>
    <row r="987" spans="1:88" s="22" customFormat="1">
      <c r="A987" s="1">
        <v>1119</v>
      </c>
      <c r="B987" s="9" t="s">
        <v>1513</v>
      </c>
      <c r="C987" s="34">
        <v>431</v>
      </c>
      <c r="D987" s="75">
        <v>3326</v>
      </c>
      <c r="E987" s="69">
        <v>101</v>
      </c>
      <c r="F987" s="34" t="s">
        <v>1554</v>
      </c>
      <c r="G987" s="58" t="s">
        <v>92</v>
      </c>
      <c r="H987" s="58" t="s">
        <v>1555</v>
      </c>
      <c r="I987" s="34">
        <v>15.685</v>
      </c>
      <c r="J987" s="5">
        <v>2</v>
      </c>
      <c r="K987" s="5" t="s">
        <v>238</v>
      </c>
      <c r="L987" s="18">
        <v>42282</v>
      </c>
      <c r="M987" s="37" t="s">
        <v>191</v>
      </c>
      <c r="N987" s="38">
        <v>10.875</v>
      </c>
      <c r="O987" s="38">
        <v>3.4</v>
      </c>
      <c r="P987" s="38">
        <v>1.125</v>
      </c>
      <c r="Q987" s="38">
        <v>0.55000000000000004</v>
      </c>
      <c r="R987" s="38">
        <v>2.35914</v>
      </c>
      <c r="S987" s="38">
        <f t="shared" si="126"/>
        <v>2.5</v>
      </c>
      <c r="T987" s="38">
        <v>15.5</v>
      </c>
      <c r="U987" s="38">
        <v>0.22500000000000001</v>
      </c>
      <c r="V987" s="38">
        <v>0.15</v>
      </c>
      <c r="W987" s="38">
        <v>7.4999999999999997E-2</v>
      </c>
      <c r="X987" s="38">
        <v>3.0585300000000002</v>
      </c>
      <c r="Y987" s="38">
        <f t="shared" si="127"/>
        <v>3</v>
      </c>
      <c r="Z987" s="38">
        <v>0</v>
      </c>
      <c r="AA987" s="38">
        <v>0</v>
      </c>
      <c r="AB987" s="38">
        <v>15.950000000000001</v>
      </c>
      <c r="AC987" s="38">
        <v>1.2490000000000001</v>
      </c>
      <c r="AD987" s="39">
        <v>96.37</v>
      </c>
      <c r="AE987" s="38">
        <v>6.58</v>
      </c>
      <c r="AF987" s="38">
        <f>(AD987+AE987*0.5)/(3.5*I987*1000)*100</f>
        <v>0.18153832141718659</v>
      </c>
      <c r="AG987" s="38">
        <f t="shared" si="128"/>
        <v>0.2</v>
      </c>
      <c r="AH987" s="38">
        <v>88.625</v>
      </c>
      <c r="AI987" s="38">
        <f>AH987/(3.5*I987*1000)*100</f>
        <v>0.16143722391730042</v>
      </c>
      <c r="AJ987" s="38">
        <v>0</v>
      </c>
      <c r="AK987" s="38">
        <f>AJ987/(3.5*I987*1000)*100</f>
        <v>0</v>
      </c>
      <c r="AL987" s="38">
        <v>4.8</v>
      </c>
      <c r="AM987" s="38">
        <f>AL987/(3.5*I987*1000)*100</f>
        <v>8.7435675577212067E-3</v>
      </c>
      <c r="AN987" s="41"/>
      <c r="AO987" s="114"/>
      <c r="AP987" s="73"/>
      <c r="AQ987" s="73"/>
      <c r="AS987" s="48"/>
    </row>
    <row r="988" spans="1:88" s="22" customFormat="1">
      <c r="A988" s="1">
        <v>2019</v>
      </c>
      <c r="B988" s="34" t="s">
        <v>2646</v>
      </c>
      <c r="C988" s="34">
        <v>325</v>
      </c>
      <c r="D988" s="75">
        <v>4251</v>
      </c>
      <c r="E988" s="8">
        <v>100</v>
      </c>
      <c r="F988" s="34" t="s">
        <v>2667</v>
      </c>
      <c r="G988" s="58">
        <v>10160</v>
      </c>
      <c r="H988" s="58">
        <v>0</v>
      </c>
      <c r="I988" s="21">
        <v>10.16</v>
      </c>
      <c r="J988" s="8">
        <v>2</v>
      </c>
      <c r="K988" s="8" t="s">
        <v>12</v>
      </c>
      <c r="L988" s="18">
        <v>42116</v>
      </c>
      <c r="M988" s="37" t="s">
        <v>191</v>
      </c>
      <c r="N988" s="38">
        <v>5.56</v>
      </c>
      <c r="O988" s="38">
        <v>3.05</v>
      </c>
      <c r="P988" s="38">
        <v>1.19</v>
      </c>
      <c r="Q988" s="38">
        <v>0.35</v>
      </c>
      <c r="R988" s="38">
        <v>2.64988</v>
      </c>
      <c r="S988" s="38">
        <f t="shared" si="126"/>
        <v>2.5</v>
      </c>
      <c r="T988" s="38">
        <v>10.130000000000001</v>
      </c>
      <c r="U988" s="38">
        <v>0.03</v>
      </c>
      <c r="V988" s="38">
        <v>0</v>
      </c>
      <c r="W988" s="38">
        <v>0</v>
      </c>
      <c r="X988" s="38">
        <v>2.48447</v>
      </c>
      <c r="Y988" s="38">
        <f t="shared" si="127"/>
        <v>2.5</v>
      </c>
      <c r="Z988" s="38">
        <v>0</v>
      </c>
      <c r="AA988" s="38">
        <v>0</v>
      </c>
      <c r="AB988" s="38">
        <v>10.16</v>
      </c>
      <c r="AC988" s="38">
        <v>1.3048999999999999</v>
      </c>
      <c r="AD988" s="39">
        <v>57.38</v>
      </c>
      <c r="AE988" s="38">
        <v>13.93</v>
      </c>
      <c r="AF988" s="38">
        <f>(AD988+AE988*0.5)/(3.5*I988*1000)*100</f>
        <v>0.18094769403824523</v>
      </c>
      <c r="AG988" s="38">
        <f t="shared" si="128"/>
        <v>0.2</v>
      </c>
      <c r="AH988" s="38">
        <v>0</v>
      </c>
      <c r="AI988" s="38">
        <f>AH988/(3.5*I988*1000)*100</f>
        <v>0</v>
      </c>
      <c r="AJ988" s="38">
        <v>49.5</v>
      </c>
      <c r="AK988" s="38">
        <f>AJ988/(3.5*I988*1000)*100</f>
        <v>0.13920134983127108</v>
      </c>
      <c r="AL988" s="38">
        <v>0</v>
      </c>
      <c r="AM988" s="38">
        <f>AL988/(3.5*I988*1000)*100</f>
        <v>0</v>
      </c>
      <c r="AN988" s="12"/>
      <c r="AO988" s="12"/>
      <c r="AP988" s="1"/>
      <c r="AQ988" s="41">
        <f>SUM(N988:Q988)</f>
        <v>10.149999999999999</v>
      </c>
      <c r="AR988" s="41">
        <f>SUM(T988:W988)</f>
        <v>10.16</v>
      </c>
      <c r="AS988" s="270">
        <f>SUM(Z988:AB988)</f>
        <v>10.16</v>
      </c>
      <c r="AT988" s="1"/>
      <c r="AU988" s="1">
        <f>I988/AQ988</f>
        <v>1.0009852216748769</v>
      </c>
      <c r="AV988" s="1">
        <f>I988/AR988</f>
        <v>1</v>
      </c>
      <c r="AW988" s="1">
        <f>I988/AS988</f>
        <v>1</v>
      </c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</row>
    <row r="989" spans="1:88" s="22" customFormat="1">
      <c r="A989" s="1">
        <v>901</v>
      </c>
      <c r="B989" s="34" t="s">
        <v>1285</v>
      </c>
      <c r="C989" s="34">
        <v>634</v>
      </c>
      <c r="D989" s="162">
        <v>2197</v>
      </c>
      <c r="E989" s="34">
        <v>100</v>
      </c>
      <c r="F989" s="34" t="s">
        <v>1295</v>
      </c>
      <c r="G989" s="58">
        <v>0</v>
      </c>
      <c r="H989" s="58">
        <v>1082</v>
      </c>
      <c r="I989" s="35">
        <v>1.0820000000000001</v>
      </c>
      <c r="J989" s="9">
        <v>2</v>
      </c>
      <c r="K989" s="34" t="s">
        <v>238</v>
      </c>
      <c r="L989" s="10">
        <v>42146</v>
      </c>
      <c r="M989" s="37" t="s">
        <v>191</v>
      </c>
      <c r="N989" s="38">
        <v>0.2</v>
      </c>
      <c r="O989" s="38">
        <v>0.27500000000000002</v>
      </c>
      <c r="P989" s="38">
        <v>0.27500000000000002</v>
      </c>
      <c r="Q989" s="38">
        <v>0.3</v>
      </c>
      <c r="R989" s="38">
        <v>4.4107099999999999</v>
      </c>
      <c r="S989" s="38">
        <f t="shared" si="126"/>
        <v>4.5</v>
      </c>
      <c r="T989" s="38">
        <v>1</v>
      </c>
      <c r="U989" s="38">
        <v>0.05</v>
      </c>
      <c r="V989" s="38">
        <v>0</v>
      </c>
      <c r="W989" s="38">
        <v>0</v>
      </c>
      <c r="X989" s="38">
        <v>4.8068799999999996</v>
      </c>
      <c r="Y989" s="38">
        <f t="shared" si="127"/>
        <v>5</v>
      </c>
      <c r="Z989" s="38">
        <v>0</v>
      </c>
      <c r="AA989" s="38">
        <v>0</v>
      </c>
      <c r="AB989" s="38">
        <f>N989+O989+P989+Q989</f>
        <v>1.05</v>
      </c>
      <c r="AC989" s="38">
        <v>3.0118999999999998</v>
      </c>
      <c r="AD989" s="39">
        <v>0</v>
      </c>
      <c r="AE989" s="38">
        <v>13.7</v>
      </c>
      <c r="AF989" s="38">
        <v>0.18088000000000001</v>
      </c>
      <c r="AG989" s="38">
        <f t="shared" si="128"/>
        <v>0.2</v>
      </c>
      <c r="AH989" s="38">
        <v>0</v>
      </c>
      <c r="AI989" s="38">
        <v>0</v>
      </c>
      <c r="AJ989" s="38">
        <v>95.25</v>
      </c>
      <c r="AK989" s="38">
        <v>2.5151840000000001</v>
      </c>
      <c r="AL989" s="38">
        <v>0</v>
      </c>
      <c r="AM989" s="38">
        <v>0</v>
      </c>
      <c r="AN989" s="25"/>
      <c r="AO989" s="25">
        <f>AE989*0.5</f>
        <v>6.85</v>
      </c>
      <c r="AP989" s="25">
        <f>(AD989+AH989+AJ989+AL989+AO989)*I989</f>
        <v>110.4722</v>
      </c>
      <c r="AQ989" s="25">
        <f>SUM(N989:Q989)</f>
        <v>1.05</v>
      </c>
      <c r="AR989" s="25">
        <f>SUM(T989:W989)</f>
        <v>1.05</v>
      </c>
      <c r="AS989" s="48"/>
      <c r="AT989" s="41"/>
      <c r="AU989" s="41"/>
      <c r="AV989" s="41"/>
      <c r="AW989" s="41"/>
    </row>
    <row r="990" spans="1:88" s="22" customFormat="1">
      <c r="A990" s="1">
        <v>487</v>
      </c>
      <c r="B990" s="34" t="s">
        <v>821</v>
      </c>
      <c r="C990" s="34">
        <v>519</v>
      </c>
      <c r="D990" s="34">
        <v>115</v>
      </c>
      <c r="E990" s="34">
        <v>302</v>
      </c>
      <c r="F990" s="34" t="s">
        <v>833</v>
      </c>
      <c r="G990" s="34" t="s">
        <v>832</v>
      </c>
      <c r="H990" s="34" t="s">
        <v>834</v>
      </c>
      <c r="I990" s="55">
        <v>15.95</v>
      </c>
      <c r="J990" s="34" t="s">
        <v>237</v>
      </c>
      <c r="K990" s="34">
        <v>4</v>
      </c>
      <c r="L990" s="10">
        <v>42276</v>
      </c>
      <c r="M990" s="37" t="s">
        <v>191</v>
      </c>
      <c r="N990" s="38">
        <v>10.96</v>
      </c>
      <c r="O990" s="38">
        <v>2.73</v>
      </c>
      <c r="P990" s="38">
        <v>1.59</v>
      </c>
      <c r="Q990" s="38">
        <v>0.67</v>
      </c>
      <c r="R990" s="38">
        <v>2.42618</v>
      </c>
      <c r="S990" s="38">
        <f t="shared" si="126"/>
        <v>2.5</v>
      </c>
      <c r="T990" s="38">
        <v>15.25</v>
      </c>
      <c r="U990" s="38">
        <v>0.65</v>
      </c>
      <c r="V990" s="38">
        <v>0.05</v>
      </c>
      <c r="W990" s="38">
        <v>0</v>
      </c>
      <c r="X990" s="38">
        <v>4.0694999999999997</v>
      </c>
      <c r="Y990" s="38">
        <f t="shared" si="127"/>
        <v>4</v>
      </c>
      <c r="Z990" s="117">
        <v>0</v>
      </c>
      <c r="AA990" s="117">
        <v>0</v>
      </c>
      <c r="AB990" s="38">
        <v>15.95</v>
      </c>
      <c r="AC990" s="38">
        <v>1.22892</v>
      </c>
      <c r="AD990" s="39">
        <v>0</v>
      </c>
      <c r="AE990" s="38">
        <v>0</v>
      </c>
      <c r="AF990" s="38">
        <v>0.180452</v>
      </c>
      <c r="AG990" s="38">
        <f t="shared" si="128"/>
        <v>0.2</v>
      </c>
      <c r="AH990" s="38">
        <v>0</v>
      </c>
      <c r="AI990" s="38">
        <v>0.14144599999999999</v>
      </c>
      <c r="AJ990" s="38">
        <v>0</v>
      </c>
      <c r="AK990" s="38">
        <v>0</v>
      </c>
      <c r="AL990" s="38">
        <v>0</v>
      </c>
      <c r="AM990" s="38">
        <v>0</v>
      </c>
      <c r="AN990" s="41"/>
      <c r="AO990" s="41"/>
      <c r="AP990" s="41"/>
      <c r="AQ990" s="41">
        <f>SUM(N990:Q990)</f>
        <v>15.950000000000001</v>
      </c>
      <c r="AR990" s="41">
        <f>SUM(T990:W990)</f>
        <v>15.950000000000001</v>
      </c>
      <c r="AS990" s="49">
        <f>SUM(Z990:AB990)</f>
        <v>15.95</v>
      </c>
      <c r="AU990" s="22">
        <f>I990/AQ990</f>
        <v>0.99999999999999989</v>
      </c>
      <c r="AV990" s="22">
        <f>I990/AR990</f>
        <v>0.99999999999999989</v>
      </c>
      <c r="AW990" s="22">
        <f>I990/AS990</f>
        <v>1</v>
      </c>
    </row>
    <row r="991" spans="1:88" s="22" customFormat="1">
      <c r="A991" s="1">
        <v>1262</v>
      </c>
      <c r="B991" s="34" t="s">
        <v>1775</v>
      </c>
      <c r="C991" s="88">
        <v>438</v>
      </c>
      <c r="D991" s="88">
        <v>3004</v>
      </c>
      <c r="E991" s="88">
        <v>202</v>
      </c>
      <c r="F991" s="88" t="s">
        <v>1792</v>
      </c>
      <c r="G991" s="88" t="s">
        <v>1793</v>
      </c>
      <c r="H991" s="88" t="s">
        <v>1791</v>
      </c>
      <c r="I991" s="115">
        <v>10.052</v>
      </c>
      <c r="J991" s="88">
        <v>2</v>
      </c>
      <c r="K991" s="88" t="s">
        <v>12</v>
      </c>
      <c r="L991" s="116">
        <v>42282</v>
      </c>
      <c r="M991" s="37" t="s">
        <v>191</v>
      </c>
      <c r="N991" s="117">
        <v>3.5</v>
      </c>
      <c r="O991" s="117">
        <v>3.4249999999999998</v>
      </c>
      <c r="P991" s="117">
        <v>1.85</v>
      </c>
      <c r="Q991" s="117">
        <v>1.4750000000000001</v>
      </c>
      <c r="R991" s="117">
        <v>3.3868999999999998</v>
      </c>
      <c r="S991" s="38">
        <f t="shared" si="126"/>
        <v>3.5</v>
      </c>
      <c r="T991" s="117">
        <v>8.0749999999999993</v>
      </c>
      <c r="U991" s="117">
        <v>1.425</v>
      </c>
      <c r="V991" s="117">
        <v>0.57499999999999996</v>
      </c>
      <c r="W991" s="117">
        <v>0.17499999999999999</v>
      </c>
      <c r="X991" s="117">
        <v>6.8861600000000003</v>
      </c>
      <c r="Y991" s="38">
        <f t="shared" si="127"/>
        <v>7</v>
      </c>
      <c r="Z991" s="117">
        <v>0</v>
      </c>
      <c r="AA991" s="117">
        <v>0</v>
      </c>
      <c r="AB991" s="115">
        <v>10.052</v>
      </c>
      <c r="AC991" s="117">
        <v>1.2330300000000001</v>
      </c>
      <c r="AD991" s="254">
        <v>63.4</v>
      </c>
      <c r="AE991" s="117">
        <v>0</v>
      </c>
      <c r="AF991" s="117">
        <f>(AD991+AE991*0.5)/(3.5*I991*1000)*100</f>
        <v>0.18020578705019613</v>
      </c>
      <c r="AG991" s="38">
        <f t="shared" si="128"/>
        <v>0.2</v>
      </c>
      <c r="AH991" s="117">
        <v>2.3199999999999998</v>
      </c>
      <c r="AI991" s="117">
        <f>AH991/(3.5*I991*1000)*100</f>
        <v>6.5942811665055997E-3</v>
      </c>
      <c r="AJ991" s="117">
        <v>0</v>
      </c>
      <c r="AK991" s="117">
        <v>0</v>
      </c>
      <c r="AL991" s="117">
        <v>0</v>
      </c>
      <c r="AM991" s="117">
        <v>0</v>
      </c>
      <c r="AN991" s="12"/>
      <c r="AO991" s="1"/>
      <c r="AP991" s="1"/>
      <c r="AQ991" s="1"/>
      <c r="AR991" s="1"/>
      <c r="AS991" s="178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</row>
    <row r="992" spans="1:88">
      <c r="A992" s="1">
        <v>2024</v>
      </c>
      <c r="B992" s="34" t="s">
        <v>2646</v>
      </c>
      <c r="C992" s="34">
        <v>325</v>
      </c>
      <c r="D992" s="75">
        <v>4262</v>
      </c>
      <c r="E992" s="8">
        <v>100</v>
      </c>
      <c r="F992" s="34" t="s">
        <v>2672</v>
      </c>
      <c r="G992" s="58">
        <v>36354</v>
      </c>
      <c r="H992" s="58">
        <v>0</v>
      </c>
      <c r="I992" s="21">
        <v>36.353999999999999</v>
      </c>
      <c r="J992" s="8">
        <v>2</v>
      </c>
      <c r="K992" s="8" t="s">
        <v>12</v>
      </c>
      <c r="L992" s="18">
        <v>42117</v>
      </c>
      <c r="M992" s="37" t="s">
        <v>191</v>
      </c>
      <c r="N992" s="38">
        <v>23.21</v>
      </c>
      <c r="O992" s="38">
        <v>5.72</v>
      </c>
      <c r="P992" s="38">
        <v>3.42</v>
      </c>
      <c r="Q992" s="38">
        <v>4.01</v>
      </c>
      <c r="R992" s="38">
        <v>2.8451399999999998</v>
      </c>
      <c r="S992" s="38">
        <f t="shared" si="126"/>
        <v>3</v>
      </c>
      <c r="T992" s="38">
        <v>34.71</v>
      </c>
      <c r="U992" s="38">
        <v>1.05</v>
      </c>
      <c r="V992" s="38">
        <v>0.39</v>
      </c>
      <c r="W992" s="38">
        <v>0.2</v>
      </c>
      <c r="X992" s="38">
        <v>4.4875800000000003</v>
      </c>
      <c r="Y992" s="38">
        <f t="shared" si="127"/>
        <v>4.5</v>
      </c>
      <c r="Z992" s="38">
        <v>0</v>
      </c>
      <c r="AA992" s="38">
        <v>0</v>
      </c>
      <c r="AB992" s="38">
        <v>36.35</v>
      </c>
      <c r="AC992" s="38">
        <v>1.2319</v>
      </c>
      <c r="AD992" s="39">
        <v>219.84</v>
      </c>
      <c r="AE992" s="38">
        <v>18.12</v>
      </c>
      <c r="AF992" s="38">
        <f>(AD992+AE992*0.5)/(3.5*I992*1000)*100</f>
        <v>0.1798976728833141</v>
      </c>
      <c r="AG992" s="38">
        <f t="shared" si="128"/>
        <v>0.2</v>
      </c>
      <c r="AH992" s="38">
        <v>7</v>
      </c>
      <c r="AI992" s="38">
        <f>AH992/(3.5*I992*1000)*100</f>
        <v>5.5014578863398804E-3</v>
      </c>
      <c r="AJ992" s="38">
        <v>14.71</v>
      </c>
      <c r="AK992" s="38">
        <f>AJ992/(3.5*I992*1000)*100</f>
        <v>1.1560920786865662E-2</v>
      </c>
      <c r="AL992" s="38">
        <v>0</v>
      </c>
      <c r="AM992" s="38">
        <f>AL992/(3.5*I992*1000)*100</f>
        <v>0</v>
      </c>
      <c r="AN992" s="12"/>
      <c r="AO992" s="12"/>
      <c r="AQ992" s="41">
        <f>SUM(N992:Q992)</f>
        <v>36.36</v>
      </c>
      <c r="AR992" s="41">
        <f>SUM(T992:W992)</f>
        <v>36.35</v>
      </c>
      <c r="AS992" s="270">
        <f>SUM(Z992:AB992)</f>
        <v>36.35</v>
      </c>
      <c r="AU992" s="1">
        <f>I992/AQ992</f>
        <v>0.99983498349834987</v>
      </c>
      <c r="AV992" s="1">
        <f>I992/AR992</f>
        <v>1.0001100412654744</v>
      </c>
      <c r="AW992" s="1">
        <f>I992/AS992</f>
        <v>1.0001100412654744</v>
      </c>
    </row>
    <row r="993" spans="1:88">
      <c r="A993" s="1">
        <v>1120</v>
      </c>
      <c r="B993" s="9" t="s">
        <v>1513</v>
      </c>
      <c r="C993" s="34">
        <v>431</v>
      </c>
      <c r="D993" s="75">
        <v>3326</v>
      </c>
      <c r="E993" s="69">
        <v>101</v>
      </c>
      <c r="F993" s="34" t="s">
        <v>1554</v>
      </c>
      <c r="G993" s="58" t="s">
        <v>1555</v>
      </c>
      <c r="H993" s="58" t="s">
        <v>92</v>
      </c>
      <c r="I993" s="34">
        <v>15.685</v>
      </c>
      <c r="J993" s="5">
        <v>2</v>
      </c>
      <c r="K993" s="5" t="s">
        <v>12</v>
      </c>
      <c r="L993" s="18">
        <v>42282</v>
      </c>
      <c r="M993" s="37" t="s">
        <v>191</v>
      </c>
      <c r="N993" s="38">
        <v>8.5500000000000007</v>
      </c>
      <c r="O993" s="38">
        <v>3.7</v>
      </c>
      <c r="P993" s="38">
        <v>2.625</v>
      </c>
      <c r="Q993" s="38">
        <v>0.77500000000000002</v>
      </c>
      <c r="R993" s="38">
        <v>2.7508900000000001</v>
      </c>
      <c r="S993" s="38">
        <f t="shared" si="126"/>
        <v>3</v>
      </c>
      <c r="T993" s="38">
        <v>14.375</v>
      </c>
      <c r="U993" s="38">
        <v>0.92500000000000004</v>
      </c>
      <c r="V993" s="38">
        <v>0.35</v>
      </c>
      <c r="W993" s="38">
        <v>0</v>
      </c>
      <c r="X993" s="38">
        <v>4.8878000000000004</v>
      </c>
      <c r="Y993" s="38">
        <f t="shared" si="127"/>
        <v>5</v>
      </c>
      <c r="Z993" s="38">
        <v>0</v>
      </c>
      <c r="AA993" s="38">
        <v>0</v>
      </c>
      <c r="AB993" s="38">
        <v>15.65</v>
      </c>
      <c r="AC993" s="38">
        <v>1.26206</v>
      </c>
      <c r="AD993" s="39">
        <v>95.96</v>
      </c>
      <c r="AE993" s="38">
        <v>4.3</v>
      </c>
      <c r="AF993" s="38">
        <f>(AD993+AE993*0.5)/(3.5*I993*1000)*100</f>
        <v>0.17871487772667244</v>
      </c>
      <c r="AG993" s="38">
        <f t="shared" si="128"/>
        <v>0.2</v>
      </c>
      <c r="AH993" s="38">
        <v>64.38</v>
      </c>
      <c r="AI993" s="38">
        <f>AH993/(3.5*I993*1000)*100</f>
        <v>0.1172730998679357</v>
      </c>
      <c r="AJ993" s="38">
        <v>0</v>
      </c>
      <c r="AK993" s="38">
        <f>AJ993/(3.5*I993*1000)*100</f>
        <v>0</v>
      </c>
      <c r="AL993" s="38">
        <v>0</v>
      </c>
      <c r="AM993" s="38">
        <f>AL993/(3.5*I993*1000)*100</f>
        <v>0</v>
      </c>
      <c r="AN993" s="41"/>
      <c r="AO993" s="114"/>
      <c r="AP993" s="73"/>
      <c r="AQ993" s="73"/>
      <c r="AR993" s="22"/>
      <c r="AS993" s="48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  <c r="CH993" s="22"/>
      <c r="CI993" s="22"/>
      <c r="CJ993" s="22"/>
    </row>
    <row r="994" spans="1:88">
      <c r="A994" s="1">
        <v>1918</v>
      </c>
      <c r="B994" s="34" t="s">
        <v>2559</v>
      </c>
      <c r="C994" s="34">
        <v>338</v>
      </c>
      <c r="D994" s="75">
        <v>3171</v>
      </c>
      <c r="E994" s="8">
        <v>100</v>
      </c>
      <c r="F994" s="34" t="s">
        <v>2564</v>
      </c>
      <c r="G994" s="20">
        <v>875</v>
      </c>
      <c r="H994" s="20">
        <v>5950</v>
      </c>
      <c r="I994" s="21">
        <v>5.0750000000000002</v>
      </c>
      <c r="J994" s="8">
        <v>2</v>
      </c>
      <c r="K994" s="8" t="s">
        <v>238</v>
      </c>
      <c r="L994" s="18">
        <v>42096</v>
      </c>
      <c r="M994" s="247" t="s">
        <v>191</v>
      </c>
      <c r="N994" s="38">
        <v>3.65</v>
      </c>
      <c r="O994" s="38">
        <v>0.74</v>
      </c>
      <c r="P994" s="38">
        <v>0.16</v>
      </c>
      <c r="Q994" s="38">
        <v>0.53</v>
      </c>
      <c r="R994" s="38">
        <v>2.6080199999999998</v>
      </c>
      <c r="S994" s="38">
        <f t="shared" si="126"/>
        <v>2.5</v>
      </c>
      <c r="T994" s="38">
        <v>5.0199999999999996</v>
      </c>
      <c r="U994" s="38">
        <v>0.03</v>
      </c>
      <c r="V994" s="38">
        <v>0.03</v>
      </c>
      <c r="W994" s="38">
        <v>0</v>
      </c>
      <c r="X994" s="38">
        <v>2.6431800000000001</v>
      </c>
      <c r="Y994" s="38">
        <f t="shared" si="127"/>
        <v>2.5</v>
      </c>
      <c r="Z994" s="38">
        <v>0</v>
      </c>
      <c r="AA994" s="38">
        <v>0</v>
      </c>
      <c r="AB994" s="38">
        <v>5.08</v>
      </c>
      <c r="AC994" s="38">
        <v>1.19722</v>
      </c>
      <c r="AD994" s="39">
        <v>0</v>
      </c>
      <c r="AE994" s="38">
        <v>63.06</v>
      </c>
      <c r="AF994" s="38">
        <v>0.17750879662209712</v>
      </c>
      <c r="AG994" s="38">
        <f t="shared" si="128"/>
        <v>0.2</v>
      </c>
      <c r="AH994" s="38">
        <v>94.7</v>
      </c>
      <c r="AI994" s="38">
        <v>0.5331456720619282</v>
      </c>
      <c r="AJ994" s="38">
        <v>0</v>
      </c>
      <c r="AK994" s="38">
        <v>0</v>
      </c>
      <c r="AL994" s="38">
        <v>0</v>
      </c>
      <c r="AM994" s="38">
        <f>AL994/(3.5*I994*1000)*100</f>
        <v>0</v>
      </c>
      <c r="AN994" s="41"/>
      <c r="AO994" s="73"/>
      <c r="AP994" s="41"/>
      <c r="AQ994" s="41">
        <f>SUM(N994:Q994)</f>
        <v>5.08</v>
      </c>
      <c r="AR994" s="41">
        <f>SUM(T994:W994)</f>
        <v>5.08</v>
      </c>
      <c r="AS994" s="270">
        <f>SUM(Z994:AB994)</f>
        <v>5.08</v>
      </c>
      <c r="AU994" s="1">
        <f>I994/AQ994</f>
        <v>0.99901574803149606</v>
      </c>
      <c r="AV994" s="1">
        <f>I994/AR994</f>
        <v>0.99901574803149606</v>
      </c>
      <c r="AW994" s="1">
        <f>I994/AS994</f>
        <v>0.99901574803149606</v>
      </c>
      <c r="AX994" s="1">
        <f>AT994/I1019</f>
        <v>0</v>
      </c>
    </row>
    <row r="995" spans="1:88">
      <c r="A995" s="1">
        <v>895</v>
      </c>
      <c r="B995" s="34" t="s">
        <v>1285</v>
      </c>
      <c r="C995" s="34">
        <v>634</v>
      </c>
      <c r="D995" s="148">
        <v>2112</v>
      </c>
      <c r="E995" s="34">
        <v>101</v>
      </c>
      <c r="F995" s="34" t="s">
        <v>1289</v>
      </c>
      <c r="G995" s="58">
        <v>0</v>
      </c>
      <c r="H995" s="58">
        <v>16000</v>
      </c>
      <c r="I995" s="35">
        <v>16</v>
      </c>
      <c r="J995" s="9">
        <v>2</v>
      </c>
      <c r="K995" s="34" t="s">
        <v>238</v>
      </c>
      <c r="L995" s="10">
        <v>42145</v>
      </c>
      <c r="M995" s="37" t="s">
        <v>191</v>
      </c>
      <c r="N995" s="38">
        <v>9.125</v>
      </c>
      <c r="O995" s="38">
        <v>4.3250000000000002</v>
      </c>
      <c r="P995" s="38">
        <v>2.0499999999999998</v>
      </c>
      <c r="Q995" s="38">
        <v>0.45</v>
      </c>
      <c r="R995" s="38">
        <v>2.6013299999999999</v>
      </c>
      <c r="S995" s="38">
        <f t="shared" si="126"/>
        <v>2.5</v>
      </c>
      <c r="T995" s="38">
        <v>15.65</v>
      </c>
      <c r="U995" s="38">
        <v>0.15</v>
      </c>
      <c r="V995" s="38">
        <v>7.4999999999999997E-2</v>
      </c>
      <c r="W995" s="38">
        <v>7.4999999999999997E-2</v>
      </c>
      <c r="X995" s="38">
        <v>4.6623599999999996</v>
      </c>
      <c r="Y995" s="38">
        <f t="shared" si="127"/>
        <v>4.5</v>
      </c>
      <c r="Z995" s="38">
        <v>0</v>
      </c>
      <c r="AA995" s="38">
        <v>0</v>
      </c>
      <c r="AB995" s="38">
        <f>N995+O995+P995+Q995</f>
        <v>15.95</v>
      </c>
      <c r="AC995" s="38">
        <v>1.91334</v>
      </c>
      <c r="AD995" s="39">
        <v>95.77</v>
      </c>
      <c r="AE995" s="38">
        <v>6.9</v>
      </c>
      <c r="AF995" s="38">
        <v>0.17718</v>
      </c>
      <c r="AG995" s="38">
        <f t="shared" si="128"/>
        <v>0.2</v>
      </c>
      <c r="AH995" s="38">
        <v>0</v>
      </c>
      <c r="AI995" s="38">
        <v>0</v>
      </c>
      <c r="AJ995" s="38">
        <v>1914.34</v>
      </c>
      <c r="AK995" s="38">
        <v>3.4184640000000002</v>
      </c>
      <c r="AL995" s="38">
        <v>0.63</v>
      </c>
      <c r="AM995" s="38">
        <v>1.1299999999999999E-3</v>
      </c>
      <c r="AN995" s="25"/>
      <c r="AO995" s="25">
        <f>AE995*0.5</f>
        <v>3.45</v>
      </c>
      <c r="AP995" s="25">
        <f>(AD995+AH995+AJ995+AL995+AO995)*I995</f>
        <v>32227.040000000001</v>
      </c>
      <c r="AQ995" s="25">
        <f>SUM(N995:Q995)</f>
        <v>15.95</v>
      </c>
      <c r="AR995" s="25">
        <f>SUM(T995:W995)</f>
        <v>15.95</v>
      </c>
      <c r="AS995" s="48"/>
      <c r="AT995" s="41"/>
      <c r="AU995" s="41"/>
      <c r="AV995" s="41"/>
      <c r="AW995" s="41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  <c r="CH995" s="22"/>
      <c r="CI995" s="22"/>
      <c r="CJ995" s="22"/>
    </row>
    <row r="996" spans="1:88">
      <c r="A996" s="1">
        <v>677</v>
      </c>
      <c r="B996" s="34" t="s">
        <v>1084</v>
      </c>
      <c r="C996" s="34">
        <v>624</v>
      </c>
      <c r="D996" s="34">
        <v>2023</v>
      </c>
      <c r="E996" s="34">
        <v>101</v>
      </c>
      <c r="F996" s="34" t="s">
        <v>1087</v>
      </c>
      <c r="G996" s="58">
        <v>0</v>
      </c>
      <c r="H996" s="58">
        <v>36614</v>
      </c>
      <c r="I996" s="35">
        <v>36.613999999999997</v>
      </c>
      <c r="J996" s="127">
        <v>2</v>
      </c>
      <c r="K996" s="34" t="s">
        <v>238</v>
      </c>
      <c r="L996" s="10">
        <v>42170</v>
      </c>
      <c r="M996" s="37" t="s">
        <v>191</v>
      </c>
      <c r="N996" s="38">
        <v>15.6</v>
      </c>
      <c r="O996" s="38">
        <v>12.425000000000001</v>
      </c>
      <c r="P996" s="38">
        <v>6</v>
      </c>
      <c r="Q996" s="38">
        <v>2.35</v>
      </c>
      <c r="R996" s="38">
        <v>3.22566</v>
      </c>
      <c r="S996" s="38">
        <f t="shared" si="126"/>
        <v>3</v>
      </c>
      <c r="T996" s="38">
        <v>35.5</v>
      </c>
      <c r="U996" s="38">
        <v>0.7</v>
      </c>
      <c r="V996" s="38">
        <v>0.15</v>
      </c>
      <c r="W996" s="38">
        <v>2.5000000000000001E-2</v>
      </c>
      <c r="X996" s="38">
        <v>3.7740499999999999</v>
      </c>
      <c r="Y996" s="38">
        <f t="shared" si="127"/>
        <v>4</v>
      </c>
      <c r="Z996" s="38">
        <v>0</v>
      </c>
      <c r="AA996" s="38">
        <v>0</v>
      </c>
      <c r="AB996" s="38">
        <f>N996+O996+P996+Q996</f>
        <v>36.375</v>
      </c>
      <c r="AC996" s="38">
        <v>1.1125799999999999</v>
      </c>
      <c r="AD996" s="39">
        <v>107.83</v>
      </c>
      <c r="AE996" s="38">
        <v>238.31</v>
      </c>
      <c r="AF996" s="38">
        <v>0.17713000000000001</v>
      </c>
      <c r="AG996" s="38">
        <f t="shared" si="128"/>
        <v>0.2</v>
      </c>
      <c r="AH996" s="38">
        <v>2366.64</v>
      </c>
      <c r="AI996" s="38">
        <v>1.8467899999999999</v>
      </c>
      <c r="AJ996" s="38">
        <v>65.27</v>
      </c>
      <c r="AK996" s="38">
        <v>5.0932999999999999E-2</v>
      </c>
      <c r="AL996" s="38">
        <v>0</v>
      </c>
      <c r="AM996" s="38">
        <v>0</v>
      </c>
      <c r="AN996" s="25"/>
      <c r="AO996" s="25">
        <f>AE996*0.5</f>
        <v>119.155</v>
      </c>
      <c r="AP996" s="25">
        <f>(AD996+AH996+AJ996+AL996+AO996)*I996</f>
        <v>97352.781529999993</v>
      </c>
      <c r="AQ996" s="25">
        <f>SUM(N996:Q996)</f>
        <v>36.375</v>
      </c>
      <c r="AR996" s="25">
        <f>SUM(T996:W996)</f>
        <v>36.375</v>
      </c>
      <c r="AS996" s="48"/>
      <c r="AT996" s="41"/>
      <c r="AU996" s="41"/>
      <c r="AV996" s="41"/>
      <c r="AW996" s="41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  <c r="CH996" s="22"/>
      <c r="CI996" s="22"/>
      <c r="CJ996" s="22"/>
    </row>
    <row r="997" spans="1:88">
      <c r="A997" s="1">
        <v>2035</v>
      </c>
      <c r="B997" s="34" t="s">
        <v>2678</v>
      </c>
      <c r="C997" s="34">
        <v>326</v>
      </c>
      <c r="D997" s="75">
        <v>4038</v>
      </c>
      <c r="E997" s="8">
        <v>200</v>
      </c>
      <c r="F997" s="34" t="s">
        <v>2684</v>
      </c>
      <c r="G997" s="58">
        <v>54173</v>
      </c>
      <c r="H997" s="58">
        <v>64241</v>
      </c>
      <c r="I997" s="21">
        <v>10.068</v>
      </c>
      <c r="J997" s="8">
        <v>2</v>
      </c>
      <c r="K997" s="8" t="s">
        <v>238</v>
      </c>
      <c r="L997" s="18">
        <v>42125</v>
      </c>
      <c r="M997" s="37" t="s">
        <v>191</v>
      </c>
      <c r="N997" s="38">
        <v>6.7249999999999996</v>
      </c>
      <c r="O997" s="38">
        <v>2.125</v>
      </c>
      <c r="P997" s="38">
        <v>0.75</v>
      </c>
      <c r="Q997" s="38">
        <v>0.3</v>
      </c>
      <c r="R997" s="38">
        <v>2.3420000000000001</v>
      </c>
      <c r="S997" s="38">
        <f t="shared" si="126"/>
        <v>2.5</v>
      </c>
      <c r="T997" s="38">
        <v>9.2750000000000004</v>
      </c>
      <c r="U997" s="38">
        <v>0.5</v>
      </c>
      <c r="V997" s="38">
        <v>0.125</v>
      </c>
      <c r="W997" s="38">
        <v>0</v>
      </c>
      <c r="X997" s="38">
        <v>4.7709000000000001</v>
      </c>
      <c r="Y997" s="38">
        <f t="shared" si="127"/>
        <v>5</v>
      </c>
      <c r="Z997" s="38">
        <v>0</v>
      </c>
      <c r="AA997" s="38">
        <v>0</v>
      </c>
      <c r="AB997" s="38">
        <v>9.9</v>
      </c>
      <c r="AC997" s="38">
        <v>1.0831599999999999</v>
      </c>
      <c r="AD997" s="38">
        <v>62.32</v>
      </c>
      <c r="AE997" s="38">
        <v>0</v>
      </c>
      <c r="AF997" s="38">
        <f t="shared" ref="AF997:AF1002" si="132">(AD997+AE997*0.5)/(3.5*I997*1000)*100</f>
        <v>0.17685453203927579</v>
      </c>
      <c r="AG997" s="38">
        <f t="shared" si="128"/>
        <v>0.2</v>
      </c>
      <c r="AH997" s="38">
        <v>0</v>
      </c>
      <c r="AI997" s="38">
        <v>0</v>
      </c>
      <c r="AJ997" s="55">
        <v>0</v>
      </c>
      <c r="AK997" s="55">
        <v>0</v>
      </c>
      <c r="AL997" s="55">
        <v>0</v>
      </c>
      <c r="AM997" s="55">
        <f t="shared" ref="AM997:AM1002" si="133">AL997/(3.5*I997*1000)*100</f>
        <v>0</v>
      </c>
      <c r="AO997" s="12"/>
      <c r="AP997" s="12"/>
    </row>
    <row r="998" spans="1:88">
      <c r="A998" s="1">
        <v>141</v>
      </c>
      <c r="B998" s="34" t="s">
        <v>294</v>
      </c>
      <c r="C998" s="34">
        <v>531</v>
      </c>
      <c r="D998" s="34">
        <v>101</v>
      </c>
      <c r="E998" s="34">
        <v>404</v>
      </c>
      <c r="F998" s="34" t="s">
        <v>299</v>
      </c>
      <c r="G998" s="20" t="s">
        <v>300</v>
      </c>
      <c r="H998" s="20" t="s">
        <v>301</v>
      </c>
      <c r="I998" s="35">
        <v>25.87</v>
      </c>
      <c r="J998" s="36">
        <v>2</v>
      </c>
      <c r="K998" s="34" t="s">
        <v>12</v>
      </c>
      <c r="L998" s="18">
        <v>42221</v>
      </c>
      <c r="M998" s="37" t="s">
        <v>191</v>
      </c>
      <c r="N998" s="38">
        <v>20.94</v>
      </c>
      <c r="O998" s="38">
        <v>3.28</v>
      </c>
      <c r="P998" s="38">
        <v>1.1399999999999999</v>
      </c>
      <c r="Q998" s="38">
        <v>0.51</v>
      </c>
      <c r="R998" s="38">
        <v>1.76206</v>
      </c>
      <c r="S998" s="38">
        <f t="shared" si="126"/>
        <v>2</v>
      </c>
      <c r="T998" s="38">
        <v>13.02</v>
      </c>
      <c r="U998" s="38">
        <v>5.76</v>
      </c>
      <c r="V998" s="38">
        <v>3.44</v>
      </c>
      <c r="W998" s="38">
        <v>3.67</v>
      </c>
      <c r="X998" s="38">
        <v>10.3276</v>
      </c>
      <c r="Y998" s="38">
        <f t="shared" si="127"/>
        <v>10.5</v>
      </c>
      <c r="Z998" s="38">
        <v>0</v>
      </c>
      <c r="AA998" s="38">
        <v>0</v>
      </c>
      <c r="AB998" s="38">
        <v>25.87</v>
      </c>
      <c r="AC998" s="38">
        <v>1.0832599999999999</v>
      </c>
      <c r="AD998" s="38">
        <v>71</v>
      </c>
      <c r="AE998" s="38">
        <v>177.91</v>
      </c>
      <c r="AF998" s="38">
        <f t="shared" si="132"/>
        <v>0.17665801535148268</v>
      </c>
      <c r="AG998" s="38">
        <f t="shared" si="128"/>
        <v>0.2</v>
      </c>
      <c r="AH998" s="38">
        <v>955</v>
      </c>
      <c r="AI998" s="38">
        <f>AH998/(3.5*I998*1000)*100</f>
        <v>1.0547241703020598</v>
      </c>
      <c r="AJ998" s="38">
        <v>1801</v>
      </c>
      <c r="AK998" s="38">
        <f>AJ998/(3.5*I998*1000)*100</f>
        <v>1.9890662101717378</v>
      </c>
      <c r="AL998" s="38">
        <v>103</v>
      </c>
      <c r="AM998" s="38">
        <f t="shared" si="133"/>
        <v>0.11375559114252581</v>
      </c>
      <c r="AN998" s="40"/>
      <c r="AO998" s="40">
        <f>AE998*0.5</f>
        <v>88.954999999999998</v>
      </c>
      <c r="AP998" s="40">
        <f>(AD998+AH998+AJ998+AL998+AO998)*I998</f>
        <v>78100.365850000002</v>
      </c>
      <c r="AQ998" s="25">
        <f>SUM(N998:Q998)</f>
        <v>25.870000000000005</v>
      </c>
      <c r="AR998" s="25">
        <f>SUM(T998:W998)</f>
        <v>25.89</v>
      </c>
      <c r="AS998" s="22"/>
      <c r="AT998" s="41"/>
      <c r="AU998" s="41">
        <f>SUM(N998:Q998)</f>
        <v>25.870000000000005</v>
      </c>
      <c r="AV998" s="41">
        <f>SUM(T998:W998)</f>
        <v>25.89</v>
      </c>
      <c r="AW998" s="41">
        <f>SUM(Z998:AB998)</f>
        <v>25.87</v>
      </c>
      <c r="AX998" s="22"/>
      <c r="AY998" s="22">
        <f>I998/AU998</f>
        <v>0.99999999999999989</v>
      </c>
      <c r="AZ998" s="22">
        <f>I998/AV998</f>
        <v>0.99922750096562385</v>
      </c>
      <c r="BA998" s="22">
        <f>I998/AW998</f>
        <v>1</v>
      </c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  <c r="CH998" s="22"/>
      <c r="CI998" s="22"/>
      <c r="CJ998" s="22"/>
    </row>
    <row r="999" spans="1:88">
      <c r="A999" s="1">
        <v>1801</v>
      </c>
      <c r="B999" s="34" t="s">
        <v>2382</v>
      </c>
      <c r="C999" s="34">
        <v>428</v>
      </c>
      <c r="D999" s="8">
        <v>3576</v>
      </c>
      <c r="E999" s="34">
        <v>100</v>
      </c>
      <c r="F999" s="34" t="s">
        <v>2405</v>
      </c>
      <c r="G999" s="58">
        <v>0</v>
      </c>
      <c r="H999" s="58">
        <v>1250</v>
      </c>
      <c r="I999" s="35">
        <v>1.25</v>
      </c>
      <c r="J999" s="9">
        <v>2</v>
      </c>
      <c r="K999" s="34" t="s">
        <v>238</v>
      </c>
      <c r="L999" s="10">
        <v>42232</v>
      </c>
      <c r="M999" s="37" t="s">
        <v>191</v>
      </c>
      <c r="N999" s="38">
        <v>0.17499999999999999</v>
      </c>
      <c r="O999" s="38">
        <v>0.42499999999999999</v>
      </c>
      <c r="P999" s="38">
        <v>0.3</v>
      </c>
      <c r="Q999" s="38">
        <v>0.35</v>
      </c>
      <c r="R999" s="38">
        <v>4.5340199999999999</v>
      </c>
      <c r="S999" s="38">
        <f t="shared" si="126"/>
        <v>4.5</v>
      </c>
      <c r="T999" s="38">
        <v>1.2</v>
      </c>
      <c r="U999" s="38">
        <v>0.05</v>
      </c>
      <c r="V999" s="38">
        <v>0</v>
      </c>
      <c r="W999" s="38">
        <v>0</v>
      </c>
      <c r="X999" s="38">
        <v>4.6742600000000003</v>
      </c>
      <c r="Y999" s="38">
        <f t="shared" si="127"/>
        <v>4.5</v>
      </c>
      <c r="Z999" s="38">
        <v>0</v>
      </c>
      <c r="AA999" s="38">
        <v>0</v>
      </c>
      <c r="AB999" s="38">
        <f>SUM(N999:Q999)</f>
        <v>1.25</v>
      </c>
      <c r="AC999" s="38">
        <v>1.2972900000000001</v>
      </c>
      <c r="AD999" s="38">
        <v>7.71</v>
      </c>
      <c r="AE999" s="38">
        <v>0</v>
      </c>
      <c r="AF999" s="38">
        <f t="shared" si="132"/>
        <v>0.17622857142857143</v>
      </c>
      <c r="AG999" s="38">
        <f t="shared" si="128"/>
        <v>0.2</v>
      </c>
      <c r="AH999" s="38">
        <v>0</v>
      </c>
      <c r="AI999" s="38">
        <f>AH999/(3.5*I999*1000)*100</f>
        <v>0</v>
      </c>
      <c r="AJ999" s="38">
        <v>0</v>
      </c>
      <c r="AK999" s="38">
        <f>AJ999/(3.5*I999*1000)*100</f>
        <v>0</v>
      </c>
      <c r="AL999" s="38">
        <v>1.1499999999999999</v>
      </c>
      <c r="AM999" s="38">
        <f t="shared" si="133"/>
        <v>2.6285714285714287E-2</v>
      </c>
      <c r="AN999" s="25"/>
      <c r="AO999" s="25">
        <f>AE999*0.5</f>
        <v>0</v>
      </c>
      <c r="AP999" s="25">
        <f>(AD999+AH999+AJ999+AL999+AO999)*I999</f>
        <v>11.074999999999999</v>
      </c>
      <c r="AQ999" s="136">
        <f>SUM(N999:Q999)</f>
        <v>1.25</v>
      </c>
      <c r="AR999" s="12">
        <f>SUM(T999:W999)</f>
        <v>1.25</v>
      </c>
      <c r="AS999" s="22"/>
      <c r="AT999" s="41"/>
      <c r="AU999" s="41"/>
      <c r="AV999" s="41"/>
      <c r="AW999" s="41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  <c r="CH999" s="22"/>
      <c r="CI999" s="22"/>
      <c r="CJ999" s="22"/>
    </row>
    <row r="1000" spans="1:88">
      <c r="A1000" s="1">
        <v>1097</v>
      </c>
      <c r="B1000" s="9" t="s">
        <v>1513</v>
      </c>
      <c r="C1000" s="34">
        <v>431</v>
      </c>
      <c r="D1000" s="75">
        <v>205</v>
      </c>
      <c r="E1000" s="69">
        <v>102</v>
      </c>
      <c r="F1000" s="34" t="s">
        <v>1516</v>
      </c>
      <c r="G1000" s="20" t="s">
        <v>1517</v>
      </c>
      <c r="H1000" s="20" t="s">
        <v>1515</v>
      </c>
      <c r="I1000" s="21">
        <v>9.4090000000000007</v>
      </c>
      <c r="J1000" s="8">
        <v>4</v>
      </c>
      <c r="K1000" s="5" t="s">
        <v>96</v>
      </c>
      <c r="L1000" s="18">
        <v>42282</v>
      </c>
      <c r="M1000" s="37" t="s">
        <v>191</v>
      </c>
      <c r="N1000" s="38">
        <v>4.45</v>
      </c>
      <c r="O1000" s="38">
        <v>2.2749999999999999</v>
      </c>
      <c r="P1000" s="38">
        <v>1.3</v>
      </c>
      <c r="Q1000" s="38">
        <v>0.4</v>
      </c>
      <c r="R1000" s="38">
        <v>2.72288</v>
      </c>
      <c r="S1000" s="38">
        <f t="shared" si="126"/>
        <v>2.5</v>
      </c>
      <c r="T1000" s="38">
        <v>7.7249999999999996</v>
      </c>
      <c r="U1000" s="38">
        <v>0.42499999999999999</v>
      </c>
      <c r="V1000" s="38">
        <v>0.17499999999999999</v>
      </c>
      <c r="W1000" s="38">
        <v>0.1</v>
      </c>
      <c r="X1000" s="38">
        <v>5.0497199999999998</v>
      </c>
      <c r="Y1000" s="38">
        <f t="shared" si="127"/>
        <v>5</v>
      </c>
      <c r="Z1000" s="38">
        <v>0</v>
      </c>
      <c r="AA1000" s="38">
        <v>0</v>
      </c>
      <c r="AB1000" s="38">
        <v>8.4250000000000007</v>
      </c>
      <c r="AC1000" s="38">
        <v>1.43641</v>
      </c>
      <c r="AD1000" s="38">
        <v>57.93</v>
      </c>
      <c r="AE1000" s="38">
        <v>0</v>
      </c>
      <c r="AF1000" s="38">
        <f t="shared" si="132"/>
        <v>0.17591060231085739</v>
      </c>
      <c r="AG1000" s="38">
        <f t="shared" si="128"/>
        <v>0.2</v>
      </c>
      <c r="AH1000" s="38">
        <v>35.326000000000001</v>
      </c>
      <c r="AI1000" s="38">
        <f>AH1000/(3.5*I1000*1000)*100</f>
        <v>0.10727115375855943</v>
      </c>
      <c r="AJ1000" s="38">
        <v>0</v>
      </c>
      <c r="AK1000" s="38">
        <f>AJ1000/(3.5*I1000*1000)*100</f>
        <v>0</v>
      </c>
      <c r="AL1000" s="38">
        <v>0</v>
      </c>
      <c r="AM1000" s="38">
        <f t="shared" si="133"/>
        <v>0</v>
      </c>
      <c r="AN1000" s="41"/>
      <c r="AO1000" s="72"/>
      <c r="AP1000" s="73"/>
      <c r="AQ1000" s="73"/>
      <c r="AR1000" s="22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  <c r="CH1000" s="22"/>
      <c r="CI1000" s="22"/>
      <c r="CJ1000" s="22"/>
    </row>
    <row r="1001" spans="1:88">
      <c r="A1001" s="1">
        <v>825</v>
      </c>
      <c r="B1001" s="34" t="s">
        <v>1204</v>
      </c>
      <c r="C1001" s="34">
        <v>647</v>
      </c>
      <c r="D1001" s="150">
        <v>2231</v>
      </c>
      <c r="E1001" s="34">
        <v>200</v>
      </c>
      <c r="F1001" s="34" t="s">
        <v>1217</v>
      </c>
      <c r="G1001" s="58">
        <v>9603</v>
      </c>
      <c r="H1001" s="58">
        <v>4425</v>
      </c>
      <c r="I1001" s="35">
        <v>5.1779999999999999</v>
      </c>
      <c r="J1001" s="71">
        <v>2</v>
      </c>
      <c r="K1001" s="34" t="s">
        <v>12</v>
      </c>
      <c r="L1001" s="10">
        <v>42154</v>
      </c>
      <c r="M1001" s="37" t="s">
        <v>191</v>
      </c>
      <c r="N1001" s="38">
        <v>4.0750000000000002</v>
      </c>
      <c r="O1001" s="38">
        <v>0.9</v>
      </c>
      <c r="P1001" s="38">
        <v>7.4999999999999997E-2</v>
      </c>
      <c r="Q1001" s="38">
        <v>0.05</v>
      </c>
      <c r="R1001" s="38">
        <v>2.1648499999999999</v>
      </c>
      <c r="S1001" s="38">
        <f t="shared" si="126"/>
        <v>2</v>
      </c>
      <c r="T1001" s="38">
        <v>5.0999999999999996</v>
      </c>
      <c r="U1001" s="38">
        <v>0</v>
      </c>
      <c r="V1001" s="38">
        <v>0</v>
      </c>
      <c r="W1001" s="38">
        <v>0</v>
      </c>
      <c r="X1001" s="38">
        <v>3.82178</v>
      </c>
      <c r="Y1001" s="38">
        <f t="shared" si="127"/>
        <v>4</v>
      </c>
      <c r="Z1001" s="38">
        <v>0</v>
      </c>
      <c r="AA1001" s="38">
        <v>0</v>
      </c>
      <c r="AB1001" s="38">
        <f>N1001+O1001+P1001+Q1001</f>
        <v>5.1000000000000005</v>
      </c>
      <c r="AC1001" s="38">
        <v>1.2462599999999999</v>
      </c>
      <c r="AD1001" s="38">
        <v>3.87</v>
      </c>
      <c r="AE1001" s="38">
        <v>56</v>
      </c>
      <c r="AF1001" s="38">
        <f t="shared" si="132"/>
        <v>0.17585388732549798</v>
      </c>
      <c r="AG1001" s="38">
        <f t="shared" si="128"/>
        <v>0.2</v>
      </c>
      <c r="AH1001" s="38">
        <v>0</v>
      </c>
      <c r="AI1001" s="38">
        <f>AH1001/(3.5*I1001*1000)*100</f>
        <v>0</v>
      </c>
      <c r="AJ1001" s="38">
        <v>0</v>
      </c>
      <c r="AK1001" s="38">
        <f>AJ1001/(3.5*I1001*1000)*100</f>
        <v>0</v>
      </c>
      <c r="AL1001" s="38">
        <v>0</v>
      </c>
      <c r="AM1001" s="38">
        <f t="shared" si="133"/>
        <v>0</v>
      </c>
      <c r="AN1001" s="25"/>
      <c r="AO1001" s="25">
        <f>AE1001*0.5</f>
        <v>28</v>
      </c>
      <c r="AP1001" s="25">
        <f>(AD1001+AH1001+AJ1001+AL1001+AO1001)*I1001</f>
        <v>165.02286000000001</v>
      </c>
      <c r="AQ1001" s="25">
        <f>SUM(N1001:Q1001)</f>
        <v>5.1000000000000005</v>
      </c>
      <c r="AR1001" s="25">
        <f>SUM(T1001:W1001)</f>
        <v>5.0999999999999996</v>
      </c>
      <c r="AS1001" s="268">
        <v>5.1779999999999999</v>
      </c>
      <c r="AT1001" s="41"/>
      <c r="AU1001" s="41"/>
      <c r="AV1001" s="41"/>
      <c r="AW1001" s="41"/>
      <c r="AX1001" s="22"/>
      <c r="AY1001" s="22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22"/>
      <c r="BK1001" s="22"/>
      <c r="BL1001" s="22"/>
      <c r="BM1001" s="22"/>
      <c r="BN1001" s="22"/>
      <c r="BO1001" s="22"/>
      <c r="BP1001" s="22"/>
      <c r="BQ1001" s="22"/>
      <c r="BR1001" s="22"/>
      <c r="BS1001" s="22"/>
      <c r="BT1001" s="22"/>
      <c r="BU1001" s="22"/>
      <c r="BV1001" s="22"/>
      <c r="BW1001" s="22"/>
      <c r="BX1001" s="22"/>
      <c r="BY1001" s="22"/>
      <c r="BZ1001" s="22"/>
      <c r="CA1001" s="22"/>
      <c r="CB1001" s="22"/>
      <c r="CC1001" s="22"/>
      <c r="CD1001" s="22"/>
      <c r="CE1001" s="22"/>
      <c r="CF1001" s="22"/>
      <c r="CG1001" s="22"/>
      <c r="CH1001" s="22"/>
      <c r="CI1001" s="22"/>
      <c r="CJ1001" s="22"/>
    </row>
    <row r="1002" spans="1:88">
      <c r="A1002" s="1">
        <v>447</v>
      </c>
      <c r="B1002" s="74" t="s">
        <v>699</v>
      </c>
      <c r="C1002" s="34">
        <v>513</v>
      </c>
      <c r="D1002" s="75">
        <v>1318</v>
      </c>
      <c r="E1002" s="69">
        <v>101</v>
      </c>
      <c r="F1002" s="76" t="s">
        <v>760</v>
      </c>
      <c r="G1002" s="58" t="s">
        <v>761</v>
      </c>
      <c r="H1002" s="58" t="s">
        <v>92</v>
      </c>
      <c r="I1002" s="55">
        <v>13.79</v>
      </c>
      <c r="J1002" s="5" t="s">
        <v>12</v>
      </c>
      <c r="K1002" s="34">
        <v>2</v>
      </c>
      <c r="L1002" s="18">
        <v>42264</v>
      </c>
      <c r="M1002" s="37" t="s">
        <v>191</v>
      </c>
      <c r="N1002" s="38">
        <v>11.72</v>
      </c>
      <c r="O1002" s="38">
        <v>1.1399999999999999</v>
      </c>
      <c r="P1002" s="38">
        <v>0.63</v>
      </c>
      <c r="Q1002" s="38">
        <v>0.3</v>
      </c>
      <c r="R1002" s="38">
        <v>1.92198</v>
      </c>
      <c r="S1002" s="38">
        <f t="shared" si="126"/>
        <v>2</v>
      </c>
      <c r="T1002" s="38">
        <v>13.26</v>
      </c>
      <c r="U1002" s="38">
        <v>0.3</v>
      </c>
      <c r="V1002" s="38">
        <v>0.15</v>
      </c>
      <c r="W1002" s="38">
        <v>0.08</v>
      </c>
      <c r="X1002" s="38">
        <v>3.1438199999999998</v>
      </c>
      <c r="Y1002" s="38">
        <f t="shared" si="127"/>
        <v>3</v>
      </c>
      <c r="Z1002" s="38">
        <v>0</v>
      </c>
      <c r="AA1002" s="38">
        <v>0</v>
      </c>
      <c r="AB1002" s="38">
        <v>13.79</v>
      </c>
      <c r="AC1002" s="38">
        <v>1.1392500000000001</v>
      </c>
      <c r="AD1002" s="38">
        <v>77.98</v>
      </c>
      <c r="AE1002" s="38">
        <v>13.645</v>
      </c>
      <c r="AF1002" s="38">
        <f t="shared" si="132"/>
        <v>0.17570185434579924</v>
      </c>
      <c r="AG1002" s="38">
        <f t="shared" si="128"/>
        <v>0.2</v>
      </c>
      <c r="AH1002" s="38">
        <v>94.57</v>
      </c>
      <c r="AI1002" s="38">
        <f>AH1002/(3.5*I1002*1000)*100</f>
        <v>0.19593908629441625</v>
      </c>
      <c r="AJ1002" s="38">
        <v>0</v>
      </c>
      <c r="AK1002" s="38">
        <f>AJ1002/(3.5*I1002*1000)*100</f>
        <v>0</v>
      </c>
      <c r="AL1002" s="38">
        <v>0</v>
      </c>
      <c r="AM1002" s="38">
        <f t="shared" si="133"/>
        <v>0</v>
      </c>
      <c r="AN1002" s="41"/>
      <c r="AO1002" s="41"/>
      <c r="AP1002" s="73"/>
      <c r="AQ1002" s="41">
        <f>SUM(N1002:Q1002)</f>
        <v>13.790000000000003</v>
      </c>
      <c r="AR1002" s="41">
        <f>SUM(T1002:W1002)</f>
        <v>13.790000000000001</v>
      </c>
      <c r="AS1002" s="41">
        <f>SUM(Z1002:AB1002)</f>
        <v>13.79</v>
      </c>
      <c r="AT1002" s="22"/>
      <c r="AU1002" s="22">
        <f>I1002/AQ1002</f>
        <v>0.99999999999999978</v>
      </c>
      <c r="AV1002" s="22">
        <f>I1002/AR1002</f>
        <v>0.99999999999999989</v>
      </c>
      <c r="AW1002" s="22">
        <f>I1002/AS1002</f>
        <v>1</v>
      </c>
      <c r="AX1002" s="73"/>
      <c r="AY1002" s="73"/>
      <c r="AZ1002" s="73"/>
      <c r="BA1002" s="73"/>
      <c r="BB1002" s="73"/>
      <c r="BC1002" s="73"/>
      <c r="BD1002" s="73"/>
      <c r="BE1002" s="73"/>
      <c r="BF1002" s="73"/>
      <c r="BG1002" s="73"/>
      <c r="BH1002" s="73"/>
      <c r="BI1002" s="73"/>
      <c r="BJ1002" s="73"/>
      <c r="BK1002" s="73"/>
      <c r="BL1002" s="73"/>
      <c r="BM1002" s="73"/>
      <c r="BN1002" s="73"/>
      <c r="BO1002" s="73"/>
      <c r="BP1002" s="73"/>
      <c r="BQ1002" s="73"/>
      <c r="BR1002" s="73"/>
      <c r="BS1002" s="73"/>
      <c r="BT1002" s="73"/>
      <c r="BU1002" s="73"/>
      <c r="BV1002" s="73"/>
      <c r="BW1002" s="73"/>
      <c r="BX1002" s="73"/>
      <c r="BY1002" s="73"/>
      <c r="BZ1002" s="73"/>
      <c r="CA1002" s="73"/>
      <c r="CB1002" s="73"/>
      <c r="CC1002" s="73"/>
      <c r="CD1002" s="73"/>
      <c r="CE1002" s="73"/>
      <c r="CF1002" s="73"/>
      <c r="CG1002" s="73"/>
      <c r="CH1002" s="73"/>
      <c r="CI1002" s="73"/>
      <c r="CJ1002" s="73"/>
    </row>
    <row r="1003" spans="1:88">
      <c r="A1003" s="1">
        <v>897</v>
      </c>
      <c r="B1003" s="34" t="s">
        <v>1285</v>
      </c>
      <c r="C1003" s="34">
        <v>634</v>
      </c>
      <c r="D1003" s="162">
        <v>2134</v>
      </c>
      <c r="E1003" s="34">
        <v>103</v>
      </c>
      <c r="F1003" s="34" t="s">
        <v>1291</v>
      </c>
      <c r="G1003" s="58">
        <v>79725</v>
      </c>
      <c r="H1003" s="58">
        <v>43925</v>
      </c>
      <c r="I1003" s="35">
        <v>35.799999999999997</v>
      </c>
      <c r="J1003" s="9">
        <v>2</v>
      </c>
      <c r="K1003" s="34" t="s">
        <v>12</v>
      </c>
      <c r="L1003" s="10">
        <v>42145</v>
      </c>
      <c r="M1003" s="37" t="s">
        <v>191</v>
      </c>
      <c r="N1003" s="38">
        <v>23.324999999999999</v>
      </c>
      <c r="O1003" s="38">
        <v>8.5</v>
      </c>
      <c r="P1003" s="38">
        <v>2.8</v>
      </c>
      <c r="Q1003" s="38">
        <v>1.2749999999999999</v>
      </c>
      <c r="R1003" s="38">
        <v>2.92</v>
      </c>
      <c r="S1003" s="38">
        <f t="shared" si="126"/>
        <v>3</v>
      </c>
      <c r="T1003" s="38">
        <v>33.424999999999997</v>
      </c>
      <c r="U1003" s="38">
        <v>1.7749999999999999</v>
      </c>
      <c r="V1003" s="38">
        <v>0.375</v>
      </c>
      <c r="W1003" s="38">
        <v>0.32500000000000001</v>
      </c>
      <c r="X1003" s="38">
        <v>5.8</v>
      </c>
      <c r="Y1003" s="38">
        <f t="shared" si="127"/>
        <v>6</v>
      </c>
      <c r="Z1003" s="38">
        <v>0</v>
      </c>
      <c r="AA1003" s="38">
        <v>0</v>
      </c>
      <c r="AB1003" s="38">
        <f>N1003+O1003+P1003+Q1003</f>
        <v>35.9</v>
      </c>
      <c r="AC1003" s="38">
        <v>1.2749999999999999</v>
      </c>
      <c r="AD1003" s="38">
        <v>141.24</v>
      </c>
      <c r="AE1003" s="38">
        <v>22.8</v>
      </c>
      <c r="AF1003" s="38">
        <v>0.1757</v>
      </c>
      <c r="AG1003" s="38">
        <f t="shared" si="128"/>
        <v>0.2</v>
      </c>
      <c r="AH1003" s="38">
        <v>0</v>
      </c>
      <c r="AI1003" s="38">
        <v>0</v>
      </c>
      <c r="AJ1003" s="38">
        <v>803.87</v>
      </c>
      <c r="AK1003" s="38">
        <v>0.92533399999999999</v>
      </c>
      <c r="AL1003" s="38">
        <v>0</v>
      </c>
      <c r="AM1003" s="38">
        <v>0</v>
      </c>
      <c r="AN1003" s="25"/>
      <c r="AO1003" s="25">
        <f>AE1003*0.5</f>
        <v>11.4</v>
      </c>
      <c r="AP1003" s="25">
        <f>(AD1003+AH1003+AJ1003+AL1003+AO1003)*I1003</f>
        <v>34243.057999999997</v>
      </c>
      <c r="AQ1003" s="25">
        <f>SUM(N1003:Q1003)</f>
        <v>35.9</v>
      </c>
      <c r="AR1003" s="25">
        <f>SUM(T1003:W1003)</f>
        <v>35.9</v>
      </c>
      <c r="AS1003" s="22"/>
      <c r="AT1003" s="41"/>
      <c r="AU1003" s="41"/>
      <c r="AV1003" s="41"/>
      <c r="AW1003" s="41"/>
      <c r="AX1003" s="22"/>
      <c r="AY1003" s="22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22"/>
      <c r="BK1003" s="22"/>
      <c r="BL1003" s="22"/>
      <c r="BM1003" s="22"/>
      <c r="BN1003" s="22"/>
      <c r="BO1003" s="22"/>
      <c r="BP1003" s="22"/>
      <c r="BQ1003" s="22"/>
      <c r="BR1003" s="22"/>
      <c r="BS1003" s="22"/>
      <c r="BT1003" s="22"/>
      <c r="BU1003" s="22"/>
      <c r="BV1003" s="22"/>
      <c r="BW1003" s="22"/>
      <c r="BX1003" s="22"/>
      <c r="BY1003" s="22"/>
      <c r="BZ1003" s="22"/>
      <c r="CA1003" s="22"/>
      <c r="CB1003" s="22"/>
      <c r="CC1003" s="22"/>
      <c r="CD1003" s="22"/>
      <c r="CE1003" s="22"/>
      <c r="CF1003" s="22"/>
      <c r="CG1003" s="22"/>
      <c r="CH1003" s="22"/>
      <c r="CI1003" s="22"/>
      <c r="CJ1003" s="22"/>
    </row>
    <row r="1004" spans="1:88">
      <c r="A1004" s="1">
        <v>854</v>
      </c>
      <c r="B1004" s="34" t="s">
        <v>1231</v>
      </c>
      <c r="C1004" s="34">
        <v>615</v>
      </c>
      <c r="D1004" s="34">
        <v>2167</v>
      </c>
      <c r="E1004" s="34">
        <v>200</v>
      </c>
      <c r="F1004" s="34" t="s">
        <v>1248</v>
      </c>
      <c r="G1004" s="58">
        <v>37826</v>
      </c>
      <c r="H1004" s="58">
        <v>49038</v>
      </c>
      <c r="I1004" s="35">
        <v>11.212</v>
      </c>
      <c r="J1004" s="9">
        <v>2</v>
      </c>
      <c r="K1004" s="34" t="s">
        <v>238</v>
      </c>
      <c r="L1004" s="10">
        <v>42135</v>
      </c>
      <c r="M1004" s="37" t="s">
        <v>191</v>
      </c>
      <c r="N1004" s="38">
        <v>8.15</v>
      </c>
      <c r="O1004" s="38">
        <v>2.2749999999999999</v>
      </c>
      <c r="P1004" s="38">
        <v>0.67500000000000004</v>
      </c>
      <c r="Q1004" s="38">
        <v>0.15</v>
      </c>
      <c r="R1004" s="38">
        <v>2.7631399999999999</v>
      </c>
      <c r="S1004" s="38">
        <f t="shared" si="126"/>
        <v>3</v>
      </c>
      <c r="T1004" s="38">
        <v>10.875</v>
      </c>
      <c r="U1004" s="38">
        <v>0.3</v>
      </c>
      <c r="V1004" s="38">
        <v>0.05</v>
      </c>
      <c r="W1004" s="38">
        <v>2.5000000000000001E-2</v>
      </c>
      <c r="X1004" s="38">
        <v>4.4691599999999996</v>
      </c>
      <c r="Y1004" s="38">
        <f t="shared" si="127"/>
        <v>4.5</v>
      </c>
      <c r="Z1004" s="38">
        <v>0</v>
      </c>
      <c r="AA1004" s="38">
        <v>0</v>
      </c>
      <c r="AB1004" s="38">
        <f>N1004+O1004+P1004+Q1004</f>
        <v>11.250000000000002</v>
      </c>
      <c r="AC1004" s="38">
        <v>1.4709000000000001</v>
      </c>
      <c r="AD1004" s="38">
        <v>54.38</v>
      </c>
      <c r="AE1004" s="38">
        <v>28.97</v>
      </c>
      <c r="AF1004" s="38">
        <v>0.17548800000000001</v>
      </c>
      <c r="AG1004" s="38">
        <f t="shared" si="128"/>
        <v>0.2</v>
      </c>
      <c r="AH1004" s="38">
        <v>23.3</v>
      </c>
      <c r="AI1004" s="38">
        <v>5.9374999999999997E-2</v>
      </c>
      <c r="AJ1004" s="38">
        <v>4.68</v>
      </c>
      <c r="AK1004" s="38">
        <v>1.1926000000000001E-2</v>
      </c>
      <c r="AL1004" s="38">
        <v>40.729999999999997</v>
      </c>
      <c r="AM1004" s="38">
        <v>0.103792</v>
      </c>
      <c r="AN1004" s="25"/>
      <c r="AO1004" s="25">
        <f>AE1004*0.5</f>
        <v>14.484999999999999</v>
      </c>
      <c r="AP1004" s="25">
        <f>(AD1004+AH1004+AJ1004+AL1004+AO1004)*I1004</f>
        <v>1542.4908999999998</v>
      </c>
      <c r="AQ1004" s="25">
        <f>SUM(N1004:Q1004)</f>
        <v>11.250000000000002</v>
      </c>
      <c r="AR1004" s="25">
        <f>SUM(T1004:W1004)</f>
        <v>11.250000000000002</v>
      </c>
      <c r="AS1004" s="268">
        <v>11.212</v>
      </c>
      <c r="AT1004" s="41"/>
      <c r="AU1004" s="41"/>
      <c r="AV1004" s="41"/>
      <c r="AW1004" s="41"/>
      <c r="AX1004" s="22"/>
      <c r="AY1004" s="22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22"/>
      <c r="BK1004" s="22"/>
      <c r="BL1004" s="22"/>
      <c r="BM1004" s="22"/>
      <c r="BN1004" s="22"/>
      <c r="BO1004" s="22"/>
      <c r="BP1004" s="22"/>
      <c r="BQ1004" s="22"/>
      <c r="BR1004" s="22"/>
      <c r="BS1004" s="22"/>
      <c r="BT1004" s="22"/>
      <c r="BU1004" s="22"/>
      <c r="BV1004" s="22"/>
      <c r="BW1004" s="22"/>
      <c r="BX1004" s="22"/>
      <c r="BY1004" s="22"/>
      <c r="BZ1004" s="22"/>
      <c r="CA1004" s="22"/>
      <c r="CB1004" s="22"/>
      <c r="CC1004" s="22"/>
      <c r="CD1004" s="22"/>
      <c r="CE1004" s="22"/>
      <c r="CF1004" s="22"/>
      <c r="CG1004" s="22"/>
      <c r="CH1004" s="22"/>
      <c r="CI1004" s="22"/>
      <c r="CJ1004" s="22"/>
    </row>
    <row r="1005" spans="1:88">
      <c r="A1005" s="1">
        <v>96</v>
      </c>
      <c r="B1005" s="4" t="s">
        <v>61</v>
      </c>
      <c r="C1005" s="14">
        <v>526</v>
      </c>
      <c r="D1005" s="19">
        <v>1263</v>
      </c>
      <c r="E1005" s="16">
        <v>100</v>
      </c>
      <c r="F1005" s="14" t="s">
        <v>207</v>
      </c>
      <c r="G1005" s="27" t="s">
        <v>92</v>
      </c>
      <c r="H1005" s="27" t="s">
        <v>94</v>
      </c>
      <c r="I1005" s="28">
        <v>20.524999999999999</v>
      </c>
      <c r="J1005" s="16">
        <v>2</v>
      </c>
      <c r="K1005" s="14" t="s">
        <v>238</v>
      </c>
      <c r="L1005" s="29">
        <v>42244</v>
      </c>
      <c r="M1005" s="246" t="s">
        <v>191</v>
      </c>
      <c r="N1005" s="30">
        <v>6.32</v>
      </c>
      <c r="O1005" s="30">
        <v>6.42</v>
      </c>
      <c r="P1005" s="30">
        <v>4.3499999999999996</v>
      </c>
      <c r="Q1005" s="30">
        <v>3.43</v>
      </c>
      <c r="R1005" s="30">
        <v>3.5508000000000002</v>
      </c>
      <c r="S1005" s="38">
        <f t="shared" si="126"/>
        <v>3.5</v>
      </c>
      <c r="T1005" s="30">
        <v>19.73</v>
      </c>
      <c r="U1005" s="30">
        <v>0.6</v>
      </c>
      <c r="V1005" s="30">
        <v>0.12</v>
      </c>
      <c r="W1005" s="30">
        <v>7.0000000000000007E-2</v>
      </c>
      <c r="X1005" s="30">
        <v>3.5802100000000001</v>
      </c>
      <c r="Y1005" s="38">
        <f t="shared" si="127"/>
        <v>3.5</v>
      </c>
      <c r="Z1005" s="30">
        <v>0</v>
      </c>
      <c r="AA1005" s="30">
        <v>0</v>
      </c>
      <c r="AB1005" s="30">
        <v>20.53</v>
      </c>
      <c r="AC1005" s="30">
        <v>1.38663</v>
      </c>
      <c r="AD1005" s="30">
        <v>98.12</v>
      </c>
      <c r="AE1005" s="30">
        <v>54.12</v>
      </c>
      <c r="AF1005" s="30">
        <f>(AD1005+AE1005*0.5)/(3.5*I1005*1000)*100</f>
        <v>0.17425439359665917</v>
      </c>
      <c r="AG1005" s="38">
        <f t="shared" si="128"/>
        <v>0.2</v>
      </c>
      <c r="AH1005" s="30">
        <v>184.1</v>
      </c>
      <c r="AI1005" s="30">
        <f>AH1005/(3.5*I1005*1000)*100</f>
        <v>0.25627283800243611</v>
      </c>
      <c r="AJ1005" s="30">
        <v>5.5</v>
      </c>
      <c r="AK1005" s="30">
        <f>AJ1005/(3.5*I1005*1000)*100</f>
        <v>7.6561684357055876E-3</v>
      </c>
      <c r="AL1005" s="30">
        <v>1.21</v>
      </c>
      <c r="AM1005" s="30">
        <f>AL1005/(3.5*I1005*1000)*100</f>
        <v>1.6843570558552293E-3</v>
      </c>
      <c r="AN1005" s="22"/>
      <c r="AO1005" s="25"/>
      <c r="AP1005" s="25">
        <f>N1005+O1005+P1005+Q1005</f>
        <v>20.52</v>
      </c>
      <c r="AQ1005" s="25">
        <f>T1005+U1005+V1005+W1005</f>
        <v>20.520000000000003</v>
      </c>
      <c r="AR1005" s="25">
        <f>Z1005+AA1005+AB1005</f>
        <v>20.53</v>
      </c>
      <c r="AS1005" s="22"/>
      <c r="AT1005" s="22">
        <f>I1005/AP1005</f>
        <v>1.0002436647173489</v>
      </c>
      <c r="AU1005" s="22">
        <f>I1005/AQ1005</f>
        <v>1.0002436647173487</v>
      </c>
      <c r="AV1005" s="22">
        <f>I1005/AR1005</f>
        <v>0.99975645396980017</v>
      </c>
      <c r="AW1005" s="22"/>
      <c r="AX1005" s="22"/>
      <c r="AY1005" s="22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22"/>
      <c r="BK1005" s="22"/>
      <c r="BL1005" s="22"/>
      <c r="BM1005" s="22"/>
      <c r="BN1005" s="22"/>
      <c r="BO1005" s="22"/>
      <c r="BP1005" s="22"/>
      <c r="BQ1005" s="22"/>
      <c r="BR1005" s="22"/>
      <c r="BS1005" s="22"/>
      <c r="BT1005" s="22"/>
      <c r="BU1005" s="22"/>
      <c r="BV1005" s="22"/>
      <c r="BW1005" s="22"/>
      <c r="BX1005" s="22"/>
      <c r="BY1005" s="22"/>
      <c r="BZ1005" s="22"/>
      <c r="CA1005" s="22"/>
      <c r="CB1005" s="22"/>
      <c r="CC1005" s="22"/>
      <c r="CD1005" s="22"/>
      <c r="CE1005" s="22"/>
      <c r="CF1005" s="22"/>
      <c r="CG1005" s="22"/>
      <c r="CH1005" s="22"/>
      <c r="CI1005" s="22"/>
      <c r="CJ1005" s="22"/>
    </row>
    <row r="1006" spans="1:88" s="22" customFormat="1">
      <c r="A1006" s="1">
        <v>1478</v>
      </c>
      <c r="B1006" s="34" t="s">
        <v>2016</v>
      </c>
      <c r="C1006" s="34">
        <v>411</v>
      </c>
      <c r="D1006" s="69">
        <v>3119</v>
      </c>
      <c r="E1006" s="34">
        <v>102</v>
      </c>
      <c r="F1006" s="34" t="s">
        <v>2031</v>
      </c>
      <c r="G1006" s="20" t="s">
        <v>2032</v>
      </c>
      <c r="H1006" s="20" t="s">
        <v>2033</v>
      </c>
      <c r="I1006" s="188">
        <v>5.694</v>
      </c>
      <c r="J1006" s="34">
        <v>2</v>
      </c>
      <c r="K1006" s="34" t="s">
        <v>96</v>
      </c>
      <c r="L1006" s="10">
        <v>42246</v>
      </c>
      <c r="M1006" s="37" t="s">
        <v>191</v>
      </c>
      <c r="N1006" s="38">
        <v>1.2250000000000001</v>
      </c>
      <c r="O1006" s="38">
        <v>2.125</v>
      </c>
      <c r="P1006" s="38">
        <v>1.35</v>
      </c>
      <c r="Q1006" s="38">
        <v>1</v>
      </c>
      <c r="R1006" s="38">
        <v>3.7170000000000001</v>
      </c>
      <c r="S1006" s="38">
        <f t="shared" si="126"/>
        <v>3.5</v>
      </c>
      <c r="T1006" s="38">
        <v>5.4</v>
      </c>
      <c r="U1006" s="38">
        <v>0.17499999999999999</v>
      </c>
      <c r="V1006" s="38">
        <v>7.4999999999999997E-2</v>
      </c>
      <c r="W1006" s="38">
        <v>0.05</v>
      </c>
      <c r="X1006" s="38">
        <v>4.5250000000000004</v>
      </c>
      <c r="Y1006" s="38">
        <f t="shared" si="127"/>
        <v>4.5</v>
      </c>
      <c r="Z1006" s="38">
        <v>0</v>
      </c>
      <c r="AA1006" s="38">
        <v>0</v>
      </c>
      <c r="AB1006" s="38">
        <f>SUM(T1006:W1006)</f>
        <v>5.7</v>
      </c>
      <c r="AC1006" s="38">
        <v>0.98199999999999998</v>
      </c>
      <c r="AD1006" s="38">
        <v>13</v>
      </c>
      <c r="AE1006" s="38">
        <v>43.4</v>
      </c>
      <c r="AF1006" s="38">
        <f>(AD1006+AE1006*0.5)/(3.5*I1006*1000)*100</f>
        <v>0.17411811932359877</v>
      </c>
      <c r="AG1006" s="38">
        <f t="shared" si="128"/>
        <v>0.2</v>
      </c>
      <c r="AH1006" s="38">
        <v>0</v>
      </c>
      <c r="AI1006" s="38">
        <f>AH1006/(3.5*I1006*1000)*100</f>
        <v>0</v>
      </c>
      <c r="AJ1006" s="38">
        <v>6.1</v>
      </c>
      <c r="AK1006" s="38">
        <f>AJ1006/(3.5*I1006*1000)*100</f>
        <v>3.0608660745647043E-2</v>
      </c>
      <c r="AL1006" s="38">
        <v>0</v>
      </c>
      <c r="AM1006" s="38">
        <f>AL1006/(3.5*I1006*1000)*100</f>
        <v>0</v>
      </c>
      <c r="AN1006" s="60"/>
      <c r="AO1006" s="60">
        <f>AE1006*0.5</f>
        <v>21.7</v>
      </c>
      <c r="AP1006" s="60">
        <f>(AD1006+AH1006+AJ1006+AL1006+AO1006)*I1006</f>
        <v>232.31519999999998</v>
      </c>
      <c r="AQ1006" s="60"/>
      <c r="AR1006" s="60"/>
      <c r="AS1006" s="60"/>
      <c r="AT1006" s="60"/>
      <c r="AU1006" s="61"/>
      <c r="AV1006" s="40"/>
      <c r="AW1006" s="40"/>
      <c r="AX1006" s="40"/>
      <c r="AY1006" s="40"/>
      <c r="AZ1006" s="61"/>
      <c r="BA1006" s="61"/>
      <c r="BB1006" s="61"/>
      <c r="BC1006" s="61"/>
      <c r="BD1006" s="61"/>
      <c r="BE1006" s="61"/>
      <c r="BF1006" s="61"/>
      <c r="BG1006" s="61"/>
      <c r="BH1006" s="61"/>
      <c r="BI1006" s="61"/>
      <c r="BJ1006" s="61"/>
      <c r="BK1006" s="61"/>
      <c r="BL1006" s="61"/>
      <c r="BM1006" s="61"/>
      <c r="BN1006" s="61"/>
      <c r="BO1006" s="61"/>
      <c r="BP1006" s="61"/>
      <c r="BQ1006" s="61"/>
      <c r="BR1006" s="61"/>
      <c r="BS1006" s="61"/>
      <c r="BT1006" s="61"/>
      <c r="BU1006" s="61"/>
      <c r="BV1006" s="61"/>
      <c r="BW1006" s="61"/>
      <c r="BX1006" s="61"/>
      <c r="BY1006" s="61"/>
      <c r="BZ1006" s="61"/>
      <c r="CA1006" s="61"/>
      <c r="CB1006" s="61"/>
      <c r="CC1006" s="61"/>
      <c r="CD1006" s="61"/>
      <c r="CE1006" s="61"/>
      <c r="CF1006" s="61"/>
      <c r="CG1006" s="61"/>
      <c r="CH1006" s="61"/>
      <c r="CI1006" s="61"/>
      <c r="CJ1006" s="61"/>
    </row>
    <row r="1007" spans="1:88" s="22" customFormat="1">
      <c r="A1007" s="1">
        <v>522</v>
      </c>
      <c r="B1007" s="88" t="s">
        <v>871</v>
      </c>
      <c r="C1007" s="88">
        <v>557</v>
      </c>
      <c r="D1007" s="88">
        <v>1204</v>
      </c>
      <c r="E1007" s="88">
        <v>102</v>
      </c>
      <c r="F1007" s="88" t="s">
        <v>895</v>
      </c>
      <c r="G1007" s="88" t="s">
        <v>894</v>
      </c>
      <c r="H1007" s="88" t="s">
        <v>896</v>
      </c>
      <c r="I1007" s="115">
        <v>19.509</v>
      </c>
      <c r="J1007" s="88" t="s">
        <v>238</v>
      </c>
      <c r="K1007" s="88">
        <v>4</v>
      </c>
      <c r="L1007" s="116">
        <v>42270</v>
      </c>
      <c r="M1007" s="37" t="s">
        <v>191</v>
      </c>
      <c r="N1007" s="38">
        <v>17.399999999999999</v>
      </c>
      <c r="O1007" s="38">
        <v>1.75</v>
      </c>
      <c r="P1007" s="38">
        <v>0.27500000000000002</v>
      </c>
      <c r="Q1007" s="38">
        <v>0.05</v>
      </c>
      <c r="R1007" s="38">
        <v>1.7824500000000001</v>
      </c>
      <c r="S1007" s="38">
        <f t="shared" si="126"/>
        <v>2</v>
      </c>
      <c r="T1007" s="38">
        <v>19.29</v>
      </c>
      <c r="U1007" s="38">
        <v>0.15</v>
      </c>
      <c r="V1007" s="38">
        <v>2.5000000000000001E-2</v>
      </c>
      <c r="W1007" s="38">
        <v>0</v>
      </c>
      <c r="X1007" s="38">
        <v>2.3574700000000002</v>
      </c>
      <c r="Y1007" s="38">
        <f t="shared" si="127"/>
        <v>2.5</v>
      </c>
      <c r="Z1007" s="117">
        <v>0</v>
      </c>
      <c r="AA1007" s="117">
        <v>0</v>
      </c>
      <c r="AB1007" s="117">
        <v>19.474999999999998</v>
      </c>
      <c r="AC1007" s="117">
        <v>1.1245000000000001</v>
      </c>
      <c r="AD1007" s="117">
        <v>110.3</v>
      </c>
      <c r="AE1007" s="117">
        <v>16.34</v>
      </c>
      <c r="AF1007" s="117">
        <v>0.17350199999999999</v>
      </c>
      <c r="AG1007" s="38">
        <f t="shared" si="128"/>
        <v>0.2</v>
      </c>
      <c r="AH1007" s="117">
        <v>94.57</v>
      </c>
      <c r="AI1007" s="117">
        <v>0.13850000000000001</v>
      </c>
      <c r="AJ1007" s="117">
        <v>0</v>
      </c>
      <c r="AK1007" s="117">
        <v>0</v>
      </c>
      <c r="AL1007" s="117">
        <v>0</v>
      </c>
      <c r="AM1007" s="117">
        <v>0</v>
      </c>
      <c r="AN1007" s="25"/>
      <c r="AO1007" s="25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</row>
    <row r="1008" spans="1:88" s="22" customFormat="1">
      <c r="A1008" s="1">
        <v>903</v>
      </c>
      <c r="B1008" s="34" t="s">
        <v>1285</v>
      </c>
      <c r="C1008" s="34">
        <v>634</v>
      </c>
      <c r="D1008" s="224">
        <v>2337</v>
      </c>
      <c r="E1008" s="34">
        <v>100</v>
      </c>
      <c r="F1008" s="34" t="s">
        <v>1297</v>
      </c>
      <c r="G1008" s="58">
        <v>0</v>
      </c>
      <c r="H1008" s="58">
        <v>26796</v>
      </c>
      <c r="I1008" s="35">
        <v>26.795999999999999</v>
      </c>
      <c r="J1008" s="9">
        <v>2</v>
      </c>
      <c r="K1008" s="34" t="s">
        <v>238</v>
      </c>
      <c r="L1008" s="10">
        <v>42145</v>
      </c>
      <c r="M1008" s="37" t="s">
        <v>191</v>
      </c>
      <c r="N1008" s="38">
        <v>6.8</v>
      </c>
      <c r="O1008" s="38">
        <v>7.85</v>
      </c>
      <c r="P1008" s="38">
        <v>6.5</v>
      </c>
      <c r="Q1008" s="38">
        <v>5.45</v>
      </c>
      <c r="R1008" s="38">
        <v>3.8278799999999999</v>
      </c>
      <c r="S1008" s="38">
        <f t="shared" si="126"/>
        <v>4</v>
      </c>
      <c r="T1008" s="38">
        <v>25.425000000000001</v>
      </c>
      <c r="U1008" s="38">
        <v>0.97499999999999998</v>
      </c>
      <c r="V1008" s="38">
        <v>0.15</v>
      </c>
      <c r="W1008" s="38">
        <v>0.05</v>
      </c>
      <c r="X1008" s="38">
        <v>3.6830599999999998</v>
      </c>
      <c r="Y1008" s="38">
        <f t="shared" si="127"/>
        <v>3.5</v>
      </c>
      <c r="Z1008" s="38">
        <v>0</v>
      </c>
      <c r="AA1008" s="38">
        <v>0</v>
      </c>
      <c r="AB1008" s="38">
        <f>N1008+O1008+P1008+Q1008</f>
        <v>26.599999999999998</v>
      </c>
      <c r="AC1008" s="38">
        <v>1.73668</v>
      </c>
      <c r="AD1008" s="38">
        <v>145.58000000000001</v>
      </c>
      <c r="AE1008" s="38">
        <v>32.49</v>
      </c>
      <c r="AF1008" s="38">
        <v>0.17255000000000001</v>
      </c>
      <c r="AG1008" s="38">
        <f t="shared" si="128"/>
        <v>0.2</v>
      </c>
      <c r="AH1008" s="38">
        <v>0</v>
      </c>
      <c r="AI1008" s="38">
        <v>0</v>
      </c>
      <c r="AJ1008" s="38">
        <v>4509.76</v>
      </c>
      <c r="AK1008" s="38">
        <v>4.8085639999999996</v>
      </c>
      <c r="AL1008" s="38">
        <v>1.49</v>
      </c>
      <c r="AM1008" s="38">
        <v>1.5900000000000001E-3</v>
      </c>
      <c r="AN1008" s="25"/>
      <c r="AO1008" s="25">
        <f>AE1008*0.5</f>
        <v>16.245000000000001</v>
      </c>
      <c r="AP1008" s="25">
        <f>(AD1008+AH1008+AJ1008+AL1008+AO1008)*I1008</f>
        <v>125219.71769999999</v>
      </c>
      <c r="AQ1008" s="25">
        <f>SUM(N1008:Q1008)</f>
        <v>26.599999999999998</v>
      </c>
      <c r="AR1008" s="25">
        <f>SUM(T1008:W1008)</f>
        <v>26.6</v>
      </c>
      <c r="AT1008" s="41"/>
      <c r="AU1008" s="41"/>
      <c r="AV1008" s="41"/>
      <c r="AW1008" s="41"/>
    </row>
    <row r="1009" spans="1:88" s="22" customFormat="1">
      <c r="A1009" s="1">
        <v>1921</v>
      </c>
      <c r="B1009" s="34" t="s">
        <v>2559</v>
      </c>
      <c r="C1009" s="34">
        <v>338</v>
      </c>
      <c r="D1009" s="101">
        <v>3176</v>
      </c>
      <c r="E1009" s="8">
        <v>100</v>
      </c>
      <c r="F1009" s="9" t="s">
        <v>2567</v>
      </c>
      <c r="G1009" s="20">
        <v>0</v>
      </c>
      <c r="H1009" s="20">
        <v>12600</v>
      </c>
      <c r="I1009" s="21">
        <v>12.6</v>
      </c>
      <c r="J1009" s="8">
        <v>2</v>
      </c>
      <c r="K1009" s="8" t="s">
        <v>238</v>
      </c>
      <c r="L1009" s="18">
        <v>42097</v>
      </c>
      <c r="M1009" s="247" t="s">
        <v>191</v>
      </c>
      <c r="N1009" s="38">
        <v>9.3000000000000007</v>
      </c>
      <c r="O1009" s="38">
        <v>2.17</v>
      </c>
      <c r="P1009" s="38">
        <v>0.72</v>
      </c>
      <c r="Q1009" s="38">
        <v>0.42</v>
      </c>
      <c r="R1009" s="38">
        <v>2.23102</v>
      </c>
      <c r="S1009" s="38">
        <f t="shared" si="126"/>
        <v>2</v>
      </c>
      <c r="T1009" s="38">
        <v>12.38</v>
      </c>
      <c r="U1009" s="38">
        <v>0.2</v>
      </c>
      <c r="V1009" s="38">
        <v>0.02</v>
      </c>
      <c r="W1009" s="38">
        <v>0</v>
      </c>
      <c r="X1009" s="38">
        <v>2.99031</v>
      </c>
      <c r="Y1009" s="38">
        <f t="shared" si="127"/>
        <v>3</v>
      </c>
      <c r="Z1009" s="38">
        <v>0</v>
      </c>
      <c r="AA1009" s="38">
        <v>0</v>
      </c>
      <c r="AB1009" s="38">
        <v>12.6</v>
      </c>
      <c r="AC1009" s="38">
        <v>1.2611399999999999</v>
      </c>
      <c r="AD1009" s="38">
        <v>73.97</v>
      </c>
      <c r="AE1009" s="38">
        <v>3.81</v>
      </c>
      <c r="AF1009" s="38">
        <v>0.17205215419501133</v>
      </c>
      <c r="AG1009" s="38">
        <f t="shared" si="128"/>
        <v>0.2</v>
      </c>
      <c r="AH1009" s="38">
        <v>104</v>
      </c>
      <c r="AI1009" s="38">
        <v>0.235827664399093</v>
      </c>
      <c r="AJ1009" s="38">
        <v>15</v>
      </c>
      <c r="AK1009" s="38">
        <v>3.4013605442176867E-2</v>
      </c>
      <c r="AL1009" s="38">
        <v>0</v>
      </c>
      <c r="AM1009" s="38">
        <f>AL1009/(3.5*I1009*1000)*100</f>
        <v>0</v>
      </c>
      <c r="AN1009" s="41"/>
      <c r="AO1009" s="73"/>
      <c r="AP1009" s="41"/>
      <c r="AQ1009" s="41">
        <f>SUM(N1009:Q1009)</f>
        <v>12.610000000000001</v>
      </c>
      <c r="AR1009" s="41">
        <f>SUM(T1009:W1009)</f>
        <v>12.6</v>
      </c>
      <c r="AS1009" s="12">
        <f>SUM(Z1009:AB1009)</f>
        <v>12.6</v>
      </c>
      <c r="AT1009" s="1"/>
      <c r="AU1009" s="1">
        <f>I1009/AQ1009</f>
        <v>0.99920697858842178</v>
      </c>
      <c r="AV1009" s="1">
        <f>I1009/AR1009</f>
        <v>1</v>
      </c>
      <c r="AW1009" s="1">
        <f>I1009/AS1009</f>
        <v>1</v>
      </c>
      <c r="AX1009" s="1">
        <f>AT1009/I1034</f>
        <v>0</v>
      </c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</row>
    <row r="1010" spans="1:88" s="22" customFormat="1">
      <c r="A1010" s="1">
        <v>646</v>
      </c>
      <c r="B1010" s="34" t="s">
        <v>1050</v>
      </c>
      <c r="C1010" s="34">
        <v>621</v>
      </c>
      <c r="D1010" s="42">
        <v>2183</v>
      </c>
      <c r="E1010" s="34">
        <v>101</v>
      </c>
      <c r="F1010" s="34" t="s">
        <v>1054</v>
      </c>
      <c r="G1010" s="58">
        <v>0</v>
      </c>
      <c r="H1010" s="58">
        <v>23800</v>
      </c>
      <c r="I1010" s="35">
        <v>23.8</v>
      </c>
      <c r="J1010" s="127">
        <v>2</v>
      </c>
      <c r="K1010" s="34" t="s">
        <v>238</v>
      </c>
      <c r="L1010" s="10">
        <v>42172</v>
      </c>
      <c r="M1010" s="37" t="s">
        <v>191</v>
      </c>
      <c r="N1010" s="38">
        <v>17.625</v>
      </c>
      <c r="O1010" s="38">
        <v>2.9</v>
      </c>
      <c r="P1010" s="38">
        <v>2.0249999999999999</v>
      </c>
      <c r="Q1010" s="38">
        <v>1.2749999999999999</v>
      </c>
      <c r="R1010" s="38">
        <v>4.2119499999999999</v>
      </c>
      <c r="S1010" s="38">
        <f t="shared" si="126"/>
        <v>4</v>
      </c>
      <c r="T1010" s="38">
        <v>23.475000000000001</v>
      </c>
      <c r="U1010" s="38">
        <v>0.22500000000000001</v>
      </c>
      <c r="V1010" s="38">
        <v>0.125</v>
      </c>
      <c r="W1010" s="38">
        <v>0</v>
      </c>
      <c r="X1010" s="38">
        <v>4.35731</v>
      </c>
      <c r="Y1010" s="38">
        <f t="shared" si="127"/>
        <v>4.5</v>
      </c>
      <c r="Z1010" s="38">
        <v>0</v>
      </c>
      <c r="AA1010" s="38">
        <v>2.5000000000000001E-2</v>
      </c>
      <c r="AB1010" s="38">
        <v>23.8</v>
      </c>
      <c r="AC1010" s="38">
        <v>1.20106</v>
      </c>
      <c r="AD1010" s="38">
        <v>55.39</v>
      </c>
      <c r="AE1010" s="38">
        <v>174.53</v>
      </c>
      <c r="AF1010" s="38">
        <v>0.1712545018007203</v>
      </c>
      <c r="AG1010" s="38">
        <f t="shared" si="128"/>
        <v>0.2</v>
      </c>
      <c r="AH1010" s="38">
        <v>0</v>
      </c>
      <c r="AI1010" s="38">
        <v>0</v>
      </c>
      <c r="AJ1010" s="38">
        <v>0</v>
      </c>
      <c r="AK1010" s="55">
        <v>0</v>
      </c>
      <c r="AL1010" s="55">
        <v>3.77</v>
      </c>
      <c r="AM1010" s="55">
        <v>4.5258103241296518E-3</v>
      </c>
      <c r="AN1010" s="25">
        <f>SUM(N1010:Q1010)</f>
        <v>23.824999999999996</v>
      </c>
      <c r="AO1010" s="25">
        <f>SUM(T1010:W1010)</f>
        <v>23.825000000000003</v>
      </c>
      <c r="AQ1010" s="41"/>
      <c r="AR1010" s="41"/>
      <c r="AS1010" s="41"/>
      <c r="AT1010" s="41"/>
    </row>
    <row r="1011" spans="1:88" s="22" customFormat="1">
      <c r="A1011" s="1">
        <v>2187</v>
      </c>
      <c r="B1011" s="34" t="s">
        <v>2827</v>
      </c>
      <c r="C1011" s="34">
        <v>314</v>
      </c>
      <c r="D1011" s="101">
        <v>4018</v>
      </c>
      <c r="E1011" s="8">
        <v>200</v>
      </c>
      <c r="F1011" s="9" t="s">
        <v>2828</v>
      </c>
      <c r="G1011" s="20" t="s">
        <v>2829</v>
      </c>
      <c r="H1011" s="20" t="s">
        <v>2830</v>
      </c>
      <c r="I1011" s="21">
        <v>6.4240000000000004</v>
      </c>
      <c r="J1011" s="8">
        <v>2</v>
      </c>
      <c r="K1011" s="8" t="s">
        <v>238</v>
      </c>
      <c r="L1011" s="18">
        <v>42144</v>
      </c>
      <c r="M1011" s="37" t="s">
        <v>191</v>
      </c>
      <c r="N1011" s="38">
        <v>1.65</v>
      </c>
      <c r="O1011" s="38">
        <v>2.7749999999999999</v>
      </c>
      <c r="P1011" s="38">
        <v>1.325</v>
      </c>
      <c r="Q1011" s="38">
        <v>0.65</v>
      </c>
      <c r="R1011" s="38">
        <v>3.3619500000000002</v>
      </c>
      <c r="S1011" s="38">
        <f t="shared" si="126"/>
        <v>3.5</v>
      </c>
      <c r="T1011" s="38">
        <v>6.05</v>
      </c>
      <c r="U1011" s="38">
        <v>0.32500000000000001</v>
      </c>
      <c r="V1011" s="38">
        <v>0</v>
      </c>
      <c r="W1011" s="38">
        <v>2.5000000000000001E-2</v>
      </c>
      <c r="X1011" s="38">
        <v>4.4892599999999998</v>
      </c>
      <c r="Y1011" s="38">
        <f t="shared" si="127"/>
        <v>4.5</v>
      </c>
      <c r="Z1011" s="38">
        <v>0</v>
      </c>
      <c r="AA1011" s="38">
        <v>0</v>
      </c>
      <c r="AB1011" s="38">
        <v>6.4</v>
      </c>
      <c r="AC1011" s="38">
        <v>1.0724499999999999</v>
      </c>
      <c r="AD1011" s="38">
        <v>34.06</v>
      </c>
      <c r="AE1011" s="38">
        <v>8.59</v>
      </c>
      <c r="AF1011" s="38">
        <f t="shared" ref="AF1011:AF1016" si="134">(AD1011+AE1011*0.5)/(3.5*I1011*1000)*100</f>
        <v>0.17058797367016548</v>
      </c>
      <c r="AG1011" s="38">
        <f t="shared" si="128"/>
        <v>0.2</v>
      </c>
      <c r="AH1011" s="38">
        <v>5.07</v>
      </c>
      <c r="AI1011" s="38">
        <f t="shared" ref="AI1011:AI1016" si="135">AH1011/(3.5*I1011*1000)*100</f>
        <v>2.2549368439779401E-2</v>
      </c>
      <c r="AJ1011" s="38">
        <v>78.08</v>
      </c>
      <c r="AK1011" s="38">
        <f>AJ1011/(3.5*L1011*1000)*100</f>
        <v>5.2934157717756808E-5</v>
      </c>
      <c r="AL1011" s="38">
        <v>0</v>
      </c>
      <c r="AM1011" s="38">
        <f t="shared" ref="AM1011:AM1016" si="136">AL1011/(3.5*I1011*1000)*100</f>
        <v>0</v>
      </c>
      <c r="AN1011" s="72"/>
      <c r="AO1011" s="41"/>
      <c r="AP1011" s="41"/>
      <c r="AQ1011" s="73"/>
      <c r="AR1011" s="73"/>
      <c r="AS1011" s="73"/>
      <c r="AT1011" s="73"/>
    </row>
    <row r="1012" spans="1:88" s="22" customFormat="1">
      <c r="A1012" s="1">
        <v>768</v>
      </c>
      <c r="B1012" s="34" t="s">
        <v>1149</v>
      </c>
      <c r="C1012" s="34">
        <v>622</v>
      </c>
      <c r="D1012" s="174">
        <v>2045</v>
      </c>
      <c r="E1012" s="34">
        <v>200</v>
      </c>
      <c r="F1012" s="34" t="s">
        <v>1159</v>
      </c>
      <c r="G1012" s="58" t="s">
        <v>177</v>
      </c>
      <c r="H1012" s="58" t="s">
        <v>1160</v>
      </c>
      <c r="I1012" s="35">
        <v>16.273</v>
      </c>
      <c r="J1012" s="9">
        <v>2</v>
      </c>
      <c r="K1012" s="34" t="s">
        <v>238</v>
      </c>
      <c r="L1012" s="10">
        <v>42151</v>
      </c>
      <c r="M1012" s="37" t="s">
        <v>191</v>
      </c>
      <c r="N1012" s="38">
        <v>6.625</v>
      </c>
      <c r="O1012" s="38">
        <v>5.5750000000000002</v>
      </c>
      <c r="P1012" s="38">
        <v>3.3</v>
      </c>
      <c r="Q1012" s="38">
        <v>0.65</v>
      </c>
      <c r="R1012" s="38">
        <v>2.8540399999999999</v>
      </c>
      <c r="S1012" s="38">
        <f t="shared" si="126"/>
        <v>3</v>
      </c>
      <c r="T1012" s="38">
        <v>15.7</v>
      </c>
      <c r="U1012" s="38">
        <v>0.43</v>
      </c>
      <c r="V1012" s="38">
        <v>0.15</v>
      </c>
      <c r="W1012" s="38">
        <v>0</v>
      </c>
      <c r="X1012" s="38">
        <v>4.32423</v>
      </c>
      <c r="Y1012" s="38">
        <f t="shared" si="127"/>
        <v>4.5</v>
      </c>
      <c r="Z1012" s="38">
        <v>0</v>
      </c>
      <c r="AA1012" s="38">
        <v>0</v>
      </c>
      <c r="AB1012" s="38">
        <v>16.27</v>
      </c>
      <c r="AC1012" s="38">
        <v>1.2653000000000001</v>
      </c>
      <c r="AD1012" s="38">
        <v>91.67</v>
      </c>
      <c r="AE1012" s="38">
        <v>10.79</v>
      </c>
      <c r="AF1012" s="38">
        <f t="shared" si="134"/>
        <v>0.17042252284678389</v>
      </c>
      <c r="AG1012" s="38">
        <f t="shared" si="128"/>
        <v>0.2</v>
      </c>
      <c r="AH1012" s="38">
        <v>0</v>
      </c>
      <c r="AI1012" s="38">
        <f t="shared" si="135"/>
        <v>0</v>
      </c>
      <c r="AJ1012" s="38">
        <v>58.34</v>
      </c>
      <c r="AK1012" s="38">
        <f>AJ1012/(3.5*I1012*1000)*100</f>
        <v>0.10243084513348141</v>
      </c>
      <c r="AL1012" s="38">
        <v>0</v>
      </c>
      <c r="AM1012" s="38">
        <f t="shared" si="136"/>
        <v>0</v>
      </c>
      <c r="AN1012" s="25"/>
      <c r="AO1012" s="25">
        <f>AE1012*0.5</f>
        <v>5.3949999999999996</v>
      </c>
      <c r="AP1012" s="25">
        <f>(AD1012+AH1012+AJ1012+AL1012+AO1012)*I1012</f>
        <v>2528.905565</v>
      </c>
      <c r="AQ1012" s="25">
        <f>SUM(N1012:Q1012)</f>
        <v>16.149999999999999</v>
      </c>
      <c r="AR1012" s="25">
        <f>SUM(T1012:W1012)</f>
        <v>16.279999999999998</v>
      </c>
      <c r="AS1012" s="268">
        <v>16.273</v>
      </c>
      <c r="AT1012" s="41"/>
      <c r="AU1012" s="41">
        <f>SUM(N1012:Q1012)</f>
        <v>16.149999999999999</v>
      </c>
      <c r="AV1012" s="41">
        <f>SUM(T1012:W1012)</f>
        <v>16.279999999999998</v>
      </c>
      <c r="AW1012" s="41">
        <f>SUM(Z1012:AB1012)</f>
        <v>16.27</v>
      </c>
      <c r="AY1012" s="22">
        <f>I1012/AU1012</f>
        <v>1.0076160990712075</v>
      </c>
      <c r="AZ1012" s="22">
        <f>I1012/AV1012</f>
        <v>0.99957002457002475</v>
      </c>
      <c r="BA1012" s="22">
        <f>I1012/AW1012</f>
        <v>1.0001843884449908</v>
      </c>
    </row>
    <row r="1013" spans="1:88" s="22" customFormat="1">
      <c r="A1013" s="1">
        <v>106</v>
      </c>
      <c r="B1013" s="4" t="s">
        <v>78</v>
      </c>
      <c r="C1013" s="14">
        <v>527</v>
      </c>
      <c r="D1013" s="222">
        <v>107</v>
      </c>
      <c r="E1013" s="16">
        <v>202</v>
      </c>
      <c r="F1013" s="31" t="s">
        <v>208</v>
      </c>
      <c r="G1013" s="20" t="s">
        <v>211</v>
      </c>
      <c r="H1013" s="20" t="s">
        <v>212</v>
      </c>
      <c r="I1013" s="21">
        <v>41.438000000000002</v>
      </c>
      <c r="J1013" s="8">
        <v>2</v>
      </c>
      <c r="K1013" s="9" t="s">
        <v>238</v>
      </c>
      <c r="L1013" s="18">
        <v>42239</v>
      </c>
      <c r="M1013" s="37" t="s">
        <v>191</v>
      </c>
      <c r="N1013" s="11">
        <v>19.18</v>
      </c>
      <c r="O1013" s="11">
        <v>13.65</v>
      </c>
      <c r="P1013" s="11">
        <v>6.31</v>
      </c>
      <c r="Q1013" s="11">
        <v>2.2999999999999998</v>
      </c>
      <c r="R1013" s="11">
        <v>2.8327399999999998</v>
      </c>
      <c r="S1013" s="38">
        <f t="shared" si="126"/>
        <v>3</v>
      </c>
      <c r="T1013" s="11">
        <v>40.159999999999997</v>
      </c>
      <c r="U1013" s="11">
        <v>1.1000000000000001</v>
      </c>
      <c r="V1013" s="11">
        <v>0.13</v>
      </c>
      <c r="W1013" s="11">
        <v>0.05</v>
      </c>
      <c r="X1013" s="11">
        <v>3.8577400000000002</v>
      </c>
      <c r="Y1013" s="38">
        <f t="shared" si="127"/>
        <v>4</v>
      </c>
      <c r="Z1013" s="11">
        <v>0</v>
      </c>
      <c r="AA1013" s="11">
        <v>0</v>
      </c>
      <c r="AB1013" s="11">
        <v>41.44</v>
      </c>
      <c r="AC1013" s="11">
        <v>1.18502</v>
      </c>
      <c r="AD1013" s="11">
        <v>189.3</v>
      </c>
      <c r="AE1013" s="11">
        <v>112.6</v>
      </c>
      <c r="AF1013" s="11">
        <f t="shared" si="134"/>
        <v>0.1693407707211462</v>
      </c>
      <c r="AG1013" s="38">
        <f t="shared" si="128"/>
        <v>0.2</v>
      </c>
      <c r="AH1013" s="11">
        <v>218.6</v>
      </c>
      <c r="AI1013" s="11">
        <f t="shared" si="135"/>
        <v>0.15072431791385404</v>
      </c>
      <c r="AJ1013" s="11">
        <v>16.600000000000001</v>
      </c>
      <c r="AK1013" s="11">
        <f>AJ1013/(3.5*I1013*1000)*100</f>
        <v>1.1445670985224051E-2</v>
      </c>
      <c r="AL1013" s="11">
        <v>0</v>
      </c>
      <c r="AM1013" s="11">
        <f t="shared" si="136"/>
        <v>0</v>
      </c>
      <c r="AO1013" s="25"/>
      <c r="AP1013" s="25">
        <f>SUM(N1013:Q1013)</f>
        <v>41.44</v>
      </c>
      <c r="AQ1013" s="25">
        <f>SUM(T1013:W1013)</f>
        <v>41.44</v>
      </c>
      <c r="AR1013" s="25">
        <f>SUM(Z1013:AB1013)</f>
        <v>41.44</v>
      </c>
      <c r="AT1013" s="22">
        <f>I1013/AP1013</f>
        <v>0.9999517374517376</v>
      </c>
      <c r="AU1013" s="22">
        <f>I1013/AQ1013</f>
        <v>0.9999517374517376</v>
      </c>
      <c r="AV1013" s="22">
        <f>I1013/AR1013</f>
        <v>0.9999517374517376</v>
      </c>
    </row>
    <row r="1014" spans="1:88" s="22" customFormat="1">
      <c r="A1014" s="1">
        <v>26</v>
      </c>
      <c r="B1014" s="4" t="s">
        <v>21</v>
      </c>
      <c r="C1014" s="14">
        <v>522</v>
      </c>
      <c r="D1014" s="222">
        <v>121</v>
      </c>
      <c r="E1014" s="16">
        <v>102</v>
      </c>
      <c r="F1014" s="16" t="s">
        <v>23</v>
      </c>
      <c r="G1014" s="20">
        <v>15315</v>
      </c>
      <c r="H1014" s="20">
        <v>32664</v>
      </c>
      <c r="I1014" s="21">
        <v>17.349</v>
      </c>
      <c r="J1014" s="8">
        <v>2</v>
      </c>
      <c r="K1014" s="9" t="s">
        <v>238</v>
      </c>
      <c r="L1014" s="24">
        <v>42235</v>
      </c>
      <c r="M1014" s="37" t="s">
        <v>191</v>
      </c>
      <c r="N1014" s="11">
        <v>11.75</v>
      </c>
      <c r="O1014" s="11">
        <v>2.9249999999999998</v>
      </c>
      <c r="P1014" s="11">
        <v>3.2</v>
      </c>
      <c r="Q1014" s="11">
        <v>1.375</v>
      </c>
      <c r="R1014" s="11">
        <v>2.72655</v>
      </c>
      <c r="S1014" s="38">
        <f t="shared" si="126"/>
        <v>2.5</v>
      </c>
      <c r="T1014" s="11">
        <v>19.149999999999999</v>
      </c>
      <c r="U1014" s="11">
        <v>0.1</v>
      </c>
      <c r="V1014" s="11">
        <v>0</v>
      </c>
      <c r="W1014" s="11">
        <v>0</v>
      </c>
      <c r="X1014" s="11">
        <v>2.2193700000000001</v>
      </c>
      <c r="Y1014" s="38">
        <f t="shared" si="127"/>
        <v>2</v>
      </c>
      <c r="Z1014" s="11">
        <v>0</v>
      </c>
      <c r="AA1014" s="11">
        <v>0</v>
      </c>
      <c r="AB1014" s="11">
        <f>SUM(N1014:Q1014)</f>
        <v>19.25</v>
      </c>
      <c r="AC1014" s="11">
        <v>1.0260199999999999</v>
      </c>
      <c r="AD1014" s="11">
        <v>96.325000000000003</v>
      </c>
      <c r="AE1014" s="11">
        <v>12.52</v>
      </c>
      <c r="AF1014" s="11">
        <f t="shared" si="134"/>
        <v>0.16894345495417604</v>
      </c>
      <c r="AG1014" s="38">
        <f t="shared" si="128"/>
        <v>0.2</v>
      </c>
      <c r="AH1014" s="11">
        <v>0</v>
      </c>
      <c r="AI1014" s="11">
        <f t="shared" si="135"/>
        <v>0</v>
      </c>
      <c r="AJ1014" s="11">
        <v>0</v>
      </c>
      <c r="AK1014" s="11">
        <f>AJ1014/(3.5*I1014*1000)*100</f>
        <v>0</v>
      </c>
      <c r="AL1014" s="11">
        <v>0</v>
      </c>
      <c r="AM1014" s="11">
        <f t="shared" si="136"/>
        <v>0</v>
      </c>
      <c r="AO1014" s="25"/>
      <c r="AP1014" s="25"/>
    </row>
    <row r="1015" spans="1:88" s="22" customFormat="1">
      <c r="A1015" s="1">
        <v>14</v>
      </c>
      <c r="B1015" s="4" t="s">
        <v>8</v>
      </c>
      <c r="C1015" s="14">
        <v>521</v>
      </c>
      <c r="D1015" s="222">
        <v>1015</v>
      </c>
      <c r="E1015" s="16">
        <v>200</v>
      </c>
      <c r="F1015" s="14" t="s">
        <v>16</v>
      </c>
      <c r="G1015" s="20">
        <v>4490</v>
      </c>
      <c r="H1015" s="20">
        <v>13763</v>
      </c>
      <c r="I1015" s="21">
        <v>9.2729999999999997</v>
      </c>
      <c r="J1015" s="8">
        <v>2</v>
      </c>
      <c r="K1015" s="9" t="s">
        <v>12</v>
      </c>
      <c r="L1015" s="18">
        <v>42231</v>
      </c>
      <c r="M1015" s="37" t="s">
        <v>191</v>
      </c>
      <c r="N1015" s="11">
        <v>7.5</v>
      </c>
      <c r="O1015" s="11">
        <v>1.25</v>
      </c>
      <c r="P1015" s="11">
        <v>0.25</v>
      </c>
      <c r="Q1015" s="11">
        <v>0.25</v>
      </c>
      <c r="R1015" s="11">
        <v>2.1665999999999999</v>
      </c>
      <c r="S1015" s="38">
        <f t="shared" si="126"/>
        <v>2</v>
      </c>
      <c r="T1015" s="11">
        <v>8.9</v>
      </c>
      <c r="U1015" s="11">
        <v>0.15</v>
      </c>
      <c r="V1015" s="11">
        <v>0</v>
      </c>
      <c r="W1015" s="11">
        <v>0</v>
      </c>
      <c r="X1015" s="11">
        <v>2.7313100000000001</v>
      </c>
      <c r="Y1015" s="38">
        <f t="shared" si="127"/>
        <v>2.5</v>
      </c>
      <c r="Z1015" s="11">
        <v>0</v>
      </c>
      <c r="AA1015" s="11">
        <v>0</v>
      </c>
      <c r="AB1015" s="11">
        <v>9.25</v>
      </c>
      <c r="AC1015" s="11">
        <v>1.00824</v>
      </c>
      <c r="AD1015" s="11">
        <v>42.68</v>
      </c>
      <c r="AE1015" s="11">
        <v>24.2</v>
      </c>
      <c r="AF1015" s="11">
        <f t="shared" si="134"/>
        <v>0.16878495170310118</v>
      </c>
      <c r="AG1015" s="38">
        <f t="shared" si="128"/>
        <v>0.2</v>
      </c>
      <c r="AH1015" s="11">
        <v>2.36</v>
      </c>
      <c r="AI1015" s="11">
        <f t="shared" si="135"/>
        <v>7.2714948159788009E-3</v>
      </c>
      <c r="AJ1015" s="11">
        <v>2.21</v>
      </c>
      <c r="AK1015" s="11">
        <f>AJ1015/(3.5*I1015*1000)*100</f>
        <v>6.8093235353021836E-3</v>
      </c>
      <c r="AL1015" s="11">
        <v>0</v>
      </c>
      <c r="AM1015" s="11">
        <f t="shared" si="136"/>
        <v>0</v>
      </c>
      <c r="AQ1015" s="12">
        <f>N1015+O1015+P1015+Q1015</f>
        <v>9.25</v>
      </c>
      <c r="AR1015" s="12">
        <f>T1015+U1015+V1015+W1015</f>
        <v>9.0500000000000007</v>
      </c>
      <c r="AS1015" s="12">
        <f>Z1015+AA1015+AB1015</f>
        <v>9.25</v>
      </c>
      <c r="AU1015" s="22">
        <v>0.99751968079370223</v>
      </c>
      <c r="AV1015" s="22">
        <v>0.97595168769546004</v>
      </c>
      <c r="AW1015" s="22">
        <v>0.99751968079370223</v>
      </c>
    </row>
    <row r="1016" spans="1:88" s="22" customFormat="1">
      <c r="A1016" s="1">
        <v>1122</v>
      </c>
      <c r="B1016" s="9" t="s">
        <v>1513</v>
      </c>
      <c r="C1016" s="34">
        <v>431</v>
      </c>
      <c r="D1016" s="101">
        <v>3333</v>
      </c>
      <c r="E1016" s="69">
        <v>101</v>
      </c>
      <c r="F1016" s="34" t="s">
        <v>1558</v>
      </c>
      <c r="G1016" s="58" t="s">
        <v>92</v>
      </c>
      <c r="H1016" s="58" t="s">
        <v>1559</v>
      </c>
      <c r="I1016" s="34">
        <v>18.462</v>
      </c>
      <c r="J1016" s="5">
        <v>2</v>
      </c>
      <c r="K1016" s="5" t="s">
        <v>237</v>
      </c>
      <c r="L1016" s="18">
        <v>42282</v>
      </c>
      <c r="M1016" s="37" t="s">
        <v>191</v>
      </c>
      <c r="N1016" s="38">
        <v>14.675000000000001</v>
      </c>
      <c r="O1016" s="38">
        <v>2.5750000000000002</v>
      </c>
      <c r="P1016" s="38">
        <v>0.8</v>
      </c>
      <c r="Q1016" s="38">
        <v>0.4</v>
      </c>
      <c r="R1016" s="38">
        <v>2.14588</v>
      </c>
      <c r="S1016" s="38">
        <f t="shared" si="126"/>
        <v>2</v>
      </c>
      <c r="T1016" s="38">
        <v>17.975000000000001</v>
      </c>
      <c r="U1016" s="38">
        <v>0.42499999999999999</v>
      </c>
      <c r="V1016" s="38">
        <v>0.05</v>
      </c>
      <c r="W1016" s="38">
        <v>0</v>
      </c>
      <c r="X1016" s="38">
        <v>4.1213499999999996</v>
      </c>
      <c r="Y1016" s="38">
        <f t="shared" si="127"/>
        <v>4</v>
      </c>
      <c r="Z1016" s="38">
        <v>0</v>
      </c>
      <c r="AA1016" s="38">
        <v>0</v>
      </c>
      <c r="AB1016" s="38">
        <v>18.45</v>
      </c>
      <c r="AC1016" s="38">
        <v>1.26657</v>
      </c>
      <c r="AD1016" s="38">
        <v>107.99</v>
      </c>
      <c r="AE1016" s="38">
        <v>1.8</v>
      </c>
      <c r="AF1016" s="38">
        <f t="shared" si="134"/>
        <v>0.1685160251946082</v>
      </c>
      <c r="AG1016" s="38">
        <f t="shared" si="128"/>
        <v>0.2</v>
      </c>
      <c r="AH1016" s="38">
        <v>102.66</v>
      </c>
      <c r="AI1016" s="38">
        <f t="shared" si="135"/>
        <v>0.15887459956358232</v>
      </c>
      <c r="AJ1016" s="38">
        <v>0</v>
      </c>
      <c r="AK1016" s="38">
        <f>AJ1016/(3.5*I1016*1000)*100</f>
        <v>0</v>
      </c>
      <c r="AL1016" s="38">
        <v>0</v>
      </c>
      <c r="AM1016" s="38">
        <f t="shared" si="136"/>
        <v>0</v>
      </c>
      <c r="AN1016" s="41"/>
      <c r="AO1016" s="114"/>
      <c r="AP1016" s="73"/>
      <c r="AQ1016" s="73"/>
    </row>
    <row r="1017" spans="1:88" s="22" customFormat="1">
      <c r="A1017" s="1">
        <v>1308</v>
      </c>
      <c r="B1017" s="74" t="s">
        <v>1851</v>
      </c>
      <c r="C1017" s="34">
        <v>444</v>
      </c>
      <c r="D1017" s="101">
        <v>323</v>
      </c>
      <c r="E1017" s="69">
        <v>202</v>
      </c>
      <c r="F1017" s="34" t="s">
        <v>1853</v>
      </c>
      <c r="G1017" s="20">
        <v>32360</v>
      </c>
      <c r="H1017" s="20">
        <v>54240</v>
      </c>
      <c r="I1017" s="21">
        <v>21.88</v>
      </c>
      <c r="J1017" s="8">
        <v>4</v>
      </c>
      <c r="K1017" s="34" t="s">
        <v>237</v>
      </c>
      <c r="L1017" s="10">
        <v>42209</v>
      </c>
      <c r="M1017" s="37" t="s">
        <v>191</v>
      </c>
      <c r="N1017" s="38">
        <v>11.180099999999999</v>
      </c>
      <c r="O1017" s="38">
        <v>6.7976999999999999</v>
      </c>
      <c r="P1017" s="38">
        <v>2.988</v>
      </c>
      <c r="Q1017" s="38">
        <v>0.87149999999999994</v>
      </c>
      <c r="R1017" s="38">
        <v>2.9827300000000001</v>
      </c>
      <c r="S1017" s="38">
        <f t="shared" si="126"/>
        <v>3</v>
      </c>
      <c r="T1017" s="38">
        <v>21.3642</v>
      </c>
      <c r="U1017" s="38">
        <v>0.3735</v>
      </c>
      <c r="V1017" s="38">
        <v>7.4700000000000003E-2</v>
      </c>
      <c r="W1017" s="38">
        <v>2.4900000000000002E-2</v>
      </c>
      <c r="X1017" s="38">
        <v>3.77616</v>
      </c>
      <c r="Y1017" s="38">
        <f t="shared" si="127"/>
        <v>4</v>
      </c>
      <c r="Z1017" s="38">
        <v>0</v>
      </c>
      <c r="AA1017" s="38">
        <v>0</v>
      </c>
      <c r="AB1017" s="38">
        <v>21.837299999999999</v>
      </c>
      <c r="AC1017" s="38">
        <v>1.26416</v>
      </c>
      <c r="AD1017" s="38">
        <v>85.74</v>
      </c>
      <c r="AE1017" s="38">
        <v>86.4</v>
      </c>
      <c r="AF1017" s="38">
        <v>0.16837294332723948</v>
      </c>
      <c r="AG1017" s="38">
        <f t="shared" si="128"/>
        <v>0.2</v>
      </c>
      <c r="AH1017" s="38">
        <v>258.3</v>
      </c>
      <c r="AI1017" s="38">
        <v>0.33729433272394882</v>
      </c>
      <c r="AJ1017" s="38">
        <v>0</v>
      </c>
      <c r="AK1017" s="38">
        <v>0</v>
      </c>
      <c r="AL1017" s="38">
        <v>0</v>
      </c>
      <c r="AM1017" s="38">
        <v>0</v>
      </c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</row>
    <row r="1018" spans="1:88" s="22" customFormat="1">
      <c r="A1018" s="1">
        <v>1926</v>
      </c>
      <c r="B1018" s="34" t="s">
        <v>2559</v>
      </c>
      <c r="C1018" s="34">
        <v>338</v>
      </c>
      <c r="D1018" s="101">
        <v>3203</v>
      </c>
      <c r="E1018" s="8">
        <v>100</v>
      </c>
      <c r="F1018" s="9" t="s">
        <v>2572</v>
      </c>
      <c r="G1018" s="20">
        <v>0</v>
      </c>
      <c r="H1018" s="20">
        <v>8000</v>
      </c>
      <c r="I1018" s="21">
        <v>8</v>
      </c>
      <c r="J1018" s="8">
        <v>2</v>
      </c>
      <c r="K1018" s="8" t="s">
        <v>238</v>
      </c>
      <c r="L1018" s="18">
        <v>42097</v>
      </c>
      <c r="M1018" s="247" t="s">
        <v>191</v>
      </c>
      <c r="N1018" s="38">
        <v>3.58</v>
      </c>
      <c r="O1018" s="38">
        <v>2.0299999999999998</v>
      </c>
      <c r="P1018" s="38">
        <v>1.7</v>
      </c>
      <c r="Q1018" s="38">
        <v>0.7</v>
      </c>
      <c r="R1018" s="38">
        <v>2.9791300000000001</v>
      </c>
      <c r="S1018" s="38">
        <f t="shared" si="126"/>
        <v>3</v>
      </c>
      <c r="T1018" s="38">
        <v>7.98</v>
      </c>
      <c r="U1018" s="38">
        <v>0.03</v>
      </c>
      <c r="V1018" s="38">
        <v>0</v>
      </c>
      <c r="W1018" s="38">
        <v>0</v>
      </c>
      <c r="X1018" s="38">
        <v>2.15449</v>
      </c>
      <c r="Y1018" s="38">
        <f t="shared" si="127"/>
        <v>2</v>
      </c>
      <c r="Z1018" s="38">
        <v>0</v>
      </c>
      <c r="AA1018" s="38">
        <v>0</v>
      </c>
      <c r="AB1018" s="38">
        <v>8</v>
      </c>
      <c r="AC1018" s="38">
        <v>1.39513</v>
      </c>
      <c r="AD1018" s="38">
        <v>39</v>
      </c>
      <c r="AE1018" s="38">
        <v>16.16</v>
      </c>
      <c r="AF1018" s="38">
        <v>0.16814285714285712</v>
      </c>
      <c r="AG1018" s="38">
        <f t="shared" si="128"/>
        <v>0.2</v>
      </c>
      <c r="AH1018" s="38">
        <v>16.649999999999999</v>
      </c>
      <c r="AI1018" s="38">
        <v>5.9464285714285706E-2</v>
      </c>
      <c r="AJ1018" s="38">
        <v>0</v>
      </c>
      <c r="AK1018" s="38">
        <v>0</v>
      </c>
      <c r="AL1018" s="38">
        <v>1</v>
      </c>
      <c r="AM1018" s="38">
        <f>AL1018/(3.5*I1018*1000)*100</f>
        <v>3.5714285714285718E-3</v>
      </c>
      <c r="AN1018" s="41"/>
      <c r="AO1018" s="73"/>
      <c r="AP1018" s="41"/>
      <c r="AQ1018" s="41">
        <f>SUM(N1018:Q1018)</f>
        <v>8.01</v>
      </c>
      <c r="AR1018" s="41">
        <f>SUM(T1018:W1018)</f>
        <v>8.01</v>
      </c>
      <c r="AS1018" s="12">
        <f>SUM(Z1018:AB1018)</f>
        <v>8</v>
      </c>
      <c r="AT1018" s="1"/>
      <c r="AU1018" s="1">
        <f>I1018/AQ1018</f>
        <v>0.99875156054931336</v>
      </c>
      <c r="AV1018" s="1">
        <f>I1018/AR1018</f>
        <v>0.99875156054931336</v>
      </c>
      <c r="AW1018" s="1">
        <f>I1018/AS1018</f>
        <v>1</v>
      </c>
      <c r="AX1018" s="1">
        <f>AT1018/I1043</f>
        <v>0</v>
      </c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</row>
    <row r="1019" spans="1:88" s="22" customFormat="1">
      <c r="A1019" s="1">
        <v>226</v>
      </c>
      <c r="B1019" s="34" t="s">
        <v>413</v>
      </c>
      <c r="C1019" s="34">
        <v>536</v>
      </c>
      <c r="D1019" s="34">
        <v>1257</v>
      </c>
      <c r="E1019" s="34">
        <v>100</v>
      </c>
      <c r="F1019" s="34" t="s">
        <v>434</v>
      </c>
      <c r="G1019" s="20" t="s">
        <v>435</v>
      </c>
      <c r="H1019" s="20" t="s">
        <v>92</v>
      </c>
      <c r="I1019" s="35">
        <v>32.387999999999998</v>
      </c>
      <c r="J1019" s="36">
        <v>2</v>
      </c>
      <c r="K1019" s="34" t="s">
        <v>12</v>
      </c>
      <c r="L1019" s="10">
        <v>42205</v>
      </c>
      <c r="M1019" s="37" t="s">
        <v>191</v>
      </c>
      <c r="N1019" s="38">
        <v>1.1399999999999999</v>
      </c>
      <c r="O1019" s="38">
        <v>5.7</v>
      </c>
      <c r="P1019" s="38">
        <v>13.34</v>
      </c>
      <c r="Q1019" s="38">
        <v>12.23</v>
      </c>
      <c r="R1019" s="38">
        <v>4.9400000000000004</v>
      </c>
      <c r="S1019" s="38">
        <f t="shared" si="126"/>
        <v>5</v>
      </c>
      <c r="T1019" s="38">
        <v>12.2</v>
      </c>
      <c r="U1019" s="38">
        <v>5.39</v>
      </c>
      <c r="V1019" s="38">
        <v>3.09</v>
      </c>
      <c r="W1019" s="38">
        <v>11.72</v>
      </c>
      <c r="X1019" s="38">
        <v>19.718</v>
      </c>
      <c r="Y1019" s="38">
        <f t="shared" si="127"/>
        <v>19.5</v>
      </c>
      <c r="Z1019" s="38">
        <v>0.1</v>
      </c>
      <c r="AA1019" s="38">
        <v>0.18</v>
      </c>
      <c r="AB1019" s="38">
        <v>32.11</v>
      </c>
      <c r="AC1019" s="38">
        <v>1.825</v>
      </c>
      <c r="AD1019" s="38">
        <v>85.57</v>
      </c>
      <c r="AE1019" s="38">
        <v>209.59</v>
      </c>
      <c r="AF1019" s="38">
        <f>(AD1019+AE1019*0.5)/(3.5*I1019*1000)*100</f>
        <v>0.16793256761763617</v>
      </c>
      <c r="AG1019" s="38">
        <f t="shared" si="128"/>
        <v>0.2</v>
      </c>
      <c r="AH1019" s="38">
        <v>7653.58</v>
      </c>
      <c r="AI1019" s="38">
        <f>AH1019/(3.5*I1019*1000)*100</f>
        <v>6.7516893382028629</v>
      </c>
      <c r="AJ1019" s="38">
        <v>22.84</v>
      </c>
      <c r="AK1019" s="38">
        <f>AJ1019/(3.5*I1019*1000)*100</f>
        <v>2.0148555902538862E-2</v>
      </c>
      <c r="AL1019" s="38">
        <v>237.49</v>
      </c>
      <c r="AM1019" s="38">
        <f>AL1019/(3.5*I1019*1000)*100</f>
        <v>0.20950440198309783</v>
      </c>
      <c r="AN1019" s="41"/>
      <c r="AO1019" s="25">
        <f>AE1019*0.5</f>
        <v>104.795</v>
      </c>
      <c r="AP1019" s="25">
        <f>(AD1019+AH1019+AJ1019+AL1019+AO1019)*I1019</f>
        <v>262481.25869999995</v>
      </c>
      <c r="AQ1019" s="41"/>
      <c r="AR1019" s="41"/>
      <c r="AS1019" s="73"/>
      <c r="AT1019" s="41"/>
      <c r="AU1019" s="41">
        <f>SUM(N1019:Q1019)</f>
        <v>32.409999999999997</v>
      </c>
      <c r="AV1019" s="41">
        <f>SUM(T1019:W1019)</f>
        <v>32.4</v>
      </c>
      <c r="AW1019" s="41">
        <f>SUM(Z1019:AB1019)</f>
        <v>32.39</v>
      </c>
      <c r="AY1019" s="22">
        <f>I1019/AU1019</f>
        <v>0.99932119716137002</v>
      </c>
      <c r="AZ1019" s="22">
        <f>I1019/AV1019</f>
        <v>0.99962962962962965</v>
      </c>
      <c r="BA1019" s="22">
        <f>I1019/AW1019</f>
        <v>0.99993825254708235</v>
      </c>
      <c r="BB1019" s="73"/>
      <c r="BC1019" s="73"/>
      <c r="BD1019" s="73"/>
      <c r="BE1019" s="73"/>
      <c r="BF1019" s="73"/>
      <c r="BG1019" s="73"/>
      <c r="BH1019" s="73"/>
      <c r="BI1019" s="73"/>
      <c r="BJ1019" s="73"/>
      <c r="BK1019" s="73"/>
      <c r="BL1019" s="73"/>
      <c r="BM1019" s="73"/>
      <c r="BN1019" s="73"/>
      <c r="BO1019" s="73"/>
      <c r="BP1019" s="73"/>
      <c r="BQ1019" s="73"/>
      <c r="BR1019" s="73"/>
      <c r="BS1019" s="73"/>
      <c r="BT1019" s="73"/>
      <c r="BU1019" s="73"/>
      <c r="BV1019" s="73"/>
      <c r="BW1019" s="73"/>
      <c r="BX1019" s="73"/>
      <c r="BY1019" s="73"/>
      <c r="BZ1019" s="73"/>
      <c r="CA1019" s="73"/>
      <c r="CB1019" s="73"/>
      <c r="CC1019" s="73"/>
      <c r="CD1019" s="73"/>
      <c r="CE1019" s="73"/>
      <c r="CF1019" s="73"/>
      <c r="CG1019" s="73"/>
      <c r="CH1019" s="73"/>
      <c r="CI1019" s="73"/>
      <c r="CJ1019" s="73"/>
    </row>
    <row r="1020" spans="1:88" s="22" customFormat="1">
      <c r="A1020" s="1">
        <v>2055</v>
      </c>
      <c r="B1020" s="34" t="s">
        <v>2697</v>
      </c>
      <c r="C1020" s="34">
        <v>328</v>
      </c>
      <c r="D1020" s="101">
        <v>4142</v>
      </c>
      <c r="E1020" s="8">
        <v>100</v>
      </c>
      <c r="F1020" s="34" t="s">
        <v>2702</v>
      </c>
      <c r="G1020" s="58">
        <v>34825</v>
      </c>
      <c r="H1020" s="58">
        <v>0</v>
      </c>
      <c r="I1020" s="21">
        <v>34.825000000000003</v>
      </c>
      <c r="J1020" s="8">
        <v>4</v>
      </c>
      <c r="K1020" s="8" t="s">
        <v>12</v>
      </c>
      <c r="L1020" s="18">
        <v>42119</v>
      </c>
      <c r="M1020" s="37" t="s">
        <v>191</v>
      </c>
      <c r="N1020" s="38">
        <v>32.35</v>
      </c>
      <c r="O1020" s="38">
        <v>1.9</v>
      </c>
      <c r="P1020" s="38">
        <v>0.4</v>
      </c>
      <c r="Q1020" s="38">
        <v>0.27500000000000002</v>
      </c>
      <c r="R1020" s="38">
        <v>1.53532</v>
      </c>
      <c r="S1020" s="38">
        <f t="shared" si="126"/>
        <v>1.5</v>
      </c>
      <c r="T1020" s="38">
        <v>34.85</v>
      </c>
      <c r="U1020" s="38">
        <v>7.4999999999999997E-2</v>
      </c>
      <c r="V1020" s="38">
        <v>0</v>
      </c>
      <c r="W1020" s="38">
        <v>0</v>
      </c>
      <c r="X1020" s="38">
        <v>2.8553799999999998</v>
      </c>
      <c r="Y1020" s="38">
        <f t="shared" si="127"/>
        <v>3</v>
      </c>
      <c r="Z1020" s="38">
        <v>0</v>
      </c>
      <c r="AA1020" s="38">
        <v>0</v>
      </c>
      <c r="AB1020" s="38">
        <v>34.924999999999997</v>
      </c>
      <c r="AC1020" s="38">
        <v>1.1725300000000001</v>
      </c>
      <c r="AD1020" s="38">
        <v>0</v>
      </c>
      <c r="AE1020" s="38">
        <v>408.06</v>
      </c>
      <c r="AF1020" s="38">
        <v>0.1673920623525792</v>
      </c>
      <c r="AG1020" s="38">
        <f t="shared" si="128"/>
        <v>0.2</v>
      </c>
      <c r="AH1020" s="38">
        <v>0</v>
      </c>
      <c r="AI1020" s="38">
        <v>0</v>
      </c>
      <c r="AJ1020" s="38">
        <v>78.47</v>
      </c>
      <c r="AK1020" s="38">
        <v>6.4379038047379739E-2</v>
      </c>
      <c r="AL1020" s="38">
        <v>0</v>
      </c>
      <c r="AM1020" s="38">
        <f>AL1020/(3.5*I1020*1000)*100</f>
        <v>0</v>
      </c>
      <c r="AN1020" s="72"/>
      <c r="AO1020" s="41"/>
      <c r="AP1020" s="41"/>
      <c r="AQ1020" s="73"/>
      <c r="AR1020" s="73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</row>
    <row r="1021" spans="1:88" s="22" customFormat="1">
      <c r="A1021" s="1">
        <v>918</v>
      </c>
      <c r="B1021" s="34" t="s">
        <v>1309</v>
      </c>
      <c r="C1021" s="34">
        <v>638</v>
      </c>
      <c r="D1021" s="228">
        <v>226</v>
      </c>
      <c r="E1021" s="34">
        <v>401</v>
      </c>
      <c r="F1021" s="34" t="s">
        <v>1312</v>
      </c>
      <c r="G1021" s="58">
        <v>233891</v>
      </c>
      <c r="H1021" s="58">
        <v>271989</v>
      </c>
      <c r="I1021" s="35">
        <v>38.097999999999999</v>
      </c>
      <c r="J1021" s="9">
        <v>2</v>
      </c>
      <c r="K1021" s="34" t="s">
        <v>238</v>
      </c>
      <c r="L1021" s="10">
        <v>42136</v>
      </c>
      <c r="M1021" s="37" t="s">
        <v>191</v>
      </c>
      <c r="N1021" s="38">
        <v>20.55</v>
      </c>
      <c r="O1021" s="38">
        <v>10.3765</v>
      </c>
      <c r="P1021" s="38">
        <v>5.3250000000000002</v>
      </c>
      <c r="Q1021" s="38">
        <v>1.7</v>
      </c>
      <c r="R1021" s="38">
        <v>3.17</v>
      </c>
      <c r="S1021" s="38">
        <f t="shared" si="126"/>
        <v>3</v>
      </c>
      <c r="T1021" s="38">
        <v>31.55</v>
      </c>
      <c r="U1021" s="38">
        <v>4.0750000000000002</v>
      </c>
      <c r="V1021" s="38">
        <v>1.75</v>
      </c>
      <c r="W1021" s="38">
        <v>0.57499999999999996</v>
      </c>
      <c r="X1021" s="38">
        <v>8.89</v>
      </c>
      <c r="Y1021" s="38">
        <f t="shared" si="127"/>
        <v>9</v>
      </c>
      <c r="Z1021" s="38">
        <v>0</v>
      </c>
      <c r="AA1021" s="38">
        <v>0</v>
      </c>
      <c r="AB1021" s="38">
        <f>N1021+O1021+P1021+Q1021</f>
        <v>37.951500000000003</v>
      </c>
      <c r="AC1021" s="38">
        <v>1.17</v>
      </c>
      <c r="AD1021" s="38">
        <v>208.81</v>
      </c>
      <c r="AE1021" s="38">
        <v>0</v>
      </c>
      <c r="AF1021" s="38">
        <v>0.16708999999999999</v>
      </c>
      <c r="AG1021" s="38">
        <f t="shared" si="128"/>
        <v>0.2</v>
      </c>
      <c r="AH1021" s="38">
        <v>0</v>
      </c>
      <c r="AI1021" s="38">
        <v>0</v>
      </c>
      <c r="AJ1021" s="38">
        <v>17.37</v>
      </c>
      <c r="AK1021" s="38">
        <v>1.3899999999999999E-2</v>
      </c>
      <c r="AL1021" s="38">
        <v>0</v>
      </c>
      <c r="AM1021" s="38">
        <v>0</v>
      </c>
      <c r="AN1021" s="40"/>
      <c r="AO1021" s="40"/>
      <c r="AP1021" s="40">
        <f>AE1021*0.5</f>
        <v>0</v>
      </c>
      <c r="AQ1021" s="25">
        <f>(AD1021+AH1021+AJ1021+AL1021+AP1021)*I1021</f>
        <v>8617.0056399999994</v>
      </c>
      <c r="AR1021" s="25"/>
      <c r="AS1021" s="25"/>
      <c r="AT1021" s="25">
        <f>SUM(N1021:Q1021)</f>
        <v>37.951500000000003</v>
      </c>
      <c r="AU1021" s="25">
        <f>SUM(T1021:W1021)</f>
        <v>37.950000000000003</v>
      </c>
      <c r="AW1021" s="41"/>
      <c r="AX1021" s="41"/>
      <c r="AY1021" s="41"/>
      <c r="AZ1021" s="41"/>
    </row>
    <row r="1022" spans="1:88" s="22" customFormat="1">
      <c r="A1022" s="1">
        <v>714</v>
      </c>
      <c r="B1022" s="34" t="s">
        <v>1123</v>
      </c>
      <c r="C1022" s="34">
        <v>627</v>
      </c>
      <c r="D1022" s="34">
        <v>201</v>
      </c>
      <c r="E1022" s="34">
        <v>301</v>
      </c>
      <c r="F1022" s="34" t="s">
        <v>1124</v>
      </c>
      <c r="G1022" s="58">
        <v>162051</v>
      </c>
      <c r="H1022" s="58">
        <v>200955</v>
      </c>
      <c r="I1022" s="51">
        <v>38.904000000000003</v>
      </c>
      <c r="J1022" s="127">
        <v>4</v>
      </c>
      <c r="K1022" s="34" t="s">
        <v>12</v>
      </c>
      <c r="L1022" s="10">
        <v>42178</v>
      </c>
      <c r="M1022" s="37" t="s">
        <v>191</v>
      </c>
      <c r="N1022" s="38">
        <f>38.9*0.48</f>
        <v>18.671999999999997</v>
      </c>
      <c r="O1022" s="38">
        <f>21.95*0.48</f>
        <v>10.536</v>
      </c>
      <c r="P1022" s="38">
        <f>12.45*0.48</f>
        <v>5.9759999999999991</v>
      </c>
      <c r="Q1022" s="38">
        <f>7.725*0.48</f>
        <v>3.7079999999999997</v>
      </c>
      <c r="R1022" s="38">
        <v>3.23441</v>
      </c>
      <c r="S1022" s="38">
        <f t="shared" si="126"/>
        <v>3</v>
      </c>
      <c r="T1022" s="38">
        <f>63.15*0.48</f>
        <v>30.311999999999998</v>
      </c>
      <c r="U1022" s="38">
        <f>8.775*0.48</f>
        <v>4.2119999999999997</v>
      </c>
      <c r="V1022" s="38">
        <f>3.425*0.48</f>
        <v>1.6439999999999999</v>
      </c>
      <c r="W1022" s="38">
        <f>5.675*0.48</f>
        <v>2.7239999999999998</v>
      </c>
      <c r="X1022" s="38">
        <v>6.5317999999999996</v>
      </c>
      <c r="Y1022" s="38">
        <f t="shared" si="127"/>
        <v>6.5</v>
      </c>
      <c r="Z1022" s="38">
        <v>0</v>
      </c>
      <c r="AA1022" s="38">
        <v>0</v>
      </c>
      <c r="AB1022" s="38">
        <v>38.904000000000003</v>
      </c>
      <c r="AC1022" s="38">
        <v>0.99662799999999996</v>
      </c>
      <c r="AD1022" s="38">
        <v>213.11</v>
      </c>
      <c r="AE1022" s="38">
        <v>27.46</v>
      </c>
      <c r="AF1022" s="38">
        <f>(AD1022+AE1022*0.5)/(3.5*I1022*1000)*100</f>
        <v>0.16659322581592781</v>
      </c>
      <c r="AG1022" s="38">
        <f t="shared" si="128"/>
        <v>0.2</v>
      </c>
      <c r="AH1022" s="38">
        <v>2.31</v>
      </c>
      <c r="AI1022" s="38">
        <v>1.6964836520666252E-3</v>
      </c>
      <c r="AJ1022" s="38">
        <v>0</v>
      </c>
      <c r="AK1022" s="38">
        <v>0</v>
      </c>
      <c r="AL1022" s="38">
        <v>17.190000000000001</v>
      </c>
      <c r="AM1022" s="145">
        <f>AL1022/(3.5*I1022*1000)*100</f>
        <v>1.2624482242002289E-2</v>
      </c>
      <c r="AN1022" s="25"/>
      <c r="AO1022" s="25">
        <f>AE1022*0.5</f>
        <v>13.73</v>
      </c>
      <c r="AP1022" s="25">
        <f>(AD1022+AH1022+AJ1022+AL1022+AO1022)*I1022</f>
        <v>9583.6113600000008</v>
      </c>
      <c r="AQ1022" s="146">
        <f>SUM(N1022:Q1022)</f>
        <v>38.891999999999996</v>
      </c>
      <c r="AR1022" s="146">
        <f>SUM(T1022:W1022)</f>
        <v>38.891999999999996</v>
      </c>
      <c r="AS1022" s="268">
        <v>38.904000000000003</v>
      </c>
      <c r="AT1022" s="41"/>
      <c r="AU1022" s="41">
        <f>AS1022/AR1022</f>
        <v>1.0003085467448321</v>
      </c>
      <c r="AV1022" s="41"/>
      <c r="AW1022" s="41"/>
    </row>
    <row r="1023" spans="1:88" s="22" customFormat="1">
      <c r="A1023" s="1">
        <v>780</v>
      </c>
      <c r="B1023" s="34" t="s">
        <v>1171</v>
      </c>
      <c r="C1023" s="34">
        <v>633</v>
      </c>
      <c r="D1023" s="174">
        <v>23</v>
      </c>
      <c r="E1023" s="34">
        <v>402</v>
      </c>
      <c r="F1023" s="14" t="s">
        <v>1172</v>
      </c>
      <c r="G1023" s="27">
        <v>190562</v>
      </c>
      <c r="H1023" s="27">
        <v>179845</v>
      </c>
      <c r="I1023" s="35">
        <v>10.717000000000001</v>
      </c>
      <c r="J1023" s="9">
        <v>4</v>
      </c>
      <c r="K1023" s="34" t="s">
        <v>12</v>
      </c>
      <c r="L1023" s="10">
        <v>42147</v>
      </c>
      <c r="M1023" s="37" t="s">
        <v>191</v>
      </c>
      <c r="N1023" s="38">
        <v>8.5250000000000004</v>
      </c>
      <c r="O1023" s="38">
        <v>1.375</v>
      </c>
      <c r="P1023" s="38">
        <v>0.45</v>
      </c>
      <c r="Q1023" s="38">
        <v>0.25</v>
      </c>
      <c r="R1023" s="38">
        <v>2.173</v>
      </c>
      <c r="S1023" s="38">
        <f t="shared" si="126"/>
        <v>2</v>
      </c>
      <c r="T1023" s="38">
        <v>9.4250000000000007</v>
      </c>
      <c r="U1023" s="38">
        <v>1.05</v>
      </c>
      <c r="V1023" s="38">
        <v>0.1</v>
      </c>
      <c r="W1023" s="38">
        <v>2.5000000000000001E-2</v>
      </c>
      <c r="X1023" s="38">
        <v>5.7320000000000002</v>
      </c>
      <c r="Y1023" s="38">
        <f t="shared" si="127"/>
        <v>5.5</v>
      </c>
      <c r="Z1023" s="38">
        <v>0</v>
      </c>
      <c r="AA1023" s="38">
        <v>0</v>
      </c>
      <c r="AB1023" s="38">
        <f>N1023+O1023+P1023+Q1023</f>
        <v>10.6</v>
      </c>
      <c r="AC1023" s="38">
        <v>1.1950000000000001</v>
      </c>
      <c r="AD1023" s="38">
        <v>58.8</v>
      </c>
      <c r="AE1023" s="38">
        <v>7.35</v>
      </c>
      <c r="AF1023" s="38">
        <f>(AD1023+AE1023*0.5)/(3.5*I1023*1000)*100</f>
        <v>0.16655780535597647</v>
      </c>
      <c r="AG1023" s="38">
        <f t="shared" si="128"/>
        <v>0.2</v>
      </c>
      <c r="AH1023" s="38">
        <v>0</v>
      </c>
      <c r="AI1023" s="38">
        <f>AH1023/(3.5*I1023*1000)*100</f>
        <v>0</v>
      </c>
      <c r="AJ1023" s="38">
        <v>0</v>
      </c>
      <c r="AK1023" s="38">
        <f>AJ1023/(3.5*I1023*1000)*100</f>
        <v>0</v>
      </c>
      <c r="AL1023" s="38">
        <v>0</v>
      </c>
      <c r="AM1023" s="38">
        <f>AL1023/(3.5*I1023*1000)*100</f>
        <v>0</v>
      </c>
      <c r="AN1023" s="25"/>
      <c r="AO1023" s="25">
        <f>AE1023*0.5</f>
        <v>3.6749999999999998</v>
      </c>
      <c r="AP1023" s="25">
        <f>(AD1023+AH1023+AJ1023+AL1023+AO1023)*I1023</f>
        <v>669.54457500000001</v>
      </c>
      <c r="AQ1023" s="25">
        <f>SUM(N1023:Q1023)</f>
        <v>10.6</v>
      </c>
      <c r="AR1023" s="25">
        <f>SUM(T1023:W1023)</f>
        <v>10.600000000000001</v>
      </c>
      <c r="AT1023" s="41"/>
      <c r="AU1023" s="41"/>
      <c r="AV1023" s="41"/>
      <c r="AW1023" s="41"/>
    </row>
    <row r="1024" spans="1:88" s="22" customFormat="1">
      <c r="A1024" s="1">
        <v>1679</v>
      </c>
      <c r="B1024" s="34" t="s">
        <v>2279</v>
      </c>
      <c r="C1024" s="34">
        <v>421</v>
      </c>
      <c r="D1024" s="174">
        <v>314</v>
      </c>
      <c r="E1024" s="34">
        <v>101</v>
      </c>
      <c r="F1024" s="34" t="s">
        <v>2281</v>
      </c>
      <c r="G1024" s="58">
        <v>0</v>
      </c>
      <c r="H1024" s="58">
        <v>7475</v>
      </c>
      <c r="I1024" s="35">
        <v>7.4749999999999996</v>
      </c>
      <c r="J1024" s="9">
        <v>4</v>
      </c>
      <c r="K1024" s="34" t="s">
        <v>237</v>
      </c>
      <c r="L1024" s="10">
        <v>42227</v>
      </c>
      <c r="M1024" s="37" t="s">
        <v>191</v>
      </c>
      <c r="N1024" s="38">
        <v>2.0249999999999999</v>
      </c>
      <c r="O1024" s="38">
        <v>2.2999999999999998</v>
      </c>
      <c r="P1024" s="38">
        <v>2.375</v>
      </c>
      <c r="Q1024" s="38">
        <v>0.75</v>
      </c>
      <c r="R1024" s="38">
        <v>3.4941200000000001</v>
      </c>
      <c r="S1024" s="38">
        <f t="shared" si="126"/>
        <v>3.5</v>
      </c>
      <c r="T1024" s="38">
        <v>6.95</v>
      </c>
      <c r="U1024" s="38">
        <v>0.47499999999999998</v>
      </c>
      <c r="V1024" s="38">
        <v>2.5000000000000001E-2</v>
      </c>
      <c r="W1024" s="38">
        <v>0</v>
      </c>
      <c r="X1024" s="38">
        <v>6.2161400000000002</v>
      </c>
      <c r="Y1024" s="38">
        <f t="shared" si="127"/>
        <v>6</v>
      </c>
      <c r="Z1024" s="38">
        <v>0</v>
      </c>
      <c r="AA1024" s="38">
        <v>0</v>
      </c>
      <c r="AB1024" s="38">
        <v>7.4749999999999996</v>
      </c>
      <c r="AC1024" s="38">
        <v>1.18516</v>
      </c>
      <c r="AD1024" s="38">
        <v>24.31</v>
      </c>
      <c r="AE1024" s="38">
        <v>38.53</v>
      </c>
      <c r="AF1024" s="38">
        <f>(AD1024+AE1024*0.5)/(3.5*I1024*1000)*100</f>
        <v>0.16655518394648833</v>
      </c>
      <c r="AG1024" s="38">
        <f t="shared" si="128"/>
        <v>0.2</v>
      </c>
      <c r="AH1024" s="38">
        <v>29.35</v>
      </c>
      <c r="AI1024" s="38">
        <f>AH1024/(3.5*I1024*1000)*100</f>
        <v>0.11218346870520786</v>
      </c>
      <c r="AJ1024" s="38">
        <v>34</v>
      </c>
      <c r="AK1024" s="38">
        <f>AJ1024/(3.5*I1024*1000)*100</f>
        <v>0.12995699952221695</v>
      </c>
      <c r="AL1024" s="38">
        <v>0</v>
      </c>
      <c r="AM1024" s="38">
        <f>AL1024/(3.5*I1024*1000)*100</f>
        <v>0</v>
      </c>
      <c r="AN1024" s="25"/>
      <c r="AO1024" s="25">
        <f>AE1024*0.5</f>
        <v>19.265000000000001</v>
      </c>
      <c r="AP1024" s="25">
        <f>(AD1024+AH1024+AJ1024+AL1024+AO1024)*I1024</f>
        <v>799.26437499999997</v>
      </c>
      <c r="AQ1024" s="25">
        <f>SUM(N1024:Q1024)</f>
        <v>7.4499999999999993</v>
      </c>
      <c r="AR1024" s="25">
        <f>SUM(T1024:W1024)</f>
        <v>7.45</v>
      </c>
      <c r="AT1024" s="41"/>
      <c r="AU1024" s="41"/>
      <c r="AV1024" s="41"/>
      <c r="AW1024" s="41"/>
    </row>
    <row r="1025" spans="1:88" s="22" customFormat="1">
      <c r="A1025" s="1">
        <v>44</v>
      </c>
      <c r="B1025" s="4" t="s">
        <v>21</v>
      </c>
      <c r="C1025" s="14">
        <v>522</v>
      </c>
      <c r="D1025" s="222">
        <v>1366</v>
      </c>
      <c r="E1025" s="16">
        <v>100</v>
      </c>
      <c r="F1025" s="14" t="s">
        <v>230</v>
      </c>
      <c r="G1025" s="20">
        <v>0</v>
      </c>
      <c r="H1025" s="20">
        <v>1896</v>
      </c>
      <c r="I1025" s="21">
        <v>1.8959999999999999</v>
      </c>
      <c r="J1025" s="8">
        <v>2</v>
      </c>
      <c r="K1025" s="9" t="s">
        <v>238</v>
      </c>
      <c r="L1025" s="24">
        <v>42236</v>
      </c>
      <c r="M1025" s="37" t="s">
        <v>191</v>
      </c>
      <c r="N1025" s="26">
        <v>1.9</v>
      </c>
      <c r="O1025" s="26">
        <v>0</v>
      </c>
      <c r="P1025" s="26">
        <v>0</v>
      </c>
      <c r="Q1025" s="26">
        <v>0</v>
      </c>
      <c r="R1025" s="26">
        <v>2.2629999999999999</v>
      </c>
      <c r="S1025" s="38">
        <f t="shared" si="126"/>
        <v>2.5</v>
      </c>
      <c r="T1025" s="26">
        <v>1.9</v>
      </c>
      <c r="U1025" s="26">
        <v>0</v>
      </c>
      <c r="V1025" s="26">
        <v>0</v>
      </c>
      <c r="W1025" s="26">
        <v>0</v>
      </c>
      <c r="X1025" s="26">
        <v>2.5129999999999999</v>
      </c>
      <c r="Y1025" s="38">
        <f t="shared" si="127"/>
        <v>2.5</v>
      </c>
      <c r="Z1025" s="11">
        <v>0</v>
      </c>
      <c r="AA1025" s="11">
        <v>0</v>
      </c>
      <c r="AB1025" s="11">
        <f>SUM(N1025:Q1025)</f>
        <v>1.9</v>
      </c>
      <c r="AC1025" s="26">
        <v>1.1459999999999999</v>
      </c>
      <c r="AD1025" s="26">
        <v>2.63</v>
      </c>
      <c r="AE1025" s="26">
        <v>16.8</v>
      </c>
      <c r="AF1025" s="11">
        <f>(AD1025+AE1025*0.5)/(3.5*I1025*1000)*100</f>
        <v>0.16621458710066309</v>
      </c>
      <c r="AG1025" s="38">
        <f t="shared" si="128"/>
        <v>0.2</v>
      </c>
      <c r="AH1025" s="26">
        <v>12</v>
      </c>
      <c r="AI1025" s="11">
        <f>AH1025/(3.5*I1025*1000)*100</f>
        <v>0.18083182640144668</v>
      </c>
      <c r="AJ1025" s="26">
        <v>0</v>
      </c>
      <c r="AK1025" s="11">
        <f>AJ1025/(3.5*I1025*1000)*100</f>
        <v>0</v>
      </c>
      <c r="AL1025" s="26">
        <v>0</v>
      </c>
      <c r="AM1025" s="11">
        <f>AL1025/(3.5*I1025*1000)*100</f>
        <v>0</v>
      </c>
      <c r="AO1025" s="25"/>
      <c r="AP1025" s="25"/>
    </row>
    <row r="1026" spans="1:88" s="22" customFormat="1">
      <c r="A1026" s="1">
        <v>191</v>
      </c>
      <c r="B1026" s="34" t="s">
        <v>332</v>
      </c>
      <c r="C1026" s="34">
        <v>533</v>
      </c>
      <c r="D1026" s="42">
        <v>1388</v>
      </c>
      <c r="E1026" s="34">
        <v>100</v>
      </c>
      <c r="F1026" s="34" t="s">
        <v>380</v>
      </c>
      <c r="G1026" s="20" t="s">
        <v>381</v>
      </c>
      <c r="H1026" s="20" t="s">
        <v>382</v>
      </c>
      <c r="I1026" s="35">
        <v>6.33</v>
      </c>
      <c r="J1026" s="36">
        <v>2</v>
      </c>
      <c r="K1026" s="34" t="s">
        <v>238</v>
      </c>
      <c r="L1026" s="10">
        <v>42202</v>
      </c>
      <c r="M1026" s="37" t="s">
        <v>191</v>
      </c>
      <c r="N1026" s="38">
        <v>1.18</v>
      </c>
      <c r="O1026" s="38">
        <v>2.02</v>
      </c>
      <c r="P1026" s="38">
        <v>1.97</v>
      </c>
      <c r="Q1026" s="38">
        <v>1.1499999999999999</v>
      </c>
      <c r="R1026" s="38">
        <v>3.9809999999999999</v>
      </c>
      <c r="S1026" s="38">
        <f t="shared" si="126"/>
        <v>4</v>
      </c>
      <c r="T1026" s="38">
        <v>5.95</v>
      </c>
      <c r="U1026" s="38">
        <v>0.19</v>
      </c>
      <c r="V1026" s="38">
        <v>0.11</v>
      </c>
      <c r="W1026" s="38">
        <v>0.08</v>
      </c>
      <c r="X1026" s="38">
        <v>4.0869999999999997</v>
      </c>
      <c r="Y1026" s="38">
        <f t="shared" si="127"/>
        <v>4</v>
      </c>
      <c r="Z1026" s="38">
        <v>0.3</v>
      </c>
      <c r="AA1026" s="38">
        <v>0</v>
      </c>
      <c r="AB1026" s="38">
        <v>6.03</v>
      </c>
      <c r="AC1026" s="38">
        <v>1.4259999999999999</v>
      </c>
      <c r="AD1026" s="38">
        <v>16.77</v>
      </c>
      <c r="AE1026" s="38">
        <v>40</v>
      </c>
      <c r="AF1026" s="38">
        <f>(AD1026+AE1026*0.5)/(3.5*I1026*1000)*100</f>
        <v>0.16596705032723988</v>
      </c>
      <c r="AG1026" s="38">
        <f t="shared" si="128"/>
        <v>0.2</v>
      </c>
      <c r="AH1026" s="38">
        <v>0</v>
      </c>
      <c r="AI1026" s="38">
        <f>AH1026/(3.5*I1026*1000)*100</f>
        <v>0</v>
      </c>
      <c r="AJ1026" s="38">
        <v>0</v>
      </c>
      <c r="AK1026" s="38">
        <f>AJ1026/(3.5*I1026*1000)*100</f>
        <v>0</v>
      </c>
      <c r="AL1026" s="38">
        <v>0</v>
      </c>
      <c r="AM1026" s="38">
        <f>AL1026/(3.5*I1026*1000)*100</f>
        <v>0</v>
      </c>
      <c r="AN1026" s="25"/>
      <c r="AO1026" s="25">
        <f>AE1026*0.5</f>
        <v>20</v>
      </c>
      <c r="AP1026" s="25">
        <f>(AD1026+AH1026+AJ1026+AL1026+AO1026)*I1026</f>
        <v>232.75409999999997</v>
      </c>
      <c r="AQ1026" s="25"/>
      <c r="AR1026" s="25">
        <f>SUM(N1026:Q1026)</f>
        <v>6.32</v>
      </c>
      <c r="AS1026" s="25">
        <f>SUM(T1026:W1026)</f>
        <v>6.330000000000001</v>
      </c>
      <c r="AU1026" s="41">
        <f>SUM(N1026:Q1026)</f>
        <v>6.32</v>
      </c>
      <c r="AV1026" s="41">
        <f>SUM(T1026:W1026)</f>
        <v>6.330000000000001</v>
      </c>
      <c r="AW1026" s="41">
        <f>SUM(Z1026:AB1026)</f>
        <v>6.33</v>
      </c>
      <c r="AX1026" s="41"/>
      <c r="AY1026" s="22">
        <f>I1026/AU1026</f>
        <v>1.0015822784810127</v>
      </c>
      <c r="AZ1026" s="22">
        <f>I1026/AV1026</f>
        <v>0.99999999999999989</v>
      </c>
      <c r="BA1026" s="22">
        <f>I1026/AW1026</f>
        <v>1</v>
      </c>
    </row>
    <row r="1027" spans="1:88" s="22" customFormat="1">
      <c r="A1027" s="1">
        <v>405</v>
      </c>
      <c r="B1027" s="74" t="s">
        <v>655</v>
      </c>
      <c r="C1027" s="34">
        <v>511</v>
      </c>
      <c r="D1027" s="101">
        <v>1064</v>
      </c>
      <c r="E1027" s="69">
        <v>100</v>
      </c>
      <c r="F1027" s="34" t="s">
        <v>676</v>
      </c>
      <c r="G1027" s="20" t="s">
        <v>677</v>
      </c>
      <c r="H1027" s="20" t="s">
        <v>92</v>
      </c>
      <c r="I1027" s="21">
        <v>5.65</v>
      </c>
      <c r="J1027" s="8" t="s">
        <v>96</v>
      </c>
      <c r="K1027" s="34">
        <v>4</v>
      </c>
      <c r="L1027" s="18">
        <v>42266</v>
      </c>
      <c r="M1027" s="37" t="s">
        <v>191</v>
      </c>
      <c r="N1027" s="38">
        <v>4.4800000000000004</v>
      </c>
      <c r="O1027" s="38">
        <v>0.85</v>
      </c>
      <c r="P1027" s="38">
        <v>0.17</v>
      </c>
      <c r="Q1027" s="38">
        <v>0.15</v>
      </c>
      <c r="R1027" s="38">
        <v>2.2659500000000001</v>
      </c>
      <c r="S1027" s="38">
        <f t="shared" ref="S1027:S1090" si="137">ROUND(R1027/5,1)*5</f>
        <v>2.5</v>
      </c>
      <c r="T1027" s="38">
        <v>5.6</v>
      </c>
      <c r="U1027" s="38">
        <v>0.02</v>
      </c>
      <c r="V1027" s="38">
        <v>0</v>
      </c>
      <c r="W1027" s="38">
        <v>0.02</v>
      </c>
      <c r="X1027" s="38">
        <v>4.4805099999999998</v>
      </c>
      <c r="Y1027" s="38">
        <f t="shared" ref="Y1027:Y1090" si="138">ROUND(X1027/5,1)*5</f>
        <v>4.5</v>
      </c>
      <c r="Z1027" s="38">
        <v>0</v>
      </c>
      <c r="AA1027" s="38">
        <v>0</v>
      </c>
      <c r="AB1027" s="38">
        <v>5.65</v>
      </c>
      <c r="AC1027" s="38">
        <v>1.0515600000000001</v>
      </c>
      <c r="AD1027" s="38">
        <v>26.635000000000002</v>
      </c>
      <c r="AE1027" s="38">
        <v>12.35</v>
      </c>
      <c r="AF1027" s="38">
        <v>0.16591700000000001</v>
      </c>
      <c r="AG1027" s="38">
        <f t="shared" ref="AG1027:AG1090" si="139">ROUND(AF1027,1)</f>
        <v>0.2</v>
      </c>
      <c r="AH1027" s="38">
        <v>67.28</v>
      </c>
      <c r="AI1027" s="38">
        <v>0.34022799999999997</v>
      </c>
      <c r="AJ1027" s="38">
        <v>0</v>
      </c>
      <c r="AK1027" s="38">
        <v>0</v>
      </c>
      <c r="AL1027" s="38">
        <v>0</v>
      </c>
      <c r="AM1027" s="38">
        <v>0</v>
      </c>
      <c r="AN1027" s="72"/>
      <c r="AO1027" s="41"/>
      <c r="AP1027" s="41"/>
      <c r="AQ1027" s="41">
        <f>SUM(N1027:Q1027)</f>
        <v>5.65</v>
      </c>
      <c r="AR1027" s="41">
        <f>SUM(T1027:W1027)</f>
        <v>5.6399999999999988</v>
      </c>
      <c r="AS1027" s="41">
        <f>SUM(Z1027:AB1027)</f>
        <v>5.65</v>
      </c>
      <c r="AU1027" s="22">
        <f>I1027/AQ1027</f>
        <v>1</v>
      </c>
      <c r="AV1027" s="22">
        <f>I1027/AR1027</f>
        <v>1.0017730496453903</v>
      </c>
      <c r="AW1027" s="22">
        <f>I1027/AS1027</f>
        <v>1</v>
      </c>
    </row>
    <row r="1028" spans="1:88" s="22" customFormat="1">
      <c r="A1028" s="1">
        <v>252</v>
      </c>
      <c r="B1028" s="34" t="s">
        <v>436</v>
      </c>
      <c r="C1028" s="34">
        <v>537</v>
      </c>
      <c r="D1028" s="42">
        <v>1409</v>
      </c>
      <c r="E1028" s="34">
        <v>100</v>
      </c>
      <c r="F1028" s="34" t="s">
        <v>468</v>
      </c>
      <c r="G1028" s="20">
        <v>0</v>
      </c>
      <c r="H1028" s="20">
        <v>5000</v>
      </c>
      <c r="I1028" s="35">
        <v>5</v>
      </c>
      <c r="J1028" s="33">
        <v>2</v>
      </c>
      <c r="K1028" s="34" t="s">
        <v>238</v>
      </c>
      <c r="L1028" s="10">
        <v>42200</v>
      </c>
      <c r="M1028" s="37" t="s">
        <v>191</v>
      </c>
      <c r="N1028" s="38">
        <v>3.43</v>
      </c>
      <c r="O1028" s="38">
        <v>0.56999999999999995</v>
      </c>
      <c r="P1028" s="38">
        <v>0.42</v>
      </c>
      <c r="Q1028" s="38">
        <v>0.6</v>
      </c>
      <c r="R1028" s="38">
        <v>2.8554200000000001</v>
      </c>
      <c r="S1028" s="38">
        <f t="shared" si="137"/>
        <v>3</v>
      </c>
      <c r="T1028" s="38">
        <v>4.88</v>
      </c>
      <c r="U1028" s="38">
        <v>0.06</v>
      </c>
      <c r="V1028" s="38">
        <v>0.06</v>
      </c>
      <c r="W1028" s="38">
        <v>0</v>
      </c>
      <c r="X1028" s="38">
        <v>4.1860900000000001</v>
      </c>
      <c r="Y1028" s="38">
        <f t="shared" si="138"/>
        <v>4</v>
      </c>
      <c r="Z1028" s="38">
        <v>0</v>
      </c>
      <c r="AA1028" s="38">
        <v>0</v>
      </c>
      <c r="AB1028" s="38">
        <v>5</v>
      </c>
      <c r="AC1028" s="38">
        <v>1.4786999999999999</v>
      </c>
      <c r="AD1028" s="38">
        <v>29</v>
      </c>
      <c r="AE1028" s="38">
        <v>0</v>
      </c>
      <c r="AF1028" s="38">
        <v>0.16571428571428573</v>
      </c>
      <c r="AG1028" s="38">
        <f t="shared" si="139"/>
        <v>0.2</v>
      </c>
      <c r="AH1028" s="38">
        <v>0</v>
      </c>
      <c r="AI1028" s="38">
        <v>0</v>
      </c>
      <c r="AJ1028" s="38">
        <v>0</v>
      </c>
      <c r="AK1028" s="55">
        <v>0</v>
      </c>
      <c r="AL1028" s="55">
        <v>3</v>
      </c>
      <c r="AM1028" s="55">
        <v>1.7142857142857144E-2</v>
      </c>
      <c r="AN1028" s="40"/>
      <c r="AO1028" s="25">
        <f>SUM(N1028:Q1028)</f>
        <v>5.0199999999999996</v>
      </c>
      <c r="AP1028" s="25">
        <f>SUM(T1028:W1028)</f>
        <v>4.9999999999999991</v>
      </c>
      <c r="AQ1028" s="268">
        <v>5</v>
      </c>
      <c r="AR1028" s="41"/>
      <c r="AS1028" s="41"/>
      <c r="AT1028" s="41"/>
      <c r="AU1028" s="41">
        <f>SUM(N1028:Q1028)</f>
        <v>5.0199999999999996</v>
      </c>
      <c r="AV1028" s="41">
        <f>SUM(T1028:W1028)</f>
        <v>4.9999999999999991</v>
      </c>
      <c r="AW1028" s="41">
        <f>SUM(Z1028:AB1028)</f>
        <v>5</v>
      </c>
      <c r="AY1028" s="22">
        <f>I1028/AU1028</f>
        <v>0.99601593625498019</v>
      </c>
      <c r="AZ1028" s="22">
        <f>I1028/AV1028</f>
        <v>1.0000000000000002</v>
      </c>
      <c r="BA1028" s="22">
        <f>I1028/AW1028</f>
        <v>1</v>
      </c>
    </row>
    <row r="1029" spans="1:88" s="22" customFormat="1">
      <c r="A1029" s="1">
        <v>1695</v>
      </c>
      <c r="B1029" s="34" t="s">
        <v>2279</v>
      </c>
      <c r="C1029" s="34">
        <v>421</v>
      </c>
      <c r="D1029" s="174">
        <v>3378</v>
      </c>
      <c r="E1029" s="34">
        <v>100</v>
      </c>
      <c r="F1029" s="34" t="s">
        <v>2295</v>
      </c>
      <c r="G1029" s="58">
        <v>0</v>
      </c>
      <c r="H1029" s="58">
        <v>14424</v>
      </c>
      <c r="I1029" s="35">
        <v>14.423999999999999</v>
      </c>
      <c r="J1029" s="9">
        <v>2</v>
      </c>
      <c r="K1029" s="34" t="s">
        <v>238</v>
      </c>
      <c r="L1029" s="10">
        <v>42226</v>
      </c>
      <c r="M1029" s="37" t="s">
        <v>191</v>
      </c>
      <c r="N1029" s="38">
        <v>8.5749999999999993</v>
      </c>
      <c r="O1029" s="38">
        <v>3.7250000000000001</v>
      </c>
      <c r="P1029" s="38">
        <v>1.65</v>
      </c>
      <c r="Q1029" s="38">
        <v>0.65</v>
      </c>
      <c r="R1029" s="38">
        <v>2.6676199999999999</v>
      </c>
      <c r="S1029" s="38">
        <f t="shared" si="137"/>
        <v>2.5</v>
      </c>
      <c r="T1029" s="38">
        <v>7.4999999999999997E-2</v>
      </c>
      <c r="U1029" s="38">
        <v>0.375</v>
      </c>
      <c r="V1029" s="38">
        <v>1.075</v>
      </c>
      <c r="W1029" s="38">
        <v>13.074999999999999</v>
      </c>
      <c r="X1029" s="38">
        <v>69.641199999999998</v>
      </c>
      <c r="Y1029" s="38">
        <f t="shared" si="138"/>
        <v>69.5</v>
      </c>
      <c r="Z1029" s="38">
        <v>0</v>
      </c>
      <c r="AA1029" s="38">
        <v>0</v>
      </c>
      <c r="AB1029" s="38">
        <v>14.423999999999999</v>
      </c>
      <c r="AC1029" s="38">
        <v>1.18388</v>
      </c>
      <c r="AD1029" s="38">
        <v>70.69</v>
      </c>
      <c r="AE1029" s="38">
        <v>24.02</v>
      </c>
      <c r="AF1029" s="38">
        <f>(AD1029+AE1029*0.5)/(3.5*I1029*1000)*100</f>
        <v>0.16381427779098331</v>
      </c>
      <c r="AG1029" s="38">
        <f t="shared" si="139"/>
        <v>0.2</v>
      </c>
      <c r="AH1029" s="38">
        <v>1.59</v>
      </c>
      <c r="AI1029" s="38">
        <f>AH1029/(3.5*I1029*1000)*100</f>
        <v>3.1495127169004051E-3</v>
      </c>
      <c r="AJ1029" s="38">
        <v>855</v>
      </c>
      <c r="AK1029" s="38">
        <f>AJ1029/(3.5*I1029*1000)*100</f>
        <v>1.6936058949370101</v>
      </c>
      <c r="AL1029" s="38">
        <v>0</v>
      </c>
      <c r="AM1029" s="38">
        <f>AL1029/(3.5*I1029*1000)*100</f>
        <v>0</v>
      </c>
      <c r="AN1029" s="25"/>
      <c r="AO1029" s="25">
        <f>AE1029*0.5</f>
        <v>12.01</v>
      </c>
      <c r="AP1029" s="25">
        <f>(AD1029+AH1029+AJ1029+AL1029+AO1029)*I1029</f>
        <v>13548.318959999999</v>
      </c>
      <c r="AQ1029" s="25">
        <f>SUM(N1029:Q1029)</f>
        <v>14.6</v>
      </c>
      <c r="AR1029" s="25">
        <f>SUM(T1029:W1029)</f>
        <v>14.6</v>
      </c>
      <c r="AT1029" s="41"/>
      <c r="AU1029" s="41"/>
      <c r="AV1029" s="41"/>
      <c r="AW1029" s="41"/>
    </row>
    <row r="1030" spans="1:88" s="22" customFormat="1">
      <c r="A1030" s="1">
        <v>1655</v>
      </c>
      <c r="B1030" s="34" t="s">
        <v>2251</v>
      </c>
      <c r="C1030" s="34">
        <v>418</v>
      </c>
      <c r="D1030" s="102">
        <v>9</v>
      </c>
      <c r="E1030" s="34">
        <v>201</v>
      </c>
      <c r="F1030" s="34" t="s">
        <v>2252</v>
      </c>
      <c r="G1030" s="58" t="s">
        <v>2253</v>
      </c>
      <c r="H1030" s="58" t="s">
        <v>2254</v>
      </c>
      <c r="I1030" s="35">
        <v>8.6</v>
      </c>
      <c r="J1030" s="34">
        <v>6</v>
      </c>
      <c r="K1030" s="34" t="s">
        <v>237</v>
      </c>
      <c r="L1030" s="10">
        <v>42244</v>
      </c>
      <c r="M1030" s="37" t="s">
        <v>191</v>
      </c>
      <c r="N1030" s="55">
        <v>3.2</v>
      </c>
      <c r="O1030" s="55">
        <v>1.9750000000000001</v>
      </c>
      <c r="P1030" s="55">
        <v>2.0249999999999999</v>
      </c>
      <c r="Q1030" s="55">
        <v>1.4</v>
      </c>
      <c r="R1030" s="55">
        <v>3.4733100000000001</v>
      </c>
      <c r="S1030" s="38">
        <f t="shared" si="137"/>
        <v>3.5</v>
      </c>
      <c r="T1030" s="38">
        <v>8.4749999999999996</v>
      </c>
      <c r="U1030" s="38">
        <v>0.1</v>
      </c>
      <c r="V1030" s="38">
        <v>2.5000000000000001E-2</v>
      </c>
      <c r="W1030" s="38">
        <v>0</v>
      </c>
      <c r="X1030" s="38">
        <v>3.7006700000000001</v>
      </c>
      <c r="Y1030" s="38">
        <f t="shared" si="138"/>
        <v>3.5</v>
      </c>
      <c r="Z1030" s="38">
        <v>0</v>
      </c>
      <c r="AA1030" s="38">
        <v>0</v>
      </c>
      <c r="AB1030" s="38">
        <f>SUM(N1030:Q1030)</f>
        <v>8.6000000000000014</v>
      </c>
      <c r="AC1030" s="38">
        <v>1.1124799999999999</v>
      </c>
      <c r="AD1030" s="38">
        <v>0</v>
      </c>
      <c r="AE1030" s="38">
        <v>98.54</v>
      </c>
      <c r="AF1030" s="38">
        <f>(AD1030+AE1030*0.5)/(3.5*I1030*1000)*100</f>
        <v>0.16368770764119606</v>
      </c>
      <c r="AG1030" s="38">
        <f t="shared" si="139"/>
        <v>0.2</v>
      </c>
      <c r="AH1030" s="38">
        <v>0</v>
      </c>
      <c r="AI1030" s="38">
        <f>AH1030/(3.5*I1030*1000)*100</f>
        <v>0</v>
      </c>
      <c r="AJ1030" s="38">
        <v>78.849999999999994</v>
      </c>
      <c r="AK1030" s="38">
        <f>AJ1030/(3.5*I1030*1000)*100</f>
        <v>0.26196013289036546</v>
      </c>
      <c r="AL1030" s="38">
        <v>0</v>
      </c>
      <c r="AM1030" s="38">
        <f>AL1030/(3.5*I1030*1000)*100</f>
        <v>0</v>
      </c>
      <c r="AN1030" s="25"/>
      <c r="AO1030" s="25">
        <f>AE1030*0.5</f>
        <v>49.27</v>
      </c>
      <c r="AP1030" s="25">
        <f>(AD1030+AH1030+AJ1030+AL1030+AO1030)*I1030</f>
        <v>1101.8319999999999</v>
      </c>
      <c r="AQ1030" s="25">
        <f>(AD1030+AH1030+AJ1030+AL1030)*I1030</f>
        <v>678.1099999999999</v>
      </c>
      <c r="AR1030" s="25">
        <f>SUM(N1030:Q1030)</f>
        <v>8.6000000000000014</v>
      </c>
      <c r="AS1030" s="25">
        <f>SUM(T1030:W1030)</f>
        <v>8.6</v>
      </c>
      <c r="AU1030" s="41"/>
      <c r="AV1030" s="41"/>
      <c r="AW1030" s="41"/>
      <c r="AX1030" s="41"/>
    </row>
    <row r="1031" spans="1:88" s="22" customFormat="1">
      <c r="A1031" s="1">
        <v>2002</v>
      </c>
      <c r="B1031" s="34" t="s">
        <v>2615</v>
      </c>
      <c r="C1031" s="34">
        <v>322</v>
      </c>
      <c r="D1031" s="101">
        <v>4347</v>
      </c>
      <c r="E1031" s="8">
        <v>100</v>
      </c>
      <c r="F1031" s="34" t="s">
        <v>2645</v>
      </c>
      <c r="G1031" s="58">
        <v>0</v>
      </c>
      <c r="H1031" s="58">
        <v>3500</v>
      </c>
      <c r="I1031" s="21">
        <v>3.5</v>
      </c>
      <c r="J1031" s="8">
        <v>2</v>
      </c>
      <c r="K1031" s="8" t="s">
        <v>237</v>
      </c>
      <c r="L1031" s="18">
        <v>42129</v>
      </c>
      <c r="M1031" s="37" t="s">
        <v>191</v>
      </c>
      <c r="N1031" s="38">
        <v>2.875</v>
      </c>
      <c r="O1031" s="38">
        <v>0.4</v>
      </c>
      <c r="P1031" s="38">
        <v>0.15</v>
      </c>
      <c r="Q1031" s="38">
        <v>0.1</v>
      </c>
      <c r="R1031" s="38">
        <v>2.2420599999999999</v>
      </c>
      <c r="S1031" s="38">
        <f t="shared" si="137"/>
        <v>2</v>
      </c>
      <c r="T1031" s="38">
        <v>3.5249999999999999</v>
      </c>
      <c r="U1031" s="38">
        <v>0</v>
      </c>
      <c r="V1031" s="38">
        <v>0</v>
      </c>
      <c r="W1031" s="38">
        <v>0</v>
      </c>
      <c r="X1031" s="38">
        <v>3.1196799999999998</v>
      </c>
      <c r="Y1031" s="38">
        <f t="shared" si="138"/>
        <v>3</v>
      </c>
      <c r="Z1031" s="38">
        <v>0</v>
      </c>
      <c r="AA1031" s="38">
        <v>0</v>
      </c>
      <c r="AB1031" s="38">
        <v>3.5249999999999999</v>
      </c>
      <c r="AC1031" s="38">
        <v>1.2585200000000001</v>
      </c>
      <c r="AD1031" s="38">
        <v>0</v>
      </c>
      <c r="AE1031" s="38">
        <v>40</v>
      </c>
      <c r="AF1031" s="38">
        <v>0.16326530612244899</v>
      </c>
      <c r="AG1031" s="38">
        <f t="shared" si="139"/>
        <v>0.2</v>
      </c>
      <c r="AH1031" s="38">
        <v>0</v>
      </c>
      <c r="AI1031" s="38">
        <v>0</v>
      </c>
      <c r="AJ1031" s="38">
        <v>0</v>
      </c>
      <c r="AK1031" s="38">
        <v>0</v>
      </c>
      <c r="AL1031" s="38">
        <v>0</v>
      </c>
      <c r="AM1031" s="38">
        <f>AL1031/(3.5*I1031*1000)*100</f>
        <v>0</v>
      </c>
      <c r="AN1031" s="72"/>
      <c r="AO1031" s="41"/>
      <c r="AP1031" s="41"/>
      <c r="AQ1031" s="73"/>
      <c r="AR1031" s="73"/>
      <c r="AS1031" s="73"/>
      <c r="AT1031" s="73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</row>
    <row r="1032" spans="1:88" s="22" customFormat="1">
      <c r="A1032" s="1">
        <v>2119</v>
      </c>
      <c r="B1032" s="34" t="s">
        <v>2754</v>
      </c>
      <c r="C1032" s="34">
        <v>324</v>
      </c>
      <c r="D1032" s="101">
        <v>4025</v>
      </c>
      <c r="E1032" s="8">
        <v>100</v>
      </c>
      <c r="F1032" s="9" t="s">
        <v>2763</v>
      </c>
      <c r="G1032" s="20">
        <v>6950</v>
      </c>
      <c r="H1032" s="20">
        <v>0</v>
      </c>
      <c r="I1032" s="21">
        <v>6.95</v>
      </c>
      <c r="J1032" s="9">
        <v>4</v>
      </c>
      <c r="K1032" s="34" t="s">
        <v>96</v>
      </c>
      <c r="L1032" s="18">
        <v>42138</v>
      </c>
      <c r="M1032" s="37" t="s">
        <v>191</v>
      </c>
      <c r="N1032" s="38">
        <v>3.0750000000000002</v>
      </c>
      <c r="O1032" s="38">
        <v>2.6</v>
      </c>
      <c r="P1032" s="38">
        <v>0.82499999999999996</v>
      </c>
      <c r="Q1032" s="38">
        <v>0.52500000000000002</v>
      </c>
      <c r="R1032" s="38">
        <v>2.9840200000000001</v>
      </c>
      <c r="S1032" s="38">
        <f t="shared" si="137"/>
        <v>3</v>
      </c>
      <c r="T1032" s="38">
        <v>6.6749999999999998</v>
      </c>
      <c r="U1032" s="38">
        <v>0.2</v>
      </c>
      <c r="V1032" s="38">
        <v>7.4999999999999997E-2</v>
      </c>
      <c r="W1032" s="38">
        <v>7.4999999999999997E-2</v>
      </c>
      <c r="X1032" s="38">
        <v>3.98949</v>
      </c>
      <c r="Y1032" s="38">
        <f t="shared" si="138"/>
        <v>4</v>
      </c>
      <c r="Z1032" s="38">
        <v>0</v>
      </c>
      <c r="AA1032" s="38">
        <v>0</v>
      </c>
      <c r="AB1032" s="38">
        <v>7.0250000000000012</v>
      </c>
      <c r="AC1032" s="38">
        <v>1.2324600000000001</v>
      </c>
      <c r="AD1032" s="38">
        <v>26.93</v>
      </c>
      <c r="AE1032" s="38">
        <v>25.4</v>
      </c>
      <c r="AF1032" s="38">
        <v>0.1629188078108941</v>
      </c>
      <c r="AG1032" s="38">
        <f t="shared" si="139"/>
        <v>0.2</v>
      </c>
      <c r="AH1032" s="38">
        <v>3.5</v>
      </c>
      <c r="AI1032" s="38">
        <v>1.4388489208633093E-2</v>
      </c>
      <c r="AJ1032" s="38">
        <v>0</v>
      </c>
      <c r="AK1032" s="38">
        <v>0</v>
      </c>
      <c r="AL1032" s="38">
        <v>1.9359999999999999</v>
      </c>
      <c r="AM1032" s="38">
        <v>7.9588900308324769E-3</v>
      </c>
      <c r="AN1032" s="41"/>
      <c r="AO1032" s="41"/>
      <c r="AP1032" s="73"/>
      <c r="AQ1032" s="73"/>
      <c r="AR1032" s="73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</row>
    <row r="1033" spans="1:88" s="22" customFormat="1">
      <c r="A1033" s="1">
        <v>2184</v>
      </c>
      <c r="B1033" s="34" t="s">
        <v>2798</v>
      </c>
      <c r="C1033" s="34">
        <v>311</v>
      </c>
      <c r="D1033" s="101">
        <v>4309</v>
      </c>
      <c r="E1033" s="8">
        <v>100</v>
      </c>
      <c r="F1033" s="9" t="s">
        <v>2825</v>
      </c>
      <c r="G1033" s="20">
        <v>0</v>
      </c>
      <c r="H1033" s="20">
        <v>10679</v>
      </c>
      <c r="I1033" s="21">
        <v>10.679</v>
      </c>
      <c r="J1033" s="8">
        <v>2</v>
      </c>
      <c r="K1033" s="8" t="s">
        <v>237</v>
      </c>
      <c r="L1033" s="18">
        <v>42146</v>
      </c>
      <c r="M1033" s="37" t="s">
        <v>191</v>
      </c>
      <c r="N1033" s="38">
        <v>6.2</v>
      </c>
      <c r="O1033" s="38">
        <v>3.05</v>
      </c>
      <c r="P1033" s="38">
        <v>0.97499999999999998</v>
      </c>
      <c r="Q1033" s="38">
        <v>0.52500000000000002</v>
      </c>
      <c r="R1033" s="38">
        <v>2.6061899999999998</v>
      </c>
      <c r="S1033" s="38">
        <f t="shared" si="137"/>
        <v>2.5</v>
      </c>
      <c r="T1033" s="38">
        <v>10.225</v>
      </c>
      <c r="U1033" s="38">
        <v>0.47499999999999998</v>
      </c>
      <c r="V1033" s="38">
        <v>0.05</v>
      </c>
      <c r="W1033" s="38">
        <v>0</v>
      </c>
      <c r="X1033" s="38">
        <v>4.4621000000000004</v>
      </c>
      <c r="Y1033" s="38">
        <f t="shared" si="138"/>
        <v>4.5</v>
      </c>
      <c r="Z1033" s="38">
        <v>0</v>
      </c>
      <c r="AA1033" s="38">
        <v>0</v>
      </c>
      <c r="AB1033" s="38">
        <v>10.75</v>
      </c>
      <c r="AC1033" s="38">
        <v>1.34415</v>
      </c>
      <c r="AD1033" s="38">
        <v>50.78</v>
      </c>
      <c r="AE1033" s="38">
        <v>20.11</v>
      </c>
      <c r="AF1033" s="38">
        <f>(AD1033+AE1033*0.5)/(3.5*I1033*1000)*100</f>
        <v>0.16276269848701724</v>
      </c>
      <c r="AG1033" s="38">
        <f t="shared" si="139"/>
        <v>0.2</v>
      </c>
      <c r="AH1033" s="38">
        <v>17.010000000000002</v>
      </c>
      <c r="AI1033" s="38">
        <f>AH1033/(3.5*I1033*1000)*100</f>
        <v>4.550987920217249E-2</v>
      </c>
      <c r="AJ1033" s="38">
        <v>0.4</v>
      </c>
      <c r="AK1033" s="38">
        <f>AJ1033/(3.5*I1033*1000)*100</f>
        <v>1.0701911628964724E-3</v>
      </c>
      <c r="AL1033" s="38">
        <v>0</v>
      </c>
      <c r="AM1033" s="38">
        <f>AL1033/(3.5*I1033*1000)*100</f>
        <v>0</v>
      </c>
      <c r="AN1033" s="72"/>
      <c r="AO1033" s="41"/>
      <c r="AP1033" s="41"/>
      <c r="AQ1033" s="41">
        <f>SUM(N1033:Q1033)</f>
        <v>10.75</v>
      </c>
      <c r="AR1033" s="41">
        <f>SUM(T1033:W1033)</f>
        <v>10.75</v>
      </c>
      <c r="AS1033" s="12">
        <f>SUM(Z1033:AB1033)</f>
        <v>10.75</v>
      </c>
      <c r="AT1033" s="1"/>
      <c r="AU1033" s="1">
        <f>I1033/AQ1033</f>
        <v>0.99339534883720937</v>
      </c>
      <c r="AV1033" s="1">
        <f>I1033/AR1033</f>
        <v>0.99339534883720937</v>
      </c>
      <c r="AW1033" s="1">
        <f>I1033/AS1033</f>
        <v>0.99339534883720937</v>
      </c>
    </row>
    <row r="1034" spans="1:88" s="22" customFormat="1">
      <c r="A1034" s="1">
        <v>2122</v>
      </c>
      <c r="B1034" s="34" t="s">
        <v>2754</v>
      </c>
      <c r="C1034" s="34">
        <v>324</v>
      </c>
      <c r="D1034" s="101">
        <v>4027</v>
      </c>
      <c r="E1034" s="8">
        <v>100</v>
      </c>
      <c r="F1034" s="9" t="s">
        <v>2765</v>
      </c>
      <c r="G1034" s="20">
        <v>19538</v>
      </c>
      <c r="H1034" s="20">
        <v>0</v>
      </c>
      <c r="I1034" s="21">
        <v>19.538</v>
      </c>
      <c r="J1034" s="9">
        <v>2</v>
      </c>
      <c r="K1034" s="34" t="s">
        <v>96</v>
      </c>
      <c r="L1034" s="18">
        <v>42139</v>
      </c>
      <c r="M1034" s="37" t="s">
        <v>191</v>
      </c>
      <c r="N1034" s="38">
        <v>14</v>
      </c>
      <c r="O1034" s="38">
        <v>3.625</v>
      </c>
      <c r="P1034" s="38">
        <v>1.2</v>
      </c>
      <c r="Q1034" s="38">
        <v>0.625</v>
      </c>
      <c r="R1034" s="38">
        <v>2.3563999999999998</v>
      </c>
      <c r="S1034" s="38">
        <f t="shared" si="137"/>
        <v>2.5</v>
      </c>
      <c r="T1034" s="38">
        <v>18.975000000000001</v>
      </c>
      <c r="U1034" s="38">
        <v>0.45</v>
      </c>
      <c r="V1034" s="38">
        <v>2.5000000000000001E-2</v>
      </c>
      <c r="W1034" s="38">
        <v>0</v>
      </c>
      <c r="X1034" s="38">
        <v>3.1398999999999999</v>
      </c>
      <c r="Y1034" s="38">
        <f t="shared" si="138"/>
        <v>3</v>
      </c>
      <c r="Z1034" s="38">
        <v>0</v>
      </c>
      <c r="AA1034" s="38">
        <v>0</v>
      </c>
      <c r="AB1034" s="38">
        <v>19.45</v>
      </c>
      <c r="AC1034" s="38">
        <v>1.21746</v>
      </c>
      <c r="AD1034" s="38">
        <v>108.49</v>
      </c>
      <c r="AE1034" s="38">
        <v>5.44</v>
      </c>
      <c r="AF1034" s="38">
        <v>0.1626281385724522</v>
      </c>
      <c r="AG1034" s="38">
        <f t="shared" si="139"/>
        <v>0.2</v>
      </c>
      <c r="AH1034" s="38">
        <v>20.96</v>
      </c>
      <c r="AI1034" s="38">
        <v>3.0650892765745875E-2</v>
      </c>
      <c r="AJ1034" s="38">
        <v>2.88</v>
      </c>
      <c r="AK1034" s="38">
        <v>4.2115730517818754E-3</v>
      </c>
      <c r="AL1034" s="38">
        <v>0</v>
      </c>
      <c r="AM1034" s="38">
        <v>0</v>
      </c>
      <c r="AN1034" s="41"/>
      <c r="AO1034" s="41"/>
      <c r="AP1034" s="73"/>
      <c r="AQ1034" s="73"/>
      <c r="AR1034" s="73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</row>
    <row r="1035" spans="1:88" s="22" customFormat="1">
      <c r="A1035" s="1">
        <v>1871</v>
      </c>
      <c r="B1035" s="34" t="s">
        <v>2495</v>
      </c>
      <c r="C1035" s="34">
        <v>335</v>
      </c>
      <c r="D1035" s="101">
        <v>3207</v>
      </c>
      <c r="E1035" s="8">
        <v>100</v>
      </c>
      <c r="F1035" s="9" t="s">
        <v>2503</v>
      </c>
      <c r="G1035" s="20">
        <v>0</v>
      </c>
      <c r="H1035" s="20">
        <v>11300</v>
      </c>
      <c r="I1035" s="21">
        <v>11.3</v>
      </c>
      <c r="J1035" s="34">
        <v>2</v>
      </c>
      <c r="K1035" s="34" t="s">
        <v>238</v>
      </c>
      <c r="L1035" s="18">
        <v>42095</v>
      </c>
      <c r="M1035" s="247" t="s">
        <v>191</v>
      </c>
      <c r="N1035" s="38">
        <v>5.93</v>
      </c>
      <c r="O1035" s="38">
        <v>4.13</v>
      </c>
      <c r="P1035" s="38">
        <v>1.1399999999999999</v>
      </c>
      <c r="Q1035" s="38">
        <v>0.1</v>
      </c>
      <c r="R1035" s="38">
        <v>2.5539200000000002</v>
      </c>
      <c r="S1035" s="38">
        <f t="shared" si="137"/>
        <v>2.5</v>
      </c>
      <c r="T1035" s="38">
        <v>11.02</v>
      </c>
      <c r="U1035" s="38">
        <v>0.28000000000000003</v>
      </c>
      <c r="V1035" s="38">
        <v>0</v>
      </c>
      <c r="W1035" s="38">
        <v>0</v>
      </c>
      <c r="X1035" s="38">
        <v>4.2191000000000001</v>
      </c>
      <c r="Y1035" s="38">
        <f t="shared" si="138"/>
        <v>4</v>
      </c>
      <c r="Z1035" s="38">
        <v>0</v>
      </c>
      <c r="AA1035" s="38">
        <v>0</v>
      </c>
      <c r="AB1035" s="38">
        <v>11.3</v>
      </c>
      <c r="AC1035" s="38">
        <v>1.3597900000000001</v>
      </c>
      <c r="AD1035" s="38">
        <v>63.35</v>
      </c>
      <c r="AE1035" s="38">
        <v>1.25</v>
      </c>
      <c r="AF1035" s="38">
        <f>(AD1035+AE1035*0.5)/(3.5*I1035*1000)*100</f>
        <v>0.16175726927939316</v>
      </c>
      <c r="AG1035" s="38">
        <f t="shared" si="139"/>
        <v>0.2</v>
      </c>
      <c r="AH1035" s="38">
        <v>7.69</v>
      </c>
      <c r="AI1035" s="38">
        <f>AH1035/(3.5*I1035*1000)*100</f>
        <v>1.9443742098609353E-2</v>
      </c>
      <c r="AJ1035" s="38">
        <v>0</v>
      </c>
      <c r="AK1035" s="38">
        <f>AJ1035/(3.5*I1035*1000)*100</f>
        <v>0</v>
      </c>
      <c r="AL1035" s="38">
        <v>1.68</v>
      </c>
      <c r="AM1035" s="38">
        <f>AL1035/(3.5*I1035*1000)*100</f>
        <v>4.2477876106194676E-3</v>
      </c>
      <c r="AN1035" s="73"/>
      <c r="AO1035" s="73"/>
      <c r="AP1035" s="73"/>
      <c r="AQ1035" s="41">
        <f>SUM(N1035:Q1035)</f>
        <v>11.299999999999999</v>
      </c>
      <c r="AR1035" s="41">
        <f>SUM(T1035:W1035)</f>
        <v>11.299999999999999</v>
      </c>
      <c r="AS1035" s="12">
        <f>SUM(Z1035:AB1035)</f>
        <v>11.3</v>
      </c>
      <c r="AT1035" s="1"/>
      <c r="AU1035" s="1">
        <f>I1035/AQ1035</f>
        <v>1.0000000000000002</v>
      </c>
      <c r="AV1035" s="1">
        <f>I1035/AR1035</f>
        <v>1.0000000000000002</v>
      </c>
      <c r="AW1035" s="1">
        <f>I1035/AS1035</f>
        <v>1</v>
      </c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</row>
    <row r="1036" spans="1:88" s="22" customFormat="1">
      <c r="A1036" s="1">
        <v>98</v>
      </c>
      <c r="B1036" s="4" t="s">
        <v>61</v>
      </c>
      <c r="C1036" s="14">
        <v>526</v>
      </c>
      <c r="D1036" s="222">
        <v>1266</v>
      </c>
      <c r="E1036" s="16">
        <v>100</v>
      </c>
      <c r="F1036" s="14" t="s">
        <v>72</v>
      </c>
      <c r="G1036" s="27" t="s">
        <v>92</v>
      </c>
      <c r="H1036" s="27" t="s">
        <v>161</v>
      </c>
      <c r="I1036" s="28">
        <v>28.113</v>
      </c>
      <c r="J1036" s="16">
        <v>2</v>
      </c>
      <c r="K1036" s="14" t="s">
        <v>238</v>
      </c>
      <c r="L1036" s="29">
        <v>42245</v>
      </c>
      <c r="M1036" s="246" t="s">
        <v>191</v>
      </c>
      <c r="N1036" s="30">
        <v>1.78</v>
      </c>
      <c r="O1036" s="30">
        <v>8.51</v>
      </c>
      <c r="P1036" s="30">
        <v>10.88</v>
      </c>
      <c r="Q1036" s="30">
        <v>6.95</v>
      </c>
      <c r="R1036" s="30">
        <v>4.4085200000000002</v>
      </c>
      <c r="S1036" s="38">
        <f t="shared" si="137"/>
        <v>4.5</v>
      </c>
      <c r="T1036" s="30">
        <v>23.88</v>
      </c>
      <c r="U1036" s="30">
        <v>2.97</v>
      </c>
      <c r="V1036" s="30">
        <v>0.67</v>
      </c>
      <c r="W1036" s="30">
        <v>0.59</v>
      </c>
      <c r="X1036" s="30">
        <v>6.5496299999999996</v>
      </c>
      <c r="Y1036" s="38">
        <f t="shared" si="138"/>
        <v>6.5</v>
      </c>
      <c r="Z1036" s="30">
        <v>0</v>
      </c>
      <c r="AA1036" s="30">
        <v>0</v>
      </c>
      <c r="AB1036" s="30">
        <v>28.11</v>
      </c>
      <c r="AC1036" s="30">
        <v>1.7831399999999999</v>
      </c>
      <c r="AD1036" s="30">
        <v>158.62</v>
      </c>
      <c r="AE1036" s="30">
        <v>1.02</v>
      </c>
      <c r="AF1036" s="30">
        <f>(AD1036+AE1036*0.5)/(3.5*I1036*1000)*100</f>
        <v>0.16172487562947493</v>
      </c>
      <c r="AG1036" s="38">
        <f t="shared" si="139"/>
        <v>0.2</v>
      </c>
      <c r="AH1036" s="30">
        <v>2.3199999999999998</v>
      </c>
      <c r="AI1036" s="30">
        <f>AH1036/(3.5*I1036*1000)*100</f>
        <v>2.3578314048914835E-3</v>
      </c>
      <c r="AJ1036" s="30">
        <v>0</v>
      </c>
      <c r="AK1036" s="30">
        <f>AJ1036/(3.5*I1036*1000)*100</f>
        <v>0</v>
      </c>
      <c r="AL1036" s="30">
        <v>0</v>
      </c>
      <c r="AM1036" s="30">
        <f>AL1036/(3.5*I1036*1000)*100</f>
        <v>0</v>
      </c>
      <c r="AO1036" s="25"/>
      <c r="AP1036" s="25">
        <f>N1036+O1036+P1036+Q1036</f>
        <v>28.12</v>
      </c>
      <c r="AQ1036" s="25">
        <f>T1036+U1036+V1036+W1036</f>
        <v>28.11</v>
      </c>
      <c r="AR1036" s="25">
        <f>Z1036+AA1036+AB1036</f>
        <v>28.11</v>
      </c>
      <c r="AT1036" s="22">
        <f>I1036/AP1036</f>
        <v>0.99975106685632997</v>
      </c>
      <c r="AU1036" s="22">
        <f>I1036/AQ1036</f>
        <v>1.0001067235859125</v>
      </c>
      <c r="AV1036" s="22">
        <f>I1036/AR1036</f>
        <v>1.0001067235859125</v>
      </c>
    </row>
    <row r="1037" spans="1:88" s="22" customFormat="1">
      <c r="A1037" s="1">
        <v>1866</v>
      </c>
      <c r="B1037" s="34" t="s">
        <v>2495</v>
      </c>
      <c r="C1037" s="34">
        <v>335</v>
      </c>
      <c r="D1037" s="101">
        <v>323</v>
      </c>
      <c r="E1037" s="8">
        <v>100</v>
      </c>
      <c r="F1037" s="34" t="s">
        <v>2496</v>
      </c>
      <c r="G1037" s="20">
        <v>18592</v>
      </c>
      <c r="H1037" s="20">
        <v>0</v>
      </c>
      <c r="I1037" s="21">
        <v>18.591999999999999</v>
      </c>
      <c r="J1037" s="8">
        <v>4</v>
      </c>
      <c r="K1037" s="8" t="s">
        <v>96</v>
      </c>
      <c r="L1037" s="18">
        <v>42093</v>
      </c>
      <c r="M1037" s="247" t="s">
        <v>191</v>
      </c>
      <c r="N1037" s="38">
        <v>11.02</v>
      </c>
      <c r="O1037" s="38">
        <v>4.4400000000000004</v>
      </c>
      <c r="P1037" s="38">
        <v>2.06</v>
      </c>
      <c r="Q1037" s="38">
        <v>1.07</v>
      </c>
      <c r="R1037" s="38">
        <v>2.6211199999999999</v>
      </c>
      <c r="S1037" s="38">
        <f t="shared" si="137"/>
        <v>2.5</v>
      </c>
      <c r="T1037" s="38">
        <v>17.82</v>
      </c>
      <c r="U1037" s="38">
        <v>0.67</v>
      </c>
      <c r="V1037" s="38">
        <v>0.11</v>
      </c>
      <c r="W1037" s="38">
        <v>0</v>
      </c>
      <c r="X1037" s="38">
        <v>3.7881499999999999</v>
      </c>
      <c r="Y1037" s="38">
        <f t="shared" si="138"/>
        <v>4</v>
      </c>
      <c r="Z1037" s="38">
        <v>0</v>
      </c>
      <c r="AA1037" s="38">
        <v>0</v>
      </c>
      <c r="AB1037" s="38">
        <v>18.59</v>
      </c>
      <c r="AC1037" s="38">
        <v>1.13202</v>
      </c>
      <c r="AD1037" s="38">
        <v>87.31</v>
      </c>
      <c r="AE1037" s="38">
        <v>35.31</v>
      </c>
      <c r="AF1037" s="38">
        <f>(AD1037+AE1037*0.5)/(3.5*I1037*1000)*100</f>
        <v>0.16130593803786578</v>
      </c>
      <c r="AG1037" s="38">
        <f t="shared" si="139"/>
        <v>0.2</v>
      </c>
      <c r="AH1037" s="38">
        <v>0</v>
      </c>
      <c r="AI1037" s="38">
        <f>AH1037/(3.5*I1037*1000)*100</f>
        <v>0</v>
      </c>
      <c r="AJ1037" s="38">
        <v>0</v>
      </c>
      <c r="AK1037" s="38">
        <f>AJ1037/(3.5*I1037*1000)*100</f>
        <v>0</v>
      </c>
      <c r="AL1037" s="38">
        <v>0</v>
      </c>
      <c r="AM1037" s="38">
        <f>AL1037/(3.5*I1037*1000)*100</f>
        <v>0</v>
      </c>
      <c r="AN1037" s="73"/>
      <c r="AO1037" s="73"/>
      <c r="AP1037" s="73"/>
      <c r="AQ1037" s="41">
        <f>SUM(N1037:Q1037)</f>
        <v>18.59</v>
      </c>
      <c r="AR1037" s="41">
        <f>SUM(T1037:W1037)</f>
        <v>18.600000000000001</v>
      </c>
      <c r="AS1037" s="12">
        <f>SUM(Z1037:AB1037)</f>
        <v>18.59</v>
      </c>
      <c r="AT1037" s="1"/>
      <c r="AU1037" s="1">
        <f>I1037/AQ1037</f>
        <v>1.0001075847229692</v>
      </c>
      <c r="AV1037" s="1">
        <f>I1037/AR1037</f>
        <v>0.99956989247311812</v>
      </c>
      <c r="AW1037" s="1">
        <f>I1037/AS1037</f>
        <v>1.0001075847229692</v>
      </c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</row>
    <row r="1038" spans="1:88" s="22" customFormat="1">
      <c r="A1038" s="1">
        <v>264</v>
      </c>
      <c r="B1038" s="34" t="s">
        <v>265</v>
      </c>
      <c r="C1038" s="34">
        <v>539</v>
      </c>
      <c r="D1038" s="42">
        <v>1256</v>
      </c>
      <c r="E1038" s="34">
        <v>102</v>
      </c>
      <c r="F1038" s="34" t="s">
        <v>292</v>
      </c>
      <c r="G1038" s="20" t="s">
        <v>291</v>
      </c>
      <c r="H1038" s="20" t="s">
        <v>293</v>
      </c>
      <c r="I1038" s="35">
        <v>21.596</v>
      </c>
      <c r="J1038" s="36">
        <v>2</v>
      </c>
      <c r="K1038" s="34" t="s">
        <v>269</v>
      </c>
      <c r="L1038" s="10">
        <v>42213</v>
      </c>
      <c r="M1038" s="37" t="s">
        <v>191</v>
      </c>
      <c r="N1038" s="38">
        <v>4.1399999999999997</v>
      </c>
      <c r="O1038" s="38">
        <v>6.81</v>
      </c>
      <c r="P1038" s="38">
        <v>5.53</v>
      </c>
      <c r="Q1038" s="38">
        <v>5.14</v>
      </c>
      <c r="R1038" s="38">
        <v>4.0350000000000001</v>
      </c>
      <c r="S1038" s="38">
        <f t="shared" si="137"/>
        <v>4</v>
      </c>
      <c r="T1038" s="38">
        <v>16.260000000000002</v>
      </c>
      <c r="U1038" s="38">
        <v>3.63</v>
      </c>
      <c r="V1038" s="38">
        <v>1.1100000000000001</v>
      </c>
      <c r="W1038" s="38">
        <v>0.62</v>
      </c>
      <c r="X1038" s="38">
        <v>8.09</v>
      </c>
      <c r="Y1038" s="38">
        <f t="shared" si="138"/>
        <v>8</v>
      </c>
      <c r="Z1038" s="38">
        <v>0.08</v>
      </c>
      <c r="AA1038" s="38">
        <v>0.2</v>
      </c>
      <c r="AB1038" s="38">
        <v>21.31</v>
      </c>
      <c r="AC1038" s="38">
        <v>1.6479999999999999</v>
      </c>
      <c r="AD1038" s="38">
        <v>111.06</v>
      </c>
      <c r="AE1038" s="38">
        <v>21.613</v>
      </c>
      <c r="AF1038" s="38">
        <v>0.16122893128357102</v>
      </c>
      <c r="AG1038" s="38">
        <f t="shared" si="139"/>
        <v>0.2</v>
      </c>
      <c r="AH1038" s="38">
        <v>0</v>
      </c>
      <c r="AI1038" s="38">
        <v>0</v>
      </c>
      <c r="AJ1038" s="38">
        <v>0</v>
      </c>
      <c r="AK1038" s="38">
        <v>0</v>
      </c>
      <c r="AL1038" s="38">
        <v>0</v>
      </c>
      <c r="AM1038" s="38">
        <v>0</v>
      </c>
      <c r="AN1038" s="56"/>
      <c r="AO1038" s="56"/>
      <c r="AP1038" s="25">
        <f>SUM(N1038:Q1038)</f>
        <v>21.62</v>
      </c>
      <c r="AQ1038" s="25">
        <f>SUM(T1038:W1038)</f>
        <v>21.62</v>
      </c>
      <c r="AS1038" s="41"/>
      <c r="AT1038" s="41"/>
      <c r="AU1038" s="41"/>
      <c r="AV1038" s="41">
        <f>SUM(N1038:Q1038)</f>
        <v>21.62</v>
      </c>
      <c r="AW1038" s="41">
        <f>SUM(T1038:W1038)</f>
        <v>21.62</v>
      </c>
      <c r="AX1038" s="41">
        <f>SUM(Z1038:AB1038)</f>
        <v>21.59</v>
      </c>
      <c r="AZ1038" s="22">
        <f>I1038/AV1038</f>
        <v>0.99888991674375571</v>
      </c>
      <c r="BA1038" s="22">
        <f>I1038/AW1038</f>
        <v>0.99888991674375571</v>
      </c>
      <c r="BB1038" s="22">
        <f>I1038/AX1038</f>
        <v>1.0002779064381657</v>
      </c>
    </row>
    <row r="1039" spans="1:88" s="22" customFormat="1">
      <c r="A1039" s="1">
        <v>616</v>
      </c>
      <c r="B1039" s="34" t="s">
        <v>1017</v>
      </c>
      <c r="C1039" s="34">
        <v>555</v>
      </c>
      <c r="D1039" s="42">
        <v>1328</v>
      </c>
      <c r="E1039" s="34">
        <v>100</v>
      </c>
      <c r="F1039" s="9" t="s">
        <v>1019</v>
      </c>
      <c r="G1039" s="118">
        <v>29750</v>
      </c>
      <c r="H1039" s="118">
        <v>0</v>
      </c>
      <c r="I1039" s="35">
        <v>29.75</v>
      </c>
      <c r="J1039" s="78">
        <v>2</v>
      </c>
      <c r="K1039" s="34" t="s">
        <v>12</v>
      </c>
      <c r="L1039" s="10">
        <v>42187</v>
      </c>
      <c r="M1039" s="37" t="s">
        <v>191</v>
      </c>
      <c r="N1039" s="38">
        <v>4.2249999999999996</v>
      </c>
      <c r="O1039" s="38">
        <v>8.1999999999999993</v>
      </c>
      <c r="P1039" s="38">
        <v>9.2249999999999996</v>
      </c>
      <c r="Q1039" s="38">
        <v>7.85</v>
      </c>
      <c r="R1039" s="38">
        <v>4.2296199999999997</v>
      </c>
      <c r="S1039" s="38">
        <f t="shared" si="137"/>
        <v>4</v>
      </c>
      <c r="T1039" s="38">
        <v>26.225000000000001</v>
      </c>
      <c r="U1039" s="38">
        <v>2</v>
      </c>
      <c r="V1039" s="38">
        <v>0.6</v>
      </c>
      <c r="W1039" s="38">
        <v>0.67500000000000004</v>
      </c>
      <c r="X1039" s="38">
        <v>5.3079499999999999</v>
      </c>
      <c r="Y1039" s="38">
        <f t="shared" si="138"/>
        <v>5.5</v>
      </c>
      <c r="Z1039" s="38">
        <v>2.5000000000000001E-2</v>
      </c>
      <c r="AA1039" s="38">
        <v>0.05</v>
      </c>
      <c r="AB1039" s="38">
        <f>N1039+O1039+P1039+Q1039</f>
        <v>29.5</v>
      </c>
      <c r="AC1039" s="38">
        <v>1.58158</v>
      </c>
      <c r="AD1039" s="38">
        <v>166</v>
      </c>
      <c r="AE1039" s="38">
        <v>3.73</v>
      </c>
      <c r="AF1039" s="38">
        <f>(AD1039+AE1039*0.5)/(3.5*I1039*1000)*100</f>
        <v>0.16121488595438174</v>
      </c>
      <c r="AG1039" s="38">
        <f t="shared" si="139"/>
        <v>0.2</v>
      </c>
      <c r="AH1039" s="38">
        <v>10</v>
      </c>
      <c r="AI1039" s="38">
        <f>AH1039/(3.5*I1039*1000)*100</f>
        <v>9.6038415366146452E-3</v>
      </c>
      <c r="AJ1039" s="38">
        <v>0</v>
      </c>
      <c r="AK1039" s="38">
        <f>AJ1039/(3.5*I1039*1000)*100</f>
        <v>0</v>
      </c>
      <c r="AL1039" s="38">
        <v>0</v>
      </c>
      <c r="AM1039" s="38">
        <f>AL1039/(3.5*I1039*1000)*100</f>
        <v>0</v>
      </c>
      <c r="AN1039" s="25"/>
      <c r="AO1039" s="25">
        <f>AE1039*0.5</f>
        <v>1.865</v>
      </c>
      <c r="AP1039" s="25">
        <f>(AD1039+AH1039+AJ1039+AL1039+AO1039)*I1039</f>
        <v>5291.4837500000003</v>
      </c>
      <c r="AQ1039" s="25">
        <f>SUM(N1039:Q1039)</f>
        <v>29.5</v>
      </c>
      <c r="AR1039" s="25">
        <f>SUM(T1039:W1039)</f>
        <v>29.500000000000004</v>
      </c>
      <c r="AT1039" s="41"/>
      <c r="AU1039" s="41"/>
      <c r="AV1039" s="41"/>
      <c r="AW1039" s="41"/>
    </row>
    <row r="1040" spans="1:88" s="22" customFormat="1">
      <c r="A1040" s="1">
        <v>827</v>
      </c>
      <c r="B1040" s="34" t="s">
        <v>1204</v>
      </c>
      <c r="C1040" s="34">
        <v>647</v>
      </c>
      <c r="D1040" s="174">
        <v>2289</v>
      </c>
      <c r="E1040" s="34">
        <v>100</v>
      </c>
      <c r="F1040" s="34" t="s">
        <v>1219</v>
      </c>
      <c r="G1040" s="58">
        <v>0</v>
      </c>
      <c r="H1040" s="58">
        <v>16700</v>
      </c>
      <c r="I1040" s="35">
        <v>16.7</v>
      </c>
      <c r="J1040" s="9">
        <v>2</v>
      </c>
      <c r="K1040" s="34" t="s">
        <v>238</v>
      </c>
      <c r="L1040" s="10">
        <v>42154</v>
      </c>
      <c r="M1040" s="37" t="s">
        <v>191</v>
      </c>
      <c r="N1040" s="38">
        <v>11.125</v>
      </c>
      <c r="O1040" s="38">
        <v>3.9249999999999998</v>
      </c>
      <c r="P1040" s="38">
        <v>1.125</v>
      </c>
      <c r="Q1040" s="38">
        <v>0.52500000000000002</v>
      </c>
      <c r="R1040" s="38">
        <v>2.4076900000000001</v>
      </c>
      <c r="S1040" s="38">
        <f t="shared" si="137"/>
        <v>2.5</v>
      </c>
      <c r="T1040" s="38">
        <v>16.425000000000001</v>
      </c>
      <c r="U1040" s="38">
        <v>0.25</v>
      </c>
      <c r="V1040" s="38">
        <v>0</v>
      </c>
      <c r="W1040" s="38">
        <v>2.5000000000000001E-2</v>
      </c>
      <c r="X1040" s="38">
        <v>3.4146999999999998</v>
      </c>
      <c r="Y1040" s="38">
        <f t="shared" si="138"/>
        <v>3.5</v>
      </c>
      <c r="Z1040" s="38">
        <v>0</v>
      </c>
      <c r="AA1040" s="38">
        <v>0</v>
      </c>
      <c r="AB1040" s="38">
        <f>N1040+O1040+P1040+Q1040</f>
        <v>16.7</v>
      </c>
      <c r="AC1040" s="38">
        <v>1.2367600000000001</v>
      </c>
      <c r="AD1040" s="38">
        <v>6</v>
      </c>
      <c r="AE1040" s="38">
        <v>176</v>
      </c>
      <c r="AF1040" s="38">
        <f>(AD1040+AE1040*0.5)/(3.5*I1040*1000)*100</f>
        <v>0.1608212147134303</v>
      </c>
      <c r="AG1040" s="38">
        <f t="shared" si="139"/>
        <v>0.2</v>
      </c>
      <c r="AH1040" s="38">
        <v>0</v>
      </c>
      <c r="AI1040" s="38">
        <f>AH1040/(3.5*I1040*1000)*100</f>
        <v>0</v>
      </c>
      <c r="AJ1040" s="38">
        <v>117</v>
      </c>
      <c r="AK1040" s="38">
        <v>0.20017099999999999</v>
      </c>
      <c r="AL1040" s="38">
        <v>0</v>
      </c>
      <c r="AM1040" s="38">
        <v>0</v>
      </c>
      <c r="AN1040" s="25"/>
      <c r="AO1040" s="25">
        <f>AE1040*0.5</f>
        <v>88</v>
      </c>
      <c r="AP1040" s="25">
        <f>(AD1040+AH1040+AJ1040+AL1040+AO1040)*I1040</f>
        <v>3523.7</v>
      </c>
      <c r="AQ1040" s="25">
        <f>SUM(N1040:Q1040)</f>
        <v>16.7</v>
      </c>
      <c r="AR1040" s="25">
        <f>SUM(T1040:W1040)</f>
        <v>16.7</v>
      </c>
      <c r="AS1040" s="268">
        <v>16.7</v>
      </c>
      <c r="AT1040" s="41"/>
      <c r="AU1040" s="41"/>
      <c r="AV1040" s="41"/>
      <c r="AW1040" s="41"/>
    </row>
    <row r="1041" spans="1:88" s="22" customFormat="1">
      <c r="A1041" s="1">
        <v>2100</v>
      </c>
      <c r="B1041" s="34" t="s">
        <v>2732</v>
      </c>
      <c r="C1041" s="34">
        <v>323</v>
      </c>
      <c r="D1041" s="101">
        <v>4225</v>
      </c>
      <c r="E1041" s="8">
        <v>100</v>
      </c>
      <c r="F1041" s="9" t="s">
        <v>2748</v>
      </c>
      <c r="G1041" s="53">
        <v>47040</v>
      </c>
      <c r="H1041" s="53">
        <v>17472</v>
      </c>
      <c r="I1041" s="198">
        <v>29.568000000000001</v>
      </c>
      <c r="J1041" s="9">
        <v>2</v>
      </c>
      <c r="K1041" s="34" t="s">
        <v>12</v>
      </c>
      <c r="L1041" s="18">
        <v>42101</v>
      </c>
      <c r="M1041" s="37" t="s">
        <v>191</v>
      </c>
      <c r="N1041" s="38">
        <v>18.59</v>
      </c>
      <c r="O1041" s="38">
        <v>8.93</v>
      </c>
      <c r="P1041" s="38">
        <v>2.0499999999999998</v>
      </c>
      <c r="Q1041" s="38">
        <v>0</v>
      </c>
      <c r="R1041" s="38">
        <v>2.9620000000000002</v>
      </c>
      <c r="S1041" s="38">
        <f t="shared" si="137"/>
        <v>3</v>
      </c>
      <c r="T1041" s="38">
        <v>20.260000000000002</v>
      </c>
      <c r="U1041" s="38">
        <v>9.31</v>
      </c>
      <c r="V1041" s="38">
        <v>0</v>
      </c>
      <c r="W1041" s="38">
        <v>0</v>
      </c>
      <c r="X1041" s="38">
        <v>4.1120000000000001</v>
      </c>
      <c r="Y1041" s="38">
        <f t="shared" si="138"/>
        <v>4</v>
      </c>
      <c r="Z1041" s="38">
        <v>0</v>
      </c>
      <c r="AA1041" s="38">
        <v>0</v>
      </c>
      <c r="AB1041" s="38">
        <v>29.57</v>
      </c>
      <c r="AC1041" s="38">
        <v>1.923</v>
      </c>
      <c r="AD1041" s="38">
        <v>156.26</v>
      </c>
      <c r="AE1041" s="38">
        <v>18.04</v>
      </c>
      <c r="AF1041" s="38">
        <f>(AD1041+AE1041*0.5)/(3.5*I1041*1000)*100</f>
        <v>0.15970933828076686</v>
      </c>
      <c r="AG1041" s="38">
        <f t="shared" si="139"/>
        <v>0.2</v>
      </c>
      <c r="AH1041" s="38">
        <v>15.68</v>
      </c>
      <c r="AI1041" s="38">
        <f>AH1041/(3.5*I1041*1000)*100</f>
        <v>1.5151515151515152E-2</v>
      </c>
      <c r="AJ1041" s="38">
        <v>20.5</v>
      </c>
      <c r="AK1041" s="38"/>
      <c r="AL1041" s="38">
        <v>0</v>
      </c>
      <c r="AM1041" s="38">
        <f>AL1041/(3.5*I1041*1000)*100</f>
        <v>0</v>
      </c>
      <c r="AN1041" s="25"/>
      <c r="AO1041" s="25"/>
      <c r="AQ1041" s="41">
        <f>SUM(N1041:Q1041)</f>
        <v>29.57</v>
      </c>
      <c r="AR1041" s="41">
        <f>SUM(T1041:W1041)</f>
        <v>29.57</v>
      </c>
      <c r="AS1041" s="12">
        <f>SUM(Z1041:AB1041)</f>
        <v>29.57</v>
      </c>
      <c r="AT1041" s="1"/>
      <c r="AU1041" s="1">
        <f>I1041/AQ1041</f>
        <v>0.99993236388231321</v>
      </c>
      <c r="AV1041" s="1">
        <f>I1041/AR1041</f>
        <v>0.99993236388231321</v>
      </c>
      <c r="AW1041" s="1">
        <f>I1041/AS1041</f>
        <v>0.99993236388231321</v>
      </c>
    </row>
    <row r="1042" spans="1:88" s="22" customFormat="1">
      <c r="A1042" s="1">
        <v>449</v>
      </c>
      <c r="B1042" s="74" t="s">
        <v>699</v>
      </c>
      <c r="C1042" s="34">
        <v>513</v>
      </c>
      <c r="D1042" s="42">
        <v>1330</v>
      </c>
      <c r="E1042" s="34">
        <v>101</v>
      </c>
      <c r="F1042" s="34" t="s">
        <v>763</v>
      </c>
      <c r="G1042" s="34" t="s">
        <v>279</v>
      </c>
      <c r="H1042" s="34" t="s">
        <v>92</v>
      </c>
      <c r="I1042" s="55">
        <v>10</v>
      </c>
      <c r="J1042" s="5" t="s">
        <v>12</v>
      </c>
      <c r="K1042" s="34">
        <v>2</v>
      </c>
      <c r="L1042" s="10">
        <v>42263</v>
      </c>
      <c r="M1042" s="37" t="s">
        <v>191</v>
      </c>
      <c r="N1042" s="38">
        <v>6</v>
      </c>
      <c r="O1042" s="38">
        <v>2.77</v>
      </c>
      <c r="P1042" s="38">
        <v>1</v>
      </c>
      <c r="Q1042" s="38">
        <v>0.23</v>
      </c>
      <c r="R1042" s="38">
        <v>2.3908999999999998</v>
      </c>
      <c r="S1042" s="38">
        <f t="shared" si="137"/>
        <v>2.5</v>
      </c>
      <c r="T1042" s="38">
        <v>9.65</v>
      </c>
      <c r="U1042" s="38">
        <v>0.35</v>
      </c>
      <c r="V1042" s="38">
        <v>0</v>
      </c>
      <c r="W1042" s="38">
        <v>0</v>
      </c>
      <c r="X1042" s="38">
        <v>4.0314100000000002</v>
      </c>
      <c r="Y1042" s="38">
        <f t="shared" si="138"/>
        <v>4</v>
      </c>
      <c r="Z1042" s="38">
        <v>0</v>
      </c>
      <c r="AA1042" s="38">
        <v>0</v>
      </c>
      <c r="AB1042" s="38">
        <v>10</v>
      </c>
      <c r="AC1042" s="38">
        <v>1.3500799999999999</v>
      </c>
      <c r="AD1042" s="38">
        <v>48.347999999999999</v>
      </c>
      <c r="AE1042" s="38">
        <v>14.98</v>
      </c>
      <c r="AF1042" s="38">
        <f>(AD1042+AE1042*0.5)/(3.5*I1042*1000)*100</f>
        <v>0.15953714285714285</v>
      </c>
      <c r="AG1042" s="38">
        <f t="shared" si="139"/>
        <v>0.2</v>
      </c>
      <c r="AH1042" s="38">
        <v>77.548000000000002</v>
      </c>
      <c r="AI1042" s="38">
        <f>AH1042/(3.5*I1042*1000)*100</f>
        <v>0.22156571428571431</v>
      </c>
      <c r="AJ1042" s="38">
        <v>0.98</v>
      </c>
      <c r="AK1042" s="38">
        <f>AJ1042/(3.5*I1042*1000)*100</f>
        <v>2.8E-3</v>
      </c>
      <c r="AL1042" s="38">
        <v>0</v>
      </c>
      <c r="AM1042" s="38">
        <f>AL1042/(3.5*I1042*1000)*100</f>
        <v>0</v>
      </c>
      <c r="AN1042" s="41"/>
      <c r="AO1042" s="41"/>
      <c r="AP1042" s="73"/>
      <c r="AQ1042" s="41">
        <f>SUM(N1042:Q1042)</f>
        <v>10</v>
      </c>
      <c r="AR1042" s="41">
        <f>SUM(T1042:W1042)</f>
        <v>10</v>
      </c>
      <c r="AS1042" s="41">
        <f>SUM(Z1042:AB1042)</f>
        <v>10</v>
      </c>
      <c r="AU1042" s="22">
        <f>I1042/AQ1042</f>
        <v>1</v>
      </c>
      <c r="AV1042" s="22">
        <f>I1042/AR1042</f>
        <v>1</v>
      </c>
      <c r="AW1042" s="22">
        <f>I1042/AS1042</f>
        <v>1</v>
      </c>
      <c r="AX1042" s="73"/>
      <c r="AY1042" s="73"/>
      <c r="AZ1042" s="73"/>
      <c r="BA1042" s="73"/>
      <c r="BB1042" s="73"/>
      <c r="BC1042" s="73"/>
      <c r="BD1042" s="73"/>
      <c r="BE1042" s="73"/>
      <c r="BF1042" s="73"/>
      <c r="BG1042" s="73"/>
      <c r="BH1042" s="73"/>
      <c r="BI1042" s="73"/>
      <c r="BJ1042" s="73"/>
      <c r="BK1042" s="73"/>
      <c r="BL1042" s="73"/>
      <c r="BM1042" s="73"/>
      <c r="BN1042" s="73"/>
      <c r="BO1042" s="73"/>
      <c r="BP1042" s="73"/>
      <c r="BQ1042" s="73"/>
      <c r="BR1042" s="73"/>
      <c r="BS1042" s="73"/>
      <c r="BT1042" s="73"/>
      <c r="BU1042" s="73"/>
      <c r="BV1042" s="73"/>
      <c r="BW1042" s="73"/>
      <c r="BX1042" s="73"/>
      <c r="BY1042" s="73"/>
      <c r="BZ1042" s="73"/>
      <c r="CA1042" s="73"/>
      <c r="CB1042" s="73"/>
      <c r="CC1042" s="73"/>
      <c r="CD1042" s="73"/>
      <c r="CE1042" s="73"/>
      <c r="CF1042" s="73"/>
      <c r="CG1042" s="73"/>
      <c r="CH1042" s="73"/>
      <c r="CI1042" s="73"/>
      <c r="CJ1042" s="73"/>
    </row>
    <row r="1043" spans="1:88" s="22" customFormat="1">
      <c r="A1043" s="1">
        <v>1311</v>
      </c>
      <c r="B1043" s="74" t="s">
        <v>1851</v>
      </c>
      <c r="C1043" s="34">
        <v>444</v>
      </c>
      <c r="D1043" s="101">
        <v>323</v>
      </c>
      <c r="E1043" s="69">
        <v>204</v>
      </c>
      <c r="F1043" s="9" t="s">
        <v>1855</v>
      </c>
      <c r="G1043" s="20">
        <v>64850</v>
      </c>
      <c r="H1043" s="20">
        <v>90012</v>
      </c>
      <c r="I1043" s="21">
        <v>25.161999999999999</v>
      </c>
      <c r="J1043" s="8">
        <v>4</v>
      </c>
      <c r="K1043" s="34" t="s">
        <v>238</v>
      </c>
      <c r="L1043" s="10">
        <v>42209</v>
      </c>
      <c r="M1043" s="37" t="s">
        <v>191</v>
      </c>
      <c r="N1043" s="38">
        <v>25.125</v>
      </c>
      <c r="O1043" s="38">
        <v>0.17499999999999999</v>
      </c>
      <c r="P1043" s="38">
        <v>2.5000000000000001E-2</v>
      </c>
      <c r="Q1043" s="38">
        <v>0</v>
      </c>
      <c r="R1043" s="38">
        <v>1.55802</v>
      </c>
      <c r="S1043" s="38">
        <f t="shared" si="137"/>
        <v>1.5</v>
      </c>
      <c r="T1043" s="38">
        <v>0.625</v>
      </c>
      <c r="U1043" s="38">
        <v>0</v>
      </c>
      <c r="V1043" s="38">
        <v>0</v>
      </c>
      <c r="W1043" s="38">
        <v>0</v>
      </c>
      <c r="X1043" s="38">
        <v>1.33752</v>
      </c>
      <c r="Y1043" s="38">
        <f t="shared" si="138"/>
        <v>1.5</v>
      </c>
      <c r="Z1043" s="38">
        <v>0</v>
      </c>
      <c r="AA1043" s="38">
        <v>0</v>
      </c>
      <c r="AB1043" s="38">
        <v>25.324999999999999</v>
      </c>
      <c r="AC1043" s="38">
        <v>1.04711</v>
      </c>
      <c r="AD1043" s="38">
        <v>63.65</v>
      </c>
      <c r="AE1043" s="38">
        <v>153.54</v>
      </c>
      <c r="AF1043" s="38">
        <v>0.15944678483427391</v>
      </c>
      <c r="AG1043" s="38">
        <f t="shared" si="139"/>
        <v>0.2</v>
      </c>
      <c r="AH1043" s="38">
        <v>253.45</v>
      </c>
      <c r="AI1043" s="38">
        <v>0.28779224908308443</v>
      </c>
      <c r="AJ1043" s="38">
        <v>0</v>
      </c>
      <c r="AK1043" s="38">
        <v>0</v>
      </c>
      <c r="AL1043" s="38">
        <v>0</v>
      </c>
      <c r="AM1043" s="38">
        <v>0</v>
      </c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</row>
    <row r="1044" spans="1:88" s="22" customFormat="1">
      <c r="A1044" s="1">
        <v>1974</v>
      </c>
      <c r="B1044" s="34" t="s">
        <v>2615</v>
      </c>
      <c r="C1044" s="34">
        <v>322</v>
      </c>
      <c r="D1044" s="101">
        <v>403</v>
      </c>
      <c r="E1044" s="8">
        <v>303</v>
      </c>
      <c r="F1044" s="34" t="s">
        <v>2618</v>
      </c>
      <c r="G1044" s="58">
        <v>93211</v>
      </c>
      <c r="H1044" s="58">
        <v>118075</v>
      </c>
      <c r="I1044" s="21">
        <v>24.864000000000001</v>
      </c>
      <c r="J1044" s="8">
        <v>4</v>
      </c>
      <c r="K1044" s="8" t="s">
        <v>671</v>
      </c>
      <c r="L1044" s="18">
        <v>42129</v>
      </c>
      <c r="M1044" s="37" t="s">
        <v>191</v>
      </c>
      <c r="N1044" s="38">
        <v>17.225000000000001</v>
      </c>
      <c r="O1044" s="38">
        <v>4.5999999999999996</v>
      </c>
      <c r="P1044" s="38">
        <v>1.875</v>
      </c>
      <c r="Q1044" s="38">
        <v>1.05</v>
      </c>
      <c r="R1044" s="38">
        <v>2.33331</v>
      </c>
      <c r="S1044" s="38">
        <f t="shared" si="137"/>
        <v>2.5</v>
      </c>
      <c r="T1044" s="38">
        <v>21.7</v>
      </c>
      <c r="U1044" s="38">
        <v>2.2749999999999999</v>
      </c>
      <c r="V1044" s="38">
        <v>0.375</v>
      </c>
      <c r="W1044" s="38">
        <v>0.25</v>
      </c>
      <c r="X1044" s="38">
        <v>5.8595300000000003</v>
      </c>
      <c r="Y1044" s="38">
        <f t="shared" si="138"/>
        <v>6</v>
      </c>
      <c r="Z1044" s="38">
        <v>0</v>
      </c>
      <c r="AA1044" s="38">
        <v>0</v>
      </c>
      <c r="AB1044" s="38">
        <v>24.750000000000004</v>
      </c>
      <c r="AC1044" s="38">
        <v>1.2034100000000001</v>
      </c>
      <c r="AD1044" s="38">
        <v>138.53</v>
      </c>
      <c r="AE1044" s="38">
        <v>0</v>
      </c>
      <c r="AF1044" s="38">
        <v>0.15918597168597171</v>
      </c>
      <c r="AG1044" s="38">
        <f t="shared" si="139"/>
        <v>0.2</v>
      </c>
      <c r="AH1044" s="38">
        <v>0</v>
      </c>
      <c r="AI1044" s="38">
        <v>0</v>
      </c>
      <c r="AJ1044" s="38">
        <v>0</v>
      </c>
      <c r="AK1044" s="38">
        <v>0</v>
      </c>
      <c r="AL1044" s="38">
        <v>0</v>
      </c>
      <c r="AM1044" s="38">
        <f>AL1044/(3.5*I1044*1000)*100</f>
        <v>0</v>
      </c>
      <c r="AN1044" s="72"/>
      <c r="AO1044" s="41"/>
      <c r="AP1044" s="41"/>
      <c r="AQ1044" s="73"/>
      <c r="AR1044" s="73"/>
      <c r="AS1044" s="73"/>
      <c r="AT1044" s="73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</row>
    <row r="1045" spans="1:88" s="22" customFormat="1">
      <c r="A1045" s="1">
        <v>2076</v>
      </c>
      <c r="B1045" s="34" t="s">
        <v>2715</v>
      </c>
      <c r="C1045" s="34">
        <v>329</v>
      </c>
      <c r="D1045" s="101">
        <v>4110</v>
      </c>
      <c r="E1045" s="8">
        <v>200</v>
      </c>
      <c r="F1045" s="34" t="s">
        <v>2722</v>
      </c>
      <c r="G1045" s="58">
        <v>91039</v>
      </c>
      <c r="H1045" s="58">
        <v>71254</v>
      </c>
      <c r="I1045" s="21">
        <v>19.785</v>
      </c>
      <c r="J1045" s="8">
        <v>2</v>
      </c>
      <c r="K1045" s="8" t="s">
        <v>12</v>
      </c>
      <c r="L1045" s="18">
        <v>42121</v>
      </c>
      <c r="M1045" s="37" t="s">
        <v>191</v>
      </c>
      <c r="N1045" s="38">
        <v>13.8</v>
      </c>
      <c r="O1045" s="38">
        <v>4.5999999999999996</v>
      </c>
      <c r="P1045" s="38">
        <v>1.1000000000000001</v>
      </c>
      <c r="Q1045" s="38">
        <v>0.2</v>
      </c>
      <c r="R1045" s="38">
        <v>2.2284299999999999</v>
      </c>
      <c r="S1045" s="38">
        <f t="shared" si="137"/>
        <v>2</v>
      </c>
      <c r="T1045" s="38">
        <v>19.074999999999999</v>
      </c>
      <c r="U1045" s="38">
        <v>0.3</v>
      </c>
      <c r="V1045" s="38">
        <v>0.15</v>
      </c>
      <c r="W1045" s="38">
        <v>0.17499999999999999</v>
      </c>
      <c r="X1045" s="38">
        <v>3.2172299999999998</v>
      </c>
      <c r="Y1045" s="38">
        <f t="shared" si="138"/>
        <v>3</v>
      </c>
      <c r="Z1045" s="38">
        <v>0</v>
      </c>
      <c r="AA1045" s="38">
        <v>0</v>
      </c>
      <c r="AB1045" s="38">
        <v>19.7</v>
      </c>
      <c r="AC1045" s="38">
        <v>1.2720499999999999</v>
      </c>
      <c r="AD1045" s="38">
        <v>14.16</v>
      </c>
      <c r="AE1045" s="38">
        <v>191.67</v>
      </c>
      <c r="AF1045" s="38">
        <v>0.15884327954077765</v>
      </c>
      <c r="AG1045" s="38">
        <f t="shared" si="139"/>
        <v>0.2</v>
      </c>
      <c r="AH1045" s="38">
        <v>0</v>
      </c>
      <c r="AI1045" s="38">
        <v>0</v>
      </c>
      <c r="AJ1045" s="38">
        <v>0</v>
      </c>
      <c r="AK1045" s="38">
        <v>0</v>
      </c>
      <c r="AL1045" s="38">
        <v>0</v>
      </c>
      <c r="AM1045" s="38">
        <f>AL1045/(3.5*I1045*1000)*100</f>
        <v>0</v>
      </c>
      <c r="AN1045" s="12"/>
      <c r="AO1045" s="12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</row>
    <row r="1046" spans="1:88" s="22" customFormat="1">
      <c r="A1046" s="1">
        <v>1973</v>
      </c>
      <c r="B1046" s="34" t="s">
        <v>2615</v>
      </c>
      <c r="C1046" s="34">
        <v>322</v>
      </c>
      <c r="D1046" s="101">
        <v>403</v>
      </c>
      <c r="E1046" s="8">
        <v>302</v>
      </c>
      <c r="F1046" s="34" t="s">
        <v>2617</v>
      </c>
      <c r="G1046" s="58">
        <v>93211</v>
      </c>
      <c r="H1046" s="58">
        <v>82997</v>
      </c>
      <c r="I1046" s="21">
        <v>10.214</v>
      </c>
      <c r="J1046" s="8">
        <v>4</v>
      </c>
      <c r="K1046" s="8" t="s">
        <v>672</v>
      </c>
      <c r="L1046" s="18">
        <v>42129</v>
      </c>
      <c r="M1046" s="37" t="s">
        <v>191</v>
      </c>
      <c r="N1046" s="38">
        <v>6.0250000000000004</v>
      </c>
      <c r="O1046" s="38">
        <v>2.6749999999999998</v>
      </c>
      <c r="P1046" s="38">
        <v>1.075</v>
      </c>
      <c r="Q1046" s="38">
        <v>0.27500000000000002</v>
      </c>
      <c r="R1046" s="38">
        <v>2.4687299999999999</v>
      </c>
      <c r="S1046" s="38">
        <f t="shared" si="137"/>
        <v>2.5</v>
      </c>
      <c r="T1046" s="38">
        <v>7.5750000000000002</v>
      </c>
      <c r="U1046" s="38">
        <v>1.4750000000000001</v>
      </c>
      <c r="V1046" s="38">
        <v>0.77500000000000002</v>
      </c>
      <c r="W1046" s="38">
        <v>0.22500000000000001</v>
      </c>
      <c r="X1046" s="38">
        <v>7.59084</v>
      </c>
      <c r="Y1046" s="38">
        <f t="shared" si="138"/>
        <v>7.5</v>
      </c>
      <c r="Z1046" s="38">
        <v>0</v>
      </c>
      <c r="AA1046" s="38">
        <v>0</v>
      </c>
      <c r="AB1046" s="38">
        <v>10.049999999999999</v>
      </c>
      <c r="AC1046" s="38">
        <v>1.27867</v>
      </c>
      <c r="AD1046" s="38">
        <v>56.65</v>
      </c>
      <c r="AE1046" s="38">
        <v>0</v>
      </c>
      <c r="AF1046" s="38">
        <v>0.15846597107611402</v>
      </c>
      <c r="AG1046" s="38">
        <f t="shared" si="139"/>
        <v>0.2</v>
      </c>
      <c r="AH1046" s="38">
        <v>0</v>
      </c>
      <c r="AI1046" s="38">
        <v>0</v>
      </c>
      <c r="AJ1046" s="38">
        <v>0</v>
      </c>
      <c r="AK1046" s="38">
        <v>0</v>
      </c>
      <c r="AL1046" s="38">
        <v>0</v>
      </c>
      <c r="AM1046" s="38">
        <f>AL1046/(3.5*I1046*1000)*100</f>
        <v>0</v>
      </c>
      <c r="AN1046" s="72"/>
      <c r="AO1046" s="41"/>
      <c r="AP1046" s="41"/>
      <c r="AQ1046" s="73"/>
      <c r="AR1046" s="73"/>
      <c r="AS1046" s="73"/>
      <c r="AT1046" s="73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</row>
    <row r="1047" spans="1:88" s="22" customFormat="1">
      <c r="A1047" s="1">
        <v>1147</v>
      </c>
      <c r="B1047" s="74" t="s">
        <v>1577</v>
      </c>
      <c r="C1047" s="34">
        <v>432</v>
      </c>
      <c r="D1047" s="42">
        <v>3041</v>
      </c>
      <c r="E1047" s="34">
        <v>102</v>
      </c>
      <c r="F1047" s="34" t="s">
        <v>1599</v>
      </c>
      <c r="G1047" s="34" t="s">
        <v>1600</v>
      </c>
      <c r="H1047" s="34" t="s">
        <v>1598</v>
      </c>
      <c r="I1047" s="55">
        <v>15.039</v>
      </c>
      <c r="J1047" s="5">
        <v>4</v>
      </c>
      <c r="K1047" s="34" t="s">
        <v>12</v>
      </c>
      <c r="L1047" s="10">
        <v>42282</v>
      </c>
      <c r="M1047" s="37" t="s">
        <v>191</v>
      </c>
      <c r="N1047" s="38">
        <v>7.95</v>
      </c>
      <c r="O1047" s="38">
        <v>4.625</v>
      </c>
      <c r="P1047" s="38">
        <v>1.85</v>
      </c>
      <c r="Q1047" s="38">
        <v>0.625</v>
      </c>
      <c r="R1047" s="38">
        <v>2.8372899999999999</v>
      </c>
      <c r="S1047" s="38">
        <f t="shared" si="137"/>
        <v>3</v>
      </c>
      <c r="T1047" s="38">
        <v>14.25</v>
      </c>
      <c r="U1047" s="38">
        <v>0.625</v>
      </c>
      <c r="V1047" s="38">
        <v>7.4999999999999997E-2</v>
      </c>
      <c r="W1047" s="38">
        <v>0.1</v>
      </c>
      <c r="X1047" s="38">
        <v>3.8099699999999999</v>
      </c>
      <c r="Y1047" s="38">
        <f t="shared" si="138"/>
        <v>4</v>
      </c>
      <c r="Z1047" s="38">
        <v>0</v>
      </c>
      <c r="AA1047" s="38">
        <v>0</v>
      </c>
      <c r="AB1047" s="38">
        <v>15.049999999999999</v>
      </c>
      <c r="AC1047" s="38">
        <v>1.4265000000000001</v>
      </c>
      <c r="AD1047" s="38">
        <v>79.48</v>
      </c>
      <c r="AE1047" s="38">
        <v>7.2350000000000003</v>
      </c>
      <c r="AF1047" s="38">
        <v>0.15787000000000001</v>
      </c>
      <c r="AG1047" s="38">
        <f t="shared" si="139"/>
        <v>0.2</v>
      </c>
      <c r="AH1047" s="38">
        <v>14.25</v>
      </c>
      <c r="AI1047" s="38">
        <v>2.7071999999999999E-2</v>
      </c>
      <c r="AJ1047" s="38">
        <v>0</v>
      </c>
      <c r="AK1047" s="38">
        <v>0</v>
      </c>
      <c r="AL1047" s="38">
        <v>0</v>
      </c>
      <c r="AM1047" s="38">
        <v>0</v>
      </c>
      <c r="AN1047" s="114"/>
      <c r="AO1047" s="73"/>
    </row>
    <row r="1048" spans="1:88" s="22" customFormat="1">
      <c r="A1048" s="1">
        <v>536</v>
      </c>
      <c r="B1048" s="88" t="s">
        <v>915</v>
      </c>
      <c r="C1048" s="88">
        <v>558</v>
      </c>
      <c r="D1048" s="221">
        <v>1105</v>
      </c>
      <c r="E1048" s="88">
        <v>100</v>
      </c>
      <c r="F1048" s="88" t="s">
        <v>924</v>
      </c>
      <c r="G1048" s="88" t="s">
        <v>92</v>
      </c>
      <c r="H1048" s="88" t="s">
        <v>925</v>
      </c>
      <c r="I1048" s="88">
        <v>12.065</v>
      </c>
      <c r="J1048" s="88" t="s">
        <v>238</v>
      </c>
      <c r="K1048" s="88">
        <v>2</v>
      </c>
      <c r="L1048" s="116">
        <v>42271</v>
      </c>
      <c r="M1048" s="37" t="s">
        <v>191</v>
      </c>
      <c r="N1048" s="117">
        <v>8.75</v>
      </c>
      <c r="O1048" s="117">
        <v>2.4249999999999998</v>
      </c>
      <c r="P1048" s="117">
        <v>0.77500000000000002</v>
      </c>
      <c r="Q1048" s="117">
        <v>0.1</v>
      </c>
      <c r="R1048" s="117">
        <v>2.1874500000000001</v>
      </c>
      <c r="S1048" s="38">
        <f t="shared" si="137"/>
        <v>2</v>
      </c>
      <c r="T1048" s="117">
        <v>11.525</v>
      </c>
      <c r="U1048" s="117">
        <v>0.17499999999999999</v>
      </c>
      <c r="V1048" s="117">
        <v>7.4999999999999997E-2</v>
      </c>
      <c r="W1048" s="117">
        <v>0.27500000000000002</v>
      </c>
      <c r="X1048" s="117">
        <v>3.8940199999999998</v>
      </c>
      <c r="Y1048" s="38">
        <f t="shared" si="138"/>
        <v>4</v>
      </c>
      <c r="Z1048" s="117">
        <v>0</v>
      </c>
      <c r="AA1048" s="117">
        <v>0</v>
      </c>
      <c r="AB1048" s="117">
        <v>12.05</v>
      </c>
      <c r="AC1048" s="117">
        <v>1.27115</v>
      </c>
      <c r="AD1048" s="117">
        <v>55.640999999999998</v>
      </c>
      <c r="AE1048" s="117">
        <v>21.95</v>
      </c>
      <c r="AF1048" s="117">
        <v>0.15775500000000001</v>
      </c>
      <c r="AG1048" s="38">
        <f t="shared" si="139"/>
        <v>0.2</v>
      </c>
      <c r="AH1048" s="117">
        <v>73.98</v>
      </c>
      <c r="AI1048" s="117">
        <v>0.17519399999999999</v>
      </c>
      <c r="AJ1048" s="117">
        <v>0</v>
      </c>
      <c r="AK1048" s="117">
        <v>0</v>
      </c>
      <c r="AL1048" s="117">
        <v>0</v>
      </c>
      <c r="AM1048" s="117">
        <v>0</v>
      </c>
      <c r="AN1048" s="41"/>
      <c r="AO1048" s="41"/>
      <c r="AP1048" s="73"/>
      <c r="AQ1048" s="73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</row>
    <row r="1049" spans="1:88" s="22" customFormat="1">
      <c r="A1049" s="1">
        <v>795</v>
      </c>
      <c r="B1049" s="34" t="s">
        <v>1186</v>
      </c>
      <c r="C1049" s="34">
        <v>635</v>
      </c>
      <c r="D1049" s="8">
        <v>202</v>
      </c>
      <c r="E1049" s="34">
        <v>501</v>
      </c>
      <c r="F1049" s="34" t="s">
        <v>1187</v>
      </c>
      <c r="G1049" s="58">
        <v>184580</v>
      </c>
      <c r="H1049" s="58" t="s">
        <v>1188</v>
      </c>
      <c r="I1049" s="35">
        <v>22.18</v>
      </c>
      <c r="J1049" s="9">
        <v>4</v>
      </c>
      <c r="K1049" s="34" t="s">
        <v>12</v>
      </c>
      <c r="L1049" s="10">
        <v>42150</v>
      </c>
      <c r="M1049" s="37" t="s">
        <v>191</v>
      </c>
      <c r="N1049" s="38">
        <v>11.305999999999999</v>
      </c>
      <c r="O1049" s="38">
        <v>6.47</v>
      </c>
      <c r="P1049" s="38">
        <v>3.343</v>
      </c>
      <c r="Q1049" s="38">
        <v>1.0620000000000001</v>
      </c>
      <c r="R1049" s="38">
        <v>2.64107</v>
      </c>
      <c r="S1049" s="38">
        <f t="shared" si="137"/>
        <v>2.5</v>
      </c>
      <c r="T1049" s="38">
        <v>19.457999999999998</v>
      </c>
      <c r="U1049" s="38">
        <v>2.282</v>
      </c>
      <c r="V1049" s="38">
        <v>0.41499999999999998</v>
      </c>
      <c r="W1049" s="38">
        <v>2.5000000000000001E-2</v>
      </c>
      <c r="X1049" s="38">
        <v>6.5679999999999996</v>
      </c>
      <c r="Y1049" s="38">
        <f t="shared" si="138"/>
        <v>6.5</v>
      </c>
      <c r="Z1049" s="38">
        <v>0</v>
      </c>
      <c r="AA1049" s="38">
        <v>0</v>
      </c>
      <c r="AB1049" s="35">
        <v>22.18</v>
      </c>
      <c r="AC1049" s="38">
        <v>1.0249999999999999</v>
      </c>
      <c r="AD1049" s="38">
        <v>148</v>
      </c>
      <c r="AE1049" s="38">
        <v>0</v>
      </c>
      <c r="AF1049" s="38">
        <v>0.15761</v>
      </c>
      <c r="AG1049" s="38">
        <f t="shared" si="139"/>
        <v>0.2</v>
      </c>
      <c r="AH1049" s="38">
        <v>17</v>
      </c>
      <c r="AI1049" s="38">
        <v>1.8100000000000002E-2</v>
      </c>
      <c r="AJ1049" s="38">
        <v>100</v>
      </c>
      <c r="AK1049" s="38">
        <v>0.106491</v>
      </c>
      <c r="AL1049" s="38">
        <v>0</v>
      </c>
      <c r="AM1049" s="38">
        <v>0</v>
      </c>
      <c r="AN1049" s="25"/>
      <c r="AO1049" s="25">
        <f>AE1049*0.5</f>
        <v>0</v>
      </c>
      <c r="AP1049" s="25">
        <f>(AD1049+AH1049+AJ1049+AL1049+AO1049)*I1049</f>
        <v>5877.7</v>
      </c>
      <c r="AQ1049" s="25">
        <f>SUM(N1049:Q1049)</f>
        <v>22.181000000000001</v>
      </c>
      <c r="AR1049" s="25">
        <f>SUM(T1049:W1049)</f>
        <v>22.179999999999996</v>
      </c>
      <c r="AT1049" s="41"/>
      <c r="AU1049" s="41"/>
      <c r="AV1049" s="41"/>
      <c r="AW1049" s="41"/>
    </row>
    <row r="1050" spans="1:88" s="48" customFormat="1">
      <c r="A1050" s="1">
        <v>462</v>
      </c>
      <c r="B1050" s="74" t="s">
        <v>780</v>
      </c>
      <c r="C1050" s="34">
        <v>515</v>
      </c>
      <c r="D1050" s="34">
        <v>1086</v>
      </c>
      <c r="E1050" s="34">
        <v>200</v>
      </c>
      <c r="F1050" s="34" t="s">
        <v>786</v>
      </c>
      <c r="G1050" s="34" t="s">
        <v>787</v>
      </c>
      <c r="H1050" s="34" t="s">
        <v>788</v>
      </c>
      <c r="I1050" s="55">
        <v>13.536</v>
      </c>
      <c r="J1050" s="5" t="s">
        <v>12</v>
      </c>
      <c r="K1050" s="34">
        <v>4</v>
      </c>
      <c r="L1050" s="10">
        <v>42269</v>
      </c>
      <c r="M1050" s="9" t="s">
        <v>191</v>
      </c>
      <c r="N1050" s="38">
        <v>7.6749999999999998</v>
      </c>
      <c r="O1050" s="38">
        <v>3.75</v>
      </c>
      <c r="P1050" s="38">
        <v>1.3</v>
      </c>
      <c r="Q1050" s="38">
        <v>0.92500000000000004</v>
      </c>
      <c r="R1050" s="38">
        <v>2.722</v>
      </c>
      <c r="S1050" s="38">
        <f t="shared" si="137"/>
        <v>2.5</v>
      </c>
      <c r="T1050" s="38">
        <v>13.425000000000001</v>
      </c>
      <c r="U1050" s="38">
        <v>0.2</v>
      </c>
      <c r="V1050" s="38">
        <v>2.5000000000000001E-2</v>
      </c>
      <c r="W1050" s="38">
        <v>0</v>
      </c>
      <c r="X1050" s="38">
        <v>2.9430000000000001</v>
      </c>
      <c r="Y1050" s="38">
        <f t="shared" si="138"/>
        <v>3</v>
      </c>
      <c r="Z1050" s="38">
        <v>0</v>
      </c>
      <c r="AA1050" s="38">
        <v>0</v>
      </c>
      <c r="AB1050" s="38">
        <v>13.650000000000002</v>
      </c>
      <c r="AC1050" s="38">
        <v>1.1100000000000001</v>
      </c>
      <c r="AD1050" s="38">
        <v>56.692999999999998</v>
      </c>
      <c r="AE1050" s="38">
        <v>35.74</v>
      </c>
      <c r="AF1050" s="38">
        <f>(AD1050+AE1050*0.5)/(3.5*I1050*1000)*100</f>
        <v>0.1573855960824046</v>
      </c>
      <c r="AG1050" s="38">
        <f t="shared" si="139"/>
        <v>0.2</v>
      </c>
      <c r="AH1050" s="38">
        <v>13.8</v>
      </c>
      <c r="AI1050" s="38">
        <f>AH1050/(3.5*I1050*1000)*100</f>
        <v>2.9128672745694025E-2</v>
      </c>
      <c r="AJ1050" s="38">
        <v>12.5</v>
      </c>
      <c r="AK1050" s="38">
        <f>AJ1050/(3.5*I1050*1000)*100</f>
        <v>2.6384667342114154E-2</v>
      </c>
      <c r="AL1050" s="38">
        <v>2</v>
      </c>
      <c r="AM1050" s="38">
        <f>AL1050/(3.5*I1050*1000)*100</f>
        <v>4.2215467747382645E-3</v>
      </c>
      <c r="AN1050" s="49"/>
      <c r="AO1050" s="49"/>
      <c r="AP1050" s="114"/>
      <c r="AQ1050" s="73"/>
      <c r="AR1050" s="73"/>
      <c r="AS1050" s="73"/>
      <c r="AT1050" s="22"/>
      <c r="AV1050" s="22"/>
      <c r="AW1050" s="22"/>
      <c r="AX1050" s="22"/>
      <c r="AY1050" s="22"/>
      <c r="AZ1050" s="22"/>
      <c r="BA1050" s="22"/>
      <c r="BB1050" s="22"/>
    </row>
    <row r="1051" spans="1:88" s="48" customFormat="1">
      <c r="A1051" s="1">
        <v>374</v>
      </c>
      <c r="B1051" s="87" t="s">
        <v>602</v>
      </c>
      <c r="C1051" s="34">
        <v>514</v>
      </c>
      <c r="D1051" s="34">
        <v>1267</v>
      </c>
      <c r="E1051" s="34">
        <v>100</v>
      </c>
      <c r="F1051" s="34" t="s">
        <v>620</v>
      </c>
      <c r="G1051" s="34" t="s">
        <v>92</v>
      </c>
      <c r="H1051" s="34" t="s">
        <v>621</v>
      </c>
      <c r="I1051" s="34">
        <v>35</v>
      </c>
      <c r="J1051" s="34">
        <v>2</v>
      </c>
      <c r="K1051" s="78" t="s">
        <v>238</v>
      </c>
      <c r="L1051" s="10">
        <v>42246</v>
      </c>
      <c r="M1051" s="34" t="s">
        <v>218</v>
      </c>
      <c r="N1051" s="38">
        <v>1.4750000000000001</v>
      </c>
      <c r="O1051" s="38">
        <v>3.8</v>
      </c>
      <c r="P1051" s="38">
        <v>6.7</v>
      </c>
      <c r="Q1051" s="38">
        <v>22.75</v>
      </c>
      <c r="R1051" s="38">
        <v>6.7934099999999997</v>
      </c>
      <c r="S1051" s="38">
        <f t="shared" si="137"/>
        <v>7</v>
      </c>
      <c r="T1051" s="83">
        <v>32.25</v>
      </c>
      <c r="U1051" s="83">
        <v>2.5499999999999998</v>
      </c>
      <c r="V1051" s="83">
        <v>0.2</v>
      </c>
      <c r="W1051" s="83">
        <v>0</v>
      </c>
      <c r="X1051" s="83">
        <v>4.218</v>
      </c>
      <c r="Y1051" s="38">
        <f t="shared" si="138"/>
        <v>4</v>
      </c>
      <c r="Z1051" s="83">
        <v>0</v>
      </c>
      <c r="AA1051" s="83">
        <v>0</v>
      </c>
      <c r="AB1051" s="83">
        <v>34.725000000000001</v>
      </c>
      <c r="AC1051" s="38">
        <v>2.1278700000000002</v>
      </c>
      <c r="AD1051" s="83">
        <v>87.23</v>
      </c>
      <c r="AE1051" s="83">
        <v>211.1</v>
      </c>
      <c r="AF1051" s="83">
        <f>(AD1051+AE1051*0.5)/(3.5*I1051*1000)*100</f>
        <v>0.15737142857142858</v>
      </c>
      <c r="AG1051" s="38">
        <f t="shared" si="139"/>
        <v>0.2</v>
      </c>
      <c r="AH1051" s="83">
        <v>21.5</v>
      </c>
      <c r="AI1051" s="83">
        <f>AH1051/(3.5*I1051*1000)*100</f>
        <v>1.7551020408163264E-2</v>
      </c>
      <c r="AJ1051" s="83">
        <v>12</v>
      </c>
      <c r="AK1051" s="83">
        <f>AJ1051/(3.5*I1051*1000)*100</f>
        <v>9.79591836734694E-3</v>
      </c>
      <c r="AL1051" s="83">
        <v>1.5</v>
      </c>
      <c r="AM1051" s="83">
        <f>AL1051/(3.5*I1051*1000)*100</f>
        <v>1.2244897959183675E-3</v>
      </c>
      <c r="AN1051" s="78"/>
      <c r="AO1051" s="49"/>
      <c r="AP1051" s="41"/>
      <c r="AQ1051" s="85"/>
      <c r="AR1051" s="86"/>
      <c r="AS1051" s="86"/>
      <c r="AT1051" s="86"/>
      <c r="AU1051" s="276"/>
      <c r="AV1051" s="86"/>
      <c r="AW1051" s="86"/>
      <c r="AX1051" s="86"/>
      <c r="AY1051" s="86"/>
      <c r="AZ1051" s="86"/>
      <c r="BA1051" s="86"/>
      <c r="BB1051" s="86"/>
      <c r="BC1051" s="276"/>
      <c r="BD1051" s="276"/>
      <c r="BE1051" s="276"/>
      <c r="BF1051" s="276"/>
      <c r="BG1051" s="276"/>
      <c r="BH1051" s="276"/>
      <c r="BI1051" s="276"/>
      <c r="BJ1051" s="276"/>
      <c r="BK1051" s="276"/>
      <c r="BL1051" s="276"/>
      <c r="BM1051" s="276"/>
      <c r="BN1051" s="276"/>
      <c r="BO1051" s="276"/>
      <c r="BP1051" s="276"/>
      <c r="BQ1051" s="276"/>
      <c r="BR1051" s="276"/>
      <c r="BS1051" s="276"/>
      <c r="BT1051" s="276"/>
      <c r="BU1051" s="276"/>
      <c r="BV1051" s="276"/>
      <c r="BW1051" s="276"/>
      <c r="BX1051" s="276"/>
      <c r="BY1051" s="276"/>
      <c r="BZ1051" s="276"/>
      <c r="CA1051" s="276"/>
      <c r="CB1051" s="276"/>
      <c r="CC1051" s="276"/>
      <c r="CD1051" s="276"/>
      <c r="CE1051" s="276"/>
      <c r="CF1051" s="276"/>
      <c r="CG1051" s="276"/>
      <c r="CH1051" s="276"/>
      <c r="CI1051" s="276"/>
      <c r="CJ1051" s="276"/>
    </row>
    <row r="1052" spans="1:88" s="48" customFormat="1">
      <c r="A1052" s="1">
        <v>1338</v>
      </c>
      <c r="B1052" s="74" t="s">
        <v>1851</v>
      </c>
      <c r="C1052" s="34">
        <v>444</v>
      </c>
      <c r="D1052" s="75">
        <v>3455</v>
      </c>
      <c r="E1052" s="69">
        <v>100</v>
      </c>
      <c r="F1052" s="34" t="s">
        <v>1885</v>
      </c>
      <c r="G1052" s="20">
        <v>0</v>
      </c>
      <c r="H1052" s="20">
        <v>17000</v>
      </c>
      <c r="I1052" s="21">
        <v>17</v>
      </c>
      <c r="J1052" s="8">
        <v>2</v>
      </c>
      <c r="K1052" s="34" t="s">
        <v>238</v>
      </c>
      <c r="L1052" s="10">
        <v>42212</v>
      </c>
      <c r="M1052" s="9" t="s">
        <v>191</v>
      </c>
      <c r="N1052" s="38">
        <v>12.1</v>
      </c>
      <c r="O1052" s="38">
        <v>3.6749999999999998</v>
      </c>
      <c r="P1052" s="38">
        <v>1</v>
      </c>
      <c r="Q1052" s="38">
        <v>0.25</v>
      </c>
      <c r="R1052" s="38">
        <v>2.3525999999999998</v>
      </c>
      <c r="S1052" s="38">
        <f t="shared" si="137"/>
        <v>2.5</v>
      </c>
      <c r="T1052" s="38">
        <v>16.975000000000001</v>
      </c>
      <c r="U1052" s="38">
        <v>0.05</v>
      </c>
      <c r="V1052" s="38">
        <v>0</v>
      </c>
      <c r="W1052" s="38">
        <v>0</v>
      </c>
      <c r="X1052" s="38">
        <v>1.8099400000000001</v>
      </c>
      <c r="Y1052" s="38">
        <f t="shared" si="138"/>
        <v>2</v>
      </c>
      <c r="Z1052" s="38">
        <v>0</v>
      </c>
      <c r="AA1052" s="38">
        <v>0</v>
      </c>
      <c r="AB1052" s="38">
        <v>17.024999999999999</v>
      </c>
      <c r="AC1052" s="38">
        <v>1.1449</v>
      </c>
      <c r="AD1052" s="38">
        <v>75</v>
      </c>
      <c r="AE1052" s="38">
        <v>37</v>
      </c>
      <c r="AF1052" s="38">
        <v>0.15714285714285714</v>
      </c>
      <c r="AG1052" s="38">
        <f t="shared" si="139"/>
        <v>0.2</v>
      </c>
      <c r="AH1052" s="38">
        <v>0</v>
      </c>
      <c r="AI1052" s="38">
        <v>0</v>
      </c>
      <c r="AJ1052" s="38">
        <v>0</v>
      </c>
      <c r="AK1052" s="38">
        <v>0</v>
      </c>
      <c r="AL1052" s="38">
        <v>0</v>
      </c>
      <c r="AM1052" s="38">
        <v>0</v>
      </c>
      <c r="AN1052" s="178"/>
      <c r="AO1052" s="178"/>
      <c r="AP1052" s="1"/>
      <c r="AQ1052" s="1"/>
      <c r="AR1052" s="1"/>
      <c r="AS1052" s="1"/>
      <c r="AT1052" s="1"/>
      <c r="AU1052" s="178"/>
      <c r="AV1052" s="1"/>
      <c r="AW1052" s="1"/>
      <c r="AX1052" s="1"/>
      <c r="AY1052" s="1"/>
      <c r="AZ1052" s="1"/>
      <c r="BA1052" s="1"/>
      <c r="BB1052" s="1"/>
      <c r="BC1052" s="178"/>
      <c r="BD1052" s="178"/>
      <c r="BE1052" s="178"/>
      <c r="BF1052" s="178"/>
      <c r="BG1052" s="178"/>
      <c r="BH1052" s="178"/>
      <c r="BI1052" s="178"/>
      <c r="BJ1052" s="178"/>
      <c r="BK1052" s="178"/>
      <c r="BL1052" s="178"/>
      <c r="BM1052" s="178"/>
      <c r="BN1052" s="178"/>
      <c r="BO1052" s="178"/>
      <c r="BP1052" s="178"/>
      <c r="BQ1052" s="178"/>
      <c r="BR1052" s="178"/>
      <c r="BS1052" s="178"/>
      <c r="BT1052" s="178"/>
      <c r="BU1052" s="178"/>
      <c r="BV1052" s="178"/>
      <c r="BW1052" s="178"/>
      <c r="BX1052" s="178"/>
      <c r="BY1052" s="178"/>
      <c r="BZ1052" s="178"/>
      <c r="CA1052" s="178"/>
      <c r="CB1052" s="178"/>
      <c r="CC1052" s="178"/>
      <c r="CD1052" s="178"/>
      <c r="CE1052" s="178"/>
      <c r="CF1052" s="178"/>
      <c r="CG1052" s="178"/>
      <c r="CH1052" s="178"/>
      <c r="CI1052" s="178"/>
      <c r="CJ1052" s="178"/>
    </row>
    <row r="1053" spans="1:88" s="48" customFormat="1">
      <c r="A1053" s="1">
        <v>1878</v>
      </c>
      <c r="B1053" s="34" t="s">
        <v>2495</v>
      </c>
      <c r="C1053" s="34">
        <v>335</v>
      </c>
      <c r="D1053" s="75">
        <v>3291</v>
      </c>
      <c r="E1053" s="8">
        <v>101</v>
      </c>
      <c r="F1053" s="9" t="s">
        <v>2510</v>
      </c>
      <c r="G1053" s="20" t="s">
        <v>2511</v>
      </c>
      <c r="H1053" s="20" t="s">
        <v>92</v>
      </c>
      <c r="I1053" s="21">
        <v>3.92</v>
      </c>
      <c r="J1053" s="34">
        <v>2</v>
      </c>
      <c r="K1053" s="34" t="s">
        <v>96</v>
      </c>
      <c r="L1053" s="18">
        <v>42095</v>
      </c>
      <c r="M1053" s="207" t="s">
        <v>191</v>
      </c>
      <c r="N1053" s="38">
        <v>2.95</v>
      </c>
      <c r="O1053" s="38">
        <v>0.97</v>
      </c>
      <c r="P1053" s="38">
        <v>0</v>
      </c>
      <c r="Q1053" s="38">
        <v>0</v>
      </c>
      <c r="R1053" s="38">
        <v>2.2929200000000001</v>
      </c>
      <c r="S1053" s="38">
        <f t="shared" si="137"/>
        <v>2.5</v>
      </c>
      <c r="T1053" s="38">
        <v>3.84</v>
      </c>
      <c r="U1053" s="38">
        <v>0.05</v>
      </c>
      <c r="V1053" s="38">
        <v>0.03</v>
      </c>
      <c r="W1053" s="38">
        <v>0</v>
      </c>
      <c r="X1053" s="38">
        <v>4.3385600000000002</v>
      </c>
      <c r="Y1053" s="38">
        <f t="shared" si="138"/>
        <v>4.5</v>
      </c>
      <c r="Z1053" s="38">
        <v>0</v>
      </c>
      <c r="AA1053" s="38">
        <v>0</v>
      </c>
      <c r="AB1053" s="38">
        <v>3.92</v>
      </c>
      <c r="AC1053" s="38">
        <v>1.2503599999999999</v>
      </c>
      <c r="AD1053" s="38">
        <v>20.36</v>
      </c>
      <c r="AE1053" s="38">
        <v>2.33</v>
      </c>
      <c r="AF1053" s="38">
        <f>(AD1053+AE1053*0.5)/(3.5*I1053*1000)*100</f>
        <v>0.15688775510204084</v>
      </c>
      <c r="AG1053" s="38">
        <f t="shared" si="139"/>
        <v>0.2</v>
      </c>
      <c r="AH1053" s="38">
        <v>109.76</v>
      </c>
      <c r="AI1053" s="38">
        <f>AH1053/(3.5*I1053*1000)*100</f>
        <v>0.80000000000000016</v>
      </c>
      <c r="AJ1053" s="38">
        <v>0</v>
      </c>
      <c r="AK1053" s="38">
        <f>AJ1053/(3.5*I1053*1000)*100</f>
        <v>0</v>
      </c>
      <c r="AL1053" s="38">
        <v>0</v>
      </c>
      <c r="AM1053" s="38">
        <f>AL1053/(3.5*I1053*1000)*100</f>
        <v>0</v>
      </c>
      <c r="AP1053" s="73"/>
      <c r="AQ1053" s="41">
        <f>SUM(N1053:Q1053)</f>
        <v>3.92</v>
      </c>
      <c r="AR1053" s="41">
        <f>SUM(T1053:W1053)</f>
        <v>3.9199999999999995</v>
      </c>
      <c r="AS1053" s="12">
        <f>SUM(Z1053:AB1053)</f>
        <v>3.92</v>
      </c>
      <c r="AT1053" s="1"/>
      <c r="AU1053" s="178">
        <f>I1053/AQ1053</f>
        <v>1</v>
      </c>
      <c r="AV1053" s="1">
        <f>I1053/AR1053</f>
        <v>1.0000000000000002</v>
      </c>
      <c r="AW1053" s="1">
        <f>I1053/AS1053</f>
        <v>1</v>
      </c>
      <c r="AX1053" s="1"/>
      <c r="AY1053" s="1"/>
      <c r="AZ1053" s="1"/>
      <c r="BA1053" s="1"/>
      <c r="BB1053" s="1"/>
      <c r="BC1053" s="178"/>
      <c r="BD1053" s="178"/>
      <c r="BE1053" s="178"/>
      <c r="BF1053" s="178"/>
      <c r="BG1053" s="178"/>
      <c r="BH1053" s="178"/>
      <c r="BI1053" s="178"/>
      <c r="BJ1053" s="178"/>
      <c r="BK1053" s="178"/>
      <c r="BL1053" s="178"/>
      <c r="BM1053" s="178"/>
      <c r="BN1053" s="178"/>
      <c r="BO1053" s="178"/>
      <c r="BP1053" s="178"/>
      <c r="BQ1053" s="178"/>
      <c r="BR1053" s="178"/>
      <c r="BS1053" s="178"/>
      <c r="BT1053" s="178"/>
      <c r="BU1053" s="178"/>
      <c r="BV1053" s="178"/>
      <c r="BW1053" s="178"/>
      <c r="BX1053" s="178"/>
      <c r="BY1053" s="178"/>
      <c r="BZ1053" s="178"/>
      <c r="CA1053" s="178"/>
      <c r="CB1053" s="178"/>
      <c r="CC1053" s="178"/>
      <c r="CD1053" s="178"/>
      <c r="CE1053" s="178"/>
      <c r="CF1053" s="178"/>
      <c r="CG1053" s="178"/>
      <c r="CH1053" s="178"/>
      <c r="CI1053" s="178"/>
      <c r="CJ1053" s="178"/>
    </row>
    <row r="1054" spans="1:88" s="48" customFormat="1">
      <c r="A1054" s="1">
        <v>333</v>
      </c>
      <c r="B1054" s="34" t="s">
        <v>557</v>
      </c>
      <c r="C1054" s="34">
        <v>646</v>
      </c>
      <c r="D1054" s="34">
        <v>2095</v>
      </c>
      <c r="E1054" s="34">
        <v>200</v>
      </c>
      <c r="F1054" s="34" t="s">
        <v>566</v>
      </c>
      <c r="G1054" s="58">
        <v>33500</v>
      </c>
      <c r="H1054" s="58">
        <v>67577</v>
      </c>
      <c r="I1054" s="35">
        <v>34.076999999999998</v>
      </c>
      <c r="J1054" s="62">
        <v>2</v>
      </c>
      <c r="K1054" s="34" t="s">
        <v>96</v>
      </c>
      <c r="L1054" s="10">
        <v>42164</v>
      </c>
      <c r="M1054" s="9" t="s">
        <v>191</v>
      </c>
      <c r="N1054" s="38">
        <v>22.074999999999999</v>
      </c>
      <c r="O1054" s="38">
        <v>7.8</v>
      </c>
      <c r="P1054" s="38">
        <v>3</v>
      </c>
      <c r="Q1054" s="38">
        <v>0.95</v>
      </c>
      <c r="R1054" s="38">
        <v>2.7755999999999998</v>
      </c>
      <c r="S1054" s="38">
        <f t="shared" si="137"/>
        <v>3</v>
      </c>
      <c r="T1054" s="38">
        <v>32.6</v>
      </c>
      <c r="U1054" s="38">
        <v>1.125</v>
      </c>
      <c r="V1054" s="38">
        <v>0.1</v>
      </c>
      <c r="W1054" s="38">
        <v>0</v>
      </c>
      <c r="X1054" s="38">
        <v>3.72485</v>
      </c>
      <c r="Y1054" s="38">
        <f t="shared" si="138"/>
        <v>3.5</v>
      </c>
      <c r="Z1054" s="38">
        <v>0</v>
      </c>
      <c r="AA1054" s="38">
        <v>0</v>
      </c>
      <c r="AB1054" s="38">
        <f>T1054+U1054+V1054+W1054</f>
        <v>33.825000000000003</v>
      </c>
      <c r="AC1054" s="38">
        <v>1.1648099999999999</v>
      </c>
      <c r="AD1054" s="38">
        <v>169</v>
      </c>
      <c r="AE1054" s="38">
        <v>35</v>
      </c>
      <c r="AF1054" s="38">
        <v>0.15637000000000001</v>
      </c>
      <c r="AG1054" s="38">
        <f t="shared" si="139"/>
        <v>0.2</v>
      </c>
      <c r="AH1054" s="38">
        <v>13</v>
      </c>
      <c r="AI1054" s="38">
        <v>1.09E-2</v>
      </c>
      <c r="AJ1054" s="38">
        <v>0</v>
      </c>
      <c r="AK1054" s="38">
        <v>0</v>
      </c>
      <c r="AL1054" s="38">
        <v>0</v>
      </c>
      <c r="AM1054" s="38">
        <v>0</v>
      </c>
      <c r="AN1054" s="49"/>
      <c r="AO1054" s="49">
        <f>AE1054*0.5</f>
        <v>17.5</v>
      </c>
      <c r="AP1054" s="25">
        <f>(AD1054+AH1054+AJ1054+AL1054+AO1054)*I1054</f>
        <v>6798.3615</v>
      </c>
      <c r="AQ1054" s="25">
        <f>SUM(N1054:Q1054)</f>
        <v>33.825000000000003</v>
      </c>
      <c r="AR1054" s="25">
        <f>SUM(T1054:W1054)</f>
        <v>33.825000000000003</v>
      </c>
      <c r="AS1054" s="22"/>
      <c r="AT1054" s="41"/>
      <c r="AU1054" s="49">
        <f>SUM(N1054:Q1054)</f>
        <v>33.825000000000003</v>
      </c>
      <c r="AV1054" s="41">
        <f>SUM(T1054:W1054)</f>
        <v>33.825000000000003</v>
      </c>
      <c r="AW1054" s="41">
        <f>SUM(Z1054:AB1054)</f>
        <v>33.825000000000003</v>
      </c>
      <c r="AX1054" s="22"/>
      <c r="AY1054" s="22">
        <f>I1054/AU1054</f>
        <v>1.0074501108647449</v>
      </c>
      <c r="AZ1054" s="22">
        <f>I1054/AV1054</f>
        <v>1.0074501108647449</v>
      </c>
      <c r="BA1054" s="22">
        <f>I1054/AW1054</f>
        <v>1.0074501108647449</v>
      </c>
      <c r="BB1054" s="22"/>
    </row>
    <row r="1055" spans="1:88" s="48" customFormat="1">
      <c r="A1055" s="1">
        <v>116</v>
      </c>
      <c r="B1055" s="4" t="s">
        <v>78</v>
      </c>
      <c r="C1055" s="14">
        <v>527</v>
      </c>
      <c r="D1055" s="19">
        <v>1178</v>
      </c>
      <c r="E1055" s="16">
        <v>102</v>
      </c>
      <c r="F1055" s="31" t="s">
        <v>233</v>
      </c>
      <c r="G1055" s="20">
        <v>25000</v>
      </c>
      <c r="H1055" s="20">
        <v>47515</v>
      </c>
      <c r="I1055" s="21">
        <v>22.515000000000001</v>
      </c>
      <c r="J1055" s="8">
        <v>2</v>
      </c>
      <c r="K1055" s="9" t="s">
        <v>238</v>
      </c>
      <c r="L1055" s="18">
        <v>42240</v>
      </c>
      <c r="M1055" s="9" t="s">
        <v>191</v>
      </c>
      <c r="N1055" s="11">
        <v>10.25</v>
      </c>
      <c r="O1055" s="11">
        <v>12.24</v>
      </c>
      <c r="P1055" s="11">
        <v>0.02</v>
      </c>
      <c r="Q1055" s="11">
        <v>0</v>
      </c>
      <c r="R1055" s="11">
        <v>3.3679999999999999</v>
      </c>
      <c r="S1055" s="38">
        <f t="shared" si="137"/>
        <v>3.5</v>
      </c>
      <c r="T1055" s="11">
        <v>10.210000000000001</v>
      </c>
      <c r="U1055" s="11">
        <v>1.94</v>
      </c>
      <c r="V1055" s="11">
        <v>8.83</v>
      </c>
      <c r="W1055" s="11">
        <v>1.53</v>
      </c>
      <c r="X1055" s="11">
        <v>8.1859999999999999</v>
      </c>
      <c r="Y1055" s="38">
        <f t="shared" si="138"/>
        <v>8</v>
      </c>
      <c r="Z1055" s="11">
        <v>0</v>
      </c>
      <c r="AA1055" s="11">
        <v>0</v>
      </c>
      <c r="AB1055" s="11">
        <v>22.52</v>
      </c>
      <c r="AC1055" s="11">
        <v>1.3149999999999999</v>
      </c>
      <c r="AD1055" s="11">
        <v>94.15</v>
      </c>
      <c r="AE1055" s="11">
        <v>56.31</v>
      </c>
      <c r="AF1055" s="11">
        <f>(AD1055+AE1055*0.5)/(3.5*I1055*1000)*100</f>
        <v>0.15520446686336092</v>
      </c>
      <c r="AG1055" s="38">
        <f t="shared" si="139"/>
        <v>0.2</v>
      </c>
      <c r="AH1055" s="11">
        <v>25.32</v>
      </c>
      <c r="AI1055" s="11">
        <f>AH1055/(3.5*I1055*1000)*100</f>
        <v>3.2130960312172829E-2</v>
      </c>
      <c r="AJ1055" s="11">
        <v>4.12</v>
      </c>
      <c r="AK1055" s="11">
        <f>AJ1055/(3.5*I1055*1000)*100</f>
        <v>5.2282605247295447E-3</v>
      </c>
      <c r="AL1055" s="11">
        <v>0</v>
      </c>
      <c r="AM1055" s="11">
        <f>AL1055/(3.5*I1055*1000)*100</f>
        <v>0</v>
      </c>
      <c r="AO1055" s="49"/>
      <c r="AP1055" s="25">
        <f>SUM(N1055:Q1055)</f>
        <v>22.51</v>
      </c>
      <c r="AQ1055" s="25">
        <f>SUM(T1055:W1055)</f>
        <v>22.51</v>
      </c>
      <c r="AR1055" s="25">
        <f>SUM(Z1055:AB1055)</f>
        <v>22.52</v>
      </c>
      <c r="AS1055" s="22"/>
      <c r="AT1055" s="22">
        <f>I1055/AP1055</f>
        <v>1.0002221235006663</v>
      </c>
      <c r="AU1055" s="48">
        <f>I1055/AQ1055</f>
        <v>1.0002221235006663</v>
      </c>
      <c r="AV1055" s="22">
        <f>I1055/AR1055</f>
        <v>0.99977797513321498</v>
      </c>
      <c r="AW1055" s="22"/>
      <c r="AX1055" s="22"/>
      <c r="AY1055" s="22"/>
      <c r="AZ1055" s="22"/>
      <c r="BA1055" s="22"/>
      <c r="BB1055" s="22"/>
    </row>
    <row r="1056" spans="1:88" s="48" customFormat="1">
      <c r="A1056" s="1">
        <v>316</v>
      </c>
      <c r="B1056" s="34" t="s">
        <v>542</v>
      </c>
      <c r="C1056" s="34">
        <v>644</v>
      </c>
      <c r="D1056" s="34">
        <v>2104</v>
      </c>
      <c r="E1056" s="34">
        <v>101</v>
      </c>
      <c r="F1056" s="34" t="s">
        <v>548</v>
      </c>
      <c r="G1056" s="58">
        <v>0</v>
      </c>
      <c r="H1056" s="58">
        <v>8950</v>
      </c>
      <c r="I1056" s="35">
        <v>8.9499999999999993</v>
      </c>
      <c r="J1056" s="62">
        <v>2</v>
      </c>
      <c r="K1056" s="34" t="s">
        <v>238</v>
      </c>
      <c r="L1056" s="10">
        <v>42158</v>
      </c>
      <c r="M1056" s="9" t="s">
        <v>191</v>
      </c>
      <c r="N1056" s="38">
        <v>4.46</v>
      </c>
      <c r="O1056" s="38">
        <v>1.55</v>
      </c>
      <c r="P1056" s="38">
        <v>1.4</v>
      </c>
      <c r="Q1056" s="38">
        <v>1.53</v>
      </c>
      <c r="R1056" s="38">
        <v>3.2500300000000002</v>
      </c>
      <c r="S1056" s="38">
        <f t="shared" si="137"/>
        <v>3.5</v>
      </c>
      <c r="T1056" s="38">
        <v>8.75</v>
      </c>
      <c r="U1056" s="38">
        <v>0.2</v>
      </c>
      <c r="V1056" s="38">
        <v>0</v>
      </c>
      <c r="W1056" s="38">
        <v>0</v>
      </c>
      <c r="X1056" s="38">
        <v>3.2018499999999999</v>
      </c>
      <c r="Y1056" s="38">
        <f t="shared" si="138"/>
        <v>3</v>
      </c>
      <c r="Z1056" s="38">
        <v>0</v>
      </c>
      <c r="AA1056" s="38">
        <v>0.03</v>
      </c>
      <c r="AB1056" s="38">
        <v>8.92</v>
      </c>
      <c r="AC1056" s="38">
        <v>1.2026600000000001</v>
      </c>
      <c r="AD1056" s="38">
        <v>46</v>
      </c>
      <c r="AE1056" s="38">
        <v>5</v>
      </c>
      <c r="AF1056" s="38">
        <v>0.15483</v>
      </c>
      <c r="AG1056" s="38">
        <f t="shared" si="139"/>
        <v>0.2</v>
      </c>
      <c r="AH1056" s="38">
        <v>225.53</v>
      </c>
      <c r="AI1056" s="38">
        <v>0.71997</v>
      </c>
      <c r="AJ1056" s="38">
        <v>0</v>
      </c>
      <c r="AK1056" s="38">
        <v>0</v>
      </c>
      <c r="AL1056" s="38">
        <v>0</v>
      </c>
      <c r="AM1056" s="38">
        <v>0</v>
      </c>
      <c r="AN1056" s="55"/>
      <c r="AO1056" s="55">
        <f>AE1056*0.5</f>
        <v>2.5</v>
      </c>
      <c r="AP1056" s="60">
        <f>(AD1056+AH1056+AJ1056+AL1056+AO1056)*I1056</f>
        <v>2452.5684999999994</v>
      </c>
      <c r="AQ1056" s="25">
        <f>SUM(N1056:Q1056)</f>
        <v>8.94</v>
      </c>
      <c r="AR1056" s="25">
        <f>SUM(T1056:W1056)</f>
        <v>8.9499999999999993</v>
      </c>
      <c r="AS1056" s="268">
        <v>8.9499999999999993</v>
      </c>
      <c r="AT1056" s="40"/>
      <c r="AU1056" s="49">
        <f>SUM(N1056:Q1056)</f>
        <v>8.94</v>
      </c>
      <c r="AV1056" s="41">
        <f>SUM(T1056:W1056)</f>
        <v>8.9499999999999993</v>
      </c>
      <c r="AW1056" s="41">
        <f>SUM(Z1056:AB1056)</f>
        <v>8.9499999999999993</v>
      </c>
      <c r="AX1056" s="22"/>
      <c r="AY1056" s="22">
        <f>I1056/AU1056</f>
        <v>1.0011185682326622</v>
      </c>
      <c r="AZ1056" s="22">
        <f>I1056/AV1056</f>
        <v>1</v>
      </c>
      <c r="BA1056" s="22">
        <f>I1056/AW1056</f>
        <v>1</v>
      </c>
      <c r="BB1056" s="61"/>
      <c r="BC1056" s="34"/>
      <c r="BD1056" s="34"/>
      <c r="BE1056" s="34"/>
      <c r="BF1056" s="34"/>
      <c r="BG1056" s="34"/>
      <c r="BH1056" s="34"/>
      <c r="BI1056" s="34"/>
      <c r="BJ1056" s="34"/>
      <c r="BK1056" s="34"/>
      <c r="BL1056" s="34"/>
      <c r="BM1056" s="34"/>
      <c r="BN1056" s="34"/>
      <c r="BO1056" s="34"/>
      <c r="BP1056" s="34"/>
      <c r="BQ1056" s="34"/>
      <c r="BR1056" s="34"/>
      <c r="BS1056" s="34"/>
      <c r="BT1056" s="34"/>
      <c r="BU1056" s="34"/>
      <c r="BV1056" s="34"/>
      <c r="BW1056" s="34"/>
      <c r="BX1056" s="34"/>
      <c r="BY1056" s="34"/>
      <c r="BZ1056" s="34"/>
      <c r="CA1056" s="34"/>
      <c r="CB1056" s="34"/>
      <c r="CC1056" s="34"/>
      <c r="CD1056" s="34"/>
      <c r="CE1056" s="34"/>
      <c r="CF1056" s="34"/>
      <c r="CG1056" s="34"/>
      <c r="CH1056" s="34"/>
      <c r="CI1056" s="34"/>
      <c r="CJ1056" s="34"/>
    </row>
    <row r="1057" spans="1:88" s="48" customFormat="1">
      <c r="A1057" s="1">
        <v>416</v>
      </c>
      <c r="B1057" s="74" t="s">
        <v>699</v>
      </c>
      <c r="C1057" s="34">
        <v>513</v>
      </c>
      <c r="D1057" s="75">
        <v>101</v>
      </c>
      <c r="E1057" s="69">
        <v>302</v>
      </c>
      <c r="F1057" s="76" t="s">
        <v>702</v>
      </c>
      <c r="G1057" s="20" t="s">
        <v>701</v>
      </c>
      <c r="H1057" s="20" t="s">
        <v>703</v>
      </c>
      <c r="I1057" s="21">
        <v>9.3789999999999996</v>
      </c>
      <c r="J1057" s="5" t="s">
        <v>238</v>
      </c>
      <c r="K1057" s="34">
        <v>2</v>
      </c>
      <c r="L1057" s="18">
        <v>42264</v>
      </c>
      <c r="M1057" s="9" t="s">
        <v>191</v>
      </c>
      <c r="N1057" s="38">
        <v>6.77</v>
      </c>
      <c r="O1057" s="38">
        <v>1.69</v>
      </c>
      <c r="P1057" s="38">
        <v>0.56999999999999995</v>
      </c>
      <c r="Q1057" s="38">
        <v>0.35</v>
      </c>
      <c r="R1057" s="38">
        <v>2.2810000000000001</v>
      </c>
      <c r="S1057" s="38">
        <f t="shared" si="137"/>
        <v>2.5</v>
      </c>
      <c r="T1057" s="38">
        <v>9.2799999999999994</v>
      </c>
      <c r="U1057" s="38">
        <v>0.1</v>
      </c>
      <c r="V1057" s="38">
        <v>0</v>
      </c>
      <c r="W1057" s="38">
        <v>0</v>
      </c>
      <c r="X1057" s="38">
        <v>2.65</v>
      </c>
      <c r="Y1057" s="38">
        <f t="shared" si="138"/>
        <v>2.5</v>
      </c>
      <c r="Z1057" s="38">
        <v>0</v>
      </c>
      <c r="AA1057" s="38">
        <v>0</v>
      </c>
      <c r="AB1057" s="38">
        <v>9.3800000000000008</v>
      </c>
      <c r="AC1057" s="38">
        <v>1.014</v>
      </c>
      <c r="AD1057" s="38">
        <v>36.619999999999997</v>
      </c>
      <c r="AE1057" s="38">
        <v>28</v>
      </c>
      <c r="AF1057" s="38">
        <f>(AD1057+AE1057*0.5)/(3.5*I1057*1000)*100</f>
        <v>0.15420468219274064</v>
      </c>
      <c r="AG1057" s="38">
        <f t="shared" si="139"/>
        <v>0.2</v>
      </c>
      <c r="AH1057" s="38">
        <v>12.36</v>
      </c>
      <c r="AI1057" s="38">
        <f>AH1057/(3.5*I1057*1000)*100</f>
        <v>3.7652506359191519E-2</v>
      </c>
      <c r="AJ1057" s="38">
        <v>0</v>
      </c>
      <c r="AK1057" s="38">
        <f>AJ1057/(3.5*I1057*1000)*100</f>
        <v>0</v>
      </c>
      <c r="AL1057" s="38">
        <v>0</v>
      </c>
      <c r="AM1057" s="38">
        <f>AL1057/(3.5*I1057*1000)*100</f>
        <v>0</v>
      </c>
      <c r="AN1057" s="49"/>
      <c r="AO1057" s="49"/>
      <c r="AP1057" s="73"/>
      <c r="AQ1057" s="41">
        <f>SUM(N1057:Q1057)</f>
        <v>9.379999999999999</v>
      </c>
      <c r="AR1057" s="41">
        <f>SUM(T1057:W1057)</f>
        <v>9.379999999999999</v>
      </c>
      <c r="AS1057" s="41">
        <f>SUM(Z1057:AB1057)</f>
        <v>9.3800000000000008</v>
      </c>
      <c r="AT1057" s="22"/>
      <c r="AU1057" s="48">
        <f>I1057/AQ1057</f>
        <v>0.99989339019189771</v>
      </c>
      <c r="AV1057" s="22">
        <f>I1057/AR1057</f>
        <v>0.99989339019189771</v>
      </c>
      <c r="AW1057" s="22">
        <f>I1057/AS1057</f>
        <v>0.99989339019189749</v>
      </c>
      <c r="AX1057" s="73"/>
      <c r="AY1057" s="73"/>
      <c r="AZ1057" s="73"/>
      <c r="BA1057" s="73"/>
      <c r="BB1057" s="73"/>
    </row>
    <row r="1058" spans="1:88" s="48" customFormat="1">
      <c r="A1058" s="1">
        <v>503</v>
      </c>
      <c r="B1058" s="88" t="s">
        <v>821</v>
      </c>
      <c r="C1058" s="88">
        <v>519</v>
      </c>
      <c r="D1058" s="88">
        <v>1289</v>
      </c>
      <c r="E1058" s="88">
        <v>101</v>
      </c>
      <c r="F1058" s="88" t="s">
        <v>857</v>
      </c>
      <c r="G1058" s="88" t="s">
        <v>858</v>
      </c>
      <c r="H1058" s="88" t="s">
        <v>92</v>
      </c>
      <c r="I1058" s="115">
        <v>9.4</v>
      </c>
      <c r="J1058" s="88" t="s">
        <v>12</v>
      </c>
      <c r="K1058" s="34">
        <v>2</v>
      </c>
      <c r="L1058" s="10">
        <v>42276</v>
      </c>
      <c r="M1058" s="9" t="s">
        <v>191</v>
      </c>
      <c r="N1058" s="38">
        <v>4.58</v>
      </c>
      <c r="O1058" s="38">
        <v>2.73</v>
      </c>
      <c r="P1058" s="38">
        <v>1.39</v>
      </c>
      <c r="Q1058" s="38">
        <v>0.75</v>
      </c>
      <c r="R1058" s="38">
        <v>2.3908499999999999</v>
      </c>
      <c r="S1058" s="38">
        <f t="shared" si="137"/>
        <v>2.5</v>
      </c>
      <c r="T1058" s="38">
        <v>9.44</v>
      </c>
      <c r="U1058" s="38">
        <v>0.02</v>
      </c>
      <c r="V1058" s="38">
        <v>0</v>
      </c>
      <c r="W1058" s="38">
        <v>0</v>
      </c>
      <c r="X1058" s="38">
        <v>3.6587900000000002</v>
      </c>
      <c r="Y1058" s="38">
        <f t="shared" si="138"/>
        <v>3.5</v>
      </c>
      <c r="Z1058" s="38">
        <v>0</v>
      </c>
      <c r="AA1058" s="117">
        <v>0</v>
      </c>
      <c r="AB1058" s="117">
        <v>14.33</v>
      </c>
      <c r="AC1058" s="117">
        <v>1.16103</v>
      </c>
      <c r="AD1058" s="117">
        <v>46.62</v>
      </c>
      <c r="AE1058" s="117">
        <v>8.2149999999999999</v>
      </c>
      <c r="AF1058" s="117">
        <v>0.15418699999999999</v>
      </c>
      <c r="AG1058" s="38">
        <f t="shared" si="139"/>
        <v>0.2</v>
      </c>
      <c r="AH1058" s="117">
        <v>87.463999999999999</v>
      </c>
      <c r="AI1058" s="117">
        <v>0.26584799999999997</v>
      </c>
      <c r="AJ1058" s="117">
        <v>0</v>
      </c>
      <c r="AK1058" s="117">
        <v>0</v>
      </c>
      <c r="AL1058" s="117">
        <v>0</v>
      </c>
      <c r="AM1058" s="117">
        <v>0</v>
      </c>
      <c r="AN1058" s="49"/>
      <c r="AO1058" s="49"/>
      <c r="AP1058" s="41"/>
      <c r="AQ1058" s="41">
        <f>SUM(N1058:Q1058)</f>
        <v>9.4500000000000011</v>
      </c>
      <c r="AR1058" s="41">
        <f>SUM(T1058:W1058)</f>
        <v>9.4599999999999991</v>
      </c>
      <c r="AS1058" s="41">
        <f>SUM(Z1058:AB1058)</f>
        <v>14.33</v>
      </c>
      <c r="AT1058" s="22"/>
      <c r="AU1058" s="48">
        <f>I1058/AQ1058</f>
        <v>0.99470899470899465</v>
      </c>
      <c r="AV1058" s="22">
        <f>I1058/AR1058</f>
        <v>0.99365750528541241</v>
      </c>
      <c r="AW1058" s="22">
        <f>I1058/AS1058</f>
        <v>0.65596650383810196</v>
      </c>
      <c r="AX1058" s="1"/>
      <c r="AY1058" s="1"/>
      <c r="AZ1058" s="1"/>
      <c r="BA1058" s="1"/>
      <c r="BB1058" s="1"/>
      <c r="BC1058" s="178"/>
      <c r="BD1058" s="178"/>
      <c r="BE1058" s="178"/>
      <c r="BF1058" s="178"/>
      <c r="BG1058" s="178"/>
      <c r="BH1058" s="178"/>
      <c r="BI1058" s="178"/>
      <c r="BJ1058" s="178"/>
      <c r="BK1058" s="178"/>
      <c r="BL1058" s="178"/>
      <c r="BM1058" s="178"/>
      <c r="BN1058" s="178"/>
      <c r="BO1058" s="178"/>
      <c r="BP1058" s="178"/>
      <c r="BQ1058" s="178"/>
      <c r="BR1058" s="178"/>
      <c r="BS1058" s="178"/>
      <c r="BT1058" s="178"/>
      <c r="BU1058" s="178"/>
      <c r="BV1058" s="178"/>
      <c r="BW1058" s="178"/>
      <c r="BX1058" s="178"/>
      <c r="BY1058" s="178"/>
      <c r="BZ1058" s="178"/>
      <c r="CA1058" s="178"/>
      <c r="CB1058" s="178"/>
      <c r="CC1058" s="178"/>
      <c r="CD1058" s="178"/>
      <c r="CE1058" s="178"/>
      <c r="CF1058" s="178"/>
      <c r="CG1058" s="178"/>
      <c r="CH1058" s="178"/>
      <c r="CI1058" s="178"/>
      <c r="CJ1058" s="178"/>
    </row>
    <row r="1059" spans="1:88" s="48" customFormat="1">
      <c r="A1059" s="1">
        <v>1668</v>
      </c>
      <c r="B1059" s="34" t="s">
        <v>2272</v>
      </c>
      <c r="C1059" s="34">
        <v>419</v>
      </c>
      <c r="D1059" s="69">
        <v>9</v>
      </c>
      <c r="E1059" s="34">
        <v>102</v>
      </c>
      <c r="F1059" s="34" t="s">
        <v>2275</v>
      </c>
      <c r="G1059" s="58" t="s">
        <v>2274</v>
      </c>
      <c r="H1059" s="58" t="s">
        <v>2253</v>
      </c>
      <c r="I1059" s="35">
        <v>11.9</v>
      </c>
      <c r="J1059" s="34">
        <v>8</v>
      </c>
      <c r="K1059" s="34" t="s">
        <v>237</v>
      </c>
      <c r="L1059" s="10">
        <v>42243</v>
      </c>
      <c r="M1059" s="9" t="s">
        <v>191</v>
      </c>
      <c r="N1059" s="55">
        <v>7.05</v>
      </c>
      <c r="O1059" s="55">
        <v>3.1749999999999998</v>
      </c>
      <c r="P1059" s="55">
        <v>1.65</v>
      </c>
      <c r="Q1059" s="55">
        <v>0.9</v>
      </c>
      <c r="R1059" s="55">
        <v>2.8390200000000001</v>
      </c>
      <c r="S1059" s="38">
        <f t="shared" si="137"/>
        <v>3</v>
      </c>
      <c r="T1059" s="38">
        <v>12.525</v>
      </c>
      <c r="U1059" s="38">
        <v>0.25</v>
      </c>
      <c r="V1059" s="38">
        <v>0</v>
      </c>
      <c r="W1059" s="38">
        <v>0</v>
      </c>
      <c r="X1059" s="38">
        <v>4.56677</v>
      </c>
      <c r="Y1059" s="38">
        <f t="shared" si="138"/>
        <v>4.5</v>
      </c>
      <c r="Z1059" s="38">
        <v>0</v>
      </c>
      <c r="AA1059" s="38">
        <v>0</v>
      </c>
      <c r="AB1059" s="38">
        <f>SUM(N1059:Q1059)</f>
        <v>12.775</v>
      </c>
      <c r="AC1059" s="38">
        <v>1.3842699999999999</v>
      </c>
      <c r="AD1059" s="38">
        <v>5</v>
      </c>
      <c r="AE1059" s="38">
        <v>118.34</v>
      </c>
      <c r="AF1059" s="38">
        <f>(AD1059+AE1059*0.5)/(3.5*I1059*1000)*100</f>
        <v>0.15406962785114045</v>
      </c>
      <c r="AG1059" s="38">
        <f t="shared" si="139"/>
        <v>0.2</v>
      </c>
      <c r="AH1059" s="38">
        <v>0</v>
      </c>
      <c r="AI1059" s="38">
        <f>AH1059/(3.5*I1059*1000)*100</f>
        <v>0</v>
      </c>
      <c r="AJ1059" s="38">
        <v>315.82</v>
      </c>
      <c r="AK1059" s="38">
        <f>AJ1059/(3.5*I1059*1000)*100</f>
        <v>0.7582713085234094</v>
      </c>
      <c r="AL1059" s="38">
        <v>0</v>
      </c>
      <c r="AM1059" s="38">
        <f t="shared" ref="AM1059:AM1064" si="140">AL1059/(3.5*I1059*1000)*100</f>
        <v>0</v>
      </c>
      <c r="AN1059" s="49"/>
      <c r="AO1059" s="49">
        <f>AE1059*0.5</f>
        <v>59.17</v>
      </c>
      <c r="AP1059" s="25">
        <f>(AD1059+AH1059+AJ1059+AL1059+AO1059)*I1059</f>
        <v>4521.8810000000003</v>
      </c>
      <c r="AQ1059" s="25">
        <f>(AD1059+AH1059+AJ1059+AL1059)*I1059</f>
        <v>3817.7579999999998</v>
      </c>
      <c r="AR1059" s="25">
        <f>SUM(N1059:Q1059)</f>
        <v>12.775</v>
      </c>
      <c r="AS1059" s="25">
        <f>SUM(T1059:W1059)</f>
        <v>12.775</v>
      </c>
      <c r="AT1059" s="22"/>
      <c r="AU1059" s="49"/>
      <c r="AV1059" s="41"/>
      <c r="AW1059" s="41"/>
      <c r="AX1059" s="41"/>
      <c r="AY1059" s="22"/>
      <c r="AZ1059" s="22"/>
      <c r="BA1059" s="22"/>
      <c r="BB1059" s="22"/>
    </row>
    <row r="1060" spans="1:88" s="48" customFormat="1">
      <c r="A1060" s="1">
        <v>1665</v>
      </c>
      <c r="B1060" s="34" t="s">
        <v>2251</v>
      </c>
      <c r="C1060" s="34">
        <v>418</v>
      </c>
      <c r="D1060" s="69">
        <v>3900</v>
      </c>
      <c r="E1060" s="34">
        <v>201</v>
      </c>
      <c r="F1060" s="34" t="s">
        <v>2267</v>
      </c>
      <c r="G1060" s="58" t="s">
        <v>2270</v>
      </c>
      <c r="H1060" s="58" t="s">
        <v>2271</v>
      </c>
      <c r="I1060" s="35">
        <v>0.59</v>
      </c>
      <c r="J1060" s="34">
        <v>2</v>
      </c>
      <c r="K1060" s="34" t="s">
        <v>12</v>
      </c>
      <c r="L1060" s="10">
        <v>42245</v>
      </c>
      <c r="M1060" s="9" t="s">
        <v>191</v>
      </c>
      <c r="N1060" s="55">
        <v>0.25</v>
      </c>
      <c r="O1060" s="55">
        <v>0.15</v>
      </c>
      <c r="P1060" s="55">
        <v>0.125</v>
      </c>
      <c r="Q1060" s="55">
        <v>0.2</v>
      </c>
      <c r="R1060" s="55">
        <v>3.8184399999999998</v>
      </c>
      <c r="S1060" s="38">
        <f t="shared" si="137"/>
        <v>4</v>
      </c>
      <c r="T1060" s="38">
        <v>0.57499999999999996</v>
      </c>
      <c r="U1060" s="38">
        <v>0.1</v>
      </c>
      <c r="V1060" s="38">
        <v>2.5000000000000001E-2</v>
      </c>
      <c r="W1060" s="38">
        <v>2.5000000000000001E-2</v>
      </c>
      <c r="X1060" s="38">
        <v>6.0600199999999997</v>
      </c>
      <c r="Y1060" s="38">
        <f t="shared" si="138"/>
        <v>6</v>
      </c>
      <c r="Z1060" s="38">
        <v>0</v>
      </c>
      <c r="AA1060" s="38">
        <v>0</v>
      </c>
      <c r="AB1060" s="38">
        <f>SUM(N1060:Q1060)</f>
        <v>0.72500000000000009</v>
      </c>
      <c r="AC1060" s="38">
        <v>1.1759200000000001</v>
      </c>
      <c r="AD1060" s="38">
        <v>3.18</v>
      </c>
      <c r="AE1060" s="38">
        <v>0</v>
      </c>
      <c r="AF1060" s="38">
        <f>(AD1060+AE1060*0.5)/(3.5*I1060*1000)*100</f>
        <v>0.1539951573849879</v>
      </c>
      <c r="AG1060" s="38">
        <f t="shared" si="139"/>
        <v>0.2</v>
      </c>
      <c r="AH1060" s="38">
        <v>0</v>
      </c>
      <c r="AI1060" s="38">
        <f>AH1060/(3.5*I1060*1000)*100</f>
        <v>0</v>
      </c>
      <c r="AJ1060" s="38">
        <v>0</v>
      </c>
      <c r="AK1060" s="38">
        <f>AJ1060/(3.5*I1060*1000)*100</f>
        <v>0</v>
      </c>
      <c r="AL1060" s="38">
        <v>0</v>
      </c>
      <c r="AM1060" s="38">
        <f t="shared" si="140"/>
        <v>0</v>
      </c>
      <c r="AN1060" s="49"/>
      <c r="AO1060" s="49">
        <f>AE1060*0.5</f>
        <v>0</v>
      </c>
      <c r="AP1060" s="25">
        <f>(AD1060+AH1060+AJ1060+AL1060+AO1060)*I1060</f>
        <v>1.8762000000000001</v>
      </c>
      <c r="AQ1060" s="25">
        <f>(AD1060+AH1060+AJ1060+AL1060)*I1060</f>
        <v>1.8762000000000001</v>
      </c>
      <c r="AR1060" s="25">
        <f>SUM(N1060:Q1060)</f>
        <v>0.72500000000000009</v>
      </c>
      <c r="AS1060" s="25">
        <f>SUM(T1060:W1060)</f>
        <v>0.72499999999999998</v>
      </c>
      <c r="AT1060" s="22"/>
      <c r="AU1060" s="49"/>
      <c r="AV1060" s="41"/>
      <c r="AW1060" s="41"/>
      <c r="AX1060" s="41"/>
      <c r="AY1060" s="22"/>
      <c r="AZ1060" s="22"/>
      <c r="BA1060" s="22"/>
      <c r="BB1060" s="22"/>
    </row>
    <row r="1061" spans="1:88" s="178" customFormat="1">
      <c r="A1061" s="1">
        <v>1110</v>
      </c>
      <c r="B1061" s="9" t="s">
        <v>1513</v>
      </c>
      <c r="C1061" s="34">
        <v>431</v>
      </c>
      <c r="D1061" s="75">
        <v>3017</v>
      </c>
      <c r="E1061" s="69">
        <v>101</v>
      </c>
      <c r="F1061" s="34" t="s">
        <v>1540</v>
      </c>
      <c r="G1061" s="20" t="s">
        <v>92</v>
      </c>
      <c r="H1061" s="20" t="s">
        <v>1541</v>
      </c>
      <c r="I1061" s="21">
        <v>12.99</v>
      </c>
      <c r="J1061" s="8">
        <v>4</v>
      </c>
      <c r="K1061" s="5" t="s">
        <v>238</v>
      </c>
      <c r="L1061" s="18">
        <v>42282</v>
      </c>
      <c r="M1061" s="9" t="s">
        <v>191</v>
      </c>
      <c r="N1061" s="38">
        <v>7.1</v>
      </c>
      <c r="O1061" s="38">
        <v>3.625</v>
      </c>
      <c r="P1061" s="38">
        <v>2.125</v>
      </c>
      <c r="Q1061" s="38">
        <v>0.72499999999999998</v>
      </c>
      <c r="R1061" s="38">
        <v>2.7985799999999998</v>
      </c>
      <c r="S1061" s="38">
        <f t="shared" si="137"/>
        <v>3</v>
      </c>
      <c r="T1061" s="38">
        <v>11.1</v>
      </c>
      <c r="U1061" s="38">
        <v>2.0249999999999999</v>
      </c>
      <c r="V1061" s="38">
        <v>0.4</v>
      </c>
      <c r="W1061" s="38">
        <v>0.05</v>
      </c>
      <c r="X1061" s="38">
        <v>5.4993299999999996</v>
      </c>
      <c r="Y1061" s="38">
        <f t="shared" si="138"/>
        <v>5.5</v>
      </c>
      <c r="Z1061" s="38">
        <v>0</v>
      </c>
      <c r="AA1061" s="38">
        <v>0</v>
      </c>
      <c r="AB1061" s="38">
        <v>13.574999999999999</v>
      </c>
      <c r="AC1061" s="38">
        <v>1.20692</v>
      </c>
      <c r="AD1061" s="38">
        <v>69.67</v>
      </c>
      <c r="AE1061" s="38">
        <v>0.57999999999999996</v>
      </c>
      <c r="AF1061" s="38">
        <f>(AD1061+AE1061*0.5)/(3.5*I1061*1000)*100</f>
        <v>0.15387660838007258</v>
      </c>
      <c r="AG1061" s="38">
        <f t="shared" si="139"/>
        <v>0.2</v>
      </c>
      <c r="AH1061" s="38">
        <v>26.352</v>
      </c>
      <c r="AI1061" s="38">
        <f>AH1061/(3.5*I1061*1000)*100</f>
        <v>5.7961068954140549E-2</v>
      </c>
      <c r="AJ1061" s="38">
        <v>0</v>
      </c>
      <c r="AK1061" s="38">
        <f>AJ1061/(3.5*I1061*1000)*100</f>
        <v>0</v>
      </c>
      <c r="AL1061" s="38">
        <v>0</v>
      </c>
      <c r="AM1061" s="38">
        <f t="shared" si="140"/>
        <v>0</v>
      </c>
      <c r="AN1061" s="49"/>
      <c r="AO1061" s="21"/>
      <c r="AP1061" s="73"/>
      <c r="AQ1061" s="73"/>
      <c r="AR1061" s="22"/>
      <c r="AS1061" s="22"/>
      <c r="AT1061" s="22"/>
      <c r="AU1061" s="48"/>
      <c r="AV1061" s="22"/>
      <c r="AW1061" s="22"/>
      <c r="AX1061" s="22"/>
      <c r="AY1061" s="22"/>
      <c r="AZ1061" s="22"/>
      <c r="BA1061" s="22"/>
      <c r="BB1061" s="22"/>
      <c r="BC1061" s="48"/>
      <c r="BD1061" s="48"/>
      <c r="BE1061" s="48"/>
      <c r="BF1061" s="48"/>
      <c r="BG1061" s="48"/>
      <c r="BH1061" s="48"/>
      <c r="BI1061" s="48"/>
      <c r="BJ1061" s="48"/>
      <c r="BK1061" s="48"/>
      <c r="BL1061" s="48"/>
      <c r="BM1061" s="48"/>
      <c r="BN1061" s="48"/>
      <c r="BO1061" s="48"/>
      <c r="BP1061" s="48"/>
      <c r="BQ1061" s="48"/>
      <c r="BR1061" s="48"/>
      <c r="BS1061" s="48"/>
      <c r="BT1061" s="48"/>
      <c r="BU1061" s="48"/>
      <c r="BV1061" s="48"/>
      <c r="BW1061" s="48"/>
      <c r="BX1061" s="48"/>
      <c r="BY1061" s="48"/>
      <c r="BZ1061" s="48"/>
      <c r="CA1061" s="48"/>
      <c r="CB1061" s="48"/>
      <c r="CC1061" s="48"/>
      <c r="CD1061" s="48"/>
      <c r="CE1061" s="48"/>
      <c r="CF1061" s="48"/>
      <c r="CG1061" s="48"/>
      <c r="CH1061" s="48"/>
      <c r="CI1061" s="48"/>
      <c r="CJ1061" s="48"/>
    </row>
    <row r="1062" spans="1:88" s="178" customFormat="1">
      <c r="A1062" s="1">
        <v>115</v>
      </c>
      <c r="B1062" s="4" t="s">
        <v>78</v>
      </c>
      <c r="C1062" s="14">
        <v>527</v>
      </c>
      <c r="D1062" s="19">
        <v>1178</v>
      </c>
      <c r="E1062" s="16">
        <v>101</v>
      </c>
      <c r="F1062" s="31" t="s">
        <v>232</v>
      </c>
      <c r="G1062" s="20">
        <v>0</v>
      </c>
      <c r="H1062" s="20">
        <v>25000</v>
      </c>
      <c r="I1062" s="21">
        <v>25</v>
      </c>
      <c r="J1062" s="8">
        <v>2</v>
      </c>
      <c r="K1062" s="9" t="s">
        <v>238</v>
      </c>
      <c r="L1062" s="18">
        <v>42240</v>
      </c>
      <c r="M1062" s="9" t="s">
        <v>191</v>
      </c>
      <c r="N1062" s="11">
        <v>12.58</v>
      </c>
      <c r="O1062" s="11">
        <v>8.75</v>
      </c>
      <c r="P1062" s="11">
        <v>3.68</v>
      </c>
      <c r="Q1062" s="11">
        <v>0</v>
      </c>
      <c r="R1062" s="11">
        <v>3.4630000000000001</v>
      </c>
      <c r="S1062" s="38">
        <f t="shared" si="137"/>
        <v>3.5</v>
      </c>
      <c r="T1062" s="11">
        <v>22.5</v>
      </c>
      <c r="U1062" s="11">
        <v>2.5</v>
      </c>
      <c r="V1062" s="11">
        <v>0</v>
      </c>
      <c r="W1062" s="11">
        <v>0</v>
      </c>
      <c r="X1062" s="11">
        <v>6.8520000000000003</v>
      </c>
      <c r="Y1062" s="38">
        <f t="shared" si="138"/>
        <v>7</v>
      </c>
      <c r="Z1062" s="11">
        <v>0</v>
      </c>
      <c r="AA1062" s="11">
        <v>0</v>
      </c>
      <c r="AB1062" s="11">
        <v>25</v>
      </c>
      <c r="AC1062" s="11">
        <v>1.236</v>
      </c>
      <c r="AD1062" s="11">
        <v>128.32</v>
      </c>
      <c r="AE1062" s="11">
        <v>12.56</v>
      </c>
      <c r="AF1062" s="11">
        <f>(AD1062+AE1062*0.5)/(3.5*I1062*1000)*100</f>
        <v>0.15382857142857143</v>
      </c>
      <c r="AG1062" s="38">
        <f t="shared" si="139"/>
        <v>0.2</v>
      </c>
      <c r="AH1062" s="11">
        <v>40.200000000000003</v>
      </c>
      <c r="AI1062" s="11">
        <f>AH1062/(3.5*I1062*1000)*100</f>
        <v>4.5942857142857146E-2</v>
      </c>
      <c r="AJ1062" s="11">
        <v>5</v>
      </c>
      <c r="AK1062" s="11">
        <f>AJ1062/(3.5*I1062*1000)*100</f>
        <v>5.7142857142857143E-3</v>
      </c>
      <c r="AL1062" s="11">
        <v>0</v>
      </c>
      <c r="AM1062" s="11">
        <f t="shared" si="140"/>
        <v>0</v>
      </c>
      <c r="AN1062" s="48"/>
      <c r="AO1062" s="49"/>
      <c r="AP1062" s="25">
        <f>SUM(N1062:Q1062)</f>
        <v>25.009999999999998</v>
      </c>
      <c r="AQ1062" s="25">
        <f>SUM(T1062:W1062)</f>
        <v>25</v>
      </c>
      <c r="AR1062" s="25">
        <f>SUM(Z1062:AB1062)</f>
        <v>25</v>
      </c>
      <c r="AS1062" s="22"/>
      <c r="AT1062" s="22">
        <f>I1062/AP1062</f>
        <v>0.99960015993602569</v>
      </c>
      <c r="AU1062" s="48">
        <f>I1062/AQ1062</f>
        <v>1</v>
      </c>
      <c r="AV1062" s="22">
        <f>I1062/AR1062</f>
        <v>1</v>
      </c>
      <c r="AW1062" s="22"/>
      <c r="AX1062" s="22"/>
      <c r="AY1062" s="22"/>
      <c r="AZ1062" s="22"/>
      <c r="BA1062" s="22"/>
      <c r="BB1062" s="22"/>
      <c r="BC1062" s="48"/>
      <c r="BD1062" s="48"/>
      <c r="BE1062" s="48"/>
      <c r="BF1062" s="48"/>
      <c r="BG1062" s="48"/>
      <c r="BH1062" s="48"/>
      <c r="BI1062" s="48"/>
      <c r="BJ1062" s="48"/>
      <c r="BK1062" s="48"/>
      <c r="BL1062" s="48"/>
      <c r="BM1062" s="48"/>
      <c r="BN1062" s="48"/>
      <c r="BO1062" s="48"/>
      <c r="BP1062" s="48"/>
      <c r="BQ1062" s="48"/>
      <c r="BR1062" s="48"/>
      <c r="BS1062" s="48"/>
      <c r="BT1062" s="48"/>
      <c r="BU1062" s="48"/>
      <c r="BV1062" s="48"/>
      <c r="BW1062" s="48"/>
      <c r="BX1062" s="48"/>
      <c r="BY1062" s="48"/>
      <c r="BZ1062" s="48"/>
      <c r="CA1062" s="48"/>
      <c r="CB1062" s="48"/>
      <c r="CC1062" s="48"/>
      <c r="CD1062" s="48"/>
      <c r="CE1062" s="48"/>
      <c r="CF1062" s="48"/>
      <c r="CG1062" s="48"/>
      <c r="CH1062" s="48"/>
      <c r="CI1062" s="48"/>
      <c r="CJ1062" s="48"/>
    </row>
    <row r="1063" spans="1:88" s="178" customFormat="1">
      <c r="A1063" s="1">
        <v>2209</v>
      </c>
      <c r="B1063" s="34" t="s">
        <v>2853</v>
      </c>
      <c r="C1063" s="34">
        <v>318</v>
      </c>
      <c r="D1063" s="75">
        <v>404</v>
      </c>
      <c r="E1063" s="8">
        <v>200</v>
      </c>
      <c r="F1063" s="9" t="s">
        <v>2854</v>
      </c>
      <c r="G1063" s="20">
        <v>49640</v>
      </c>
      <c r="H1063" s="20">
        <v>30000</v>
      </c>
      <c r="I1063" s="21">
        <v>19.64</v>
      </c>
      <c r="J1063" s="8">
        <v>4</v>
      </c>
      <c r="K1063" s="8" t="s">
        <v>12</v>
      </c>
      <c r="L1063" s="18">
        <v>42150</v>
      </c>
      <c r="M1063" s="9" t="s">
        <v>191</v>
      </c>
      <c r="N1063" s="38">
        <v>13.125</v>
      </c>
      <c r="O1063" s="38">
        <v>4.9749999999999996</v>
      </c>
      <c r="P1063" s="38">
        <v>1.075</v>
      </c>
      <c r="Q1063" s="38">
        <v>0.27500000000000002</v>
      </c>
      <c r="R1063" s="38">
        <v>2.34314</v>
      </c>
      <c r="S1063" s="38">
        <f t="shared" si="137"/>
        <v>2.5</v>
      </c>
      <c r="T1063" s="38">
        <v>19.45</v>
      </c>
      <c r="U1063" s="38">
        <v>0</v>
      </c>
      <c r="V1063" s="38">
        <v>0</v>
      </c>
      <c r="W1063" s="38">
        <v>0</v>
      </c>
      <c r="X1063" s="38">
        <v>1.47112</v>
      </c>
      <c r="Y1063" s="38">
        <f t="shared" si="138"/>
        <v>1.5</v>
      </c>
      <c r="Z1063" s="38">
        <v>0</v>
      </c>
      <c r="AA1063" s="38">
        <v>0</v>
      </c>
      <c r="AB1063" s="38">
        <v>19.45</v>
      </c>
      <c r="AC1063" s="38">
        <v>1.29471</v>
      </c>
      <c r="AD1063" s="38">
        <v>103.13</v>
      </c>
      <c r="AE1063" s="38">
        <v>5</v>
      </c>
      <c r="AF1063" s="38">
        <v>0.1536659877800407</v>
      </c>
      <c r="AG1063" s="38">
        <f t="shared" si="139"/>
        <v>0.2</v>
      </c>
      <c r="AH1063" s="38">
        <v>0</v>
      </c>
      <c r="AI1063" s="38">
        <v>0</v>
      </c>
      <c r="AJ1063" s="38">
        <v>0</v>
      </c>
      <c r="AK1063" s="38">
        <v>0</v>
      </c>
      <c r="AL1063" s="38">
        <v>0</v>
      </c>
      <c r="AM1063" s="38">
        <f t="shared" si="140"/>
        <v>0</v>
      </c>
      <c r="AN1063" s="48"/>
      <c r="AO1063" s="49"/>
      <c r="AP1063" s="25"/>
      <c r="AQ1063" s="22"/>
      <c r="AR1063" s="22"/>
      <c r="AS1063" s="22"/>
      <c r="AT1063" s="1"/>
      <c r="AV1063" s="1"/>
      <c r="AW1063" s="1"/>
      <c r="AX1063" s="1"/>
      <c r="AY1063" s="1"/>
      <c r="AZ1063" s="1"/>
      <c r="BA1063" s="1"/>
      <c r="BB1063" s="1"/>
    </row>
    <row r="1064" spans="1:88" s="178" customFormat="1">
      <c r="A1064" s="1">
        <v>1874</v>
      </c>
      <c r="B1064" s="34" t="s">
        <v>2495</v>
      </c>
      <c r="C1064" s="34">
        <v>335</v>
      </c>
      <c r="D1064" s="75">
        <v>3238</v>
      </c>
      <c r="E1064" s="8">
        <v>100</v>
      </c>
      <c r="F1064" s="9" t="s">
        <v>2508</v>
      </c>
      <c r="G1064" s="20">
        <v>0</v>
      </c>
      <c r="H1064" s="20">
        <v>12259</v>
      </c>
      <c r="I1064" s="21">
        <v>12.259</v>
      </c>
      <c r="J1064" s="34">
        <v>2</v>
      </c>
      <c r="K1064" s="34" t="s">
        <v>238</v>
      </c>
      <c r="L1064" s="18">
        <v>42093</v>
      </c>
      <c r="M1064" s="207" t="s">
        <v>191</v>
      </c>
      <c r="N1064" s="38">
        <v>7.2</v>
      </c>
      <c r="O1064" s="38">
        <v>3</v>
      </c>
      <c r="P1064" s="38">
        <v>1.32</v>
      </c>
      <c r="Q1064" s="38">
        <v>0.74</v>
      </c>
      <c r="R1064" s="38">
        <v>2.7571099999999999</v>
      </c>
      <c r="S1064" s="38">
        <f t="shared" si="137"/>
        <v>3</v>
      </c>
      <c r="T1064" s="38">
        <v>12.12</v>
      </c>
      <c r="U1064" s="38">
        <v>0.14000000000000001</v>
      </c>
      <c r="V1064" s="38">
        <v>0</v>
      </c>
      <c r="W1064" s="38">
        <v>0</v>
      </c>
      <c r="X1064" s="38">
        <v>2.6459600000000001</v>
      </c>
      <c r="Y1064" s="38">
        <f t="shared" si="138"/>
        <v>2.5</v>
      </c>
      <c r="Z1064" s="38">
        <v>0</v>
      </c>
      <c r="AA1064" s="38">
        <v>0</v>
      </c>
      <c r="AB1064" s="38">
        <v>12.26</v>
      </c>
      <c r="AC1064" s="38">
        <v>1.30288</v>
      </c>
      <c r="AD1064" s="38">
        <v>58.203000000000003</v>
      </c>
      <c r="AE1064" s="38">
        <v>14.997999999999999</v>
      </c>
      <c r="AF1064" s="38">
        <f>(AD1064+AE1064*0.5)/(3.5*I1064*1000)*100</f>
        <v>0.15312831389183457</v>
      </c>
      <c r="AG1064" s="38">
        <f t="shared" si="139"/>
        <v>0.2</v>
      </c>
      <c r="AH1064" s="38">
        <v>2.68</v>
      </c>
      <c r="AI1064" s="38">
        <f>AH1064/(3.5*I1064*1000)*100</f>
        <v>6.2461398622586329E-3</v>
      </c>
      <c r="AJ1064" s="38">
        <v>0</v>
      </c>
      <c r="AK1064" s="38">
        <f>AJ1064/(3.5*I1064*1000)*100</f>
        <v>0</v>
      </c>
      <c r="AL1064" s="38">
        <v>0</v>
      </c>
      <c r="AM1064" s="38">
        <f t="shared" si="140"/>
        <v>0</v>
      </c>
      <c r="AN1064" s="266"/>
      <c r="AO1064" s="48"/>
      <c r="AP1064" s="73"/>
      <c r="AQ1064" s="41">
        <f>SUM(N1064:Q1064)</f>
        <v>12.26</v>
      </c>
      <c r="AR1064" s="41">
        <f>SUM(T1064:W1064)</f>
        <v>12.26</v>
      </c>
      <c r="AS1064" s="12">
        <f>SUM(Z1064:AB1064)</f>
        <v>12.26</v>
      </c>
      <c r="AT1064" s="1"/>
      <c r="AU1064" s="178">
        <f>I1064/AQ1064</f>
        <v>0.9999184339314845</v>
      </c>
      <c r="AV1064" s="1">
        <f>I1064/AR1064</f>
        <v>0.9999184339314845</v>
      </c>
      <c r="AW1064" s="1">
        <f>I1064/AS1064</f>
        <v>0.9999184339314845</v>
      </c>
      <c r="AX1064" s="1"/>
      <c r="AY1064" s="1"/>
      <c r="AZ1064" s="1"/>
      <c r="BA1064" s="1"/>
      <c r="BB1064" s="1"/>
    </row>
    <row r="1065" spans="1:88">
      <c r="A1065" s="1">
        <v>263</v>
      </c>
      <c r="B1065" s="34" t="s">
        <v>265</v>
      </c>
      <c r="C1065" s="34">
        <v>539</v>
      </c>
      <c r="D1065" s="109">
        <v>1256</v>
      </c>
      <c r="E1065" s="34">
        <v>101</v>
      </c>
      <c r="F1065" s="34" t="s">
        <v>290</v>
      </c>
      <c r="G1065" s="20" t="s">
        <v>92</v>
      </c>
      <c r="H1065" s="20" t="s">
        <v>291</v>
      </c>
      <c r="I1065" s="35">
        <v>25</v>
      </c>
      <c r="J1065" s="237">
        <v>2</v>
      </c>
      <c r="K1065" s="34" t="s">
        <v>269</v>
      </c>
      <c r="L1065" s="10">
        <v>42213</v>
      </c>
      <c r="M1065" s="37" t="s">
        <v>191</v>
      </c>
      <c r="N1065" s="38">
        <v>13.23</v>
      </c>
      <c r="O1065" s="38">
        <v>5.91</v>
      </c>
      <c r="P1065" s="38">
        <v>4.0599999999999996</v>
      </c>
      <c r="Q1065" s="38">
        <v>1.81</v>
      </c>
      <c r="R1065" s="38">
        <v>2.5739999999999998</v>
      </c>
      <c r="S1065" s="38">
        <f t="shared" si="137"/>
        <v>2.5</v>
      </c>
      <c r="T1065" s="38">
        <v>21.15</v>
      </c>
      <c r="U1065" s="38">
        <v>2.91</v>
      </c>
      <c r="V1065" s="38">
        <v>0.76</v>
      </c>
      <c r="W1065" s="38">
        <v>0.18</v>
      </c>
      <c r="X1065" s="38">
        <v>6.0819999999999999</v>
      </c>
      <c r="Y1065" s="38">
        <f t="shared" si="138"/>
        <v>6</v>
      </c>
      <c r="Z1065" s="38">
        <v>0</v>
      </c>
      <c r="AA1065" s="38">
        <v>0</v>
      </c>
      <c r="AB1065" s="38">
        <v>25.01</v>
      </c>
      <c r="AC1065" s="38">
        <v>1.2729999999999999</v>
      </c>
      <c r="AD1065" s="39">
        <v>122.04</v>
      </c>
      <c r="AE1065" s="38">
        <v>23.75</v>
      </c>
      <c r="AF1065" s="38">
        <v>0.15304571428571431</v>
      </c>
      <c r="AG1065" s="38">
        <f t="shared" si="139"/>
        <v>0.2</v>
      </c>
      <c r="AH1065" s="38">
        <v>0</v>
      </c>
      <c r="AI1065" s="38">
        <v>0</v>
      </c>
      <c r="AJ1065" s="38">
        <v>0</v>
      </c>
      <c r="AK1065" s="38">
        <v>0</v>
      </c>
      <c r="AL1065" s="38">
        <v>0</v>
      </c>
      <c r="AM1065" s="38">
        <v>0</v>
      </c>
      <c r="AN1065" s="56"/>
      <c r="AO1065" s="56"/>
      <c r="AP1065" s="25">
        <f>SUM(N1065:Q1065)</f>
        <v>25.009999999999998</v>
      </c>
      <c r="AQ1065" s="25">
        <f>SUM(T1065:W1065)</f>
        <v>25</v>
      </c>
      <c r="AR1065" s="22"/>
      <c r="AS1065" s="41"/>
      <c r="AT1065" s="41"/>
      <c r="AU1065" s="49"/>
      <c r="AV1065" s="41">
        <f>SUM(N1065:Q1065)</f>
        <v>25.009999999999998</v>
      </c>
      <c r="AW1065" s="41">
        <f>SUM(T1065:W1065)</f>
        <v>25</v>
      </c>
      <c r="AX1065" s="41">
        <f>SUM(Z1065:AB1065)</f>
        <v>25.01</v>
      </c>
      <c r="AY1065" s="22"/>
      <c r="AZ1065" s="22">
        <f>I1065/AV1065</f>
        <v>0.99960015993602569</v>
      </c>
      <c r="BA1065" s="22">
        <f>I1065/AW1065</f>
        <v>1</v>
      </c>
      <c r="BB1065" s="22">
        <f>I1065/AX1065</f>
        <v>0.99960015993602558</v>
      </c>
      <c r="BC1065" s="22"/>
      <c r="BD1065" s="22"/>
      <c r="BE1065" s="22"/>
      <c r="BF1065" s="22"/>
      <c r="BG1065" s="22"/>
      <c r="BH1065" s="22"/>
      <c r="BI1065" s="22"/>
      <c r="BJ1065" s="22"/>
      <c r="BK1065" s="22"/>
      <c r="BL1065" s="22"/>
      <c r="BM1065" s="22"/>
      <c r="BN1065" s="22"/>
      <c r="BO1065" s="22"/>
      <c r="BP1065" s="22"/>
      <c r="BQ1065" s="22"/>
      <c r="BR1065" s="22"/>
      <c r="BS1065" s="22"/>
      <c r="BT1065" s="22"/>
      <c r="BU1065" s="22"/>
      <c r="BV1065" s="22"/>
      <c r="BW1065" s="22"/>
      <c r="BX1065" s="22"/>
      <c r="BY1065" s="22"/>
      <c r="BZ1065" s="22"/>
      <c r="CA1065" s="22"/>
      <c r="CB1065" s="22"/>
      <c r="CC1065" s="22"/>
      <c r="CD1065" s="22"/>
      <c r="CE1065" s="22"/>
      <c r="CF1065" s="22"/>
      <c r="CG1065" s="22"/>
      <c r="CH1065" s="22"/>
      <c r="CI1065" s="22"/>
      <c r="CJ1065" s="22"/>
    </row>
    <row r="1066" spans="1:88">
      <c r="A1066" s="1">
        <v>1027</v>
      </c>
      <c r="B1066" s="9" t="s">
        <v>1394</v>
      </c>
      <c r="C1066" s="9">
        <v>617</v>
      </c>
      <c r="D1066" s="179">
        <v>2081</v>
      </c>
      <c r="E1066" s="9">
        <v>200</v>
      </c>
      <c r="F1066" s="9" t="s">
        <v>1426</v>
      </c>
      <c r="G1066" s="20">
        <v>66231</v>
      </c>
      <c r="H1066" s="20">
        <v>78924</v>
      </c>
      <c r="I1066" s="35">
        <v>12.693</v>
      </c>
      <c r="J1066" s="107">
        <v>2</v>
      </c>
      <c r="K1066" s="9" t="s">
        <v>238</v>
      </c>
      <c r="L1066" s="18">
        <v>42129</v>
      </c>
      <c r="M1066" s="37" t="s">
        <v>191</v>
      </c>
      <c r="N1066" s="11">
        <v>6.0250000000000004</v>
      </c>
      <c r="O1066" s="11">
        <v>3.5750000000000002</v>
      </c>
      <c r="P1066" s="11">
        <v>2.5499999999999998</v>
      </c>
      <c r="Q1066" s="11">
        <v>0.47499999999999998</v>
      </c>
      <c r="R1066" s="11">
        <v>2.6150799999999998</v>
      </c>
      <c r="S1066" s="38">
        <f t="shared" si="137"/>
        <v>2.5</v>
      </c>
      <c r="T1066" s="11">
        <v>11.824999999999999</v>
      </c>
      <c r="U1066" s="11">
        <v>0.67500000000000004</v>
      </c>
      <c r="V1066" s="11">
        <v>0.125</v>
      </c>
      <c r="W1066" s="11">
        <v>0</v>
      </c>
      <c r="X1066" s="11">
        <v>4.10975</v>
      </c>
      <c r="Y1066" s="38">
        <f t="shared" si="138"/>
        <v>4</v>
      </c>
      <c r="Z1066" s="11">
        <v>0</v>
      </c>
      <c r="AA1066" s="11">
        <v>0</v>
      </c>
      <c r="AB1066" s="11">
        <f>SUM(N1066:Q1066)</f>
        <v>12.625000000000002</v>
      </c>
      <c r="AC1066" s="11">
        <v>1.28647</v>
      </c>
      <c r="AD1066" s="164">
        <v>62.97</v>
      </c>
      <c r="AE1066" s="11">
        <v>9.98</v>
      </c>
      <c r="AF1066" s="11">
        <f>(AD1066+AE1066*0.5)/(3.5*I1066*1000)*100</f>
        <v>0.15297520568142167</v>
      </c>
      <c r="AG1066" s="38">
        <f t="shared" si="139"/>
        <v>0.2</v>
      </c>
      <c r="AH1066" s="11">
        <v>110.3</v>
      </c>
      <c r="AI1066" s="38">
        <f>AH1066/(3.5*I1066*1000)*100</f>
        <v>0.24828082970366119</v>
      </c>
      <c r="AJ1066" s="11">
        <v>20.82</v>
      </c>
      <c r="AK1066" s="38">
        <f>AJ1066/(3.5*I1066*1000)*100</f>
        <v>4.6864976196103587E-2</v>
      </c>
      <c r="AL1066" s="11">
        <v>0</v>
      </c>
      <c r="AM1066" s="38">
        <f>AL1066/(3.5*I1066*1000)*100</f>
        <v>0</v>
      </c>
      <c r="AN1066" s="25"/>
      <c r="AO1066" s="25">
        <f>AE1066*0.5</f>
        <v>4.99</v>
      </c>
      <c r="AP1066" s="25">
        <f>(AD1066+AH1066+AJ1066+AL1066+AO1066)*I1066</f>
        <v>2526.9224399999998</v>
      </c>
      <c r="AQ1066" s="25"/>
      <c r="AR1066" s="25"/>
      <c r="AS1066" s="25">
        <f>SUM(N1066:Q1066)</f>
        <v>12.625000000000002</v>
      </c>
      <c r="AT1066" s="25">
        <f>SUM(T1066:W1066)</f>
        <v>12.625</v>
      </c>
      <c r="AU1066" s="49"/>
      <c r="AV1066" s="41"/>
      <c r="AW1066" s="41"/>
      <c r="AX1066" s="22"/>
      <c r="AY1066" s="22"/>
      <c r="AZ1066" s="22"/>
      <c r="BA1066" s="22"/>
      <c r="BB1066" s="22"/>
      <c r="BC1066" s="22"/>
      <c r="BD1066" s="22"/>
      <c r="BE1066" s="22"/>
      <c r="BF1066" s="22"/>
      <c r="BG1066" s="22"/>
      <c r="BH1066" s="22"/>
      <c r="BI1066" s="22"/>
      <c r="BJ1066" s="22"/>
      <c r="BK1066" s="22"/>
      <c r="BL1066" s="22"/>
      <c r="BM1066" s="22"/>
      <c r="BN1066" s="22"/>
      <c r="BO1066" s="22"/>
      <c r="BP1066" s="22"/>
      <c r="BQ1066" s="22"/>
      <c r="BR1066" s="22"/>
      <c r="BS1066" s="22"/>
      <c r="BT1066" s="22"/>
      <c r="BU1066" s="22"/>
      <c r="BV1066" s="22"/>
      <c r="BW1066" s="22"/>
      <c r="BX1066" s="22"/>
      <c r="BY1066" s="22"/>
      <c r="BZ1066" s="22"/>
      <c r="CA1066" s="22"/>
      <c r="CB1066" s="22"/>
      <c r="CC1066" s="22"/>
      <c r="CD1066" s="22"/>
      <c r="CE1066" s="22"/>
      <c r="CF1066" s="22"/>
      <c r="CG1066" s="22"/>
      <c r="CH1066" s="22"/>
      <c r="CI1066" s="22"/>
      <c r="CJ1066" s="22"/>
    </row>
    <row r="1067" spans="1:88">
      <c r="A1067" s="1">
        <v>371</v>
      </c>
      <c r="B1067" s="71" t="s">
        <v>602</v>
      </c>
      <c r="C1067" s="78">
        <v>514</v>
      </c>
      <c r="D1067" s="227">
        <v>1206</v>
      </c>
      <c r="E1067" s="80">
        <v>100</v>
      </c>
      <c r="F1067" s="78" t="s">
        <v>615</v>
      </c>
      <c r="G1067" s="81" t="s">
        <v>92</v>
      </c>
      <c r="H1067" s="81" t="s">
        <v>616</v>
      </c>
      <c r="I1067" s="78">
        <v>12.779</v>
      </c>
      <c r="J1067" s="242">
        <v>2</v>
      </c>
      <c r="K1067" s="78" t="s">
        <v>238</v>
      </c>
      <c r="L1067" s="82">
        <v>42255</v>
      </c>
      <c r="M1067" s="123" t="s">
        <v>191</v>
      </c>
      <c r="N1067" s="83">
        <v>9.75</v>
      </c>
      <c r="O1067" s="83">
        <v>2.125</v>
      </c>
      <c r="P1067" s="83">
        <v>0.9</v>
      </c>
      <c r="Q1067" s="83">
        <v>0</v>
      </c>
      <c r="R1067" s="83">
        <v>3.1579999999999999</v>
      </c>
      <c r="S1067" s="38">
        <f t="shared" si="137"/>
        <v>3</v>
      </c>
      <c r="T1067" s="83">
        <v>12.775</v>
      </c>
      <c r="U1067" s="83">
        <v>0</v>
      </c>
      <c r="V1067" s="83">
        <v>0</v>
      </c>
      <c r="W1067" s="83">
        <v>0</v>
      </c>
      <c r="X1067" s="83">
        <v>2.698</v>
      </c>
      <c r="Y1067" s="38">
        <f t="shared" si="138"/>
        <v>2.5</v>
      </c>
      <c r="Z1067" s="83">
        <v>0</v>
      </c>
      <c r="AA1067" s="83">
        <v>0</v>
      </c>
      <c r="AB1067" s="83">
        <v>12.775</v>
      </c>
      <c r="AC1067" s="83">
        <v>1.325</v>
      </c>
      <c r="AD1067" s="125">
        <v>38.215000000000003</v>
      </c>
      <c r="AE1067" s="83">
        <v>59.2</v>
      </c>
      <c r="AF1067" s="83">
        <f>(AD1067+AE1067*0.5)/(3.5*I1067*1000)*100</f>
        <v>0.15162152191653716</v>
      </c>
      <c r="AG1067" s="38">
        <f t="shared" si="139"/>
        <v>0.2</v>
      </c>
      <c r="AH1067" s="83">
        <v>120.5</v>
      </c>
      <c r="AI1067" s="83">
        <f>AH1067/(3.5*I1067*1000)*100</f>
        <v>0.26941522363699372</v>
      </c>
      <c r="AJ1067" s="83">
        <v>0</v>
      </c>
      <c r="AK1067" s="83">
        <f>AJ1067/(3.5*I1067*1000)*100</f>
        <v>0</v>
      </c>
      <c r="AL1067" s="83">
        <v>0</v>
      </c>
      <c r="AM1067" s="83">
        <f>AL1067/(3.5*I1067*1000)*100</f>
        <v>0</v>
      </c>
      <c r="AN1067" s="84"/>
      <c r="AO1067" s="41"/>
      <c r="AP1067" s="41"/>
      <c r="AQ1067" s="85"/>
      <c r="AR1067" s="86"/>
      <c r="AS1067" s="86"/>
      <c r="AT1067" s="86"/>
      <c r="AU1067" s="276"/>
      <c r="AV1067" s="86"/>
      <c r="AW1067" s="86"/>
      <c r="AX1067" s="86"/>
      <c r="AY1067" s="86"/>
      <c r="AZ1067" s="86"/>
      <c r="BA1067" s="86"/>
      <c r="BB1067" s="86"/>
      <c r="BC1067" s="86"/>
      <c r="BD1067" s="86"/>
      <c r="BE1067" s="86"/>
      <c r="BF1067" s="86"/>
      <c r="BG1067" s="86"/>
      <c r="BH1067" s="86"/>
      <c r="BI1067" s="86"/>
      <c r="BJ1067" s="86"/>
      <c r="BK1067" s="86"/>
      <c r="BL1067" s="86"/>
      <c r="BM1067" s="86"/>
      <c r="BN1067" s="86"/>
      <c r="BO1067" s="86"/>
      <c r="BP1067" s="86"/>
      <c r="BQ1067" s="86"/>
      <c r="BR1067" s="86"/>
      <c r="BS1067" s="86"/>
      <c r="BT1067" s="86"/>
      <c r="BU1067" s="86"/>
      <c r="BV1067" s="86"/>
      <c r="BW1067" s="86"/>
      <c r="BX1067" s="86"/>
      <c r="BY1067" s="86"/>
      <c r="BZ1067" s="86"/>
      <c r="CA1067" s="86"/>
      <c r="CB1067" s="86"/>
      <c r="CC1067" s="86"/>
      <c r="CD1067" s="86"/>
      <c r="CE1067" s="86"/>
      <c r="CF1067" s="86"/>
      <c r="CG1067" s="86"/>
      <c r="CH1067" s="86"/>
      <c r="CI1067" s="86"/>
      <c r="CJ1067" s="86"/>
    </row>
    <row r="1068" spans="1:88">
      <c r="A1068" s="1">
        <v>659</v>
      </c>
      <c r="B1068" s="34" t="s">
        <v>1062</v>
      </c>
      <c r="C1068" s="34">
        <v>623</v>
      </c>
      <c r="D1068" s="109">
        <v>216</v>
      </c>
      <c r="E1068" s="34">
        <v>101</v>
      </c>
      <c r="F1068" s="9" t="s">
        <v>1068</v>
      </c>
      <c r="G1068" s="20">
        <v>8355</v>
      </c>
      <c r="H1068" s="20">
        <v>0</v>
      </c>
      <c r="I1068" s="35">
        <v>8.3550000000000004</v>
      </c>
      <c r="J1068" s="109">
        <v>4</v>
      </c>
      <c r="K1068" s="34" t="s">
        <v>96</v>
      </c>
      <c r="L1068" s="10">
        <v>42166</v>
      </c>
      <c r="M1068" s="37" t="s">
        <v>191</v>
      </c>
      <c r="N1068" s="38">
        <v>3.33</v>
      </c>
      <c r="O1068" s="38">
        <v>3.33</v>
      </c>
      <c r="P1068" s="38">
        <v>1.33</v>
      </c>
      <c r="Q1068" s="38">
        <v>0.38</v>
      </c>
      <c r="R1068" s="38">
        <v>2.89886</v>
      </c>
      <c r="S1068" s="38">
        <f t="shared" si="137"/>
        <v>3</v>
      </c>
      <c r="T1068" s="38">
        <v>7.8</v>
      </c>
      <c r="U1068" s="38">
        <v>0.43</v>
      </c>
      <c r="V1068" s="38">
        <v>0.1</v>
      </c>
      <c r="W1068" s="38">
        <v>0.03</v>
      </c>
      <c r="X1068" s="38">
        <v>4.9361600000000001</v>
      </c>
      <c r="Y1068" s="38">
        <f t="shared" si="138"/>
        <v>5</v>
      </c>
      <c r="Z1068" s="38">
        <v>0</v>
      </c>
      <c r="AA1068" s="38">
        <v>0</v>
      </c>
      <c r="AB1068" s="38">
        <v>8.36</v>
      </c>
      <c r="AC1068" s="38">
        <v>1.2557799999999999</v>
      </c>
      <c r="AD1068" s="39">
        <v>42.77</v>
      </c>
      <c r="AE1068" s="38">
        <v>2.68</v>
      </c>
      <c r="AF1068" s="38">
        <v>0.15084</v>
      </c>
      <c r="AG1068" s="38">
        <f t="shared" si="139"/>
        <v>0.2</v>
      </c>
      <c r="AH1068" s="38">
        <v>0</v>
      </c>
      <c r="AI1068" s="38">
        <v>0</v>
      </c>
      <c r="AJ1068" s="38">
        <v>0</v>
      </c>
      <c r="AK1068" s="38">
        <v>0</v>
      </c>
      <c r="AL1068" s="38">
        <v>0</v>
      </c>
      <c r="AM1068" s="38">
        <v>0</v>
      </c>
      <c r="AN1068" s="25"/>
      <c r="AO1068" s="1">
        <f>AE1068*0.5</f>
        <v>1.34</v>
      </c>
      <c r="AP1068" s="25">
        <f>(AD1068+AH1068+AJ1068+AL1068+AO1068)*I1068</f>
        <v>368.53905000000009</v>
      </c>
      <c r="AQ1068" s="25">
        <f>SUM(N1068:Q1068)</f>
        <v>8.370000000000001</v>
      </c>
      <c r="AR1068" s="25">
        <f>SUM(T1068:W1068)</f>
        <v>8.36</v>
      </c>
      <c r="AS1068" s="22"/>
      <c r="AT1068" s="41"/>
      <c r="AU1068" s="49">
        <f>SUM(N1068:Q1068)</f>
        <v>8.370000000000001</v>
      </c>
      <c r="AV1068" s="41">
        <f>SUM(T1068:W1068)</f>
        <v>8.36</v>
      </c>
      <c r="AW1068" s="41">
        <f>SUM(Z1068:AB1068)</f>
        <v>8.36</v>
      </c>
      <c r="AX1068" s="22"/>
      <c r="AY1068" s="22">
        <f>I1068/AU1068</f>
        <v>0.99820788530465943</v>
      </c>
      <c r="AZ1068" s="22">
        <f>I1068/AV1068</f>
        <v>0.99940191387559818</v>
      </c>
      <c r="BA1068" s="22">
        <f>I1068/AW1068</f>
        <v>0.99940191387559818</v>
      </c>
      <c r="BB1068" s="22"/>
      <c r="BC1068" s="22"/>
      <c r="BD1068" s="22"/>
      <c r="BE1068" s="22"/>
      <c r="BF1068" s="22"/>
      <c r="BG1068" s="22"/>
      <c r="BH1068" s="22"/>
      <c r="BI1068" s="22"/>
      <c r="BJ1068" s="22"/>
      <c r="BK1068" s="22"/>
      <c r="BL1068" s="22"/>
      <c r="BM1068" s="22"/>
      <c r="BN1068" s="22"/>
      <c r="BO1068" s="22"/>
      <c r="BP1068" s="22"/>
      <c r="BQ1068" s="22"/>
      <c r="BR1068" s="22"/>
      <c r="BS1068" s="22"/>
      <c r="BT1068" s="22"/>
      <c r="BU1068" s="22"/>
      <c r="BV1068" s="22"/>
      <c r="BW1068" s="22"/>
      <c r="BX1068" s="22"/>
      <c r="BY1068" s="22"/>
      <c r="BZ1068" s="22"/>
      <c r="CA1068" s="22"/>
      <c r="CB1068" s="22"/>
      <c r="CC1068" s="22"/>
      <c r="CD1068" s="22"/>
      <c r="CE1068" s="22"/>
      <c r="CF1068" s="22"/>
      <c r="CG1068" s="22"/>
      <c r="CH1068" s="22"/>
      <c r="CI1068" s="22"/>
      <c r="CJ1068" s="22"/>
    </row>
    <row r="1069" spans="1:88">
      <c r="A1069" s="1">
        <v>1217</v>
      </c>
      <c r="B1069" s="34" t="s">
        <v>1674</v>
      </c>
      <c r="C1069" s="34">
        <v>435</v>
      </c>
      <c r="D1069" s="109">
        <v>2338</v>
      </c>
      <c r="E1069" s="34">
        <v>100</v>
      </c>
      <c r="F1069" s="34" t="s">
        <v>1715</v>
      </c>
      <c r="G1069" s="34" t="s">
        <v>1716</v>
      </c>
      <c r="H1069" s="34" t="s">
        <v>92</v>
      </c>
      <c r="I1069" s="55">
        <v>33.619</v>
      </c>
      <c r="J1069" s="109">
        <v>2</v>
      </c>
      <c r="K1069" s="34" t="s">
        <v>12</v>
      </c>
      <c r="L1069" s="10">
        <v>42282</v>
      </c>
      <c r="M1069" s="37" t="s">
        <v>191</v>
      </c>
      <c r="N1069" s="38">
        <v>19.725000000000001</v>
      </c>
      <c r="O1069" s="38">
        <v>7.7249999999999996</v>
      </c>
      <c r="P1069" s="38">
        <v>3.9</v>
      </c>
      <c r="Q1069" s="38">
        <v>2.25</v>
      </c>
      <c r="R1069" s="38">
        <v>2.7199599999999999</v>
      </c>
      <c r="S1069" s="38">
        <f t="shared" si="137"/>
        <v>2.5</v>
      </c>
      <c r="T1069" s="38">
        <v>30.35</v>
      </c>
      <c r="U1069" s="38">
        <v>1.75</v>
      </c>
      <c r="V1069" s="38">
        <v>0.8</v>
      </c>
      <c r="W1069" s="38">
        <v>0.7</v>
      </c>
      <c r="X1069" s="38">
        <v>4.69421</v>
      </c>
      <c r="Y1069" s="38">
        <f t="shared" si="138"/>
        <v>4.5</v>
      </c>
      <c r="Z1069" s="38">
        <v>0</v>
      </c>
      <c r="AA1069" s="38">
        <v>0</v>
      </c>
      <c r="AB1069" s="55">
        <v>33.619</v>
      </c>
      <c r="AC1069" s="38">
        <v>1.3589100000000001</v>
      </c>
      <c r="AD1069" s="39">
        <v>145.6</v>
      </c>
      <c r="AE1069" s="38">
        <v>62.1</v>
      </c>
      <c r="AF1069" s="38">
        <f>(AD1069+AE1069*0.5)/(3.5*I1069*1000)*100</f>
        <v>0.15012769139899634</v>
      </c>
      <c r="AG1069" s="38">
        <f t="shared" si="139"/>
        <v>0.2</v>
      </c>
      <c r="AH1069" s="38">
        <v>169.32</v>
      </c>
      <c r="AI1069" s="38">
        <v>0.143898</v>
      </c>
      <c r="AJ1069" s="38">
        <v>0</v>
      </c>
      <c r="AK1069" s="38">
        <v>0</v>
      </c>
      <c r="AL1069" s="38">
        <v>0</v>
      </c>
      <c r="AM1069" s="38">
        <v>0</v>
      </c>
      <c r="AN1069" s="12"/>
      <c r="AU1069" s="178"/>
    </row>
    <row r="1070" spans="1:88">
      <c r="A1070" s="1">
        <v>69</v>
      </c>
      <c r="B1070" s="4" t="s">
        <v>44</v>
      </c>
      <c r="C1070" s="14">
        <v>524</v>
      </c>
      <c r="D1070" s="225">
        <v>116</v>
      </c>
      <c r="E1070" s="16">
        <v>101</v>
      </c>
      <c r="F1070" s="14" t="s">
        <v>48</v>
      </c>
      <c r="G1070" s="20" t="s">
        <v>132</v>
      </c>
      <c r="H1070" s="20" t="s">
        <v>92</v>
      </c>
      <c r="I1070" s="21">
        <v>16.347999999999999</v>
      </c>
      <c r="J1070" s="179">
        <v>2</v>
      </c>
      <c r="K1070" s="9" t="s">
        <v>12</v>
      </c>
      <c r="L1070" s="18">
        <v>42227</v>
      </c>
      <c r="M1070" s="37" t="s">
        <v>191</v>
      </c>
      <c r="N1070" s="11">
        <v>7.4749999999999996</v>
      </c>
      <c r="O1070" s="11">
        <v>6.1</v>
      </c>
      <c r="P1070" s="11">
        <v>2.0499999999999998</v>
      </c>
      <c r="Q1070" s="11">
        <v>0.77500000000000002</v>
      </c>
      <c r="R1070" s="11">
        <v>2.8670300000000002</v>
      </c>
      <c r="S1070" s="38">
        <f t="shared" si="137"/>
        <v>3</v>
      </c>
      <c r="T1070" s="11">
        <v>15.75</v>
      </c>
      <c r="U1070" s="11">
        <v>0.4</v>
      </c>
      <c r="V1070" s="11">
        <v>0.125</v>
      </c>
      <c r="W1070" s="11">
        <v>0.125</v>
      </c>
      <c r="X1070" s="11">
        <v>3.3982899999999998</v>
      </c>
      <c r="Y1070" s="38">
        <f t="shared" si="138"/>
        <v>3.5</v>
      </c>
      <c r="Z1070" s="11">
        <v>0</v>
      </c>
      <c r="AA1070" s="11">
        <v>0</v>
      </c>
      <c r="AB1070" s="11">
        <v>16.399999999999999</v>
      </c>
      <c r="AC1070" s="11">
        <v>1.0147699999999999</v>
      </c>
      <c r="AD1070" s="164">
        <v>85.62</v>
      </c>
      <c r="AE1070" s="11">
        <v>0</v>
      </c>
      <c r="AF1070" s="11">
        <f>(AD1070+AE1070*0.5)/(3.5*I1070*1000)*100</f>
        <v>0.14963822573316091</v>
      </c>
      <c r="AG1070" s="38">
        <f t="shared" si="139"/>
        <v>0.1</v>
      </c>
      <c r="AH1070" s="11">
        <v>221.35</v>
      </c>
      <c r="AI1070" s="11">
        <f>AH1070/(3.5*I1070*1000)*100</f>
        <v>0.38685378726974029</v>
      </c>
      <c r="AJ1070" s="11">
        <v>2.38</v>
      </c>
      <c r="AK1070" s="11">
        <f>AJ1070/(3.5*I1070*1000)*100</f>
        <v>4.1595302177636403E-3</v>
      </c>
      <c r="AL1070" s="11">
        <v>0</v>
      </c>
      <c r="AM1070" s="11">
        <f>AL1070/(3.5*I1070*1000)*100</f>
        <v>0</v>
      </c>
      <c r="AN1070" s="25"/>
      <c r="AO1070" s="25"/>
      <c r="AP1070" s="22"/>
      <c r="AQ1070" s="22"/>
      <c r="AR1070" s="22"/>
      <c r="AS1070" s="22"/>
      <c r="AT1070" s="22"/>
      <c r="AU1070" s="48"/>
      <c r="AV1070" s="22"/>
      <c r="AW1070" s="22"/>
      <c r="AX1070" s="22"/>
      <c r="AY1070" s="22"/>
      <c r="AZ1070" s="22"/>
      <c r="BA1070" s="22"/>
      <c r="BB1070" s="22"/>
      <c r="BC1070" s="22"/>
      <c r="BD1070" s="22"/>
      <c r="BE1070" s="22"/>
      <c r="BF1070" s="22"/>
      <c r="BG1070" s="22"/>
      <c r="BH1070" s="22"/>
      <c r="BI1070" s="22"/>
      <c r="BJ1070" s="22"/>
      <c r="BK1070" s="22"/>
      <c r="BL1070" s="22"/>
      <c r="BM1070" s="22"/>
      <c r="BN1070" s="22"/>
      <c r="BO1070" s="22"/>
      <c r="BP1070" s="22"/>
      <c r="BQ1070" s="22"/>
      <c r="BR1070" s="22"/>
      <c r="BS1070" s="22"/>
      <c r="BT1070" s="22"/>
      <c r="BU1070" s="22"/>
      <c r="BV1070" s="22"/>
      <c r="BW1070" s="22"/>
      <c r="BX1070" s="22"/>
      <c r="BY1070" s="22"/>
      <c r="BZ1070" s="22"/>
      <c r="CA1070" s="22"/>
      <c r="CB1070" s="22"/>
      <c r="CC1070" s="22"/>
      <c r="CD1070" s="22"/>
      <c r="CE1070" s="22"/>
      <c r="CF1070" s="22"/>
      <c r="CG1070" s="22"/>
      <c r="CH1070" s="22"/>
      <c r="CI1070" s="22"/>
      <c r="CJ1070" s="22"/>
    </row>
    <row r="1071" spans="1:88" s="22" customFormat="1">
      <c r="A1071" s="1">
        <v>779</v>
      </c>
      <c r="B1071" s="34" t="s">
        <v>1171</v>
      </c>
      <c r="C1071" s="34">
        <v>633</v>
      </c>
      <c r="D1071" s="8">
        <v>23</v>
      </c>
      <c r="E1071" s="34">
        <v>402</v>
      </c>
      <c r="F1071" s="14" t="s">
        <v>1172</v>
      </c>
      <c r="G1071" s="27">
        <v>179845</v>
      </c>
      <c r="H1071" s="27">
        <v>190562</v>
      </c>
      <c r="I1071" s="35">
        <v>10.717000000000001</v>
      </c>
      <c r="J1071" s="9">
        <v>4</v>
      </c>
      <c r="K1071" s="34" t="s">
        <v>238</v>
      </c>
      <c r="L1071" s="10">
        <v>42147</v>
      </c>
      <c r="M1071" s="37" t="s">
        <v>191</v>
      </c>
      <c r="N1071" s="38">
        <v>8.8000000000000007</v>
      </c>
      <c r="O1071" s="38">
        <v>1.2</v>
      </c>
      <c r="P1071" s="38">
        <v>0.55000000000000004</v>
      </c>
      <c r="Q1071" s="38">
        <v>0.125</v>
      </c>
      <c r="R1071" s="38">
        <v>2.1349999999999998</v>
      </c>
      <c r="S1071" s="38">
        <f t="shared" si="137"/>
        <v>2</v>
      </c>
      <c r="T1071" s="38">
        <v>10.175000000000001</v>
      </c>
      <c r="U1071" s="38">
        <v>0.47499999999999998</v>
      </c>
      <c r="V1071" s="38">
        <v>2.5000000000000001E-2</v>
      </c>
      <c r="W1071" s="38">
        <v>0</v>
      </c>
      <c r="X1071" s="38">
        <v>4.9820000000000002</v>
      </c>
      <c r="Y1071" s="38">
        <f t="shared" si="138"/>
        <v>5</v>
      </c>
      <c r="Z1071" s="38">
        <v>0</v>
      </c>
      <c r="AA1071" s="38">
        <v>0</v>
      </c>
      <c r="AB1071" s="38">
        <f>N1071+O1071+P1071+Q1071</f>
        <v>10.675000000000001</v>
      </c>
      <c r="AC1071" s="38">
        <v>1.2370000000000001</v>
      </c>
      <c r="AD1071" s="39">
        <v>56</v>
      </c>
      <c r="AE1071" s="38">
        <v>0</v>
      </c>
      <c r="AF1071" s="38">
        <f>(AD1071+AE1071*0.5)/(3.5*I1071*1000)*100</f>
        <v>0.1492955118036764</v>
      </c>
      <c r="AG1071" s="38">
        <f t="shared" si="139"/>
        <v>0.1</v>
      </c>
      <c r="AH1071" s="38">
        <v>7</v>
      </c>
      <c r="AI1071" s="38">
        <f>AH1071/(3.5*I1071*1000)*100</f>
        <v>1.8661938975459549E-2</v>
      </c>
      <c r="AJ1071" s="38">
        <v>0</v>
      </c>
      <c r="AK1071" s="38">
        <f>AJ1071/(3.5*I1071*1000)*100</f>
        <v>0</v>
      </c>
      <c r="AL1071" s="38">
        <v>0</v>
      </c>
      <c r="AM1071" s="38">
        <f>AL1071/(3.5*I1071*1000)*100</f>
        <v>0</v>
      </c>
      <c r="AN1071" s="25"/>
      <c r="AO1071" s="25">
        <f>AE1071*0.5</f>
        <v>0</v>
      </c>
      <c r="AP1071" s="25">
        <f>(AD1071+AH1071+AJ1071+AL1071+AO1071)*I1071</f>
        <v>675.17100000000005</v>
      </c>
      <c r="AQ1071" s="136">
        <f>SUM(N1071:Q1071)</f>
        <v>10.675000000000001</v>
      </c>
      <c r="AR1071" s="136">
        <f>SUM(T1071:W1071)</f>
        <v>10.675000000000001</v>
      </c>
      <c r="AT1071" s="41"/>
      <c r="AU1071" s="49"/>
      <c r="AV1071" s="41"/>
      <c r="AW1071" s="4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</row>
    <row r="1072" spans="1:88" s="22" customFormat="1">
      <c r="A1072" s="1">
        <v>1208</v>
      </c>
      <c r="B1072" s="34" t="s">
        <v>1674</v>
      </c>
      <c r="C1072" s="34">
        <v>435</v>
      </c>
      <c r="D1072" s="109">
        <v>2256</v>
      </c>
      <c r="E1072" s="34">
        <v>102</v>
      </c>
      <c r="F1072" s="34" t="s">
        <v>1699</v>
      </c>
      <c r="G1072" s="34" t="s">
        <v>1698</v>
      </c>
      <c r="H1072" s="34" t="s">
        <v>1700</v>
      </c>
      <c r="I1072" s="55">
        <v>22.183</v>
      </c>
      <c r="J1072" s="109">
        <v>2</v>
      </c>
      <c r="K1072" s="181" t="s">
        <v>238</v>
      </c>
      <c r="L1072" s="10">
        <v>42282</v>
      </c>
      <c r="M1072" s="37" t="s">
        <v>191</v>
      </c>
      <c r="N1072" s="38">
        <v>18.2</v>
      </c>
      <c r="O1072" s="38">
        <v>2.4750000000000001</v>
      </c>
      <c r="P1072" s="38">
        <v>1.075</v>
      </c>
      <c r="Q1072" s="38">
        <v>0.45</v>
      </c>
      <c r="R1072" s="38">
        <v>2.0760000000000001</v>
      </c>
      <c r="S1072" s="38">
        <f t="shared" si="137"/>
        <v>2</v>
      </c>
      <c r="T1072" s="38">
        <v>21.45</v>
      </c>
      <c r="U1072" s="38">
        <v>0.65</v>
      </c>
      <c r="V1072" s="38">
        <v>7.4999999999999997E-2</v>
      </c>
      <c r="W1072" s="38">
        <v>2.5000000000000001E-2</v>
      </c>
      <c r="X1072" s="38">
        <v>3.5533299999999999</v>
      </c>
      <c r="Y1072" s="38">
        <f t="shared" si="138"/>
        <v>3.5</v>
      </c>
      <c r="Z1072" s="38">
        <v>0</v>
      </c>
      <c r="AA1072" s="38">
        <v>0</v>
      </c>
      <c r="AB1072" s="55">
        <v>22.183</v>
      </c>
      <c r="AC1072" s="38">
        <v>1.9919100000000001</v>
      </c>
      <c r="AD1072" s="39">
        <v>111.102</v>
      </c>
      <c r="AE1072" s="38">
        <v>9.3249999999999993</v>
      </c>
      <c r="AF1072" s="38">
        <f>(AD1072+AE1072*0.5)/(3.5*I1072*1000)*100</f>
        <v>0.14910323864477945</v>
      </c>
      <c r="AG1072" s="38">
        <f t="shared" si="139"/>
        <v>0.1</v>
      </c>
      <c r="AH1072" s="38">
        <v>169.32</v>
      </c>
      <c r="AI1072" s="38">
        <v>0.218082</v>
      </c>
      <c r="AJ1072" s="38">
        <v>3.7</v>
      </c>
      <c r="AK1072" s="38">
        <v>4.7660000000000003E-3</v>
      </c>
      <c r="AL1072" s="38">
        <v>0</v>
      </c>
      <c r="AM1072" s="38">
        <v>0</v>
      </c>
      <c r="AN1072" s="12"/>
      <c r="AO1072" s="1"/>
      <c r="AP1072" s="1"/>
      <c r="AQ1072" s="1"/>
      <c r="AR1072" s="1"/>
      <c r="AS1072" s="1"/>
      <c r="AT1072" s="1"/>
      <c r="AU1072" s="178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</row>
    <row r="1073" spans="1:88" s="22" customFormat="1">
      <c r="A1073" s="1">
        <v>1230</v>
      </c>
      <c r="B1073" s="34" t="s">
        <v>1725</v>
      </c>
      <c r="C1073" s="88">
        <v>437</v>
      </c>
      <c r="D1073" s="223">
        <v>1182</v>
      </c>
      <c r="E1073" s="88">
        <v>102</v>
      </c>
      <c r="F1073" s="88" t="s">
        <v>1734</v>
      </c>
      <c r="G1073" s="88" t="s">
        <v>192</v>
      </c>
      <c r="H1073" s="88" t="s">
        <v>1735</v>
      </c>
      <c r="I1073" s="115">
        <v>14.119</v>
      </c>
      <c r="J1073" s="223">
        <v>2</v>
      </c>
      <c r="K1073" s="181" t="s">
        <v>238</v>
      </c>
      <c r="L1073" s="116">
        <v>42282</v>
      </c>
      <c r="M1073" s="37" t="s">
        <v>191</v>
      </c>
      <c r="N1073" s="38">
        <v>6.85</v>
      </c>
      <c r="O1073" s="38">
        <v>4.2</v>
      </c>
      <c r="P1073" s="38">
        <v>1.425</v>
      </c>
      <c r="Q1073" s="38">
        <v>0.42499999999999999</v>
      </c>
      <c r="R1073" s="38">
        <v>2.6403300000000001</v>
      </c>
      <c r="S1073" s="38">
        <f t="shared" si="137"/>
        <v>2.5</v>
      </c>
      <c r="T1073" s="38">
        <v>12.7</v>
      </c>
      <c r="U1073" s="38">
        <v>0.15</v>
      </c>
      <c r="V1073" s="38">
        <v>0.05</v>
      </c>
      <c r="W1073" s="38">
        <v>0</v>
      </c>
      <c r="X1073" s="38">
        <v>3.46665</v>
      </c>
      <c r="Y1073" s="38">
        <f t="shared" si="138"/>
        <v>3.5</v>
      </c>
      <c r="Z1073" s="38">
        <v>0</v>
      </c>
      <c r="AA1073" s="117">
        <v>0</v>
      </c>
      <c r="AB1073" s="117">
        <v>14.119</v>
      </c>
      <c r="AC1073" s="117">
        <v>1.2525599999999999</v>
      </c>
      <c r="AD1073" s="254">
        <v>64.319999999999993</v>
      </c>
      <c r="AE1073" s="117">
        <v>17.68</v>
      </c>
      <c r="AF1073" s="117">
        <f>(AD1073+AE1073*0.5)/(3.5*I1073*1000)*100</f>
        <v>0.14804771685570609</v>
      </c>
      <c r="AG1073" s="38">
        <f t="shared" si="139"/>
        <v>0.1</v>
      </c>
      <c r="AH1073" s="117">
        <v>69.2</v>
      </c>
      <c r="AI1073" s="117">
        <f>AH1073/(3.5*I1073*1000)*100</f>
        <v>0.14003419910353829</v>
      </c>
      <c r="AJ1073" s="117">
        <v>0</v>
      </c>
      <c r="AK1073" s="117">
        <f>AJ1073/(3.5*I1073*1000)*100</f>
        <v>0</v>
      </c>
      <c r="AL1073" s="117">
        <v>0</v>
      </c>
      <c r="AM1073" s="117">
        <f>AJ1073/(3.5*I1073*1000)*100</f>
        <v>0</v>
      </c>
      <c r="AN1073" s="12"/>
      <c r="AO1073" s="1"/>
      <c r="AP1073" s="1"/>
      <c r="AQ1073" s="1"/>
      <c r="AR1073" s="1"/>
      <c r="AS1073" s="1"/>
      <c r="AT1073" s="1"/>
      <c r="AU1073" s="178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</row>
    <row r="1074" spans="1:88" s="22" customFormat="1">
      <c r="A1074" s="1">
        <v>599</v>
      </c>
      <c r="B1074" s="34" t="s">
        <v>994</v>
      </c>
      <c r="C1074" s="34">
        <v>554</v>
      </c>
      <c r="D1074" s="109">
        <v>201</v>
      </c>
      <c r="E1074" s="34">
        <v>405</v>
      </c>
      <c r="F1074" s="9" t="s">
        <v>1002</v>
      </c>
      <c r="G1074" s="118">
        <v>341241</v>
      </c>
      <c r="H1074" s="118">
        <v>382228</v>
      </c>
      <c r="I1074" s="35">
        <v>40.987000000000002</v>
      </c>
      <c r="J1074" s="238">
        <v>4</v>
      </c>
      <c r="K1074" s="34" t="s">
        <v>96</v>
      </c>
      <c r="L1074" s="10">
        <v>42186</v>
      </c>
      <c r="M1074" s="37" t="s">
        <v>191</v>
      </c>
      <c r="N1074" s="38">
        <v>24.83</v>
      </c>
      <c r="O1074" s="38">
        <v>8.83</v>
      </c>
      <c r="P1074" s="38">
        <v>3.96</v>
      </c>
      <c r="Q1074" s="38">
        <v>3.38</v>
      </c>
      <c r="R1074" s="38">
        <v>2.9660000000000002</v>
      </c>
      <c r="S1074" s="38">
        <f t="shared" si="137"/>
        <v>3</v>
      </c>
      <c r="T1074" s="38">
        <v>35.68</v>
      </c>
      <c r="U1074" s="38">
        <v>3.6</v>
      </c>
      <c r="V1074" s="38">
        <v>1.03</v>
      </c>
      <c r="W1074" s="38">
        <v>0.68</v>
      </c>
      <c r="X1074" s="38">
        <v>6.47</v>
      </c>
      <c r="Y1074" s="38">
        <f t="shared" si="138"/>
        <v>6.5</v>
      </c>
      <c r="Z1074" s="38">
        <v>0</v>
      </c>
      <c r="AA1074" s="38">
        <v>0</v>
      </c>
      <c r="AB1074" s="38">
        <v>40.99</v>
      </c>
      <c r="AC1074" s="38">
        <v>1.1399999999999999</v>
      </c>
      <c r="AD1074" s="39">
        <v>212</v>
      </c>
      <c r="AE1074" s="38">
        <v>0</v>
      </c>
      <c r="AF1074" s="38">
        <v>0.14778204936059866</v>
      </c>
      <c r="AG1074" s="38">
        <f t="shared" si="139"/>
        <v>0.1</v>
      </c>
      <c r="AH1074" s="38">
        <v>68</v>
      </c>
      <c r="AI1074" s="38">
        <v>4.7401789417550515E-2</v>
      </c>
      <c r="AJ1074" s="38">
        <v>0</v>
      </c>
      <c r="AK1074" s="38">
        <v>0</v>
      </c>
      <c r="AL1074" s="38">
        <v>0</v>
      </c>
      <c r="AM1074" s="38">
        <f>AL1074/(3.5*I1074*1000)*100</f>
        <v>0</v>
      </c>
      <c r="AN1074" s="60"/>
      <c r="AO1074" s="60">
        <f>AE1074*0.5</f>
        <v>0</v>
      </c>
      <c r="AP1074" s="60">
        <f>(AD1074+AH1074+AJ1074+AL1074+AO1074)*I1074</f>
        <v>11476.36</v>
      </c>
      <c r="AQ1074" s="25">
        <f>SUM(N1074:Q1074)</f>
        <v>41</v>
      </c>
      <c r="AR1074" s="25">
        <f>SUM(T1074:W1074)</f>
        <v>40.99</v>
      </c>
      <c r="AS1074" s="268">
        <v>40.987000000000002</v>
      </c>
      <c r="AT1074" s="40"/>
      <c r="AU1074" s="49">
        <f>SUM(N1074:Q1074)</f>
        <v>41</v>
      </c>
      <c r="AV1074" s="41">
        <f>SUM(T1074:W1074)</f>
        <v>40.99</v>
      </c>
      <c r="AW1074" s="41">
        <f>SUM(Z1074:AB1074)</f>
        <v>40.99</v>
      </c>
      <c r="AY1074" s="22">
        <f>I1074/AU1074</f>
        <v>0.99968292682926829</v>
      </c>
      <c r="AZ1074" s="22">
        <f>I1074/AV1074</f>
        <v>0.9999268114174189</v>
      </c>
      <c r="BA1074" s="22">
        <f>I1074/AW1074</f>
        <v>0.9999268114174189</v>
      </c>
      <c r="BB1074" s="61"/>
      <c r="BC1074" s="61"/>
      <c r="BD1074" s="61"/>
      <c r="BE1074" s="61"/>
      <c r="BF1074" s="61"/>
      <c r="BG1074" s="61"/>
      <c r="BH1074" s="61"/>
      <c r="BI1074" s="61"/>
      <c r="BJ1074" s="61"/>
      <c r="BK1074" s="61"/>
      <c r="BL1074" s="61"/>
      <c r="BM1074" s="61"/>
      <c r="BN1074" s="61"/>
      <c r="BO1074" s="61"/>
      <c r="BP1074" s="61"/>
      <c r="BQ1074" s="61"/>
      <c r="BR1074" s="61"/>
      <c r="BS1074" s="61"/>
      <c r="BT1074" s="61"/>
      <c r="BU1074" s="61"/>
      <c r="BV1074" s="61"/>
      <c r="BW1074" s="61"/>
      <c r="BX1074" s="61"/>
      <c r="BY1074" s="61"/>
      <c r="BZ1074" s="61"/>
      <c r="CA1074" s="61"/>
      <c r="CB1074" s="61"/>
      <c r="CC1074" s="61"/>
      <c r="CD1074" s="61"/>
      <c r="CE1074" s="61"/>
      <c r="CF1074" s="61"/>
      <c r="CG1074" s="61"/>
      <c r="CH1074" s="61"/>
      <c r="CI1074" s="61"/>
      <c r="CJ1074" s="61"/>
    </row>
    <row r="1075" spans="1:88" s="22" customFormat="1">
      <c r="A1075" s="1">
        <v>836</v>
      </c>
      <c r="B1075" s="34" t="s">
        <v>1231</v>
      </c>
      <c r="C1075" s="34">
        <v>615</v>
      </c>
      <c r="D1075" s="109">
        <v>24</v>
      </c>
      <c r="E1075" s="34">
        <v>401</v>
      </c>
      <c r="F1075" s="34" t="s">
        <v>1232</v>
      </c>
      <c r="G1075" s="58">
        <v>191746</v>
      </c>
      <c r="H1075" s="58">
        <v>171872</v>
      </c>
      <c r="I1075" s="35">
        <v>19.873999999999999</v>
      </c>
      <c r="J1075" s="238">
        <v>4</v>
      </c>
      <c r="K1075" s="34" t="s">
        <v>12</v>
      </c>
      <c r="L1075" s="10">
        <v>42134</v>
      </c>
      <c r="M1075" s="37" t="s">
        <v>191</v>
      </c>
      <c r="N1075" s="38">
        <v>12.2</v>
      </c>
      <c r="O1075" s="38">
        <v>5.1749999999999998</v>
      </c>
      <c r="P1075" s="38">
        <v>1.7749999999999999</v>
      </c>
      <c r="Q1075" s="38">
        <v>0.7</v>
      </c>
      <c r="R1075" s="38">
        <v>2.48237</v>
      </c>
      <c r="S1075" s="38">
        <f t="shared" si="137"/>
        <v>2.5</v>
      </c>
      <c r="T1075" s="38">
        <v>17.274999999999999</v>
      </c>
      <c r="U1075" s="38">
        <v>2.15</v>
      </c>
      <c r="V1075" s="38">
        <v>0.375</v>
      </c>
      <c r="W1075" s="38">
        <v>0.05</v>
      </c>
      <c r="X1075" s="38">
        <v>6.1207799999999999</v>
      </c>
      <c r="Y1075" s="38">
        <f t="shared" si="138"/>
        <v>6</v>
      </c>
      <c r="Z1075" s="38">
        <v>0</v>
      </c>
      <c r="AA1075" s="38">
        <v>0</v>
      </c>
      <c r="AB1075" s="38">
        <f>N1075+O1075+P1075+Q1075</f>
        <v>19.849999999999998</v>
      </c>
      <c r="AC1075" s="38">
        <v>1.0166200000000001</v>
      </c>
      <c r="AD1075" s="39">
        <v>102.63</v>
      </c>
      <c r="AE1075" s="38">
        <v>0</v>
      </c>
      <c r="AF1075" s="38">
        <v>0.14754</v>
      </c>
      <c r="AG1075" s="38">
        <f t="shared" si="139"/>
        <v>0.1</v>
      </c>
      <c r="AH1075" s="38">
        <v>622.87</v>
      </c>
      <c r="AI1075" s="38">
        <v>0.89546000000000003</v>
      </c>
      <c r="AJ1075" s="38">
        <v>0</v>
      </c>
      <c r="AK1075" s="38">
        <v>0</v>
      </c>
      <c r="AL1075" s="38">
        <v>0.4</v>
      </c>
      <c r="AM1075" s="38">
        <v>5.8E-4</v>
      </c>
      <c r="AN1075" s="25"/>
      <c r="AO1075" s="25">
        <f>AE1075*0.5</f>
        <v>0</v>
      </c>
      <c r="AP1075" s="25">
        <f>(AD1075+AH1075+AJ1075+AL1075+AO1075)*I1075</f>
        <v>14426.536599999999</v>
      </c>
      <c r="AQ1075" s="25">
        <f>SUM(N1075:Q1075)</f>
        <v>19.849999999999998</v>
      </c>
      <c r="AR1075" s="25">
        <f>SUM(T1075:W1075)</f>
        <v>19.849999999999998</v>
      </c>
      <c r="AS1075" s="268">
        <v>19.873999999999999</v>
      </c>
      <c r="AT1075" s="41"/>
      <c r="AU1075" s="49"/>
      <c r="AV1075" s="41"/>
      <c r="AW1075" s="41"/>
    </row>
    <row r="1076" spans="1:88" s="22" customFormat="1">
      <c r="A1076" s="1">
        <v>909</v>
      </c>
      <c r="B1076" s="34" t="s">
        <v>1302</v>
      </c>
      <c r="C1076" s="34">
        <v>636</v>
      </c>
      <c r="D1076" s="226">
        <v>2085</v>
      </c>
      <c r="E1076" s="34">
        <v>100</v>
      </c>
      <c r="F1076" s="34" t="s">
        <v>1303</v>
      </c>
      <c r="G1076" s="58">
        <v>1000</v>
      </c>
      <c r="H1076" s="58">
        <v>56910</v>
      </c>
      <c r="I1076" s="35">
        <v>55.91</v>
      </c>
      <c r="J1076" s="238">
        <v>2</v>
      </c>
      <c r="K1076" s="34" t="s">
        <v>238</v>
      </c>
      <c r="L1076" s="245">
        <v>42137</v>
      </c>
      <c r="M1076" s="37" t="s">
        <v>191</v>
      </c>
      <c r="N1076" s="147">
        <v>40.348610226634193</v>
      </c>
      <c r="O1076" s="147">
        <v>10.608134482112755</v>
      </c>
      <c r="P1076" s="147">
        <v>3.3300955235062744</v>
      </c>
      <c r="Q1076" s="147">
        <v>1.6231597677467688</v>
      </c>
      <c r="R1076" s="38">
        <v>2.7829999999999999</v>
      </c>
      <c r="S1076" s="38">
        <f t="shared" si="137"/>
        <v>3</v>
      </c>
      <c r="T1076" s="147">
        <v>53.3436393442623</v>
      </c>
      <c r="U1076" s="147">
        <v>1.8854894613583142</v>
      </c>
      <c r="V1076" s="147">
        <v>0.31424824355971898</v>
      </c>
      <c r="W1076" s="147">
        <v>0.36662295081967217</v>
      </c>
      <c r="X1076" s="38">
        <v>5.8680000000000003</v>
      </c>
      <c r="Y1076" s="38">
        <f t="shared" si="138"/>
        <v>6</v>
      </c>
      <c r="Z1076" s="38">
        <v>0</v>
      </c>
      <c r="AA1076" s="38">
        <v>0</v>
      </c>
      <c r="AB1076" s="38">
        <v>55.91</v>
      </c>
      <c r="AC1076" s="38">
        <v>1.462</v>
      </c>
      <c r="AD1076" s="39">
        <v>205.86</v>
      </c>
      <c r="AE1076" s="38">
        <v>140.46</v>
      </c>
      <c r="AF1076" s="38">
        <v>0.14721999999999999</v>
      </c>
      <c r="AG1076" s="38">
        <f t="shared" si="139"/>
        <v>0.1</v>
      </c>
      <c r="AH1076" s="38">
        <v>2.2599999999999998</v>
      </c>
      <c r="AI1076" s="38">
        <v>1.2099999999999999E-3</v>
      </c>
      <c r="AJ1076" s="38">
        <v>660.03</v>
      </c>
      <c r="AK1076" s="38">
        <v>0.35195300000000002</v>
      </c>
      <c r="AL1076" s="38">
        <v>0</v>
      </c>
      <c r="AM1076" s="38">
        <v>0</v>
      </c>
      <c r="AN1076" s="25"/>
      <c r="AO1076" s="25">
        <f>AE1076*0.5</f>
        <v>70.23</v>
      </c>
      <c r="AP1076" s="25">
        <f>(AD1076+AH1076+AJ1076+AL1076+AO1076)*I1076</f>
        <v>52464.825799999999</v>
      </c>
      <c r="AQ1076" s="25"/>
      <c r="AR1076" s="25"/>
      <c r="AS1076" s="25">
        <f>SUM(N1076:Q1076)</f>
        <v>55.909999999999989</v>
      </c>
      <c r="AT1076" s="25">
        <f>SUM(T1076:W1076)</f>
        <v>55.910000000000004</v>
      </c>
      <c r="AU1076" s="48"/>
      <c r="AV1076" s="41"/>
      <c r="AW1076" s="41"/>
      <c r="AX1076" s="41"/>
      <c r="AY1076" s="41"/>
    </row>
    <row r="1077" spans="1:88" s="22" customFormat="1">
      <c r="A1077" s="1">
        <v>2154</v>
      </c>
      <c r="B1077" s="34" t="s">
        <v>2790</v>
      </c>
      <c r="C1077" s="34">
        <v>331</v>
      </c>
      <c r="D1077" s="229">
        <v>4091</v>
      </c>
      <c r="E1077" s="211">
        <v>101</v>
      </c>
      <c r="F1077" s="9" t="s">
        <v>2793</v>
      </c>
      <c r="G1077" s="20" t="s">
        <v>2794</v>
      </c>
      <c r="H1077" s="210">
        <v>0</v>
      </c>
      <c r="I1077" s="9">
        <v>56.173000000000002</v>
      </c>
      <c r="J1077" s="107">
        <v>2</v>
      </c>
      <c r="K1077" s="9" t="s">
        <v>12</v>
      </c>
      <c r="L1077" s="18">
        <v>42303</v>
      </c>
      <c r="M1077" s="37" t="s">
        <v>191</v>
      </c>
      <c r="N1077" s="38">
        <v>40.274999999999999</v>
      </c>
      <c r="O1077" s="38">
        <v>12.525</v>
      </c>
      <c r="P1077" s="38">
        <v>3.375</v>
      </c>
      <c r="Q1077" s="38">
        <v>0</v>
      </c>
      <c r="R1077" s="38">
        <v>3.153</v>
      </c>
      <c r="S1077" s="38">
        <f t="shared" si="137"/>
        <v>3</v>
      </c>
      <c r="T1077" s="38">
        <v>39.274999999999999</v>
      </c>
      <c r="U1077" s="38">
        <v>15.9</v>
      </c>
      <c r="V1077" s="38">
        <v>1</v>
      </c>
      <c r="W1077" s="38">
        <v>0</v>
      </c>
      <c r="X1077" s="38">
        <v>2.3140000000000001</v>
      </c>
      <c r="Y1077" s="38">
        <f t="shared" si="138"/>
        <v>2.5</v>
      </c>
      <c r="Z1077" s="38">
        <v>0</v>
      </c>
      <c r="AA1077" s="38">
        <v>0</v>
      </c>
      <c r="AB1077" s="38">
        <v>56.174999999999997</v>
      </c>
      <c r="AC1077" s="38">
        <v>1.218</v>
      </c>
      <c r="AD1077" s="39">
        <v>254.12</v>
      </c>
      <c r="AE1077" s="38">
        <v>69.81</v>
      </c>
      <c r="AF1077" s="38">
        <f>(AD1077+AE1077*0.5)/(3.5*I1077*1000)*100</f>
        <v>0.14700758625775984</v>
      </c>
      <c r="AG1077" s="38">
        <f t="shared" si="139"/>
        <v>0.1</v>
      </c>
      <c r="AH1077" s="38">
        <v>168.23</v>
      </c>
      <c r="AI1077" s="38">
        <f>AH1077/(3.5*I1077*1000)*100</f>
        <v>8.5567290843847191E-2</v>
      </c>
      <c r="AJ1077" s="38">
        <v>0</v>
      </c>
      <c r="AK1077" s="38">
        <f>AJ1077/(3.5*I1077*1000)*100</f>
        <v>0</v>
      </c>
      <c r="AL1077" s="38">
        <v>5</v>
      </c>
      <c r="AM1077" s="38">
        <f>AL1077/(3.5*I1077*1000)*100</f>
        <v>2.543163848417262E-3</v>
      </c>
      <c r="AN1077" s="25"/>
      <c r="AO1077" s="25"/>
      <c r="AU1077" s="48"/>
    </row>
    <row r="1078" spans="1:88" s="22" customFormat="1">
      <c r="A1078" s="1">
        <v>1158</v>
      </c>
      <c r="B1078" s="74" t="s">
        <v>1577</v>
      </c>
      <c r="C1078" s="34">
        <v>432</v>
      </c>
      <c r="D1078" s="109">
        <v>3224</v>
      </c>
      <c r="E1078" s="34">
        <v>101</v>
      </c>
      <c r="F1078" s="34" t="s">
        <v>1618</v>
      </c>
      <c r="G1078" s="34" t="s">
        <v>92</v>
      </c>
      <c r="H1078" s="34" t="s">
        <v>279</v>
      </c>
      <c r="I1078" s="55">
        <v>10</v>
      </c>
      <c r="J1078" s="109">
        <v>2</v>
      </c>
      <c r="K1078" s="181" t="s">
        <v>238</v>
      </c>
      <c r="L1078" s="10">
        <v>42282</v>
      </c>
      <c r="M1078" s="37" t="s">
        <v>191</v>
      </c>
      <c r="N1078" s="38">
        <v>4.8</v>
      </c>
      <c r="O1078" s="38">
        <v>3.0249999999999999</v>
      </c>
      <c r="P1078" s="38">
        <v>1.4750000000000001</v>
      </c>
      <c r="Q1078" s="38">
        <v>0.72499999999999998</v>
      </c>
      <c r="R1078" s="38">
        <v>2.9321700000000002</v>
      </c>
      <c r="S1078" s="38">
        <f t="shared" si="137"/>
        <v>3</v>
      </c>
      <c r="T1078" s="38">
        <v>9.15</v>
      </c>
      <c r="U1078" s="38">
        <v>0.55000000000000004</v>
      </c>
      <c r="V1078" s="38">
        <v>0.125</v>
      </c>
      <c r="W1078" s="38">
        <v>0.2</v>
      </c>
      <c r="X1078" s="38">
        <v>4.69733</v>
      </c>
      <c r="Y1078" s="38">
        <f t="shared" si="138"/>
        <v>4.5</v>
      </c>
      <c r="Z1078" s="38">
        <v>0</v>
      </c>
      <c r="AA1078" s="38">
        <v>0</v>
      </c>
      <c r="AB1078" s="38">
        <v>10.024999999999999</v>
      </c>
      <c r="AC1078" s="38">
        <v>1.19868</v>
      </c>
      <c r="AD1078" s="39">
        <v>48.63</v>
      </c>
      <c r="AE1078" s="38">
        <v>5.625</v>
      </c>
      <c r="AF1078" s="38">
        <v>0.146979</v>
      </c>
      <c r="AG1078" s="38">
        <f t="shared" si="139"/>
        <v>0.1</v>
      </c>
      <c r="AH1078" s="38">
        <v>37.979999999999997</v>
      </c>
      <c r="AI1078" s="38">
        <v>0.108514</v>
      </c>
      <c r="AJ1078" s="38">
        <v>0</v>
      </c>
      <c r="AK1078" s="38">
        <v>0</v>
      </c>
      <c r="AL1078" s="38">
        <v>0</v>
      </c>
      <c r="AM1078" s="38">
        <v>0</v>
      </c>
      <c r="AN1078" s="114"/>
      <c r="AO1078" s="73"/>
      <c r="AP1078" s="1"/>
      <c r="AQ1078" s="1"/>
      <c r="AR1078" s="1"/>
      <c r="AS1078" s="1"/>
      <c r="AT1078" s="1"/>
      <c r="AU1078" s="178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</row>
    <row r="1079" spans="1:88" s="22" customFormat="1">
      <c r="A1079" s="1">
        <v>1206</v>
      </c>
      <c r="B1079" s="34" t="s">
        <v>1674</v>
      </c>
      <c r="C1079" s="34">
        <v>435</v>
      </c>
      <c r="D1079" s="109">
        <v>2256</v>
      </c>
      <c r="E1079" s="34">
        <v>101</v>
      </c>
      <c r="F1079" s="34" t="s">
        <v>1697</v>
      </c>
      <c r="G1079" s="34" t="s">
        <v>92</v>
      </c>
      <c r="H1079" s="34" t="s">
        <v>1698</v>
      </c>
      <c r="I1079" s="55">
        <v>16.905000000000001</v>
      </c>
      <c r="J1079" s="109">
        <v>2</v>
      </c>
      <c r="K1079" s="181" t="s">
        <v>238</v>
      </c>
      <c r="L1079" s="10">
        <v>42282</v>
      </c>
      <c r="M1079" s="37" t="s">
        <v>191</v>
      </c>
      <c r="N1079" s="38">
        <v>8.65</v>
      </c>
      <c r="O1079" s="38">
        <v>5.8</v>
      </c>
      <c r="P1079" s="38">
        <v>2.1749999999999998</v>
      </c>
      <c r="Q1079" s="38">
        <v>0.55000000000000004</v>
      </c>
      <c r="R1079" s="38">
        <v>2.6834600000000002</v>
      </c>
      <c r="S1079" s="38">
        <f t="shared" si="137"/>
        <v>2.5</v>
      </c>
      <c r="T1079" s="38">
        <v>16.024999999999999</v>
      </c>
      <c r="U1079" s="38">
        <v>0.9</v>
      </c>
      <c r="V1079" s="38">
        <v>0.15</v>
      </c>
      <c r="W1079" s="38">
        <v>0.1</v>
      </c>
      <c r="X1079" s="38">
        <v>5.0122299999999997</v>
      </c>
      <c r="Y1079" s="38">
        <f t="shared" si="138"/>
        <v>5</v>
      </c>
      <c r="Z1079" s="38">
        <v>0</v>
      </c>
      <c r="AA1079" s="38">
        <v>0</v>
      </c>
      <c r="AB1079" s="55">
        <v>16.905000000000001</v>
      </c>
      <c r="AC1079" s="38">
        <v>1.3496900000000001</v>
      </c>
      <c r="AD1079" s="39">
        <v>84.68</v>
      </c>
      <c r="AE1079" s="38">
        <v>4.1500000000000004</v>
      </c>
      <c r="AF1079" s="38">
        <f>(AD1079+AE1079*0.5)/(3.5*I1079*1000)*100</f>
        <v>0.14662610385769215</v>
      </c>
      <c r="AG1079" s="38">
        <f t="shared" si="139"/>
        <v>0.1</v>
      </c>
      <c r="AH1079" s="38">
        <v>96.314999999999998</v>
      </c>
      <c r="AI1079" s="38">
        <v>0.16278400000000001</v>
      </c>
      <c r="AJ1079" s="38">
        <v>0</v>
      </c>
      <c r="AK1079" s="38">
        <v>0</v>
      </c>
      <c r="AL1079" s="38">
        <v>0</v>
      </c>
      <c r="AM1079" s="38">
        <v>0</v>
      </c>
      <c r="AN1079" s="12"/>
      <c r="AO1079" s="1"/>
      <c r="AP1079" s="1"/>
      <c r="AQ1079" s="1"/>
      <c r="AR1079" s="1"/>
      <c r="AS1079" s="1"/>
      <c r="AT1079" s="1"/>
      <c r="AU1079" s="178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</row>
    <row r="1080" spans="1:88" s="22" customFormat="1">
      <c r="A1080" s="1">
        <v>463</v>
      </c>
      <c r="B1080" s="74" t="s">
        <v>780</v>
      </c>
      <c r="C1080" s="34">
        <v>515</v>
      </c>
      <c r="D1080" s="109">
        <v>1115</v>
      </c>
      <c r="E1080" s="34">
        <v>200</v>
      </c>
      <c r="F1080" s="34" t="s">
        <v>789</v>
      </c>
      <c r="G1080" s="34" t="s">
        <v>790</v>
      </c>
      <c r="H1080" s="34" t="s">
        <v>791</v>
      </c>
      <c r="I1080" s="55">
        <v>15.239000000000001</v>
      </c>
      <c r="J1080" s="105" t="s">
        <v>12</v>
      </c>
      <c r="K1080" s="34">
        <v>2</v>
      </c>
      <c r="L1080" s="10">
        <v>42269</v>
      </c>
      <c r="M1080" s="37" t="s">
        <v>191</v>
      </c>
      <c r="N1080" s="38">
        <v>9.625</v>
      </c>
      <c r="O1080" s="38">
        <v>3.1749999999999998</v>
      </c>
      <c r="P1080" s="38">
        <v>1.5</v>
      </c>
      <c r="Q1080" s="38">
        <v>1</v>
      </c>
      <c r="R1080" s="38">
        <v>2.6190000000000002</v>
      </c>
      <c r="S1080" s="38">
        <f t="shared" si="137"/>
        <v>2.5</v>
      </c>
      <c r="T1080" s="38">
        <v>14.775</v>
      </c>
      <c r="U1080" s="38">
        <v>0.42499999999999999</v>
      </c>
      <c r="V1080" s="38">
        <v>7.4999999999999997E-2</v>
      </c>
      <c r="W1080" s="38">
        <v>2.5000000000000001E-2</v>
      </c>
      <c r="X1080" s="38">
        <v>4.423</v>
      </c>
      <c r="Y1080" s="38">
        <f t="shared" si="138"/>
        <v>4.5</v>
      </c>
      <c r="Z1080" s="38">
        <v>0</v>
      </c>
      <c r="AA1080" s="38">
        <v>0</v>
      </c>
      <c r="AB1080" s="38">
        <v>15.3</v>
      </c>
      <c r="AC1080" s="38">
        <v>1.1299999999999999</v>
      </c>
      <c r="AD1080" s="39">
        <v>63.21</v>
      </c>
      <c r="AE1080" s="38">
        <v>29.87</v>
      </c>
      <c r="AF1080" s="38">
        <f>(AD1080+AE1080*0.5)/(3.5*I1080*1000)*100</f>
        <v>0.14651317578018805</v>
      </c>
      <c r="AG1080" s="38">
        <f t="shared" si="139"/>
        <v>0.1</v>
      </c>
      <c r="AH1080" s="38">
        <v>62.21</v>
      </c>
      <c r="AI1080" s="38">
        <f>AH1080/(3.5*I1080*1000)*100</f>
        <v>0.11663682468853412</v>
      </c>
      <c r="AJ1080" s="38">
        <v>5.8</v>
      </c>
      <c r="AK1080" s="38">
        <f>AJ1080/(3.5*I1080*1000)*100</f>
        <v>1.0874354335211346E-2</v>
      </c>
      <c r="AL1080" s="38">
        <v>1</v>
      </c>
      <c r="AM1080" s="38">
        <f>AL1080/(3.5*I1080*1000)*100</f>
        <v>1.8748886784847149E-3</v>
      </c>
      <c r="AN1080" s="41"/>
      <c r="AO1080" s="41"/>
      <c r="AP1080" s="114"/>
      <c r="AQ1080" s="73"/>
      <c r="AR1080" s="73"/>
      <c r="AS1080" s="73"/>
      <c r="AU1080" s="48"/>
    </row>
    <row r="1081" spans="1:88" s="22" customFormat="1">
      <c r="A1081" s="1">
        <v>246</v>
      </c>
      <c r="B1081" s="34" t="s">
        <v>436</v>
      </c>
      <c r="C1081" s="34">
        <v>537</v>
      </c>
      <c r="D1081" s="109">
        <v>1290</v>
      </c>
      <c r="E1081" s="34">
        <v>102</v>
      </c>
      <c r="F1081" s="34" t="s">
        <v>463</v>
      </c>
      <c r="G1081" s="20">
        <v>74167</v>
      </c>
      <c r="H1081" s="20">
        <v>93027</v>
      </c>
      <c r="I1081" s="35">
        <v>18.86</v>
      </c>
      <c r="J1081" s="241">
        <v>2</v>
      </c>
      <c r="K1081" s="34" t="s">
        <v>12</v>
      </c>
      <c r="L1081" s="10">
        <v>42199</v>
      </c>
      <c r="M1081" s="37" t="s">
        <v>191</v>
      </c>
      <c r="N1081" s="38">
        <v>6.22</v>
      </c>
      <c r="O1081" s="38">
        <v>5.26</v>
      </c>
      <c r="P1081" s="38">
        <v>3.1</v>
      </c>
      <c r="Q1081" s="38">
        <v>4.29</v>
      </c>
      <c r="R1081" s="38">
        <v>3.8673899999999999</v>
      </c>
      <c r="S1081" s="38">
        <f t="shared" si="137"/>
        <v>4</v>
      </c>
      <c r="T1081" s="38">
        <v>16.850000000000001</v>
      </c>
      <c r="U1081" s="38">
        <v>1.47</v>
      </c>
      <c r="V1081" s="38">
        <v>0.34</v>
      </c>
      <c r="W1081" s="38">
        <v>0.2</v>
      </c>
      <c r="X1081" s="38">
        <v>5.1821700000000002</v>
      </c>
      <c r="Y1081" s="38">
        <f t="shared" si="138"/>
        <v>5</v>
      </c>
      <c r="Z1081" s="38">
        <v>0</v>
      </c>
      <c r="AA1081" s="38">
        <v>0.08</v>
      </c>
      <c r="AB1081" s="38">
        <v>18.78</v>
      </c>
      <c r="AC1081" s="38">
        <v>1.4314100000000001</v>
      </c>
      <c r="AD1081" s="39">
        <v>87</v>
      </c>
      <c r="AE1081" s="38">
        <v>19.32</v>
      </c>
      <c r="AF1081" s="38">
        <v>0.14643235873352525</v>
      </c>
      <c r="AG1081" s="38">
        <f t="shared" si="139"/>
        <v>0.1</v>
      </c>
      <c r="AH1081" s="38">
        <v>1245</v>
      </c>
      <c r="AI1081" s="38">
        <v>1.8860778669898504</v>
      </c>
      <c r="AJ1081" s="38">
        <v>100</v>
      </c>
      <c r="AK1081" s="55">
        <v>0.15149219815179521</v>
      </c>
      <c r="AL1081" s="55">
        <v>1137</v>
      </c>
      <c r="AM1081" s="55">
        <v>1.7224662929859116</v>
      </c>
      <c r="AN1081" s="40"/>
      <c r="AO1081" s="25">
        <f>SUM(N1081:Q1081)</f>
        <v>18.87</v>
      </c>
      <c r="AP1081" s="25">
        <f>SUM(T1081:W1081)</f>
        <v>18.86</v>
      </c>
      <c r="AQ1081" s="268">
        <v>18.86</v>
      </c>
      <c r="AR1081" s="41"/>
      <c r="AS1081" s="41"/>
      <c r="AT1081" s="41"/>
      <c r="AU1081" s="49">
        <f>SUM(N1081:Q1081)</f>
        <v>18.87</v>
      </c>
      <c r="AV1081" s="41">
        <f>SUM(T1081:W1081)</f>
        <v>18.86</v>
      </c>
      <c r="AW1081" s="41">
        <f>SUM(Z1081:AB1081)</f>
        <v>18.86</v>
      </c>
      <c r="AY1081" s="22">
        <f>I1081/AU1081</f>
        <v>0.99947005829358759</v>
      </c>
      <c r="AZ1081" s="22">
        <f>I1081/AV1081</f>
        <v>1</v>
      </c>
      <c r="BA1081" s="22">
        <f>I1081/AW1081</f>
        <v>1</v>
      </c>
    </row>
    <row r="1082" spans="1:88" s="22" customFormat="1">
      <c r="A1082" s="1">
        <v>178</v>
      </c>
      <c r="B1082" s="34" t="s">
        <v>332</v>
      </c>
      <c r="C1082" s="34">
        <v>533</v>
      </c>
      <c r="D1082" s="109">
        <v>1208</v>
      </c>
      <c r="E1082" s="34">
        <v>100</v>
      </c>
      <c r="F1082" s="34" t="s">
        <v>358</v>
      </c>
      <c r="G1082" s="20" t="s">
        <v>359</v>
      </c>
      <c r="H1082" s="20" t="s">
        <v>360</v>
      </c>
      <c r="I1082" s="35">
        <v>4.6890000000000001</v>
      </c>
      <c r="J1082" s="241">
        <v>2</v>
      </c>
      <c r="K1082" s="34" t="s">
        <v>238</v>
      </c>
      <c r="L1082" s="10">
        <v>42203</v>
      </c>
      <c r="M1082" s="37" t="s">
        <v>191</v>
      </c>
      <c r="N1082" s="38">
        <v>4.21</v>
      </c>
      <c r="O1082" s="38">
        <v>0.23</v>
      </c>
      <c r="P1082" s="38">
        <v>0.15</v>
      </c>
      <c r="Q1082" s="38">
        <v>0.1</v>
      </c>
      <c r="R1082" s="38">
        <v>1.83978</v>
      </c>
      <c r="S1082" s="38">
        <f t="shared" si="137"/>
        <v>2</v>
      </c>
      <c r="T1082" s="38">
        <v>4.54</v>
      </c>
      <c r="U1082" s="38">
        <v>0.1</v>
      </c>
      <c r="V1082" s="38">
        <v>0.05</v>
      </c>
      <c r="W1082" s="38">
        <v>0</v>
      </c>
      <c r="X1082" s="38">
        <v>4.5885199999999999</v>
      </c>
      <c r="Y1082" s="38">
        <f t="shared" si="138"/>
        <v>4.5</v>
      </c>
      <c r="Z1082" s="38">
        <v>0</v>
      </c>
      <c r="AA1082" s="38">
        <v>0</v>
      </c>
      <c r="AB1082" s="38">
        <v>4.6900000000000004</v>
      </c>
      <c r="AC1082" s="38">
        <v>1.12937</v>
      </c>
      <c r="AD1082" s="39">
        <v>24</v>
      </c>
      <c r="AE1082" s="38">
        <v>0</v>
      </c>
      <c r="AF1082" s="38">
        <f>(AD1082+AE1082*0.5)/(3.5*I1082*1000)*100</f>
        <v>0.14623891783200804</v>
      </c>
      <c r="AG1082" s="38">
        <f t="shared" si="139"/>
        <v>0.1</v>
      </c>
      <c r="AH1082" s="38">
        <v>0</v>
      </c>
      <c r="AI1082" s="38">
        <f>AH1082/(3.5*I1082*1000)*100</f>
        <v>0</v>
      </c>
      <c r="AJ1082" s="38">
        <v>0</v>
      </c>
      <c r="AK1082" s="38">
        <f>AJ1082/(3.5*I1082*1000)*100</f>
        <v>0</v>
      </c>
      <c r="AL1082" s="38">
        <v>0</v>
      </c>
      <c r="AM1082" s="38">
        <f>AL1082/(3.5*I1082*1000)*100</f>
        <v>0</v>
      </c>
      <c r="AN1082" s="25"/>
      <c r="AO1082" s="25">
        <f>AE1082*0.5</f>
        <v>0</v>
      </c>
      <c r="AP1082" s="25">
        <f>(AD1082+AH1082+AJ1082+AL1082+AO1082)*I1082</f>
        <v>112.536</v>
      </c>
      <c r="AQ1082" s="25"/>
      <c r="AR1082" s="25">
        <f>SUM(N1082:Q1082)</f>
        <v>4.6900000000000004</v>
      </c>
      <c r="AS1082" s="25">
        <f>SUM(T1082:W1082)</f>
        <v>4.6899999999999995</v>
      </c>
      <c r="AU1082" s="49">
        <f>SUM(N1082:Q1082)</f>
        <v>4.6900000000000004</v>
      </c>
      <c r="AV1082" s="41">
        <f>SUM(T1082:W1082)</f>
        <v>4.6899999999999995</v>
      </c>
      <c r="AW1082" s="41">
        <f>SUM(Z1082:AB1082)</f>
        <v>4.6900000000000004</v>
      </c>
      <c r="AX1082" s="41"/>
      <c r="AY1082" s="22">
        <f>I1082/AU1082</f>
        <v>0.9997867803837952</v>
      </c>
      <c r="AZ1082" s="22">
        <f>I1082/AV1082</f>
        <v>0.99978678038379543</v>
      </c>
      <c r="BA1082" s="22">
        <f>I1082/AW1082</f>
        <v>0.9997867803837952</v>
      </c>
    </row>
    <row r="1083" spans="1:88" s="22" customFormat="1">
      <c r="A1083" s="1">
        <v>1246</v>
      </c>
      <c r="B1083" s="34" t="s">
        <v>1725</v>
      </c>
      <c r="C1083" s="88">
        <v>437</v>
      </c>
      <c r="D1083" s="223">
        <v>3522</v>
      </c>
      <c r="E1083" s="88">
        <v>100</v>
      </c>
      <c r="F1083" s="88" t="s">
        <v>1766</v>
      </c>
      <c r="G1083" s="88" t="s">
        <v>167</v>
      </c>
      <c r="H1083" s="88" t="s">
        <v>92</v>
      </c>
      <c r="I1083" s="115">
        <v>4.3</v>
      </c>
      <c r="J1083" s="223">
        <v>2</v>
      </c>
      <c r="K1083" s="88" t="s">
        <v>12</v>
      </c>
      <c r="L1083" s="116">
        <v>42282</v>
      </c>
      <c r="M1083" s="37" t="s">
        <v>191</v>
      </c>
      <c r="N1083" s="38">
        <v>1.75</v>
      </c>
      <c r="O1083" s="38">
        <v>1.2</v>
      </c>
      <c r="P1083" s="38">
        <v>0.625</v>
      </c>
      <c r="Q1083" s="38">
        <v>0.67500000000000004</v>
      </c>
      <c r="R1083" s="38">
        <v>3.5246499999999998</v>
      </c>
      <c r="S1083" s="38">
        <f t="shared" si="137"/>
        <v>3.5</v>
      </c>
      <c r="T1083" s="38">
        <v>4.0750000000000002</v>
      </c>
      <c r="U1083" s="38">
        <v>0.125</v>
      </c>
      <c r="V1083" s="38">
        <v>0.05</v>
      </c>
      <c r="W1083" s="38">
        <v>0</v>
      </c>
      <c r="X1083" s="38">
        <v>3.12731</v>
      </c>
      <c r="Y1083" s="38">
        <f t="shared" si="138"/>
        <v>3</v>
      </c>
      <c r="Z1083" s="38">
        <v>0</v>
      </c>
      <c r="AA1083" s="117">
        <v>0</v>
      </c>
      <c r="AB1083" s="117">
        <v>4.3</v>
      </c>
      <c r="AC1083" s="117">
        <v>1.17384</v>
      </c>
      <c r="AD1083" s="254">
        <v>18.690000000000001</v>
      </c>
      <c r="AE1083" s="117">
        <v>6.55</v>
      </c>
      <c r="AF1083" s="117">
        <f>(AD1083+AE1083*0.5)/(3.5*I1083*1000)*100</f>
        <v>0.14594684385382062</v>
      </c>
      <c r="AG1083" s="38">
        <f t="shared" si="139"/>
        <v>0.1</v>
      </c>
      <c r="AH1083" s="117">
        <v>5.21</v>
      </c>
      <c r="AI1083" s="117">
        <f>AH1083/(3.5*I1083*1000)*100</f>
        <v>3.4617940199335555E-2</v>
      </c>
      <c r="AJ1083" s="117">
        <v>0</v>
      </c>
      <c r="AK1083" s="117">
        <f>AJ1083/(3.5*I1083*1000)*100</f>
        <v>0</v>
      </c>
      <c r="AL1083" s="117">
        <v>0</v>
      </c>
      <c r="AM1083" s="117">
        <f>AJ1083/(3.5*I1083*1000)*100</f>
        <v>0</v>
      </c>
      <c r="AN1083" s="12"/>
      <c r="AO1083" s="1"/>
      <c r="AP1083" s="1"/>
      <c r="AQ1083" s="1"/>
      <c r="AR1083" s="1"/>
      <c r="AS1083" s="1"/>
      <c r="AT1083" s="1"/>
      <c r="AU1083" s="178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</row>
    <row r="1084" spans="1:88" s="22" customFormat="1">
      <c r="A1084" s="1">
        <v>507</v>
      </c>
      <c r="B1084" s="88" t="s">
        <v>821</v>
      </c>
      <c r="C1084" s="88">
        <v>519</v>
      </c>
      <c r="D1084" s="223">
        <v>1374</v>
      </c>
      <c r="E1084" s="88">
        <v>102</v>
      </c>
      <c r="F1084" s="88" t="s">
        <v>865</v>
      </c>
      <c r="G1084" s="88" t="s">
        <v>866</v>
      </c>
      <c r="H1084" s="88" t="s">
        <v>867</v>
      </c>
      <c r="I1084" s="115">
        <v>15.455</v>
      </c>
      <c r="J1084" s="223" t="s">
        <v>238</v>
      </c>
      <c r="K1084" s="34">
        <v>2</v>
      </c>
      <c r="L1084" s="10">
        <v>42277</v>
      </c>
      <c r="M1084" s="37" t="s">
        <v>191</v>
      </c>
      <c r="N1084" s="38">
        <v>12.37</v>
      </c>
      <c r="O1084" s="38">
        <v>1.55</v>
      </c>
      <c r="P1084" s="38">
        <v>0</v>
      </c>
      <c r="Q1084" s="38">
        <v>1.55</v>
      </c>
      <c r="R1084" s="38">
        <v>2.6132599999999999</v>
      </c>
      <c r="S1084" s="38">
        <f t="shared" si="137"/>
        <v>2.5</v>
      </c>
      <c r="T1084" s="38">
        <v>14.88</v>
      </c>
      <c r="U1084" s="38">
        <v>0.56999999999999995</v>
      </c>
      <c r="V1084" s="38">
        <v>0</v>
      </c>
      <c r="W1084" s="38">
        <v>0</v>
      </c>
      <c r="X1084" s="147">
        <v>2.21421</v>
      </c>
      <c r="Y1084" s="38">
        <f t="shared" si="138"/>
        <v>2</v>
      </c>
      <c r="Z1084" s="38">
        <v>0</v>
      </c>
      <c r="AA1084" s="117">
        <v>0</v>
      </c>
      <c r="AB1084" s="117">
        <v>0.8</v>
      </c>
      <c r="AC1084" s="117">
        <v>1.2168399999999999</v>
      </c>
      <c r="AD1084" s="254">
        <v>76.126000000000005</v>
      </c>
      <c r="AE1084" s="117">
        <v>4.95</v>
      </c>
      <c r="AF1084" s="117">
        <v>0.14530799999999999</v>
      </c>
      <c r="AG1084" s="38">
        <f t="shared" si="139"/>
        <v>0.1</v>
      </c>
      <c r="AH1084" s="117">
        <v>85.67</v>
      </c>
      <c r="AI1084" s="117">
        <v>0.15837699999999999</v>
      </c>
      <c r="AJ1084" s="117">
        <v>0</v>
      </c>
      <c r="AK1084" s="117">
        <v>0</v>
      </c>
      <c r="AL1084" s="117">
        <v>0</v>
      </c>
      <c r="AM1084" s="117">
        <v>0</v>
      </c>
      <c r="AN1084" s="41"/>
      <c r="AO1084" s="41"/>
      <c r="AP1084" s="41"/>
      <c r="AQ1084" s="41">
        <f>SUM(N1084:Q1084)</f>
        <v>15.47</v>
      </c>
      <c r="AR1084" s="41">
        <f>SUM(T1084:W1084)</f>
        <v>15.450000000000001</v>
      </c>
      <c r="AS1084" s="41">
        <f>SUM(Z1084:AB1084)</f>
        <v>0.8</v>
      </c>
      <c r="AU1084" s="48">
        <f>I1084/AQ1084</f>
        <v>0.99903038138332256</v>
      </c>
      <c r="AV1084" s="22">
        <f>I1084/AR1084</f>
        <v>1.0003236245954692</v>
      </c>
      <c r="AW1084" s="22">
        <f>I1084/AS1084</f>
        <v>19.318749999999998</v>
      </c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</row>
    <row r="1085" spans="1:88" s="22" customFormat="1">
      <c r="A1085" s="1">
        <v>559</v>
      </c>
      <c r="B1085" s="34" t="s">
        <v>948</v>
      </c>
      <c r="C1085" s="34">
        <v>551</v>
      </c>
      <c r="D1085" s="109">
        <v>2271</v>
      </c>
      <c r="E1085" s="34">
        <v>100</v>
      </c>
      <c r="F1085" s="9" t="s">
        <v>960</v>
      </c>
      <c r="G1085" s="20">
        <v>0</v>
      </c>
      <c r="H1085" s="20">
        <v>10915</v>
      </c>
      <c r="I1085" s="35">
        <v>10.914999999999999</v>
      </c>
      <c r="J1085" s="238">
        <v>2</v>
      </c>
      <c r="K1085" s="34" t="s">
        <v>238</v>
      </c>
      <c r="L1085" s="10">
        <v>42193</v>
      </c>
      <c r="M1085" s="37" t="s">
        <v>191</v>
      </c>
      <c r="N1085" s="38">
        <v>9.74</v>
      </c>
      <c r="O1085" s="38">
        <v>0.9</v>
      </c>
      <c r="P1085" s="38">
        <v>0.18</v>
      </c>
      <c r="Q1085" s="38">
        <v>0.1</v>
      </c>
      <c r="R1085" s="38">
        <v>2.43207</v>
      </c>
      <c r="S1085" s="38">
        <f t="shared" si="137"/>
        <v>2.5</v>
      </c>
      <c r="T1085" s="38">
        <v>10.89</v>
      </c>
      <c r="U1085" s="38">
        <v>0.03</v>
      </c>
      <c r="V1085" s="38">
        <v>0</v>
      </c>
      <c r="W1085" s="38">
        <v>0</v>
      </c>
      <c r="X1085" s="38">
        <v>4.3859000000000004</v>
      </c>
      <c r="Y1085" s="38">
        <f t="shared" si="138"/>
        <v>4.5</v>
      </c>
      <c r="Z1085" s="38">
        <v>0</v>
      </c>
      <c r="AA1085" s="38">
        <v>0</v>
      </c>
      <c r="AB1085" s="38">
        <f>T1085+U1085+V1085+W1085</f>
        <v>10.92</v>
      </c>
      <c r="AC1085" s="38">
        <v>1.15404</v>
      </c>
      <c r="AD1085" s="39">
        <v>55</v>
      </c>
      <c r="AE1085" s="38">
        <v>0.9</v>
      </c>
      <c r="AF1085" s="38">
        <f t="shared" ref="AF1085:AF1097" si="141">(AD1085+AE1085*0.5)/(3.5*I1085*1000)*100</f>
        <v>0.14514756887638244</v>
      </c>
      <c r="AG1085" s="38">
        <f t="shared" si="139"/>
        <v>0.1</v>
      </c>
      <c r="AH1085" s="38">
        <v>0</v>
      </c>
      <c r="AI1085" s="38">
        <f>AH1085/(3.5*I1085*1000)*100</f>
        <v>0</v>
      </c>
      <c r="AJ1085" s="38">
        <v>0</v>
      </c>
      <c r="AK1085" s="38">
        <f>AJ1085/(3.5*I1085*1000)*100</f>
        <v>0</v>
      </c>
      <c r="AL1085" s="38">
        <v>0</v>
      </c>
      <c r="AM1085" s="38">
        <f>AL1085/(3.5*I1085*1000)*100</f>
        <v>0</v>
      </c>
      <c r="AN1085" s="25"/>
      <c r="AO1085" s="25">
        <f>AE1085*0.5</f>
        <v>0.45</v>
      </c>
      <c r="AP1085" s="25">
        <f>(AD1085+AH1085+AJ1085+AL1085+AO1085)*I1085</f>
        <v>605.23675000000003</v>
      </c>
      <c r="AQ1085" s="25">
        <f>SUM(N1085:Q1085)</f>
        <v>10.92</v>
      </c>
      <c r="AR1085" s="25">
        <f>SUM(T1085:W1085)</f>
        <v>10.92</v>
      </c>
      <c r="AS1085" s="268">
        <v>10.914999999999999</v>
      </c>
      <c r="AT1085" s="41"/>
      <c r="AU1085" s="49">
        <f>SUM(N1085:Q1085)</f>
        <v>10.92</v>
      </c>
      <c r="AV1085" s="41">
        <f>SUM(T1085:W1085)</f>
        <v>10.92</v>
      </c>
      <c r="AW1085" s="41">
        <f>SUM(Z1085:AB1085)</f>
        <v>10.92</v>
      </c>
      <c r="AY1085" s="22">
        <f>I1085/AU1085</f>
        <v>0.99954212454212443</v>
      </c>
      <c r="AZ1085" s="22">
        <f>I1085/AV1085</f>
        <v>0.99954212454212443</v>
      </c>
      <c r="BA1085" s="22">
        <f>I1085/AW1085</f>
        <v>0.99954212454212443</v>
      </c>
    </row>
    <row r="1086" spans="1:88" s="22" customFormat="1">
      <c r="A1086" s="1">
        <v>2007</v>
      </c>
      <c r="B1086" s="34" t="s">
        <v>2646</v>
      </c>
      <c r="C1086" s="34">
        <v>325</v>
      </c>
      <c r="D1086" s="110">
        <v>4011</v>
      </c>
      <c r="E1086" s="8">
        <v>100</v>
      </c>
      <c r="F1086" s="34" t="s">
        <v>2650</v>
      </c>
      <c r="G1086" s="58" t="s">
        <v>2651</v>
      </c>
      <c r="H1086" s="58" t="s">
        <v>2652</v>
      </c>
      <c r="I1086" s="21">
        <v>6.8540000000000001</v>
      </c>
      <c r="J1086" s="179">
        <v>2</v>
      </c>
      <c r="K1086" s="8" t="s">
        <v>238</v>
      </c>
      <c r="L1086" s="18">
        <v>42116</v>
      </c>
      <c r="M1086" s="37" t="s">
        <v>191</v>
      </c>
      <c r="N1086" s="38">
        <v>5.49</v>
      </c>
      <c r="O1086" s="38">
        <v>0.57999999999999996</v>
      </c>
      <c r="P1086" s="38">
        <v>0.4</v>
      </c>
      <c r="Q1086" s="38">
        <v>0.38</v>
      </c>
      <c r="R1086" s="38">
        <v>2.1593399999999998</v>
      </c>
      <c r="S1086" s="38">
        <f t="shared" si="137"/>
        <v>2</v>
      </c>
      <c r="T1086" s="38">
        <v>6.83</v>
      </c>
      <c r="U1086" s="38">
        <v>0.03</v>
      </c>
      <c r="V1086" s="38">
        <v>0</v>
      </c>
      <c r="W1086" s="38">
        <v>0</v>
      </c>
      <c r="X1086" s="38">
        <v>2.6618200000000001</v>
      </c>
      <c r="Y1086" s="38">
        <f t="shared" si="138"/>
        <v>2.5</v>
      </c>
      <c r="Z1086" s="38">
        <v>0</v>
      </c>
      <c r="AA1086" s="38">
        <v>0</v>
      </c>
      <c r="AB1086" s="38">
        <v>6.85</v>
      </c>
      <c r="AC1086" s="38">
        <v>1.1976199999999999</v>
      </c>
      <c r="AD1086" s="39">
        <v>33.090000000000003</v>
      </c>
      <c r="AE1086" s="38">
        <v>3.17</v>
      </c>
      <c r="AF1086" s="38">
        <f t="shared" si="141"/>
        <v>0.14454541664929763</v>
      </c>
      <c r="AG1086" s="38">
        <f t="shared" si="139"/>
        <v>0.1</v>
      </c>
      <c r="AH1086" s="38">
        <v>0</v>
      </c>
      <c r="AI1086" s="38">
        <f>AH1086/(3.5*I1086*1000)*100</f>
        <v>0</v>
      </c>
      <c r="AJ1086" s="38">
        <v>1.98</v>
      </c>
      <c r="AK1086" s="38">
        <f>AJ1086/(3.5*I1086*1000)*100</f>
        <v>8.2537829838676066E-3</v>
      </c>
      <c r="AL1086" s="38">
        <v>0</v>
      </c>
      <c r="AM1086" s="38">
        <f>AL1086/(3.5*I1086*1000)*100</f>
        <v>0</v>
      </c>
      <c r="AN1086" s="12"/>
      <c r="AO1086" s="12"/>
      <c r="AP1086" s="1"/>
      <c r="AQ1086" s="41">
        <f>SUM(N1086:Q1086)</f>
        <v>6.8500000000000005</v>
      </c>
      <c r="AR1086" s="41">
        <f>SUM(T1086:W1086)</f>
        <v>6.86</v>
      </c>
      <c r="AS1086" s="12">
        <f>SUM(Z1086:AB1086)</f>
        <v>6.85</v>
      </c>
      <c r="AT1086" s="1"/>
      <c r="AU1086" s="178">
        <f>I1086/AQ1086</f>
        <v>1.0005839416058393</v>
      </c>
      <c r="AV1086" s="1">
        <f>I1086/AR1086</f>
        <v>0.99912536443148681</v>
      </c>
      <c r="AW1086" s="1">
        <f>I1086/AS1086</f>
        <v>1.0005839416058395</v>
      </c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</row>
    <row r="1087" spans="1:88" s="22" customFormat="1">
      <c r="A1087" s="1">
        <v>833</v>
      </c>
      <c r="B1087" s="34" t="s">
        <v>1204</v>
      </c>
      <c r="C1087" s="34">
        <v>647</v>
      </c>
      <c r="D1087" s="179">
        <v>2419</v>
      </c>
      <c r="E1087" s="34">
        <v>100</v>
      </c>
      <c r="F1087" s="34" t="s">
        <v>1227</v>
      </c>
      <c r="G1087" s="58" t="s">
        <v>1228</v>
      </c>
      <c r="H1087" s="58" t="s">
        <v>1229</v>
      </c>
      <c r="I1087" s="35">
        <v>1.9770000000000001</v>
      </c>
      <c r="J1087" s="107">
        <v>2</v>
      </c>
      <c r="K1087" s="34" t="s">
        <v>238</v>
      </c>
      <c r="L1087" s="152">
        <v>42153</v>
      </c>
      <c r="M1087" s="37" t="s">
        <v>191</v>
      </c>
      <c r="N1087" s="38">
        <v>0.15</v>
      </c>
      <c r="O1087" s="38">
        <v>0.35</v>
      </c>
      <c r="P1087" s="38">
        <v>0.72499999999999998</v>
      </c>
      <c r="Q1087" s="38">
        <v>0.77500000000000002</v>
      </c>
      <c r="R1087" s="38">
        <v>4.8843800000000002</v>
      </c>
      <c r="S1087" s="38">
        <f t="shared" si="137"/>
        <v>5</v>
      </c>
      <c r="T1087" s="38">
        <v>1.85</v>
      </c>
      <c r="U1087" s="38">
        <v>0.125</v>
      </c>
      <c r="V1087" s="38">
        <v>0</v>
      </c>
      <c r="W1087" s="38">
        <v>2.5000000000000001E-2</v>
      </c>
      <c r="X1087" s="38">
        <v>5.3512700000000004</v>
      </c>
      <c r="Y1087" s="38">
        <f t="shared" si="138"/>
        <v>5.5</v>
      </c>
      <c r="Z1087" s="38">
        <v>0</v>
      </c>
      <c r="AA1087" s="38">
        <v>0</v>
      </c>
      <c r="AB1087" s="38">
        <f>N1087+O1087+P1087+Q1087</f>
        <v>2</v>
      </c>
      <c r="AC1087" s="38">
        <v>2.19869</v>
      </c>
      <c r="AD1087" s="39">
        <v>5</v>
      </c>
      <c r="AE1087" s="38">
        <v>10</v>
      </c>
      <c r="AF1087" s="38">
        <f t="shared" si="141"/>
        <v>0.1445191126526483</v>
      </c>
      <c r="AG1087" s="38">
        <f t="shared" si="139"/>
        <v>0.1</v>
      </c>
      <c r="AH1087" s="38">
        <v>623</v>
      </c>
      <c r="AI1087" s="38">
        <f>AH1087/(3.5*I1087*1000)*100</f>
        <v>9.0035407182599911</v>
      </c>
      <c r="AJ1087" s="38">
        <v>1</v>
      </c>
      <c r="AK1087" s="38">
        <v>1.4452E-2</v>
      </c>
      <c r="AL1087" s="38">
        <v>2</v>
      </c>
      <c r="AM1087" s="38">
        <v>2.8899999999999999E-2</v>
      </c>
      <c r="AO1087" s="25">
        <f>AE1087*0.5</f>
        <v>5</v>
      </c>
      <c r="AP1087" s="25">
        <f>(AD1087+AH1087+AJ1087+AL1087+AO1087)*I1087</f>
        <v>1257.3720000000001</v>
      </c>
      <c r="AQ1087" s="136">
        <f>SUM(N1087:Q1087)</f>
        <v>2</v>
      </c>
      <c r="AR1087" s="136">
        <f>SUM(T1087:W1087)</f>
        <v>2</v>
      </c>
      <c r="AS1087" s="268">
        <v>7.1269999999999998</v>
      </c>
      <c r="AU1087" s="48"/>
    </row>
    <row r="1088" spans="1:88" s="22" customFormat="1">
      <c r="A1088" s="1">
        <v>557</v>
      </c>
      <c r="B1088" s="34" t="s">
        <v>948</v>
      </c>
      <c r="C1088" s="34">
        <v>551</v>
      </c>
      <c r="D1088" s="109">
        <v>2216</v>
      </c>
      <c r="E1088" s="34">
        <v>203</v>
      </c>
      <c r="F1088" s="9" t="s">
        <v>958</v>
      </c>
      <c r="G1088" s="20">
        <v>95000</v>
      </c>
      <c r="H1088" s="20">
        <v>102015</v>
      </c>
      <c r="I1088" s="35">
        <v>7.0149999999999997</v>
      </c>
      <c r="J1088" s="238">
        <v>2</v>
      </c>
      <c r="K1088" s="34" t="s">
        <v>238</v>
      </c>
      <c r="L1088" s="10">
        <v>42188</v>
      </c>
      <c r="M1088" s="37" t="s">
        <v>191</v>
      </c>
      <c r="N1088" s="38">
        <v>4.79</v>
      </c>
      <c r="O1088" s="38">
        <v>1.6</v>
      </c>
      <c r="P1088" s="38">
        <v>0.6</v>
      </c>
      <c r="Q1088" s="38">
        <v>0.03</v>
      </c>
      <c r="R1088" s="38">
        <v>2.1901799999999998</v>
      </c>
      <c r="S1088" s="38">
        <f t="shared" si="137"/>
        <v>2</v>
      </c>
      <c r="T1088" s="38">
        <v>6.59</v>
      </c>
      <c r="U1088" s="38">
        <v>0.4</v>
      </c>
      <c r="V1088" s="38">
        <v>0.03</v>
      </c>
      <c r="W1088" s="38">
        <v>0</v>
      </c>
      <c r="X1088" s="38">
        <v>5.4565099999999997</v>
      </c>
      <c r="Y1088" s="38">
        <f t="shared" si="138"/>
        <v>5.5</v>
      </c>
      <c r="Z1088" s="38">
        <v>0</v>
      </c>
      <c r="AA1088" s="38">
        <v>0</v>
      </c>
      <c r="AB1088" s="38">
        <f>T1088+U1088+V1088+W1088</f>
        <v>7.0200000000000005</v>
      </c>
      <c r="AC1088" s="38">
        <v>1.0245</v>
      </c>
      <c r="AD1088" s="39">
        <v>25</v>
      </c>
      <c r="AE1088" s="38">
        <v>20.88</v>
      </c>
      <c r="AF1088" s="38">
        <f t="shared" si="141"/>
        <v>0.14434375318195702</v>
      </c>
      <c r="AG1088" s="38">
        <f t="shared" si="139"/>
        <v>0.1</v>
      </c>
      <c r="AH1088" s="38">
        <v>0</v>
      </c>
      <c r="AI1088" s="38">
        <f>AH1088/(3.5*I1088*1000)*100</f>
        <v>0</v>
      </c>
      <c r="AJ1088" s="38">
        <v>0</v>
      </c>
      <c r="AK1088" s="38">
        <f>AJ1088/(3.5*I1088*1000)*100</f>
        <v>0</v>
      </c>
      <c r="AL1088" s="38">
        <v>0</v>
      </c>
      <c r="AM1088" s="38">
        <f t="shared" ref="AM1088:AM1094" si="142">AL1088/(3.5*I1088*1000)*100</f>
        <v>0</v>
      </c>
      <c r="AN1088" s="25"/>
      <c r="AO1088" s="25">
        <f>AE1088*0.5</f>
        <v>10.44</v>
      </c>
      <c r="AP1088" s="25">
        <f>(AD1088+AH1088+AJ1088+AL1088+AO1088)*I1088</f>
        <v>248.61159999999998</v>
      </c>
      <c r="AQ1088" s="25">
        <f>SUM(N1088:Q1088)</f>
        <v>7.0200000000000005</v>
      </c>
      <c r="AR1088" s="25">
        <f>SUM(T1088:W1088)</f>
        <v>7.0200000000000005</v>
      </c>
      <c r="AS1088" s="268">
        <v>7.0149999999999997</v>
      </c>
      <c r="AT1088" s="41"/>
      <c r="AU1088" s="49">
        <f>SUM(N1088:Q1088)</f>
        <v>7.0200000000000005</v>
      </c>
      <c r="AV1088" s="41">
        <f>SUM(T1088:W1088)</f>
        <v>7.0200000000000005</v>
      </c>
      <c r="AW1088" s="41">
        <f>SUM(Z1088:AB1088)</f>
        <v>7.0200000000000005</v>
      </c>
      <c r="AY1088" s="22">
        <f>I1088/AU1088</f>
        <v>0.99928774928774922</v>
      </c>
      <c r="AZ1088" s="22">
        <f>I1088/AV1088</f>
        <v>0.99928774928774922</v>
      </c>
      <c r="BA1088" s="22">
        <f>I1088/AW1088</f>
        <v>0.99928774928774922</v>
      </c>
    </row>
    <row r="1089" spans="1:88" s="22" customFormat="1">
      <c r="A1089" s="1">
        <v>1438</v>
      </c>
      <c r="B1089" s="34" t="s">
        <v>1987</v>
      </c>
      <c r="C1089" s="34">
        <v>448</v>
      </c>
      <c r="D1089" s="110">
        <v>33</v>
      </c>
      <c r="E1089" s="69">
        <v>201</v>
      </c>
      <c r="F1089" s="34" t="s">
        <v>1990</v>
      </c>
      <c r="G1089" s="20">
        <v>12346</v>
      </c>
      <c r="H1089" s="20">
        <v>40318</v>
      </c>
      <c r="I1089" s="21">
        <v>27.972000000000001</v>
      </c>
      <c r="J1089" s="179">
        <v>4</v>
      </c>
      <c r="K1089" s="34" t="s">
        <v>237</v>
      </c>
      <c r="L1089" s="10">
        <v>42182</v>
      </c>
      <c r="M1089" s="37" t="s">
        <v>191</v>
      </c>
      <c r="N1089" s="38">
        <v>21.65</v>
      </c>
      <c r="O1089" s="38">
        <v>3.95</v>
      </c>
      <c r="P1089" s="38">
        <v>1.55</v>
      </c>
      <c r="Q1089" s="38">
        <v>0.82499999999999996</v>
      </c>
      <c r="R1089" s="38">
        <v>2.2679999999999998</v>
      </c>
      <c r="S1089" s="38">
        <f t="shared" si="137"/>
        <v>2.5</v>
      </c>
      <c r="T1089" s="38">
        <v>25.6</v>
      </c>
      <c r="U1089" s="38">
        <v>2.375</v>
      </c>
      <c r="V1089" s="38">
        <v>0</v>
      </c>
      <c r="W1089" s="38">
        <v>0</v>
      </c>
      <c r="X1089" s="38">
        <v>3.1280000000000001</v>
      </c>
      <c r="Y1089" s="38">
        <f t="shared" si="138"/>
        <v>3</v>
      </c>
      <c r="Z1089" s="38">
        <v>0</v>
      </c>
      <c r="AA1089" s="38">
        <v>0</v>
      </c>
      <c r="AB1089" s="38">
        <v>27.974999999999998</v>
      </c>
      <c r="AC1089" s="38">
        <v>1.125</v>
      </c>
      <c r="AD1089" s="39">
        <v>128.51</v>
      </c>
      <c r="AE1089" s="38">
        <v>25.21</v>
      </c>
      <c r="AF1089" s="38">
        <f t="shared" si="141"/>
        <v>0.14413903699617983</v>
      </c>
      <c r="AG1089" s="38">
        <f t="shared" si="139"/>
        <v>0.1</v>
      </c>
      <c r="AH1089" s="38">
        <v>36.92</v>
      </c>
      <c r="AI1089" s="38">
        <f>AH1089/(3.5*I1089*1000)*100</f>
        <v>3.7711180568323427E-2</v>
      </c>
      <c r="AJ1089" s="38">
        <v>0</v>
      </c>
      <c r="AK1089" s="38">
        <f>AJ1089/(3.5*I1089*1000)*100</f>
        <v>0</v>
      </c>
      <c r="AL1089" s="38">
        <v>0</v>
      </c>
      <c r="AM1089" s="38">
        <f t="shared" si="142"/>
        <v>0</v>
      </c>
      <c r="AN1089" s="72"/>
      <c r="AO1089" s="41"/>
      <c r="AP1089" s="41"/>
      <c r="AQ1089" s="73"/>
      <c r="AR1089" s="73"/>
      <c r="AS1089" s="73"/>
      <c r="AT1089" s="73"/>
      <c r="AU1089" s="48"/>
      <c r="AV1089" s="73"/>
    </row>
    <row r="1090" spans="1:88" s="22" customFormat="1">
      <c r="A1090" s="1">
        <v>2045</v>
      </c>
      <c r="B1090" s="34" t="s">
        <v>2678</v>
      </c>
      <c r="C1090" s="34">
        <v>326</v>
      </c>
      <c r="D1090" s="110">
        <v>4319</v>
      </c>
      <c r="E1090" s="8">
        <v>100</v>
      </c>
      <c r="F1090" s="34" t="s">
        <v>2695</v>
      </c>
      <c r="G1090" s="58">
        <v>10859</v>
      </c>
      <c r="H1090" s="58">
        <v>0</v>
      </c>
      <c r="I1090" s="21">
        <v>10.859</v>
      </c>
      <c r="J1090" s="179">
        <v>2</v>
      </c>
      <c r="K1090" s="8" t="s">
        <v>12</v>
      </c>
      <c r="L1090" s="18">
        <v>42124</v>
      </c>
      <c r="M1090" s="37" t="s">
        <v>191</v>
      </c>
      <c r="N1090" s="38">
        <v>6.75</v>
      </c>
      <c r="O1090" s="38">
        <v>2.25</v>
      </c>
      <c r="P1090" s="38">
        <v>1.175</v>
      </c>
      <c r="Q1090" s="38">
        <v>0.67500000000000004</v>
      </c>
      <c r="R1090" s="38">
        <v>2.59903</v>
      </c>
      <c r="S1090" s="38">
        <f t="shared" si="137"/>
        <v>2.5</v>
      </c>
      <c r="T1090" s="38">
        <v>9.6</v>
      </c>
      <c r="U1090" s="38">
        <v>0.95</v>
      </c>
      <c r="V1090" s="38">
        <v>0.25</v>
      </c>
      <c r="W1090" s="38">
        <v>0.05</v>
      </c>
      <c r="X1090" s="38">
        <v>5.5255000000000001</v>
      </c>
      <c r="Y1090" s="38">
        <f t="shared" si="138"/>
        <v>5.5</v>
      </c>
      <c r="Z1090" s="38">
        <v>0</v>
      </c>
      <c r="AA1090" s="38">
        <v>0</v>
      </c>
      <c r="AB1090" s="38">
        <v>10.850000000000001</v>
      </c>
      <c r="AC1090" s="38">
        <v>1.1230599999999999</v>
      </c>
      <c r="AD1090" s="39">
        <v>48.9</v>
      </c>
      <c r="AE1090" s="38">
        <v>11.67</v>
      </c>
      <c r="AF1090" s="38">
        <f t="shared" si="141"/>
        <v>0.14401483956691619</v>
      </c>
      <c r="AG1090" s="38">
        <f t="shared" si="139"/>
        <v>0.1</v>
      </c>
      <c r="AH1090" s="38">
        <v>22.64</v>
      </c>
      <c r="AI1090" s="38">
        <v>5.956875797560944E-2</v>
      </c>
      <c r="AJ1090" s="55">
        <v>0</v>
      </c>
      <c r="AK1090" s="55">
        <v>0</v>
      </c>
      <c r="AL1090" s="55">
        <v>5.0999999999999996</v>
      </c>
      <c r="AM1090" s="55">
        <f t="shared" si="142"/>
        <v>1.3418757317827212E-2</v>
      </c>
      <c r="AN1090" s="1"/>
      <c r="AO1090" s="12"/>
      <c r="AP1090" s="12"/>
      <c r="AQ1090" s="1"/>
      <c r="AR1090" s="1"/>
      <c r="AS1090" s="1"/>
      <c r="AT1090" s="1"/>
      <c r="AU1090" s="178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</row>
    <row r="1091" spans="1:88" s="22" customFormat="1">
      <c r="A1091" s="1">
        <v>417</v>
      </c>
      <c r="B1091" s="74" t="s">
        <v>699</v>
      </c>
      <c r="C1091" s="34">
        <v>513</v>
      </c>
      <c r="D1091" s="110">
        <v>101</v>
      </c>
      <c r="E1091" s="69">
        <v>303</v>
      </c>
      <c r="F1091" s="76" t="s">
        <v>704</v>
      </c>
      <c r="G1091" s="20" t="s">
        <v>703</v>
      </c>
      <c r="H1091" s="20" t="s">
        <v>705</v>
      </c>
      <c r="I1091" s="21">
        <v>24.696000000000002</v>
      </c>
      <c r="J1091" s="105" t="s">
        <v>238</v>
      </c>
      <c r="K1091" s="34">
        <v>2</v>
      </c>
      <c r="L1091" s="18">
        <v>42264</v>
      </c>
      <c r="M1091" s="37" t="s">
        <v>191</v>
      </c>
      <c r="N1091" s="38">
        <v>17.600000000000001</v>
      </c>
      <c r="O1091" s="38">
        <v>4.16</v>
      </c>
      <c r="P1091" s="38">
        <v>2.17</v>
      </c>
      <c r="Q1091" s="38">
        <v>0.77</v>
      </c>
      <c r="R1091" s="38">
        <v>2.2909999999999999</v>
      </c>
      <c r="S1091" s="38">
        <f t="shared" ref="S1091:S1154" si="143">ROUND(R1091/5,1)*5</f>
        <v>2.5</v>
      </c>
      <c r="T1091" s="38">
        <v>24.4</v>
      </c>
      <c r="U1091" s="38">
        <v>0.3</v>
      </c>
      <c r="V1091" s="38">
        <v>0</v>
      </c>
      <c r="W1091" s="38">
        <v>0</v>
      </c>
      <c r="X1091" s="38">
        <v>3.2469999999999999</v>
      </c>
      <c r="Y1091" s="38">
        <f t="shared" ref="Y1091:Y1154" si="144">ROUND(X1091/5,1)*5</f>
        <v>3</v>
      </c>
      <c r="Z1091" s="38">
        <v>0</v>
      </c>
      <c r="AA1091" s="38">
        <v>0</v>
      </c>
      <c r="AB1091" s="38">
        <v>24.7</v>
      </c>
      <c r="AC1091" s="38">
        <v>1.0720000000000001</v>
      </c>
      <c r="AD1091" s="39">
        <v>124.12</v>
      </c>
      <c r="AE1091" s="38">
        <v>0</v>
      </c>
      <c r="AF1091" s="38">
        <f t="shared" si="141"/>
        <v>0.14359757508445556</v>
      </c>
      <c r="AG1091" s="38">
        <f t="shared" ref="AG1091:AG1154" si="145">ROUND(AF1091,1)</f>
        <v>0.1</v>
      </c>
      <c r="AH1091" s="38">
        <v>32.5</v>
      </c>
      <c r="AI1091" s="38">
        <f t="shared" ref="AI1091:AI1097" si="146">AH1091/(3.5*I1091*1000)*100</f>
        <v>3.7600074043222735E-2</v>
      </c>
      <c r="AJ1091" s="38">
        <v>30.5</v>
      </c>
      <c r="AK1091" s="38">
        <f t="shared" ref="AK1091:AK1097" si="147">AJ1091/(3.5*I1091*1000)*100</f>
        <v>3.5286223332870563E-2</v>
      </c>
      <c r="AL1091" s="38">
        <v>3.61</v>
      </c>
      <c r="AM1091" s="38">
        <f t="shared" si="142"/>
        <v>4.1765005321856633E-3</v>
      </c>
      <c r="AN1091" s="41"/>
      <c r="AO1091" s="41"/>
      <c r="AP1091" s="73"/>
      <c r="AQ1091" s="41">
        <f>SUM(N1091:Q1091)</f>
        <v>24.7</v>
      </c>
      <c r="AR1091" s="41">
        <f>SUM(T1091:W1091)</f>
        <v>24.7</v>
      </c>
      <c r="AS1091" s="41">
        <f>SUM(Z1091:AB1091)</f>
        <v>24.7</v>
      </c>
      <c r="AU1091" s="48">
        <f>I1091/AQ1091</f>
        <v>0.99983805668016201</v>
      </c>
      <c r="AV1091" s="22">
        <f>I1091/AR1091</f>
        <v>0.99983805668016201</v>
      </c>
      <c r="AW1091" s="22">
        <f>I1091/AS1091</f>
        <v>0.99983805668016201</v>
      </c>
      <c r="AX1091" s="73"/>
      <c r="AY1091" s="73"/>
      <c r="AZ1091" s="73"/>
      <c r="BA1091" s="73"/>
      <c r="BB1091" s="73"/>
      <c r="BC1091" s="73"/>
      <c r="BD1091" s="73"/>
      <c r="BE1091" s="73"/>
      <c r="BF1091" s="73"/>
      <c r="BG1091" s="73"/>
      <c r="BH1091" s="73"/>
      <c r="BI1091" s="73"/>
      <c r="BJ1091" s="73"/>
      <c r="BK1091" s="73"/>
      <c r="BL1091" s="73"/>
      <c r="BM1091" s="73"/>
      <c r="BN1091" s="73"/>
      <c r="BO1091" s="73"/>
      <c r="BP1091" s="73"/>
      <c r="BQ1091" s="73"/>
      <c r="BR1091" s="73"/>
      <c r="BS1091" s="73"/>
      <c r="BT1091" s="73"/>
      <c r="BU1091" s="73"/>
      <c r="BV1091" s="73"/>
      <c r="BW1091" s="73"/>
      <c r="BX1091" s="73"/>
      <c r="BY1091" s="73"/>
      <c r="BZ1091" s="73"/>
      <c r="CA1091" s="73"/>
      <c r="CB1091" s="73"/>
      <c r="CC1091" s="73"/>
      <c r="CD1091" s="73"/>
      <c r="CE1091" s="73"/>
      <c r="CF1091" s="73"/>
      <c r="CG1091" s="73"/>
      <c r="CH1091" s="73"/>
      <c r="CI1091" s="73"/>
      <c r="CJ1091" s="73"/>
    </row>
    <row r="1092" spans="1:88" s="22" customFormat="1">
      <c r="A1092" s="1">
        <v>589</v>
      </c>
      <c r="B1092" s="34" t="s">
        <v>976</v>
      </c>
      <c r="C1092" s="34">
        <v>552</v>
      </c>
      <c r="D1092" s="109">
        <v>2398</v>
      </c>
      <c r="E1092" s="34">
        <v>101</v>
      </c>
      <c r="F1092" s="9" t="s">
        <v>990</v>
      </c>
      <c r="G1092" s="118">
        <v>581</v>
      </c>
      <c r="H1092" s="118">
        <v>18000</v>
      </c>
      <c r="I1092" s="35">
        <v>17.419</v>
      </c>
      <c r="J1092" s="238">
        <v>2</v>
      </c>
      <c r="K1092" s="34" t="s">
        <v>238</v>
      </c>
      <c r="L1092" s="10">
        <v>42195</v>
      </c>
      <c r="M1092" s="37" t="s">
        <v>191</v>
      </c>
      <c r="N1092" s="38">
        <v>8.0749999999999993</v>
      </c>
      <c r="O1092" s="38">
        <v>6.35</v>
      </c>
      <c r="P1092" s="38">
        <v>2.35</v>
      </c>
      <c r="Q1092" s="38">
        <v>0.57499999999999996</v>
      </c>
      <c r="R1092" s="38">
        <v>2.77922</v>
      </c>
      <c r="S1092" s="38">
        <f t="shared" si="143"/>
        <v>3</v>
      </c>
      <c r="T1092" s="38">
        <v>16.55</v>
      </c>
      <c r="U1092" s="38">
        <v>0.8</v>
      </c>
      <c r="V1092" s="38">
        <v>0</v>
      </c>
      <c r="W1092" s="38">
        <v>0</v>
      </c>
      <c r="X1092" s="38">
        <v>4.9441300000000004</v>
      </c>
      <c r="Y1092" s="38">
        <f t="shared" si="144"/>
        <v>5</v>
      </c>
      <c r="Z1092" s="38">
        <v>0</v>
      </c>
      <c r="AA1092" s="38">
        <v>0</v>
      </c>
      <c r="AB1092" s="38">
        <f>N1092+O1092+P1092+Q1092</f>
        <v>17.349999999999998</v>
      </c>
      <c r="AC1092" s="38">
        <v>1.3748499999999999</v>
      </c>
      <c r="AD1092" s="39">
        <v>87</v>
      </c>
      <c r="AE1092" s="38">
        <v>0.52</v>
      </c>
      <c r="AF1092" s="38">
        <f t="shared" si="141"/>
        <v>0.14312778329082365</v>
      </c>
      <c r="AG1092" s="38">
        <f t="shared" si="145"/>
        <v>0.1</v>
      </c>
      <c r="AH1092" s="38">
        <v>0</v>
      </c>
      <c r="AI1092" s="38">
        <f t="shared" si="146"/>
        <v>0</v>
      </c>
      <c r="AJ1092" s="38">
        <v>10</v>
      </c>
      <c r="AK1092" s="38">
        <f t="shared" si="147"/>
        <v>1.64024505261086E-2</v>
      </c>
      <c r="AL1092" s="38">
        <v>1</v>
      </c>
      <c r="AM1092" s="38">
        <f t="shared" si="142"/>
        <v>1.6402450526108599E-3</v>
      </c>
      <c r="AN1092" s="25"/>
      <c r="AO1092" s="25">
        <f>AE1092*0.5</f>
        <v>0.26</v>
      </c>
      <c r="AP1092" s="25">
        <f>(AD1092+AH1092+AJ1092+AL1092+AO1092)*I1092</f>
        <v>1711.59094</v>
      </c>
      <c r="AQ1092" s="25">
        <f>SUM(N1092:Q1092)</f>
        <v>17.349999999999998</v>
      </c>
      <c r="AR1092" s="25">
        <f>SUM(T1092:W1092)</f>
        <v>17.350000000000001</v>
      </c>
      <c r="AS1092" s="268">
        <v>17.419</v>
      </c>
      <c r="AT1092" s="41"/>
      <c r="AU1092" s="49"/>
      <c r="AV1092" s="41"/>
      <c r="AW1092" s="41"/>
    </row>
    <row r="1093" spans="1:88" s="22" customFormat="1">
      <c r="A1093" s="1">
        <v>1518</v>
      </c>
      <c r="B1093" s="34" t="s">
        <v>2069</v>
      </c>
      <c r="C1093" s="34">
        <v>413</v>
      </c>
      <c r="D1093" s="111">
        <v>3309</v>
      </c>
      <c r="E1093" s="34">
        <v>100</v>
      </c>
      <c r="F1093" s="34" t="s">
        <v>2090</v>
      </c>
      <c r="G1093" s="58">
        <v>0</v>
      </c>
      <c r="H1093" s="58">
        <v>6000</v>
      </c>
      <c r="I1093" s="35">
        <v>6</v>
      </c>
      <c r="J1093" s="109">
        <v>2</v>
      </c>
      <c r="K1093" s="34" t="s">
        <v>238</v>
      </c>
      <c r="L1093" s="10">
        <v>42263</v>
      </c>
      <c r="M1093" s="37" t="s">
        <v>191</v>
      </c>
      <c r="N1093" s="38">
        <v>4.6749999999999998</v>
      </c>
      <c r="O1093" s="38">
        <v>0.875</v>
      </c>
      <c r="P1093" s="38">
        <v>0.45</v>
      </c>
      <c r="Q1093" s="38">
        <v>0.1</v>
      </c>
      <c r="R1093" s="38">
        <v>2.3262100000000001</v>
      </c>
      <c r="S1093" s="38">
        <f t="shared" si="143"/>
        <v>2.5</v>
      </c>
      <c r="T1093" s="38">
        <v>6.1</v>
      </c>
      <c r="U1093" s="38">
        <v>0</v>
      </c>
      <c r="V1093" s="38">
        <v>0</v>
      </c>
      <c r="W1093" s="38">
        <v>0</v>
      </c>
      <c r="X1093" s="38">
        <v>4.4469500000000002</v>
      </c>
      <c r="Y1093" s="38">
        <f t="shared" si="144"/>
        <v>4.5</v>
      </c>
      <c r="Z1093" s="38">
        <v>0</v>
      </c>
      <c r="AA1093" s="38">
        <v>0</v>
      </c>
      <c r="AB1093" s="196">
        <v>6</v>
      </c>
      <c r="AC1093" s="38">
        <v>1.09537</v>
      </c>
      <c r="AD1093" s="39">
        <v>30</v>
      </c>
      <c r="AE1093" s="38">
        <v>0</v>
      </c>
      <c r="AF1093" s="38">
        <f t="shared" si="141"/>
        <v>0.14285714285714285</v>
      </c>
      <c r="AG1093" s="38">
        <f t="shared" si="145"/>
        <v>0.1</v>
      </c>
      <c r="AH1093" s="38">
        <v>0</v>
      </c>
      <c r="AI1093" s="38">
        <f t="shared" si="146"/>
        <v>0</v>
      </c>
      <c r="AJ1093" s="38">
        <v>0</v>
      </c>
      <c r="AK1093" s="38">
        <f t="shared" si="147"/>
        <v>0</v>
      </c>
      <c r="AL1093" s="38">
        <v>0</v>
      </c>
      <c r="AM1093" s="38">
        <f t="shared" si="142"/>
        <v>0</v>
      </c>
      <c r="AN1093" s="25"/>
      <c r="AO1093" s="25">
        <f>AE1093*0.5</f>
        <v>0</v>
      </c>
      <c r="AP1093" s="25">
        <f>(AD1093+AH1093+AJ1093+AL1093+AO1093)*I1093</f>
        <v>180</v>
      </c>
      <c r="AQ1093" s="25">
        <f>(AD1093+AH1093+AJ1093+AL1093)*I1093</f>
        <v>180</v>
      </c>
      <c r="AR1093" s="25">
        <f>SUM(N1093:Q1093)</f>
        <v>6.1</v>
      </c>
      <c r="AS1093" s="25">
        <f>SUM(T1093:W1093)</f>
        <v>6.1</v>
      </c>
      <c r="AU1093" s="35">
        <v>6</v>
      </c>
      <c r="AV1093" s="41">
        <f>SUM(N1093:Q1093)</f>
        <v>6.1</v>
      </c>
      <c r="AW1093" s="41">
        <f>SUM(T1093:W1093)</f>
        <v>6.1</v>
      </c>
      <c r="AX1093" s="41">
        <f>SUM(Z1093:AB1093)</f>
        <v>6</v>
      </c>
      <c r="AZ1093" s="22">
        <f>I1093/AV1093</f>
        <v>0.98360655737704927</v>
      </c>
      <c r="BA1093" s="22">
        <f>I1093/AW1093</f>
        <v>0.98360655737704927</v>
      </c>
      <c r="BB1093" s="22">
        <f>I1093/AX1093</f>
        <v>1</v>
      </c>
    </row>
    <row r="1094" spans="1:88" s="22" customFormat="1">
      <c r="A1094" s="1">
        <v>1109</v>
      </c>
      <c r="B1094" s="9" t="s">
        <v>1513</v>
      </c>
      <c r="C1094" s="34">
        <v>431</v>
      </c>
      <c r="D1094" s="110">
        <v>3016</v>
      </c>
      <c r="E1094" s="69">
        <v>100</v>
      </c>
      <c r="F1094" s="34" t="s">
        <v>1539</v>
      </c>
      <c r="G1094" s="20" t="s">
        <v>139</v>
      </c>
      <c r="H1094" s="20" t="s">
        <v>92</v>
      </c>
      <c r="I1094" s="21">
        <v>6</v>
      </c>
      <c r="J1094" s="179">
        <v>2</v>
      </c>
      <c r="K1094" s="5" t="s">
        <v>12</v>
      </c>
      <c r="L1094" s="18">
        <v>42282</v>
      </c>
      <c r="M1094" s="37" t="s">
        <v>191</v>
      </c>
      <c r="N1094" s="38">
        <v>3</v>
      </c>
      <c r="O1094" s="38">
        <v>1.7749999999999999</v>
      </c>
      <c r="P1094" s="38">
        <v>0.9</v>
      </c>
      <c r="Q1094" s="38">
        <v>0.35</v>
      </c>
      <c r="R1094" s="38">
        <v>3.1301700000000001</v>
      </c>
      <c r="S1094" s="38">
        <f t="shared" si="143"/>
        <v>3</v>
      </c>
      <c r="T1094" s="38">
        <v>6.0250000000000004</v>
      </c>
      <c r="U1094" s="38">
        <v>0</v>
      </c>
      <c r="V1094" s="38">
        <v>0</v>
      </c>
      <c r="W1094" s="38">
        <v>0</v>
      </c>
      <c r="X1094" s="38">
        <v>2.8440400000000001</v>
      </c>
      <c r="Y1094" s="38">
        <f t="shared" si="144"/>
        <v>3</v>
      </c>
      <c r="Z1094" s="38">
        <v>0</v>
      </c>
      <c r="AA1094" s="38">
        <v>0</v>
      </c>
      <c r="AB1094" s="38">
        <v>6.0250000000000004</v>
      </c>
      <c r="AC1094" s="38">
        <v>1.0376700000000001</v>
      </c>
      <c r="AD1094" s="39">
        <v>29.8</v>
      </c>
      <c r="AE1094" s="38">
        <v>0.35</v>
      </c>
      <c r="AF1094" s="38">
        <f t="shared" si="141"/>
        <v>0.14273809523809525</v>
      </c>
      <c r="AG1094" s="38">
        <f t="shared" si="145"/>
        <v>0.1</v>
      </c>
      <c r="AH1094" s="38">
        <v>2.65</v>
      </c>
      <c r="AI1094" s="38">
        <f t="shared" si="146"/>
        <v>1.261904761904762E-2</v>
      </c>
      <c r="AJ1094" s="38">
        <v>0</v>
      </c>
      <c r="AK1094" s="38">
        <f t="shared" si="147"/>
        <v>0</v>
      </c>
      <c r="AL1094" s="38">
        <v>1.1499999999999999</v>
      </c>
      <c r="AM1094" s="38">
        <f t="shared" si="142"/>
        <v>5.4761904761904756E-3</v>
      </c>
      <c r="AN1094" s="41"/>
      <c r="AO1094" s="72"/>
      <c r="AP1094" s="73"/>
      <c r="AQ1094" s="73"/>
      <c r="AU1094" s="48"/>
    </row>
    <row r="1095" spans="1:88" s="22" customFormat="1">
      <c r="A1095" s="1">
        <v>1184</v>
      </c>
      <c r="B1095" s="34" t="s">
        <v>1639</v>
      </c>
      <c r="C1095" s="34">
        <v>433</v>
      </c>
      <c r="D1095" s="34">
        <v>3032</v>
      </c>
      <c r="E1095" s="34">
        <v>100</v>
      </c>
      <c r="F1095" s="34" t="s">
        <v>1661</v>
      </c>
      <c r="G1095" s="58" t="s">
        <v>92</v>
      </c>
      <c r="H1095" s="58" t="s">
        <v>1662</v>
      </c>
      <c r="I1095" s="55">
        <v>32.362000000000002</v>
      </c>
      <c r="J1095" s="34">
        <v>2</v>
      </c>
      <c r="K1095" s="181" t="s">
        <v>238</v>
      </c>
      <c r="L1095" s="10">
        <v>42282</v>
      </c>
      <c r="M1095" s="9" t="s">
        <v>191</v>
      </c>
      <c r="N1095" s="38">
        <v>18.45</v>
      </c>
      <c r="O1095" s="38">
        <v>9.7249999999999996</v>
      </c>
      <c r="P1095" s="38">
        <v>3.5</v>
      </c>
      <c r="Q1095" s="38">
        <v>0.85</v>
      </c>
      <c r="R1095" s="38">
        <v>2.6452100000000001</v>
      </c>
      <c r="S1095" s="38">
        <f t="shared" si="143"/>
        <v>2.5</v>
      </c>
      <c r="T1095" s="38">
        <v>29.6</v>
      </c>
      <c r="U1095" s="38">
        <v>2.25</v>
      </c>
      <c r="V1095" s="38">
        <v>0.52500000000000002</v>
      </c>
      <c r="W1095" s="38">
        <v>0.15</v>
      </c>
      <c r="X1095" s="38">
        <v>5.1763500000000002</v>
      </c>
      <c r="Y1095" s="38">
        <f t="shared" si="144"/>
        <v>5</v>
      </c>
      <c r="Z1095" s="38">
        <v>0</v>
      </c>
      <c r="AA1095" s="38">
        <v>0</v>
      </c>
      <c r="AB1095" s="38">
        <v>32.362000000000002</v>
      </c>
      <c r="AC1095" s="38">
        <v>1.17123</v>
      </c>
      <c r="AD1095" s="38">
        <v>158.30000000000001</v>
      </c>
      <c r="AE1095" s="38">
        <v>6.2</v>
      </c>
      <c r="AF1095" s="38">
        <f t="shared" si="141"/>
        <v>0.14249516628850414</v>
      </c>
      <c r="AG1095" s="38">
        <f t="shared" si="145"/>
        <v>0.1</v>
      </c>
      <c r="AH1095" s="38">
        <v>49.65</v>
      </c>
      <c r="AI1095" s="38">
        <f t="shared" si="146"/>
        <v>4.3834479592467349E-2</v>
      </c>
      <c r="AJ1095" s="38">
        <v>0</v>
      </c>
      <c r="AK1095" s="38">
        <f t="shared" si="147"/>
        <v>0</v>
      </c>
      <c r="AL1095" s="38">
        <v>0</v>
      </c>
      <c r="AM1095" s="38">
        <f>AJ1095/(3.5*I1095*1000)*100</f>
        <v>0</v>
      </c>
      <c r="AN1095" s="25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</row>
    <row r="1096" spans="1:88" s="22" customFormat="1">
      <c r="A1096" s="1">
        <v>439</v>
      </c>
      <c r="B1096" s="74" t="s">
        <v>699</v>
      </c>
      <c r="C1096" s="34">
        <v>513</v>
      </c>
      <c r="D1096" s="75">
        <v>1195</v>
      </c>
      <c r="E1096" s="69">
        <v>102</v>
      </c>
      <c r="F1096" s="76" t="s">
        <v>744</v>
      </c>
      <c r="G1096" s="20" t="s">
        <v>743</v>
      </c>
      <c r="H1096" s="20" t="s">
        <v>745</v>
      </c>
      <c r="I1096" s="55">
        <v>29.3</v>
      </c>
      <c r="J1096" s="5" t="s">
        <v>238</v>
      </c>
      <c r="K1096" s="34">
        <v>2</v>
      </c>
      <c r="L1096" s="18">
        <v>42263</v>
      </c>
      <c r="M1096" s="9" t="s">
        <v>191</v>
      </c>
      <c r="N1096" s="38">
        <v>22.33</v>
      </c>
      <c r="O1096" s="38">
        <v>4.3</v>
      </c>
      <c r="P1096" s="38">
        <v>1.97</v>
      </c>
      <c r="Q1096" s="38">
        <v>0.7</v>
      </c>
      <c r="R1096" s="38">
        <v>2.1562399999999999</v>
      </c>
      <c r="S1096" s="38">
        <f t="shared" si="143"/>
        <v>2</v>
      </c>
      <c r="T1096" s="38">
        <v>28.93</v>
      </c>
      <c r="U1096" s="38">
        <v>0.28000000000000003</v>
      </c>
      <c r="V1096" s="38">
        <v>0.1</v>
      </c>
      <c r="W1096" s="38">
        <v>0</v>
      </c>
      <c r="X1096" s="38">
        <v>2.2921499999999999</v>
      </c>
      <c r="Y1096" s="38">
        <f t="shared" si="144"/>
        <v>2.5</v>
      </c>
      <c r="Z1096" s="38">
        <v>0</v>
      </c>
      <c r="AA1096" s="38">
        <v>0</v>
      </c>
      <c r="AB1096" s="38">
        <v>29.3</v>
      </c>
      <c r="AC1096" s="38">
        <v>1.0597700000000001</v>
      </c>
      <c r="AD1096" s="38">
        <v>130.25</v>
      </c>
      <c r="AE1096" s="38">
        <v>30.55</v>
      </c>
      <c r="AF1096" s="38">
        <f t="shared" si="141"/>
        <v>0.14190638712823014</v>
      </c>
      <c r="AG1096" s="38">
        <f t="shared" si="145"/>
        <v>0.1</v>
      </c>
      <c r="AH1096" s="38">
        <v>77.25</v>
      </c>
      <c r="AI1096" s="38">
        <f t="shared" si="146"/>
        <v>7.5329107752315938E-2</v>
      </c>
      <c r="AJ1096" s="38">
        <v>0.25</v>
      </c>
      <c r="AK1096" s="38">
        <f t="shared" si="147"/>
        <v>2.437835202340322E-4</v>
      </c>
      <c r="AL1096" s="38">
        <v>0</v>
      </c>
      <c r="AM1096" s="38">
        <f>AL1096/(3.5*I1096*1000)*100</f>
        <v>0</v>
      </c>
      <c r="AN1096" s="41"/>
      <c r="AO1096" s="41"/>
      <c r="AP1096" s="73"/>
      <c r="AQ1096" s="41">
        <f>SUM(N1096:Q1096)</f>
        <v>29.299999999999997</v>
      </c>
      <c r="AR1096" s="41">
        <f>SUM(T1096:W1096)</f>
        <v>29.310000000000002</v>
      </c>
      <c r="AS1096" s="41">
        <f>SUM(Z1096:AB1096)</f>
        <v>29.3</v>
      </c>
      <c r="AU1096" s="22">
        <f>I1096/AQ1096</f>
        <v>1.0000000000000002</v>
      </c>
      <c r="AV1096" s="22">
        <f>I1096/AR1096</f>
        <v>0.99965881951552371</v>
      </c>
      <c r="AW1096" s="22">
        <f>I1096/AS1096</f>
        <v>1</v>
      </c>
      <c r="AX1096" s="73"/>
      <c r="AY1096" s="73"/>
      <c r="AZ1096" s="73"/>
      <c r="BA1096" s="73"/>
      <c r="BB1096" s="73"/>
      <c r="BC1096" s="73"/>
      <c r="BD1096" s="73"/>
      <c r="BE1096" s="73"/>
      <c r="BF1096" s="73"/>
      <c r="BG1096" s="73"/>
      <c r="BH1096" s="73"/>
      <c r="BI1096" s="73"/>
      <c r="BJ1096" s="73"/>
      <c r="BK1096" s="73"/>
      <c r="BL1096" s="73"/>
      <c r="BM1096" s="73"/>
      <c r="BN1096" s="73"/>
      <c r="BO1096" s="73"/>
      <c r="BP1096" s="73"/>
      <c r="BQ1096" s="73"/>
      <c r="BR1096" s="73"/>
      <c r="BS1096" s="73"/>
      <c r="BT1096" s="73"/>
      <c r="BU1096" s="73"/>
      <c r="BV1096" s="73"/>
      <c r="BW1096" s="73"/>
      <c r="BX1096" s="73"/>
      <c r="BY1096" s="73"/>
      <c r="BZ1096" s="73"/>
      <c r="CA1096" s="73"/>
      <c r="CB1096" s="73"/>
      <c r="CC1096" s="73"/>
      <c r="CD1096" s="73"/>
      <c r="CE1096" s="73"/>
      <c r="CF1096" s="73"/>
      <c r="CG1096" s="73"/>
      <c r="CH1096" s="73"/>
      <c r="CI1096" s="73"/>
      <c r="CJ1096" s="73"/>
    </row>
    <row r="1097" spans="1:88" s="22" customFormat="1">
      <c r="A1097" s="1">
        <v>368</v>
      </c>
      <c r="B1097" s="87" t="s">
        <v>602</v>
      </c>
      <c r="C1097" s="34">
        <v>514</v>
      </c>
      <c r="D1097" s="34">
        <v>1090</v>
      </c>
      <c r="E1097" s="34">
        <v>103</v>
      </c>
      <c r="F1097" s="34" t="s">
        <v>609</v>
      </c>
      <c r="G1097" s="58" t="s">
        <v>610</v>
      </c>
      <c r="H1097" s="58" t="s">
        <v>611</v>
      </c>
      <c r="I1097" s="34">
        <v>12.46</v>
      </c>
      <c r="J1097" s="34">
        <v>2</v>
      </c>
      <c r="K1097" s="78" t="s">
        <v>238</v>
      </c>
      <c r="L1097" s="10">
        <v>42255</v>
      </c>
      <c r="M1097" s="34" t="s">
        <v>218</v>
      </c>
      <c r="N1097" s="38">
        <v>3.13</v>
      </c>
      <c r="O1097" s="38">
        <v>3.43</v>
      </c>
      <c r="P1097" s="38">
        <v>2.81</v>
      </c>
      <c r="Q1097" s="38">
        <v>3.06</v>
      </c>
      <c r="R1097" s="38">
        <v>3.9969600000000001</v>
      </c>
      <c r="S1097" s="38">
        <f t="shared" si="143"/>
        <v>4</v>
      </c>
      <c r="T1097" s="83">
        <v>11.05</v>
      </c>
      <c r="U1097" s="83">
        <v>1</v>
      </c>
      <c r="V1097" s="83">
        <v>0.33200000000000002</v>
      </c>
      <c r="W1097" s="83">
        <v>0.05</v>
      </c>
      <c r="X1097" s="83">
        <v>4.992</v>
      </c>
      <c r="Y1097" s="38">
        <f t="shared" si="144"/>
        <v>5</v>
      </c>
      <c r="Z1097" s="83">
        <v>0</v>
      </c>
      <c r="AA1097" s="83">
        <v>0</v>
      </c>
      <c r="AB1097" s="83">
        <v>12.46</v>
      </c>
      <c r="AC1097" s="38">
        <v>1.2282599999999999</v>
      </c>
      <c r="AD1097" s="83">
        <v>31.58</v>
      </c>
      <c r="AE1097" s="83">
        <v>59.32</v>
      </c>
      <c r="AF1097" s="83">
        <f t="shared" si="141"/>
        <v>0.14042650768172435</v>
      </c>
      <c r="AG1097" s="38">
        <f t="shared" si="145"/>
        <v>0.1</v>
      </c>
      <c r="AH1097" s="83">
        <v>122.32</v>
      </c>
      <c r="AI1097" s="83">
        <f t="shared" si="146"/>
        <v>0.28048612703508369</v>
      </c>
      <c r="AJ1097" s="83">
        <v>0</v>
      </c>
      <c r="AK1097" s="83">
        <f t="shared" si="147"/>
        <v>0</v>
      </c>
      <c r="AL1097" s="83"/>
      <c r="AM1097" s="83">
        <f>AL1097/(3.5*I1097*1000)*100</f>
        <v>0</v>
      </c>
      <c r="AN1097" s="84"/>
      <c r="AO1097" s="41"/>
      <c r="AP1097" s="41"/>
      <c r="AQ1097" s="85"/>
      <c r="AR1097" s="86"/>
      <c r="AS1097" s="86"/>
      <c r="AT1097" s="86"/>
      <c r="AU1097" s="86"/>
      <c r="AV1097" s="86"/>
      <c r="AW1097" s="86"/>
      <c r="AX1097" s="86"/>
      <c r="AY1097" s="86"/>
      <c r="AZ1097" s="86"/>
      <c r="BA1097" s="86"/>
      <c r="BB1097" s="86"/>
      <c r="BC1097" s="86"/>
      <c r="BD1097" s="86"/>
      <c r="BE1097" s="86"/>
      <c r="BF1097" s="86"/>
      <c r="BG1097" s="86"/>
      <c r="BH1097" s="86"/>
      <c r="BI1097" s="86"/>
      <c r="BJ1097" s="86"/>
      <c r="BK1097" s="86"/>
      <c r="BL1097" s="86"/>
      <c r="BM1097" s="86"/>
      <c r="BN1097" s="86"/>
      <c r="BO1097" s="86"/>
      <c r="BP1097" s="86"/>
      <c r="BQ1097" s="86"/>
      <c r="BR1097" s="86"/>
      <c r="BS1097" s="86"/>
      <c r="BT1097" s="86"/>
      <c r="BU1097" s="86"/>
      <c r="BV1097" s="86"/>
      <c r="BW1097" s="86"/>
      <c r="BX1097" s="86"/>
      <c r="BY1097" s="86"/>
      <c r="BZ1097" s="86"/>
      <c r="CA1097" s="86"/>
      <c r="CB1097" s="86"/>
      <c r="CC1097" s="86"/>
      <c r="CD1097" s="86"/>
      <c r="CE1097" s="86"/>
      <c r="CF1097" s="86"/>
      <c r="CG1097" s="86"/>
      <c r="CH1097" s="86"/>
      <c r="CI1097" s="86"/>
      <c r="CJ1097" s="86"/>
    </row>
    <row r="1098" spans="1:88" s="22" customFormat="1">
      <c r="A1098" s="1">
        <v>397</v>
      </c>
      <c r="B1098" s="74" t="s">
        <v>655</v>
      </c>
      <c r="C1098" s="34">
        <v>511</v>
      </c>
      <c r="D1098" s="75">
        <v>126</v>
      </c>
      <c r="E1098" s="69">
        <v>100</v>
      </c>
      <c r="F1098" s="34" t="s">
        <v>661</v>
      </c>
      <c r="G1098" s="20" t="s">
        <v>662</v>
      </c>
      <c r="H1098" s="20" t="s">
        <v>92</v>
      </c>
      <c r="I1098" s="21">
        <v>21.297000000000001</v>
      </c>
      <c r="J1098" s="8" t="s">
        <v>96</v>
      </c>
      <c r="K1098" s="34">
        <v>4</v>
      </c>
      <c r="L1098" s="18">
        <v>42265</v>
      </c>
      <c r="M1098" s="9" t="s">
        <v>191</v>
      </c>
      <c r="N1098" s="38">
        <v>15.76</v>
      </c>
      <c r="O1098" s="38">
        <v>2.88</v>
      </c>
      <c r="P1098" s="38">
        <v>1.83</v>
      </c>
      <c r="Q1098" s="38">
        <v>0.83</v>
      </c>
      <c r="R1098" s="38">
        <v>2.3439299999999998</v>
      </c>
      <c r="S1098" s="38">
        <f t="shared" si="143"/>
        <v>2.5</v>
      </c>
      <c r="T1098" s="38">
        <v>18.170000000000002</v>
      </c>
      <c r="U1098" s="38">
        <v>2.5099999999999998</v>
      </c>
      <c r="V1098" s="38">
        <v>0.5</v>
      </c>
      <c r="W1098" s="38">
        <v>0.13</v>
      </c>
      <c r="X1098" s="38">
        <v>6.3496600000000001</v>
      </c>
      <c r="Y1098" s="38">
        <f t="shared" si="144"/>
        <v>6.5</v>
      </c>
      <c r="Z1098" s="38">
        <v>0</v>
      </c>
      <c r="AA1098" s="38">
        <v>0</v>
      </c>
      <c r="AB1098" s="38">
        <v>21.3</v>
      </c>
      <c r="AC1098" s="38">
        <v>1.1373200000000001</v>
      </c>
      <c r="AD1098" s="38">
        <v>96.35</v>
      </c>
      <c r="AE1098" s="38">
        <v>15.93</v>
      </c>
      <c r="AF1098" s="38">
        <v>0.13994599999999999</v>
      </c>
      <c r="AG1098" s="38">
        <f t="shared" si="145"/>
        <v>0.1</v>
      </c>
      <c r="AH1098" s="38">
        <v>62.3</v>
      </c>
      <c r="AI1098" s="38">
        <v>8.3580000000000002E-2</v>
      </c>
      <c r="AJ1098" s="38">
        <v>0</v>
      </c>
      <c r="AK1098" s="38">
        <v>0</v>
      </c>
      <c r="AL1098" s="38">
        <v>0.69799999999999995</v>
      </c>
      <c r="AM1098" s="38">
        <v>9.3599999999999998E-4</v>
      </c>
      <c r="AN1098" s="72"/>
      <c r="AO1098" s="41"/>
      <c r="AP1098" s="41"/>
      <c r="AQ1098" s="41">
        <f>SUM(N1098:Q1098)</f>
        <v>21.299999999999997</v>
      </c>
      <c r="AR1098" s="41">
        <f>SUM(T1098:W1098)</f>
        <v>21.31</v>
      </c>
      <c r="AS1098" s="41">
        <f>SUM(Z1098:AB1098)</f>
        <v>21.3</v>
      </c>
      <c r="AU1098" s="22">
        <f>I1098/AQ1098</f>
        <v>0.99985915492957766</v>
      </c>
      <c r="AV1098" s="22">
        <f>I1098/AR1098</f>
        <v>0.99938995776630701</v>
      </c>
      <c r="AW1098" s="22">
        <f>I1098/AS1098</f>
        <v>0.99985915492957744</v>
      </c>
    </row>
    <row r="1099" spans="1:88" s="22" customFormat="1">
      <c r="A1099" s="1">
        <v>1904</v>
      </c>
      <c r="B1099" s="34" t="s">
        <v>2550</v>
      </c>
      <c r="C1099" s="34">
        <v>337</v>
      </c>
      <c r="D1099" s="75">
        <v>325</v>
      </c>
      <c r="E1099" s="8">
        <v>102</v>
      </c>
      <c r="F1099" s="9" t="s">
        <v>2551</v>
      </c>
      <c r="G1099" s="20">
        <v>28775</v>
      </c>
      <c r="H1099" s="20">
        <v>42406</v>
      </c>
      <c r="I1099" s="21">
        <v>13.631</v>
      </c>
      <c r="J1099" s="8">
        <v>4</v>
      </c>
      <c r="K1099" s="8" t="s">
        <v>238</v>
      </c>
      <c r="L1099" s="18">
        <v>42091</v>
      </c>
      <c r="M1099" s="207" t="s">
        <v>191</v>
      </c>
      <c r="N1099" s="38">
        <v>5.43</v>
      </c>
      <c r="O1099" s="38">
        <v>3.5</v>
      </c>
      <c r="P1099" s="38">
        <v>2.62</v>
      </c>
      <c r="Q1099" s="38">
        <v>2.08</v>
      </c>
      <c r="R1099" s="38">
        <v>3.26816</v>
      </c>
      <c r="S1099" s="38">
        <f t="shared" si="143"/>
        <v>3.5</v>
      </c>
      <c r="T1099" s="38">
        <v>11.84</v>
      </c>
      <c r="U1099" s="38">
        <v>1.42</v>
      </c>
      <c r="V1099" s="38">
        <v>0.28999999999999998</v>
      </c>
      <c r="W1099" s="38">
        <v>0.08</v>
      </c>
      <c r="X1099" s="38">
        <v>5.5424699999999998</v>
      </c>
      <c r="Y1099" s="38">
        <f t="shared" si="144"/>
        <v>5.5</v>
      </c>
      <c r="Z1099" s="38">
        <v>0</v>
      </c>
      <c r="AA1099" s="38">
        <v>0</v>
      </c>
      <c r="AB1099" s="38">
        <v>13.63</v>
      </c>
      <c r="AC1099" s="38">
        <v>1.4383300000000001</v>
      </c>
      <c r="AD1099" s="38">
        <v>24.92</v>
      </c>
      <c r="AE1099" s="38">
        <v>83.39</v>
      </c>
      <c r="AF1099" s="38">
        <v>0.13962920653552305</v>
      </c>
      <c r="AG1099" s="38">
        <f t="shared" si="145"/>
        <v>0.1</v>
      </c>
      <c r="AH1099" s="38">
        <v>17.98</v>
      </c>
      <c r="AI1099" s="38">
        <v>3.7687204586184853E-2</v>
      </c>
      <c r="AJ1099" s="38">
        <v>147.71</v>
      </c>
      <c r="AK1099" s="38">
        <v>0.30960939874445859</v>
      </c>
      <c r="AL1099" s="38">
        <v>0</v>
      </c>
      <c r="AM1099" s="38">
        <f>AL1099/(3.5*I1099*1000)*100</f>
        <v>0</v>
      </c>
      <c r="AN1099" s="12"/>
      <c r="AO1099" s="1"/>
      <c r="AP1099" s="1"/>
      <c r="AQ1099" s="41">
        <f>SUM(N1099:Q1099)</f>
        <v>13.63</v>
      </c>
      <c r="AR1099" s="41">
        <f>SUM(T1099:W1099)</f>
        <v>13.629999999999999</v>
      </c>
      <c r="AS1099" s="12">
        <f>SUM(Z1099:AB1099)</f>
        <v>13.63</v>
      </c>
      <c r="AT1099" s="1"/>
      <c r="AU1099" s="1">
        <f>I1099/AQ1099</f>
        <v>1.0000733675715334</v>
      </c>
      <c r="AV1099" s="1">
        <f>I1099/AR1099</f>
        <v>1.0000733675715334</v>
      </c>
      <c r="AW1099" s="1">
        <f>I1099/AS1099</f>
        <v>1.0000733675715334</v>
      </c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</row>
    <row r="1100" spans="1:88" s="22" customFormat="1">
      <c r="A1100" s="1">
        <v>1271</v>
      </c>
      <c r="B1100" s="34" t="s">
        <v>1775</v>
      </c>
      <c r="C1100" s="88">
        <v>438</v>
      </c>
      <c r="D1100" s="88">
        <v>3332</v>
      </c>
      <c r="E1100" s="88">
        <v>100</v>
      </c>
      <c r="F1100" s="88" t="s">
        <v>1810</v>
      </c>
      <c r="G1100" s="88" t="s">
        <v>92</v>
      </c>
      <c r="H1100" s="88" t="s">
        <v>1811</v>
      </c>
      <c r="I1100" s="115">
        <v>2.1280000000000001</v>
      </c>
      <c r="J1100" s="88">
        <v>2</v>
      </c>
      <c r="K1100" s="181" t="s">
        <v>238</v>
      </c>
      <c r="L1100" s="116">
        <v>42282</v>
      </c>
      <c r="M1100" s="9" t="s">
        <v>191</v>
      </c>
      <c r="N1100" s="117">
        <v>0.82499999999999996</v>
      </c>
      <c r="O1100" s="117">
        <v>1.0249999999999999</v>
      </c>
      <c r="P1100" s="117">
        <v>0.2</v>
      </c>
      <c r="Q1100" s="117">
        <v>0.1</v>
      </c>
      <c r="R1100" s="117">
        <v>3.2770899999999998</v>
      </c>
      <c r="S1100" s="38">
        <f t="shared" si="143"/>
        <v>3.5</v>
      </c>
      <c r="T1100" s="117">
        <v>2.125</v>
      </c>
      <c r="U1100" s="38">
        <v>0</v>
      </c>
      <c r="V1100" s="38">
        <v>2.5000000000000001E-2</v>
      </c>
      <c r="W1100" s="38">
        <v>0</v>
      </c>
      <c r="X1100" s="38">
        <v>3.5234999999999999</v>
      </c>
      <c r="Y1100" s="38">
        <f t="shared" si="144"/>
        <v>3.5</v>
      </c>
      <c r="Z1100" s="38">
        <v>0</v>
      </c>
      <c r="AA1100" s="38">
        <v>0</v>
      </c>
      <c r="AB1100" s="55">
        <v>2.1280000000000001</v>
      </c>
      <c r="AC1100" s="38">
        <v>1.33853</v>
      </c>
      <c r="AD1100" s="38">
        <v>2.41</v>
      </c>
      <c r="AE1100" s="38">
        <v>15.97</v>
      </c>
      <c r="AF1100" s="117">
        <f>(AD1100+AE1100*0.5)/(3.5*I1100*1000)*100</f>
        <v>0.13956766917293234</v>
      </c>
      <c r="AG1100" s="38">
        <f t="shared" si="145"/>
        <v>0.1</v>
      </c>
      <c r="AH1100" s="117">
        <v>0.25</v>
      </c>
      <c r="AI1100" s="117">
        <f>AH1100/(3.5*I1100*1000)*100</f>
        <v>3.3566058002148227E-3</v>
      </c>
      <c r="AJ1100" s="117">
        <v>0</v>
      </c>
      <c r="AK1100" s="117">
        <v>0</v>
      </c>
      <c r="AL1100" s="117">
        <v>0</v>
      </c>
      <c r="AM1100" s="117">
        <v>0</v>
      </c>
      <c r="AN1100" s="12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</row>
    <row r="1101" spans="1:88" s="182" customFormat="1">
      <c r="A1101" s="1">
        <v>440</v>
      </c>
      <c r="B1101" s="74" t="s">
        <v>699</v>
      </c>
      <c r="C1101" s="34">
        <v>513</v>
      </c>
      <c r="D1101" s="75">
        <v>1201</v>
      </c>
      <c r="E1101" s="69">
        <v>100</v>
      </c>
      <c r="F1101" s="76" t="s">
        <v>746</v>
      </c>
      <c r="G1101" s="58" t="s">
        <v>747</v>
      </c>
      <c r="H1101" s="58" t="s">
        <v>92</v>
      </c>
      <c r="I1101" s="55">
        <v>16.059000000000001</v>
      </c>
      <c r="J1101" s="5" t="s">
        <v>12</v>
      </c>
      <c r="K1101" s="34">
        <v>2</v>
      </c>
      <c r="L1101" s="18">
        <v>42264</v>
      </c>
      <c r="M1101" s="9" t="s">
        <v>191</v>
      </c>
      <c r="N1101" s="38">
        <v>12.87</v>
      </c>
      <c r="O1101" s="38">
        <v>2.2799999999999998</v>
      </c>
      <c r="P1101" s="38">
        <v>0.68</v>
      </c>
      <c r="Q1101" s="38">
        <v>0.23</v>
      </c>
      <c r="R1101" s="38">
        <v>1.98722</v>
      </c>
      <c r="S1101" s="38">
        <f t="shared" si="143"/>
        <v>2</v>
      </c>
      <c r="T1101" s="38">
        <v>16.059999999999999</v>
      </c>
      <c r="U1101" s="38">
        <v>0</v>
      </c>
      <c r="V1101" s="38">
        <v>0</v>
      </c>
      <c r="W1101" s="38">
        <v>0</v>
      </c>
      <c r="X1101" s="38">
        <v>1.8891</v>
      </c>
      <c r="Y1101" s="38">
        <f t="shared" si="144"/>
        <v>2</v>
      </c>
      <c r="Z1101" s="38">
        <v>0</v>
      </c>
      <c r="AA1101" s="38">
        <v>0</v>
      </c>
      <c r="AB1101" s="38">
        <v>16.059999999999999</v>
      </c>
      <c r="AC1101" s="38">
        <v>1.0044900000000001</v>
      </c>
      <c r="AD1101" s="38">
        <v>75.239999999999995</v>
      </c>
      <c r="AE1101" s="38">
        <v>6.1639999999999997</v>
      </c>
      <c r="AF1101" s="38">
        <f>(AD1101+AE1101*0.5)/(3.5*I1101*1000)*100</f>
        <v>0.13934687269266005</v>
      </c>
      <c r="AG1101" s="38">
        <f t="shared" si="145"/>
        <v>0.1</v>
      </c>
      <c r="AH1101" s="38">
        <v>59.546999999999997</v>
      </c>
      <c r="AI1101" s="38">
        <f>AH1101/(3.5*I1101*1000)*100</f>
        <v>0.10594326278989083</v>
      </c>
      <c r="AJ1101" s="38">
        <v>0</v>
      </c>
      <c r="AK1101" s="38">
        <f>AJ1101/(3.5*I1101*1000)*100</f>
        <v>0</v>
      </c>
      <c r="AL1101" s="38">
        <v>0</v>
      </c>
      <c r="AM1101" s="38">
        <f>AL1101/(3.5*I1101*1000)*100</f>
        <v>0</v>
      </c>
      <c r="AN1101" s="41"/>
      <c r="AO1101" s="41"/>
      <c r="AP1101" s="73"/>
      <c r="AQ1101" s="41">
        <f>SUM(N1101:Q1101)</f>
        <v>16.059999999999999</v>
      </c>
      <c r="AR1101" s="41">
        <f>SUM(T1101:W1101)</f>
        <v>16.059999999999999</v>
      </c>
      <c r="AS1101" s="41">
        <f>SUM(Z1101:AB1101)</f>
        <v>16.059999999999999</v>
      </c>
      <c r="AT1101" s="22"/>
      <c r="AU1101" s="22">
        <f>I1101/AQ1101</f>
        <v>0.99993773349937753</v>
      </c>
      <c r="AV1101" s="22">
        <f>I1101/AR1101</f>
        <v>0.99993773349937753</v>
      </c>
      <c r="AW1101" s="22">
        <f>I1101/AS1101</f>
        <v>0.99993773349937753</v>
      </c>
      <c r="AX1101" s="73"/>
      <c r="AY1101" s="73"/>
      <c r="AZ1101" s="73"/>
      <c r="BA1101" s="73"/>
      <c r="BB1101" s="73"/>
      <c r="BC1101" s="73"/>
      <c r="BD1101" s="73"/>
      <c r="BE1101" s="73"/>
      <c r="BF1101" s="73"/>
      <c r="BG1101" s="73"/>
      <c r="BH1101" s="73"/>
      <c r="BI1101" s="73"/>
      <c r="BJ1101" s="73"/>
      <c r="BK1101" s="73"/>
      <c r="BL1101" s="73"/>
      <c r="BM1101" s="73"/>
      <c r="BN1101" s="73"/>
      <c r="BO1101" s="73"/>
      <c r="BP1101" s="73"/>
      <c r="BQ1101" s="73"/>
      <c r="BR1101" s="73"/>
      <c r="BS1101" s="73"/>
      <c r="BT1101" s="73"/>
      <c r="BU1101" s="73"/>
      <c r="BV1101" s="73"/>
      <c r="BW1101" s="73"/>
      <c r="BX1101" s="73"/>
      <c r="BY1101" s="73"/>
      <c r="BZ1101" s="73"/>
      <c r="CA1101" s="73"/>
      <c r="CB1101" s="73"/>
      <c r="CC1101" s="73"/>
      <c r="CD1101" s="73"/>
      <c r="CE1101" s="73"/>
      <c r="CF1101" s="73"/>
      <c r="CG1101" s="73"/>
      <c r="CH1101" s="73"/>
      <c r="CI1101" s="73"/>
      <c r="CJ1101" s="73"/>
    </row>
    <row r="1102" spans="1:88" s="182" customFormat="1">
      <c r="A1102" s="1">
        <v>1669</v>
      </c>
      <c r="B1102" s="34" t="s">
        <v>2272</v>
      </c>
      <c r="C1102" s="34">
        <v>419</v>
      </c>
      <c r="D1102" s="69">
        <v>9</v>
      </c>
      <c r="E1102" s="34">
        <v>102</v>
      </c>
      <c r="F1102" s="34" t="s">
        <v>2275</v>
      </c>
      <c r="G1102" s="58" t="s">
        <v>2253</v>
      </c>
      <c r="H1102" s="58" t="s">
        <v>2274</v>
      </c>
      <c r="I1102" s="35">
        <v>11.9</v>
      </c>
      <c r="J1102" s="34">
        <v>8</v>
      </c>
      <c r="K1102" s="34" t="s">
        <v>96</v>
      </c>
      <c r="L1102" s="10">
        <v>42243</v>
      </c>
      <c r="M1102" s="9" t="s">
        <v>191</v>
      </c>
      <c r="N1102" s="55">
        <v>2.5499999999999998</v>
      </c>
      <c r="O1102" s="55">
        <v>6.9249999999999998</v>
      </c>
      <c r="P1102" s="55">
        <v>1.575</v>
      </c>
      <c r="Q1102" s="55">
        <v>0.875</v>
      </c>
      <c r="R1102" s="55">
        <v>2.73346</v>
      </c>
      <c r="S1102" s="38">
        <f t="shared" si="143"/>
        <v>2.5</v>
      </c>
      <c r="T1102" s="38">
        <v>11.475</v>
      </c>
      <c r="U1102" s="38">
        <v>0.4</v>
      </c>
      <c r="V1102" s="38">
        <v>2.5000000000000001E-2</v>
      </c>
      <c r="W1102" s="38">
        <v>2.5000000000000001E-2</v>
      </c>
      <c r="X1102" s="38">
        <v>4.2353100000000001</v>
      </c>
      <c r="Y1102" s="38">
        <f t="shared" si="144"/>
        <v>4</v>
      </c>
      <c r="Z1102" s="38">
        <v>0</v>
      </c>
      <c r="AA1102" s="38">
        <v>0</v>
      </c>
      <c r="AB1102" s="38">
        <f>SUM(N1102:Q1102)</f>
        <v>11.924999999999999</v>
      </c>
      <c r="AC1102" s="38">
        <v>1.40448</v>
      </c>
      <c r="AD1102" s="38">
        <v>0</v>
      </c>
      <c r="AE1102" s="38">
        <v>116.02</v>
      </c>
      <c r="AF1102" s="38">
        <f>(AD1102+AE1102*0.5)/(3.5*I1102*1000)*100</f>
        <v>0.13927971188475388</v>
      </c>
      <c r="AG1102" s="38">
        <f t="shared" si="145"/>
        <v>0.1</v>
      </c>
      <c r="AH1102" s="38">
        <v>0</v>
      </c>
      <c r="AI1102" s="38">
        <f>AH1102/(3.5*I1102*1000)*100</f>
        <v>0</v>
      </c>
      <c r="AJ1102" s="38">
        <v>358.76</v>
      </c>
      <c r="AK1102" s="38">
        <f>AJ1102/(3.5*I1102*1000)*100</f>
        <v>0.86136854741896762</v>
      </c>
      <c r="AL1102" s="38">
        <v>0</v>
      </c>
      <c r="AM1102" s="38">
        <f>AL1102/(3.5*I1102*1000)*100</f>
        <v>0</v>
      </c>
      <c r="AN1102" s="25"/>
      <c r="AO1102" s="25">
        <f>AE1102*0.5</f>
        <v>58.01</v>
      </c>
      <c r="AP1102" s="25">
        <f>(AD1102+AH1102+AJ1102+AL1102+AO1102)*I1102</f>
        <v>4959.5630000000001</v>
      </c>
      <c r="AQ1102" s="25">
        <f>(AD1102+AH1102+AJ1102+AL1102)*I1102</f>
        <v>4269.2439999999997</v>
      </c>
      <c r="AR1102" s="25">
        <f>SUM(N1102:Q1102)</f>
        <v>11.924999999999999</v>
      </c>
      <c r="AS1102" s="25">
        <f>SUM(T1102:W1102)</f>
        <v>11.925000000000001</v>
      </c>
      <c r="AT1102" s="22"/>
      <c r="AU1102" s="41"/>
      <c r="AV1102" s="41"/>
      <c r="AW1102" s="41"/>
      <c r="AX1102" s="41"/>
      <c r="AY1102" s="22"/>
      <c r="AZ1102" s="22"/>
      <c r="BA1102" s="22"/>
      <c r="BB1102" s="22"/>
      <c r="BC1102" s="22"/>
      <c r="BD1102" s="22"/>
      <c r="BE1102" s="22"/>
      <c r="BF1102" s="22"/>
      <c r="BG1102" s="22"/>
      <c r="BH1102" s="22"/>
      <c r="BI1102" s="22"/>
      <c r="BJ1102" s="22"/>
      <c r="BK1102" s="22"/>
      <c r="BL1102" s="22"/>
      <c r="BM1102" s="22"/>
      <c r="BN1102" s="22"/>
      <c r="BO1102" s="22"/>
      <c r="BP1102" s="22"/>
      <c r="BQ1102" s="22"/>
      <c r="BR1102" s="22"/>
      <c r="BS1102" s="22"/>
      <c r="BT1102" s="22"/>
      <c r="BU1102" s="22"/>
      <c r="BV1102" s="22"/>
      <c r="BW1102" s="22"/>
      <c r="BX1102" s="22"/>
      <c r="BY1102" s="22"/>
      <c r="BZ1102" s="22"/>
      <c r="CA1102" s="22"/>
      <c r="CB1102" s="22"/>
      <c r="CC1102" s="22"/>
      <c r="CD1102" s="22"/>
      <c r="CE1102" s="22"/>
      <c r="CF1102" s="22"/>
      <c r="CG1102" s="22"/>
      <c r="CH1102" s="22"/>
      <c r="CI1102" s="22"/>
      <c r="CJ1102" s="22"/>
    </row>
    <row r="1103" spans="1:88" s="22" customFormat="1">
      <c r="A1103" s="1">
        <v>434</v>
      </c>
      <c r="B1103" s="74" t="s">
        <v>699</v>
      </c>
      <c r="C1103" s="34">
        <v>513</v>
      </c>
      <c r="D1103" s="75">
        <v>1113</v>
      </c>
      <c r="E1103" s="69">
        <v>103</v>
      </c>
      <c r="F1103" s="76" t="s">
        <v>734</v>
      </c>
      <c r="G1103" s="58" t="s">
        <v>733</v>
      </c>
      <c r="H1103" s="58" t="s">
        <v>735</v>
      </c>
      <c r="I1103" s="55">
        <v>13.15</v>
      </c>
      <c r="J1103" s="5" t="s">
        <v>238</v>
      </c>
      <c r="K1103" s="34">
        <v>2</v>
      </c>
      <c r="L1103" s="18">
        <v>42263</v>
      </c>
      <c r="M1103" s="9" t="s">
        <v>191</v>
      </c>
      <c r="N1103" s="38">
        <v>7.55</v>
      </c>
      <c r="O1103" s="38">
        <v>3.37</v>
      </c>
      <c r="P1103" s="38">
        <v>1.69</v>
      </c>
      <c r="Q1103" s="38">
        <v>0.53</v>
      </c>
      <c r="R1103" s="38">
        <v>2.6400999999999999</v>
      </c>
      <c r="S1103" s="38">
        <f t="shared" si="143"/>
        <v>2.5</v>
      </c>
      <c r="T1103" s="38">
        <v>12.52</v>
      </c>
      <c r="U1103" s="38">
        <v>0.48</v>
      </c>
      <c r="V1103" s="38">
        <v>0.13</v>
      </c>
      <c r="W1103" s="38">
        <v>0.03</v>
      </c>
      <c r="X1103" s="38">
        <v>4.09978</v>
      </c>
      <c r="Y1103" s="38">
        <f t="shared" si="144"/>
        <v>4</v>
      </c>
      <c r="Z1103" s="38">
        <v>0</v>
      </c>
      <c r="AA1103" s="38">
        <v>0</v>
      </c>
      <c r="AB1103" s="38">
        <v>13.15</v>
      </c>
      <c r="AC1103" s="38">
        <v>1.12094</v>
      </c>
      <c r="AD1103" s="38">
        <v>61.325000000000003</v>
      </c>
      <c r="AE1103" s="38">
        <v>4.6319999999999997</v>
      </c>
      <c r="AF1103" s="38">
        <f>(AD1103+AE1103*0.5)/(3.5*I1103*1000)*100</f>
        <v>0.13827485062466052</v>
      </c>
      <c r="AG1103" s="38">
        <f t="shared" si="145"/>
        <v>0.1</v>
      </c>
      <c r="AH1103" s="38">
        <v>94.385000000000005</v>
      </c>
      <c r="AI1103" s="38">
        <f>AH1103/(3.5*I1103*1000)*100</f>
        <v>0.20507332971211301</v>
      </c>
      <c r="AJ1103" s="38">
        <v>0</v>
      </c>
      <c r="AK1103" s="38">
        <f>AJ1103/(3.5*I1103*1000)*100</f>
        <v>0</v>
      </c>
      <c r="AL1103" s="38">
        <v>0</v>
      </c>
      <c r="AM1103" s="38">
        <f>AL1103/(3.5*I1103*1000)*100</f>
        <v>0</v>
      </c>
      <c r="AN1103" s="41"/>
      <c r="AO1103" s="41"/>
      <c r="AP1103" s="73"/>
      <c r="AQ1103" s="41">
        <f>SUM(N1103:Q1103)</f>
        <v>13.139999999999999</v>
      </c>
      <c r="AR1103" s="41">
        <f>SUM(T1103:W1103)</f>
        <v>13.16</v>
      </c>
      <c r="AS1103" s="41">
        <f>SUM(Z1103:AB1103)</f>
        <v>13.15</v>
      </c>
      <c r="AU1103" s="22">
        <f>I1103/AQ1103</f>
        <v>1.0007610350076104</v>
      </c>
      <c r="AV1103" s="22">
        <f>I1103/AR1103</f>
        <v>0.99924012158054709</v>
      </c>
      <c r="AW1103" s="22">
        <f>I1103/AS1103</f>
        <v>1</v>
      </c>
      <c r="AX1103" s="73"/>
      <c r="AY1103" s="73"/>
      <c r="AZ1103" s="73"/>
      <c r="BA1103" s="73"/>
      <c r="BB1103" s="73"/>
      <c r="BC1103" s="73"/>
      <c r="BD1103" s="73"/>
      <c r="BE1103" s="73"/>
      <c r="BF1103" s="73"/>
      <c r="BG1103" s="73"/>
      <c r="BH1103" s="73"/>
      <c r="BI1103" s="73"/>
      <c r="BJ1103" s="73"/>
      <c r="BK1103" s="73"/>
      <c r="BL1103" s="73"/>
      <c r="BM1103" s="73"/>
      <c r="BN1103" s="73"/>
      <c r="BO1103" s="73"/>
      <c r="BP1103" s="73"/>
      <c r="BQ1103" s="73"/>
      <c r="BR1103" s="73"/>
      <c r="BS1103" s="73"/>
      <c r="BT1103" s="73"/>
      <c r="BU1103" s="73"/>
      <c r="BV1103" s="73"/>
      <c r="BW1103" s="73"/>
      <c r="BX1103" s="73"/>
      <c r="BY1103" s="73"/>
      <c r="BZ1103" s="73"/>
      <c r="CA1103" s="73"/>
      <c r="CB1103" s="73"/>
      <c r="CC1103" s="73"/>
      <c r="CD1103" s="73"/>
      <c r="CE1103" s="73"/>
      <c r="CF1103" s="73"/>
      <c r="CG1103" s="73"/>
      <c r="CH1103" s="73"/>
      <c r="CI1103" s="73"/>
      <c r="CJ1103" s="73"/>
    </row>
    <row r="1104" spans="1:88" s="22" customFormat="1">
      <c r="A1104" s="1">
        <v>853</v>
      </c>
      <c r="B1104" s="34" t="s">
        <v>1231</v>
      </c>
      <c r="C1104" s="34">
        <v>615</v>
      </c>
      <c r="D1104" s="34">
        <v>2122</v>
      </c>
      <c r="E1104" s="34">
        <v>100</v>
      </c>
      <c r="F1104" s="34" t="s">
        <v>1247</v>
      </c>
      <c r="G1104" s="58">
        <v>0</v>
      </c>
      <c r="H1104" s="58">
        <v>18135</v>
      </c>
      <c r="I1104" s="35">
        <v>18.135000000000002</v>
      </c>
      <c r="J1104" s="9">
        <v>2</v>
      </c>
      <c r="K1104" s="34" t="s">
        <v>238</v>
      </c>
      <c r="L1104" s="10">
        <v>42134</v>
      </c>
      <c r="M1104" s="9" t="s">
        <v>191</v>
      </c>
      <c r="N1104" s="38">
        <v>9.0749999999999993</v>
      </c>
      <c r="O1104" s="38">
        <v>5.3250000000000002</v>
      </c>
      <c r="P1104" s="38">
        <v>2.95</v>
      </c>
      <c r="Q1104" s="38">
        <v>0.72499999999999998</v>
      </c>
      <c r="R1104" s="38">
        <v>2.4032499999999999</v>
      </c>
      <c r="S1104" s="38">
        <f t="shared" si="143"/>
        <v>2.5</v>
      </c>
      <c r="T1104" s="38">
        <v>17</v>
      </c>
      <c r="U1104" s="38">
        <v>0.8</v>
      </c>
      <c r="V1104" s="38">
        <v>0.15</v>
      </c>
      <c r="W1104" s="38">
        <v>0.125</v>
      </c>
      <c r="X1104" s="38">
        <v>3.9270200000000002</v>
      </c>
      <c r="Y1104" s="38">
        <f t="shared" si="144"/>
        <v>4</v>
      </c>
      <c r="Z1104" s="38">
        <v>0</v>
      </c>
      <c r="AA1104" s="38">
        <v>0</v>
      </c>
      <c r="AB1104" s="38">
        <f>N1104+O1104+P1104+Q1104</f>
        <v>18.074999999999999</v>
      </c>
      <c r="AC1104" s="38">
        <v>1.3998999999999999</v>
      </c>
      <c r="AD1104" s="38">
        <v>75.959999999999994</v>
      </c>
      <c r="AE1104" s="38">
        <v>23.39</v>
      </c>
      <c r="AF1104" s="38">
        <v>0.1381</v>
      </c>
      <c r="AG1104" s="38">
        <f t="shared" si="145"/>
        <v>0.1</v>
      </c>
      <c r="AH1104" s="38">
        <v>510.02</v>
      </c>
      <c r="AI1104" s="38">
        <v>0.80352999999999997</v>
      </c>
      <c r="AJ1104" s="38">
        <v>0</v>
      </c>
      <c r="AK1104" s="38">
        <v>0</v>
      </c>
      <c r="AL1104" s="38">
        <v>0</v>
      </c>
      <c r="AM1104" s="38">
        <v>0</v>
      </c>
      <c r="AN1104" s="25"/>
      <c r="AO1104" s="25">
        <f>AE1104*0.5</f>
        <v>11.695</v>
      </c>
      <c r="AP1104" s="25">
        <f>(AD1104+AH1104+AJ1104+AL1104+AO1104)*I1104</f>
        <v>10838.836125000002</v>
      </c>
      <c r="AQ1104" s="25">
        <f>SUM(N1104:Q1104)</f>
        <v>18.074999999999999</v>
      </c>
      <c r="AR1104" s="25">
        <f>SUM(T1104:W1104)</f>
        <v>18.074999999999999</v>
      </c>
      <c r="AS1104" s="268">
        <v>18.135000000000002</v>
      </c>
      <c r="AT1104" s="41"/>
      <c r="AU1104" s="41"/>
      <c r="AV1104" s="41"/>
      <c r="AW1104" s="41"/>
    </row>
    <row r="1105" spans="1:88" s="22" customFormat="1">
      <c r="A1105" s="1">
        <v>78</v>
      </c>
      <c r="B1105" s="4" t="s">
        <v>44</v>
      </c>
      <c r="C1105" s="14">
        <v>524</v>
      </c>
      <c r="D1105" s="19">
        <v>1147</v>
      </c>
      <c r="E1105" s="16">
        <v>100</v>
      </c>
      <c r="F1105" s="14" t="s">
        <v>56</v>
      </c>
      <c r="G1105" s="20" t="s">
        <v>141</v>
      </c>
      <c r="H1105" s="20" t="s">
        <v>92</v>
      </c>
      <c r="I1105" s="21">
        <v>22.3</v>
      </c>
      <c r="J1105" s="8">
        <v>2</v>
      </c>
      <c r="K1105" s="9" t="s">
        <v>12</v>
      </c>
      <c r="L1105" s="18">
        <v>42227</v>
      </c>
      <c r="M1105" s="9" t="s">
        <v>191</v>
      </c>
      <c r="N1105" s="11">
        <v>9.7249999999999996</v>
      </c>
      <c r="O1105" s="11">
        <v>7.5750000000000002</v>
      </c>
      <c r="P1105" s="11">
        <v>3.7</v>
      </c>
      <c r="Q1105" s="11">
        <v>1.35</v>
      </c>
      <c r="R1105" s="11">
        <v>2.9299400000000002</v>
      </c>
      <c r="S1105" s="38">
        <f t="shared" si="143"/>
        <v>3</v>
      </c>
      <c r="T1105" s="11">
        <v>22.175000000000001</v>
      </c>
      <c r="U1105" s="11">
        <v>0.17499999999999999</v>
      </c>
      <c r="V1105" s="11">
        <v>0</v>
      </c>
      <c r="W1105" s="11">
        <v>0</v>
      </c>
      <c r="X1105" s="11">
        <v>2.4670399999999999</v>
      </c>
      <c r="Y1105" s="38">
        <f t="shared" si="144"/>
        <v>2.5</v>
      </c>
      <c r="Z1105" s="11">
        <v>0</v>
      </c>
      <c r="AA1105" s="11">
        <v>0</v>
      </c>
      <c r="AB1105" s="11">
        <v>22.35</v>
      </c>
      <c r="AC1105" s="11">
        <v>1.0898300000000001</v>
      </c>
      <c r="AD1105" s="11">
        <v>107.69</v>
      </c>
      <c r="AE1105" s="11">
        <v>0</v>
      </c>
      <c r="AF1105" s="11">
        <f>(AD1105+AE1105*0.5)/(3.5*I1105*1000)*100</f>
        <v>0.13797565663036515</v>
      </c>
      <c r="AG1105" s="38">
        <f t="shared" si="145"/>
        <v>0.1</v>
      </c>
      <c r="AH1105" s="11">
        <v>0.83</v>
      </c>
      <c r="AI1105" s="11">
        <f>AH1105/(3.5*I1105*1000)*100</f>
        <v>1.0634208840486867E-3</v>
      </c>
      <c r="AJ1105" s="11">
        <v>1.68</v>
      </c>
      <c r="AK1105" s="11">
        <f>AJ1105/(3.5*I1105*1000)*100</f>
        <v>2.1524663677130042E-3</v>
      </c>
      <c r="AL1105" s="11">
        <v>0</v>
      </c>
      <c r="AM1105" s="11">
        <f>AL1105/(3.5*I1105*1000)*100</f>
        <v>0</v>
      </c>
      <c r="AN1105" s="25"/>
      <c r="AO1105" s="25"/>
    </row>
    <row r="1106" spans="1:88" s="22" customFormat="1">
      <c r="A1106" s="1">
        <v>496</v>
      </c>
      <c r="B1106" s="88" t="s">
        <v>821</v>
      </c>
      <c r="C1106" s="88">
        <v>519</v>
      </c>
      <c r="D1106" s="88">
        <v>1068</v>
      </c>
      <c r="E1106" s="88">
        <v>101</v>
      </c>
      <c r="F1106" s="88" t="s">
        <v>846</v>
      </c>
      <c r="G1106" s="88" t="s">
        <v>847</v>
      </c>
      <c r="H1106" s="88" t="s">
        <v>92</v>
      </c>
      <c r="I1106" s="115">
        <v>19.8</v>
      </c>
      <c r="J1106" s="88" t="s">
        <v>12</v>
      </c>
      <c r="K1106" s="34">
        <v>2</v>
      </c>
      <c r="L1106" s="116">
        <v>42276</v>
      </c>
      <c r="M1106" s="9" t="s">
        <v>191</v>
      </c>
      <c r="N1106" s="117">
        <v>12.78</v>
      </c>
      <c r="O1106" s="117">
        <v>3.54</v>
      </c>
      <c r="P1106" s="117">
        <v>2.4500000000000002</v>
      </c>
      <c r="Q1106" s="117">
        <v>1.03</v>
      </c>
      <c r="R1106" s="117">
        <v>2.55023</v>
      </c>
      <c r="S1106" s="38">
        <f t="shared" si="143"/>
        <v>2.5</v>
      </c>
      <c r="T1106" s="117">
        <v>18.579999999999998</v>
      </c>
      <c r="U1106" s="117">
        <v>1.02</v>
      </c>
      <c r="V1106" s="117">
        <v>0.17</v>
      </c>
      <c r="W1106" s="117">
        <v>0.02</v>
      </c>
      <c r="X1106" s="117">
        <v>3.99255</v>
      </c>
      <c r="Y1106" s="38">
        <f t="shared" si="144"/>
        <v>4</v>
      </c>
      <c r="Z1106" s="117">
        <v>0</v>
      </c>
      <c r="AA1106" s="117">
        <v>0</v>
      </c>
      <c r="AB1106" s="117">
        <v>19.8</v>
      </c>
      <c r="AC1106" s="117">
        <v>1.12931</v>
      </c>
      <c r="AD1106" s="117">
        <v>91.64</v>
      </c>
      <c r="AE1106" s="117">
        <v>7.5149999999999997</v>
      </c>
      <c r="AF1106" s="117">
        <v>0.137659</v>
      </c>
      <c r="AG1106" s="38">
        <f t="shared" si="145"/>
        <v>0.1</v>
      </c>
      <c r="AH1106" s="117">
        <v>135.68</v>
      </c>
      <c r="AI1106" s="117">
        <v>0.19578599999999999</v>
      </c>
      <c r="AJ1106" s="117">
        <v>0</v>
      </c>
      <c r="AK1106" s="117">
        <v>0</v>
      </c>
      <c r="AL1106" s="117">
        <v>0</v>
      </c>
      <c r="AM1106" s="117">
        <v>0</v>
      </c>
      <c r="AN1106" s="41"/>
      <c r="AO1106" s="41"/>
      <c r="AP1106" s="41"/>
      <c r="AQ1106" s="41">
        <f>SUM(N1106:Q1106)</f>
        <v>19.8</v>
      </c>
      <c r="AR1106" s="41">
        <f>SUM(T1106:W1106)</f>
        <v>19.79</v>
      </c>
      <c r="AS1106" s="41">
        <f>SUM(Z1106:AB1106)</f>
        <v>19.8</v>
      </c>
      <c r="AU1106" s="22">
        <f>I1106/AQ1106</f>
        <v>1</v>
      </c>
      <c r="AV1106" s="22">
        <f>I1106/AR1106</f>
        <v>1.0005053057099547</v>
      </c>
      <c r="AW1106" s="22">
        <f>I1106/AS1106</f>
        <v>1</v>
      </c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</row>
    <row r="1107" spans="1:88" s="22" customFormat="1">
      <c r="A1107" s="1">
        <v>93</v>
      </c>
      <c r="B1107" s="4" t="s">
        <v>61</v>
      </c>
      <c r="C1107" s="14">
        <v>526</v>
      </c>
      <c r="D1107" s="19">
        <v>1095</v>
      </c>
      <c r="E1107" s="16">
        <v>202</v>
      </c>
      <c r="F1107" s="14" t="s">
        <v>236</v>
      </c>
      <c r="G1107" s="27">
        <v>107384</v>
      </c>
      <c r="H1107" s="27">
        <v>148873</v>
      </c>
      <c r="I1107" s="28">
        <v>41.488999999999997</v>
      </c>
      <c r="J1107" s="16">
        <v>2</v>
      </c>
      <c r="K1107" s="14" t="s">
        <v>238</v>
      </c>
      <c r="L1107" s="29">
        <v>42243</v>
      </c>
      <c r="M1107" s="14" t="s">
        <v>191</v>
      </c>
      <c r="N1107" s="30">
        <v>18.57</v>
      </c>
      <c r="O1107" s="30">
        <v>12.25</v>
      </c>
      <c r="P1107" s="30">
        <v>8.57</v>
      </c>
      <c r="Q1107" s="30">
        <v>2.1</v>
      </c>
      <c r="R1107" s="30">
        <v>4.6120000000000001</v>
      </c>
      <c r="S1107" s="38">
        <f t="shared" si="143"/>
        <v>4.5</v>
      </c>
      <c r="T1107" s="30">
        <v>27.43</v>
      </c>
      <c r="U1107" s="30">
        <v>14.06</v>
      </c>
      <c r="V1107" s="30">
        <v>0</v>
      </c>
      <c r="W1107" s="30">
        <v>0</v>
      </c>
      <c r="X1107" s="30">
        <v>3.9809999999999999</v>
      </c>
      <c r="Y1107" s="38">
        <f t="shared" si="144"/>
        <v>4</v>
      </c>
      <c r="Z1107" s="30">
        <v>0</v>
      </c>
      <c r="AA1107" s="30">
        <v>0</v>
      </c>
      <c r="AB1107" s="30">
        <v>41.49</v>
      </c>
      <c r="AC1107" s="30">
        <v>1.248</v>
      </c>
      <c r="AD1107" s="30">
        <v>118</v>
      </c>
      <c r="AE1107" s="30">
        <v>162</v>
      </c>
      <c r="AF1107" s="30">
        <f>(AD1107+AE1107*0.5)/(3.5*I1107*1000)*100</f>
        <v>0.13704148776095557</v>
      </c>
      <c r="AG1107" s="38">
        <f t="shared" si="145"/>
        <v>0.1</v>
      </c>
      <c r="AH1107" s="30">
        <v>169</v>
      </c>
      <c r="AI1107" s="30">
        <f>AH1107/(3.5*I1107*1000)*100</f>
        <v>0.11638196699297232</v>
      </c>
      <c r="AJ1107" s="30">
        <v>12.2</v>
      </c>
      <c r="AK1107" s="30">
        <f>AJ1107/(3.5*I1107*1000)*100</f>
        <v>8.4015384456465215E-3</v>
      </c>
      <c r="AL1107" s="30">
        <v>0</v>
      </c>
      <c r="AM1107" s="30">
        <f>AL1107/(3.5*I1107*1000)*100</f>
        <v>0</v>
      </c>
      <c r="AO1107" s="25"/>
      <c r="AP1107" s="25">
        <f>N1107+O1107+P1107+Q1107</f>
        <v>41.49</v>
      </c>
      <c r="AQ1107" s="25">
        <f>T1107+U1107+V1107+W1107</f>
        <v>41.49</v>
      </c>
      <c r="AR1107" s="25">
        <f>Z1107+AA1107+AB1107</f>
        <v>41.49</v>
      </c>
      <c r="AT1107" s="22">
        <f>I1107/AP1107</f>
        <v>0.99997589780670026</v>
      </c>
      <c r="AU1107" s="22">
        <f>I1107/AQ1107</f>
        <v>0.99997589780670026</v>
      </c>
      <c r="AV1107" s="22">
        <f>I1107/AR1107</f>
        <v>0.99997589780670026</v>
      </c>
    </row>
    <row r="1108" spans="1:88" s="22" customFormat="1">
      <c r="A1108" s="1">
        <v>1241</v>
      </c>
      <c r="B1108" s="34" t="s">
        <v>1725</v>
      </c>
      <c r="C1108" s="88">
        <v>437</v>
      </c>
      <c r="D1108" s="88">
        <v>3319</v>
      </c>
      <c r="E1108" s="88">
        <v>100</v>
      </c>
      <c r="F1108" s="88" t="s">
        <v>1755</v>
      </c>
      <c r="G1108" s="88" t="s">
        <v>1756</v>
      </c>
      <c r="H1108" s="88" t="s">
        <v>92</v>
      </c>
      <c r="I1108" s="115">
        <v>14.39</v>
      </c>
      <c r="J1108" s="88">
        <v>2</v>
      </c>
      <c r="K1108" s="88" t="s">
        <v>12</v>
      </c>
      <c r="L1108" s="116">
        <v>42282</v>
      </c>
      <c r="M1108" s="9" t="s">
        <v>191</v>
      </c>
      <c r="N1108" s="38">
        <v>11.05</v>
      </c>
      <c r="O1108" s="38">
        <v>2.35</v>
      </c>
      <c r="P1108" s="38">
        <v>0.7</v>
      </c>
      <c r="Q1108" s="38">
        <v>0.32500000000000001</v>
      </c>
      <c r="R1108" s="38">
        <v>2.1729500000000002</v>
      </c>
      <c r="S1108" s="38">
        <f t="shared" si="143"/>
        <v>2</v>
      </c>
      <c r="T1108" s="38">
        <v>14.175000000000001</v>
      </c>
      <c r="U1108" s="38">
        <v>0.2</v>
      </c>
      <c r="V1108" s="38">
        <v>2.5000000000000001E-2</v>
      </c>
      <c r="W1108" s="38">
        <v>2.5000000000000001E-2</v>
      </c>
      <c r="X1108" s="38">
        <v>3.2014300000000002</v>
      </c>
      <c r="Y1108" s="38">
        <f t="shared" si="144"/>
        <v>3</v>
      </c>
      <c r="Z1108" s="38">
        <v>0</v>
      </c>
      <c r="AA1108" s="117">
        <v>0</v>
      </c>
      <c r="AB1108" s="117">
        <v>14.39</v>
      </c>
      <c r="AC1108" s="117">
        <v>1.3292200000000001</v>
      </c>
      <c r="AD1108" s="117">
        <v>56.2</v>
      </c>
      <c r="AE1108" s="117">
        <v>25.6</v>
      </c>
      <c r="AF1108" s="117">
        <f>(AD1108+AE1108*0.5)/(3.5*I1108*1000)*100</f>
        <v>0.13699990072470961</v>
      </c>
      <c r="AG1108" s="38">
        <f t="shared" si="145"/>
        <v>0.1</v>
      </c>
      <c r="AH1108" s="117">
        <v>32.630000000000003</v>
      </c>
      <c r="AI1108" s="117">
        <f>AH1108/(3.5*I1108*1000)*100</f>
        <v>6.4787054502134428E-2</v>
      </c>
      <c r="AJ1108" s="117">
        <v>0</v>
      </c>
      <c r="AK1108" s="117">
        <f>AJ1108/(3.5*I1108*1000)*100</f>
        <v>0</v>
      </c>
      <c r="AL1108" s="117">
        <v>0</v>
      </c>
      <c r="AM1108" s="117">
        <f>AJ1108/(3.5*I1108*1000)*100</f>
        <v>0</v>
      </c>
      <c r="AN1108" s="12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</row>
    <row r="1109" spans="1:88" s="22" customFormat="1">
      <c r="A1109" s="1">
        <v>1989</v>
      </c>
      <c r="B1109" s="34" t="s">
        <v>2615</v>
      </c>
      <c r="C1109" s="34">
        <v>322</v>
      </c>
      <c r="D1109" s="75">
        <v>4162</v>
      </c>
      <c r="E1109" s="8">
        <v>100</v>
      </c>
      <c r="F1109" s="34" t="s">
        <v>2630</v>
      </c>
      <c r="G1109" s="58">
        <v>0</v>
      </c>
      <c r="H1109" s="58">
        <v>9157</v>
      </c>
      <c r="I1109" s="21">
        <v>9.157</v>
      </c>
      <c r="J1109" s="8">
        <v>2</v>
      </c>
      <c r="K1109" s="8" t="s">
        <v>237</v>
      </c>
      <c r="L1109" s="18">
        <v>42130</v>
      </c>
      <c r="M1109" s="9" t="s">
        <v>191</v>
      </c>
      <c r="N1109" s="38">
        <v>6.5</v>
      </c>
      <c r="O1109" s="38">
        <v>1.85</v>
      </c>
      <c r="P1109" s="38">
        <v>0.67500000000000004</v>
      </c>
      <c r="Q1109" s="38">
        <v>0.1</v>
      </c>
      <c r="R1109" s="38">
        <v>2.2349600000000001</v>
      </c>
      <c r="S1109" s="38">
        <f t="shared" si="143"/>
        <v>2</v>
      </c>
      <c r="T1109" s="38">
        <v>9.0749999999999993</v>
      </c>
      <c r="U1109" s="38">
        <v>0.05</v>
      </c>
      <c r="V1109" s="38">
        <v>0</v>
      </c>
      <c r="W1109" s="38">
        <v>0</v>
      </c>
      <c r="X1109" s="38">
        <v>2.8747500000000001</v>
      </c>
      <c r="Y1109" s="38">
        <f t="shared" si="144"/>
        <v>3</v>
      </c>
      <c r="Z1109" s="38">
        <v>0</v>
      </c>
      <c r="AA1109" s="38">
        <v>0</v>
      </c>
      <c r="AB1109" s="38">
        <v>9.125</v>
      </c>
      <c r="AC1109" s="38">
        <v>1.17225</v>
      </c>
      <c r="AD1109" s="38">
        <v>43.84</v>
      </c>
      <c r="AE1109" s="38">
        <v>0</v>
      </c>
      <c r="AF1109" s="38">
        <v>0.13678840543534218</v>
      </c>
      <c r="AG1109" s="38">
        <f t="shared" si="145"/>
        <v>0.1</v>
      </c>
      <c r="AH1109" s="38">
        <v>0</v>
      </c>
      <c r="AI1109" s="38">
        <v>0</v>
      </c>
      <c r="AJ1109" s="38">
        <v>0</v>
      </c>
      <c r="AK1109" s="38">
        <v>0</v>
      </c>
      <c r="AL1109" s="38">
        <v>0</v>
      </c>
      <c r="AM1109" s="38">
        <f>AL1109/(3.5*I1109*1000)*100</f>
        <v>0</v>
      </c>
      <c r="AN1109" s="72"/>
      <c r="AO1109" s="41"/>
      <c r="AP1109" s="41"/>
      <c r="AQ1109" s="73"/>
      <c r="AR1109" s="73"/>
      <c r="AS1109" s="73"/>
      <c r="AT1109" s="73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</row>
    <row r="1110" spans="1:88" s="22" customFormat="1">
      <c r="A1110" s="1">
        <v>1186</v>
      </c>
      <c r="B1110" s="34" t="s">
        <v>1639</v>
      </c>
      <c r="C1110" s="34">
        <v>433</v>
      </c>
      <c r="D1110" s="34">
        <v>3033</v>
      </c>
      <c r="E1110" s="34">
        <v>100</v>
      </c>
      <c r="F1110" s="34" t="s">
        <v>1663</v>
      </c>
      <c r="G1110" s="58">
        <v>0</v>
      </c>
      <c r="H1110" s="58">
        <v>13000</v>
      </c>
      <c r="I1110" s="55">
        <v>13</v>
      </c>
      <c r="J1110" s="34">
        <v>2</v>
      </c>
      <c r="K1110" s="34" t="s">
        <v>12</v>
      </c>
      <c r="L1110" s="10">
        <v>42282</v>
      </c>
      <c r="M1110" s="9" t="s">
        <v>191</v>
      </c>
      <c r="N1110" s="38">
        <v>11.5</v>
      </c>
      <c r="O1110" s="38">
        <v>1.5</v>
      </c>
      <c r="P1110" s="38">
        <v>0</v>
      </c>
      <c r="Q1110" s="38">
        <v>0</v>
      </c>
      <c r="R1110" s="38">
        <v>2.5960000000000001</v>
      </c>
      <c r="S1110" s="38">
        <f t="shared" si="143"/>
        <v>2.5</v>
      </c>
      <c r="T1110" s="38">
        <v>13</v>
      </c>
      <c r="U1110" s="38">
        <v>0</v>
      </c>
      <c r="V1110" s="38">
        <v>0</v>
      </c>
      <c r="W1110" s="38">
        <v>0</v>
      </c>
      <c r="X1110" s="38">
        <v>3.681</v>
      </c>
      <c r="Y1110" s="38">
        <f t="shared" si="144"/>
        <v>3.5</v>
      </c>
      <c r="Z1110" s="38">
        <v>0</v>
      </c>
      <c r="AA1110" s="38">
        <v>0</v>
      </c>
      <c r="AB1110" s="38">
        <v>13</v>
      </c>
      <c r="AC1110" s="38">
        <v>1.129</v>
      </c>
      <c r="AD1110" s="38">
        <v>56.62</v>
      </c>
      <c r="AE1110" s="38">
        <v>11.23</v>
      </c>
      <c r="AF1110" s="38">
        <f>(AD1110+AE1110*0.5)/(3.5*I1110*1000)*100</f>
        <v>0.13678021978021979</v>
      </c>
      <c r="AG1110" s="38">
        <f t="shared" si="145"/>
        <v>0.1</v>
      </c>
      <c r="AH1110" s="38">
        <v>89.32</v>
      </c>
      <c r="AI1110" s="38">
        <f>AH1110/(3.5*I1110*1000)*100</f>
        <v>0.19630769230769229</v>
      </c>
      <c r="AJ1110" s="38">
        <v>0</v>
      </c>
      <c r="AK1110" s="38">
        <f>AJ1110/(3.5*I1110*1000)*100</f>
        <v>0</v>
      </c>
      <c r="AL1110" s="38">
        <v>0</v>
      </c>
      <c r="AM1110" s="38">
        <f>AJ1110/(3.5*I1110*1000)*100</f>
        <v>0</v>
      </c>
      <c r="AN1110" s="25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</row>
    <row r="1111" spans="1:88" s="22" customFormat="1">
      <c r="A1111" s="1">
        <v>848</v>
      </c>
      <c r="B1111" s="34" t="s">
        <v>1231</v>
      </c>
      <c r="C1111" s="34">
        <v>615</v>
      </c>
      <c r="D1111" s="34">
        <v>226</v>
      </c>
      <c r="E1111" s="34">
        <v>302</v>
      </c>
      <c r="F1111" s="34" t="s">
        <v>1241</v>
      </c>
      <c r="G1111" s="58" t="s">
        <v>1242</v>
      </c>
      <c r="H1111" s="58">
        <v>171182</v>
      </c>
      <c r="I1111" s="35">
        <v>32.463999999999999</v>
      </c>
      <c r="J1111" s="9">
        <v>4</v>
      </c>
      <c r="K1111" s="34" t="s">
        <v>96</v>
      </c>
      <c r="L1111" s="10">
        <v>42135</v>
      </c>
      <c r="M1111" s="9" t="s">
        <v>191</v>
      </c>
      <c r="N1111" s="38">
        <v>18.975000000000001</v>
      </c>
      <c r="O1111" s="38">
        <v>7.4249999999999998</v>
      </c>
      <c r="P1111" s="38">
        <v>4.0999999999999996</v>
      </c>
      <c r="Q1111" s="38">
        <v>2.125</v>
      </c>
      <c r="R1111" s="38">
        <v>3.2069999999999999</v>
      </c>
      <c r="S1111" s="38">
        <f t="shared" si="143"/>
        <v>3</v>
      </c>
      <c r="T1111" s="38">
        <v>25.85</v>
      </c>
      <c r="U1111" s="38">
        <v>4.5250000000000004</v>
      </c>
      <c r="V1111" s="38">
        <v>1.4750000000000001</v>
      </c>
      <c r="W1111" s="38">
        <v>0.77500000000000002</v>
      </c>
      <c r="X1111" s="38">
        <v>9.8840000000000003</v>
      </c>
      <c r="Y1111" s="38">
        <f t="shared" si="144"/>
        <v>10</v>
      </c>
      <c r="Z1111" s="38">
        <v>0</v>
      </c>
      <c r="AA1111" s="38">
        <v>0</v>
      </c>
      <c r="AB1111" s="38">
        <f>N1111+O1111+P1111+Q1111</f>
        <v>32.625</v>
      </c>
      <c r="AC1111" s="38">
        <v>1.2430000000000001</v>
      </c>
      <c r="AD1111" s="38">
        <v>124.24</v>
      </c>
      <c r="AE1111" s="38">
        <v>62.35</v>
      </c>
      <c r="AF1111" s="38">
        <v>0.13678000000000001</v>
      </c>
      <c r="AG1111" s="38">
        <f t="shared" si="145"/>
        <v>0.1</v>
      </c>
      <c r="AH1111" s="38">
        <v>216</v>
      </c>
      <c r="AI1111" s="38">
        <v>0.19009999999999999</v>
      </c>
      <c r="AJ1111" s="38">
        <v>314.58999999999997</v>
      </c>
      <c r="AK1111" s="38">
        <v>0.27686899999999998</v>
      </c>
      <c r="AL1111" s="38">
        <v>270.44</v>
      </c>
      <c r="AM1111" s="38">
        <v>0.23801</v>
      </c>
      <c r="AN1111" s="25"/>
      <c r="AO1111" s="25">
        <f>AE1111*0.5</f>
        <v>31.175000000000001</v>
      </c>
      <c r="AP1111" s="25">
        <f>(AD1111+AH1111+AJ1111+AL1111+AO1111)*I1111</f>
        <v>31050.030479999998</v>
      </c>
      <c r="AQ1111" s="25">
        <f>SUM(N1111:Q1111)</f>
        <v>32.625</v>
      </c>
      <c r="AR1111" s="25">
        <f>SUM(T1111:W1111)</f>
        <v>32.625</v>
      </c>
      <c r="AS1111" s="268">
        <v>32.463999999999999</v>
      </c>
      <c r="AT1111" s="41"/>
      <c r="AU1111" s="41"/>
      <c r="AV1111" s="41"/>
      <c r="AW1111" s="41"/>
    </row>
    <row r="1112" spans="1:88" s="22" customFormat="1">
      <c r="A1112" s="1">
        <v>1072</v>
      </c>
      <c r="B1112" s="34" t="s">
        <v>1467</v>
      </c>
      <c r="C1112" s="34">
        <v>619</v>
      </c>
      <c r="D1112" s="8">
        <v>3076</v>
      </c>
      <c r="E1112" s="34">
        <v>401</v>
      </c>
      <c r="F1112" s="34" t="s">
        <v>1475</v>
      </c>
      <c r="G1112" s="58" t="s">
        <v>1476</v>
      </c>
      <c r="H1112" s="58" t="s">
        <v>1477</v>
      </c>
      <c r="I1112" s="35">
        <v>14.06</v>
      </c>
      <c r="J1112" s="9">
        <v>2</v>
      </c>
      <c r="K1112" s="34" t="s">
        <v>12</v>
      </c>
      <c r="L1112" s="10">
        <v>42095</v>
      </c>
      <c r="M1112" s="9" t="s">
        <v>191</v>
      </c>
      <c r="N1112" s="38">
        <v>8.09</v>
      </c>
      <c r="O1112" s="38">
        <v>3.6</v>
      </c>
      <c r="P1112" s="38">
        <v>1.0900000000000001</v>
      </c>
      <c r="Q1112" s="38">
        <v>1.28</v>
      </c>
      <c r="R1112" s="38">
        <v>2.8728400000000001</v>
      </c>
      <c r="S1112" s="38">
        <f t="shared" si="143"/>
        <v>3</v>
      </c>
      <c r="T1112" s="38">
        <v>10.34</v>
      </c>
      <c r="U1112" s="38">
        <v>2.64</v>
      </c>
      <c r="V1112" s="38">
        <v>0.69</v>
      </c>
      <c r="W1112" s="38">
        <v>0.39</v>
      </c>
      <c r="X1112" s="38">
        <v>8.2471200000000007</v>
      </c>
      <c r="Y1112" s="38">
        <f t="shared" si="144"/>
        <v>8</v>
      </c>
      <c r="Z1112" s="117">
        <v>0</v>
      </c>
      <c r="AA1112" s="117">
        <v>0</v>
      </c>
      <c r="AB1112" s="117">
        <v>14.06</v>
      </c>
      <c r="AC1112" s="38">
        <v>1.3928700000000001</v>
      </c>
      <c r="AD1112" s="38">
        <v>67.290000000000006</v>
      </c>
      <c r="AE1112" s="38">
        <v>0</v>
      </c>
      <c r="AF1112" s="11">
        <f>(AD1112+AE1112*0.5)/(3.5*I1112*1000)*100</f>
        <v>0.13674049989839465</v>
      </c>
      <c r="AG1112" s="38">
        <f t="shared" si="145"/>
        <v>0.1</v>
      </c>
      <c r="AH1112" s="38">
        <v>0</v>
      </c>
      <c r="AI1112" s="38">
        <f>AH1112/(3.5*I1112*1000)*100</f>
        <v>0</v>
      </c>
      <c r="AJ1112" s="38">
        <v>0</v>
      </c>
      <c r="AK1112" s="38">
        <f>AJ1112/(3.5*I1112*1000)*100</f>
        <v>0</v>
      </c>
      <c r="AL1112" s="38">
        <v>0</v>
      </c>
      <c r="AM1112" s="38">
        <f>AL1112/(3.5*I1112*1000)*100</f>
        <v>0</v>
      </c>
      <c r="AN1112" s="25"/>
      <c r="AO1112" s="25"/>
      <c r="AP1112" s="12">
        <f>AE1112*0.5</f>
        <v>0</v>
      </c>
      <c r="AQ1112" s="12">
        <f>(AD1112+AH1112+AJ1112+AL1112+AP1112)*I1112</f>
        <v>946.09740000000011</v>
      </c>
      <c r="AR1112" s="25"/>
      <c r="AS1112" s="25">
        <f>SUM(N1112:Q1112)</f>
        <v>14.059999999999999</v>
      </c>
      <c r="AT1112" s="22">
        <f>SUM(T1112:W1112)</f>
        <v>14.06</v>
      </c>
      <c r="AU1112" s="268">
        <v>14.06</v>
      </c>
      <c r="AV1112" s="41">
        <f>SUM(N1112:Q1112)</f>
        <v>14.059999999999999</v>
      </c>
      <c r="AW1112" s="41">
        <f>SUM(T1112:W1112)</f>
        <v>14.06</v>
      </c>
      <c r="AX1112" s="41">
        <f>SUM(Z1112:AB1112)</f>
        <v>14.06</v>
      </c>
      <c r="AZ1112" s="22">
        <f>I1112/AV1112</f>
        <v>1.0000000000000002</v>
      </c>
      <c r="BA1112" s="22">
        <f>I1112/AW1112</f>
        <v>1</v>
      </c>
      <c r="BB1112" s="22">
        <f>I1112/AX1112</f>
        <v>1</v>
      </c>
    </row>
    <row r="1113" spans="1:88" s="22" customFormat="1">
      <c r="A1113" s="1">
        <v>1458</v>
      </c>
      <c r="B1113" s="34" t="s">
        <v>1987</v>
      </c>
      <c r="C1113" s="34">
        <v>448</v>
      </c>
      <c r="D1113" s="75">
        <v>3196</v>
      </c>
      <c r="E1113" s="69">
        <v>400</v>
      </c>
      <c r="F1113" s="34" t="s">
        <v>2006</v>
      </c>
      <c r="G1113" s="20">
        <v>105736</v>
      </c>
      <c r="H1113" s="20">
        <v>93500</v>
      </c>
      <c r="I1113" s="21">
        <v>12.236000000000001</v>
      </c>
      <c r="J1113" s="8">
        <v>2</v>
      </c>
      <c r="K1113" s="34" t="s">
        <v>12</v>
      </c>
      <c r="L1113" s="10">
        <v>42181</v>
      </c>
      <c r="M1113" s="9" t="s">
        <v>191</v>
      </c>
      <c r="N1113" s="38">
        <v>10.875</v>
      </c>
      <c r="O1113" s="38">
        <v>0.9</v>
      </c>
      <c r="P1113" s="38">
        <v>0.35</v>
      </c>
      <c r="Q1113" s="38">
        <v>0.22500000000000001</v>
      </c>
      <c r="R1113" s="38">
        <v>1.8741099999999999</v>
      </c>
      <c r="S1113" s="38">
        <f t="shared" si="143"/>
        <v>2</v>
      </c>
      <c r="T1113" s="38">
        <v>11.9</v>
      </c>
      <c r="U1113" s="38">
        <v>0.4</v>
      </c>
      <c r="V1113" s="38">
        <v>0.05</v>
      </c>
      <c r="W1113" s="38">
        <v>0</v>
      </c>
      <c r="X1113" s="38">
        <v>3.7667700000000002</v>
      </c>
      <c r="Y1113" s="38">
        <f t="shared" si="144"/>
        <v>4</v>
      </c>
      <c r="Z1113" s="38">
        <v>0</v>
      </c>
      <c r="AA1113" s="38">
        <v>0</v>
      </c>
      <c r="AB1113" s="38">
        <v>12.35</v>
      </c>
      <c r="AC1113" s="38">
        <v>1.07609</v>
      </c>
      <c r="AD1113" s="38">
        <v>13.42</v>
      </c>
      <c r="AE1113" s="38">
        <v>90.242999999999995</v>
      </c>
      <c r="AF1113" s="38">
        <f>(AD1113+AE1113*0.5)/(3.5*I1113*1000)*100</f>
        <v>0.13669616588053984</v>
      </c>
      <c r="AG1113" s="38">
        <f t="shared" si="145"/>
        <v>0.1</v>
      </c>
      <c r="AH1113" s="38">
        <v>44.57</v>
      </c>
      <c r="AI1113" s="38">
        <f>AH1113/(3.5*I1113*1000)*100</f>
        <v>0.10407229253257366</v>
      </c>
      <c r="AJ1113" s="38">
        <v>0</v>
      </c>
      <c r="AK1113" s="38">
        <f>AJ1113/(3.5*I1113*1000)*100</f>
        <v>0</v>
      </c>
      <c r="AL1113" s="38">
        <v>0</v>
      </c>
      <c r="AM1113" s="38">
        <f>AL1113/(3.5*I1113*1000)*100</f>
        <v>0</v>
      </c>
      <c r="AN1113" s="72"/>
      <c r="AO1113" s="41"/>
      <c r="AP1113" s="41"/>
      <c r="AQ1113" s="73"/>
      <c r="AR1113" s="73"/>
      <c r="AS1113" s="73"/>
      <c r="AT1113" s="73"/>
      <c r="AU1113" s="73"/>
      <c r="AV1113" s="73"/>
    </row>
    <row r="1114" spans="1:88" s="22" customFormat="1">
      <c r="A1114" s="1">
        <v>309</v>
      </c>
      <c r="B1114" s="34" t="s">
        <v>542</v>
      </c>
      <c r="C1114" s="34">
        <v>644</v>
      </c>
      <c r="D1114" s="34">
        <v>2027</v>
      </c>
      <c r="E1114" s="34">
        <v>100</v>
      </c>
      <c r="F1114" s="34" t="s">
        <v>543</v>
      </c>
      <c r="G1114" s="58">
        <v>0</v>
      </c>
      <c r="H1114" s="58">
        <v>2542</v>
      </c>
      <c r="I1114" s="35">
        <v>2.5419999999999998</v>
      </c>
      <c r="J1114" s="62">
        <v>4</v>
      </c>
      <c r="K1114" s="34" t="s">
        <v>237</v>
      </c>
      <c r="L1114" s="10">
        <v>42158</v>
      </c>
      <c r="M1114" s="9" t="s">
        <v>191</v>
      </c>
      <c r="N1114" s="38">
        <v>0.69</v>
      </c>
      <c r="O1114" s="38">
        <v>0.25</v>
      </c>
      <c r="P1114" s="38">
        <v>0.55000000000000004</v>
      </c>
      <c r="Q1114" s="38">
        <v>1.07</v>
      </c>
      <c r="R1114" s="38">
        <v>3.8930199999999999</v>
      </c>
      <c r="S1114" s="38">
        <f t="shared" si="143"/>
        <v>4</v>
      </c>
      <c r="T1114" s="38">
        <v>2.5499999999999998</v>
      </c>
      <c r="U1114" s="38">
        <v>0</v>
      </c>
      <c r="V1114" s="38">
        <v>0</v>
      </c>
      <c r="W1114" s="38">
        <v>0</v>
      </c>
      <c r="X1114" s="38">
        <v>4.2636799999999999</v>
      </c>
      <c r="Y1114" s="38">
        <f t="shared" si="144"/>
        <v>4.5</v>
      </c>
      <c r="Z1114" s="38">
        <v>0</v>
      </c>
      <c r="AA1114" s="38">
        <v>0</v>
      </c>
      <c r="AB1114" s="38">
        <v>2.5499999999999998</v>
      </c>
      <c r="AC1114" s="38">
        <v>1.12663</v>
      </c>
      <c r="AD1114" s="38">
        <v>12.13</v>
      </c>
      <c r="AE1114" s="38">
        <v>0</v>
      </c>
      <c r="AF1114" s="38">
        <v>0.13633999999999999</v>
      </c>
      <c r="AG1114" s="38">
        <f t="shared" si="145"/>
        <v>0.1</v>
      </c>
      <c r="AH1114" s="38">
        <v>0</v>
      </c>
      <c r="AI1114" s="38">
        <v>0</v>
      </c>
      <c r="AJ1114" s="38">
        <v>0</v>
      </c>
      <c r="AK1114" s="38">
        <v>0</v>
      </c>
      <c r="AL1114" s="38">
        <v>0</v>
      </c>
      <c r="AM1114" s="38">
        <v>0</v>
      </c>
      <c r="AN1114" s="60"/>
      <c r="AO1114" s="60">
        <f>AE1114*0.5</f>
        <v>0</v>
      </c>
      <c r="AP1114" s="60">
        <f>(AD1114+AH1114+AJ1114+AL1114+AO1114)*I1114</f>
        <v>30.83446</v>
      </c>
      <c r="AQ1114" s="25">
        <f>SUM(N1114:Q1114)</f>
        <v>2.56</v>
      </c>
      <c r="AR1114" s="25">
        <f>SUM(T1114:W1114)</f>
        <v>2.5499999999999998</v>
      </c>
      <c r="AS1114" s="268">
        <v>2.5419999999999998</v>
      </c>
      <c r="AT1114" s="40"/>
      <c r="AU1114" s="41">
        <f>SUM(N1114:Q1114)</f>
        <v>2.56</v>
      </c>
      <c r="AV1114" s="41">
        <f>SUM(T1114:W1114)</f>
        <v>2.5499999999999998</v>
      </c>
      <c r="AW1114" s="41">
        <f>SUM(Z1114:AB1114)</f>
        <v>2.5499999999999998</v>
      </c>
      <c r="AY1114" s="22">
        <f>I1114/AU1114</f>
        <v>0.99296874999999996</v>
      </c>
      <c r="AZ1114" s="22">
        <f>I1114/AV1114</f>
        <v>0.99686274509803918</v>
      </c>
      <c r="BA1114" s="22">
        <f>I1114/AW1114</f>
        <v>0.99686274509803918</v>
      </c>
      <c r="BB1114" s="61"/>
      <c r="BC1114" s="61"/>
      <c r="BD1114" s="61"/>
      <c r="BE1114" s="61"/>
      <c r="BF1114" s="61"/>
      <c r="BG1114" s="61"/>
      <c r="BH1114" s="61"/>
      <c r="BI1114" s="61"/>
      <c r="BJ1114" s="61"/>
      <c r="BK1114" s="61"/>
      <c r="BL1114" s="61"/>
      <c r="BM1114" s="61"/>
      <c r="BN1114" s="61"/>
      <c r="BO1114" s="61"/>
      <c r="BP1114" s="61"/>
      <c r="BQ1114" s="61"/>
      <c r="BR1114" s="61"/>
      <c r="BS1114" s="61"/>
      <c r="BT1114" s="61"/>
      <c r="BU1114" s="61"/>
      <c r="BV1114" s="61"/>
      <c r="BW1114" s="61"/>
      <c r="BX1114" s="61"/>
      <c r="BY1114" s="61"/>
      <c r="BZ1114" s="61"/>
      <c r="CA1114" s="61"/>
      <c r="CB1114" s="61"/>
      <c r="CC1114" s="61"/>
      <c r="CD1114" s="61"/>
      <c r="CE1114" s="61"/>
      <c r="CF1114" s="61"/>
      <c r="CG1114" s="61"/>
      <c r="CH1114" s="61"/>
      <c r="CI1114" s="61"/>
      <c r="CJ1114" s="61"/>
    </row>
    <row r="1115" spans="1:88" s="22" customFormat="1">
      <c r="A1115" s="1">
        <v>925</v>
      </c>
      <c r="B1115" s="34" t="s">
        <v>1309</v>
      </c>
      <c r="C1115" s="34">
        <v>638</v>
      </c>
      <c r="D1115" s="8">
        <v>2157</v>
      </c>
      <c r="E1115" s="34">
        <v>102</v>
      </c>
      <c r="F1115" s="34" t="s">
        <v>1319</v>
      </c>
      <c r="G1115" s="58">
        <v>6495</v>
      </c>
      <c r="H1115" s="58">
        <v>16079</v>
      </c>
      <c r="I1115" s="35">
        <v>9.5839999999999996</v>
      </c>
      <c r="J1115" s="9">
        <v>2</v>
      </c>
      <c r="K1115" s="34" t="s">
        <v>238</v>
      </c>
      <c r="L1115" s="10">
        <v>42137</v>
      </c>
      <c r="M1115" s="9" t="s">
        <v>191</v>
      </c>
      <c r="N1115" s="38">
        <v>3.375</v>
      </c>
      <c r="O1115" s="38">
        <v>3.5</v>
      </c>
      <c r="P1115" s="38">
        <v>1.85</v>
      </c>
      <c r="Q1115" s="38">
        <v>0.85</v>
      </c>
      <c r="R1115" s="38">
        <v>3.1293700000000002</v>
      </c>
      <c r="S1115" s="38">
        <f t="shared" si="143"/>
        <v>3</v>
      </c>
      <c r="T1115" s="38">
        <v>8.6999999999999993</v>
      </c>
      <c r="U1115" s="38">
        <v>0.67500000000000004</v>
      </c>
      <c r="V1115" s="38">
        <v>0.2</v>
      </c>
      <c r="W1115" s="38">
        <v>0</v>
      </c>
      <c r="X1115" s="38">
        <v>5.0586700000000002</v>
      </c>
      <c r="Y1115" s="38">
        <f t="shared" si="144"/>
        <v>5</v>
      </c>
      <c r="Z1115" s="38">
        <v>0</v>
      </c>
      <c r="AA1115" s="38">
        <v>0</v>
      </c>
      <c r="AB1115" s="38">
        <f>N1115+O1115+P1115+Q1115</f>
        <v>9.5749999999999993</v>
      </c>
      <c r="AC1115" s="38">
        <v>1.6154599999999999</v>
      </c>
      <c r="AD1115" s="38">
        <v>32.770000000000003</v>
      </c>
      <c r="AE1115" s="38">
        <v>25.8</v>
      </c>
      <c r="AF1115" s="38">
        <v>0.13614999999999999</v>
      </c>
      <c r="AG1115" s="38">
        <f t="shared" si="145"/>
        <v>0.1</v>
      </c>
      <c r="AH1115" s="38">
        <v>1.92</v>
      </c>
      <c r="AI1115" s="38">
        <v>5.7200000000000003E-3</v>
      </c>
      <c r="AJ1115" s="38">
        <v>1226.8699999999999</v>
      </c>
      <c r="AK1115" s="38">
        <v>3.6574949999999999</v>
      </c>
      <c r="AL1115" s="38">
        <v>0.76</v>
      </c>
      <c r="AM1115" s="38">
        <v>2.2699999999999999E-3</v>
      </c>
      <c r="AN1115" s="40"/>
      <c r="AO1115" s="40"/>
      <c r="AP1115" s="40">
        <f>AE1115*0.5</f>
        <v>12.9</v>
      </c>
      <c r="AQ1115" s="25">
        <f>(AD1115+AH1115+AJ1115+AL1115+AP1115)*I1115</f>
        <v>12221.708479999999</v>
      </c>
      <c r="AR1115" s="25"/>
      <c r="AS1115" s="25"/>
      <c r="AT1115" s="25">
        <f>SUM(N1115:Q1115)</f>
        <v>9.5749999999999993</v>
      </c>
      <c r="AU1115" s="25">
        <f>SUM(T1115:W1115)</f>
        <v>9.5749999999999993</v>
      </c>
      <c r="AW1115" s="41"/>
      <c r="AX1115" s="41"/>
      <c r="AY1115" s="41"/>
      <c r="AZ1115" s="41"/>
    </row>
    <row r="1116" spans="1:88" s="22" customFormat="1">
      <c r="A1116" s="1">
        <v>336</v>
      </c>
      <c r="B1116" s="34" t="s">
        <v>557</v>
      </c>
      <c r="C1116" s="34">
        <v>646</v>
      </c>
      <c r="D1116" s="34">
        <v>2267</v>
      </c>
      <c r="E1116" s="34">
        <v>101</v>
      </c>
      <c r="F1116" s="34" t="s">
        <v>569</v>
      </c>
      <c r="G1116" s="58">
        <v>0</v>
      </c>
      <c r="H1116" s="58">
        <v>37763</v>
      </c>
      <c r="I1116" s="35">
        <v>37.762999999999998</v>
      </c>
      <c r="J1116" s="62">
        <v>2</v>
      </c>
      <c r="K1116" s="34" t="s">
        <v>12</v>
      </c>
      <c r="L1116" s="10">
        <v>42164</v>
      </c>
      <c r="M1116" s="9" t="s">
        <v>191</v>
      </c>
      <c r="N1116" s="38">
        <v>25.8</v>
      </c>
      <c r="O1116" s="38">
        <v>9.1</v>
      </c>
      <c r="P1116" s="38">
        <v>2.2250000000000001</v>
      </c>
      <c r="Q1116" s="38">
        <v>0.55000000000000004</v>
      </c>
      <c r="R1116" s="38">
        <v>2.9664600000000001</v>
      </c>
      <c r="S1116" s="38">
        <f t="shared" si="143"/>
        <v>3</v>
      </c>
      <c r="T1116" s="38">
        <v>37.4</v>
      </c>
      <c r="U1116" s="38">
        <v>0.27500000000000002</v>
      </c>
      <c r="V1116" s="38">
        <v>0</v>
      </c>
      <c r="W1116" s="38">
        <v>0</v>
      </c>
      <c r="X1116" s="38">
        <v>2.9815900000000002</v>
      </c>
      <c r="Y1116" s="38">
        <f t="shared" si="144"/>
        <v>3</v>
      </c>
      <c r="Z1116" s="38">
        <v>0</v>
      </c>
      <c r="AA1116" s="38">
        <v>0</v>
      </c>
      <c r="AB1116" s="38">
        <f>T1116+U1116+V1116+W1116</f>
        <v>37.674999999999997</v>
      </c>
      <c r="AC1116" s="38">
        <v>1.1601999999999999</v>
      </c>
      <c r="AD1116" s="38">
        <v>51</v>
      </c>
      <c r="AE1116" s="38">
        <v>257</v>
      </c>
      <c r="AF1116" s="38">
        <v>0.13580999999999999</v>
      </c>
      <c r="AG1116" s="38">
        <f t="shared" si="145"/>
        <v>0.1</v>
      </c>
      <c r="AH1116" s="38">
        <v>0</v>
      </c>
      <c r="AI1116" s="38">
        <v>0</v>
      </c>
      <c r="AJ1116" s="38">
        <v>0</v>
      </c>
      <c r="AK1116" s="38">
        <v>0</v>
      </c>
      <c r="AL1116" s="38">
        <v>0</v>
      </c>
      <c r="AM1116" s="38">
        <v>0</v>
      </c>
      <c r="AN1116" s="25"/>
      <c r="AO1116" s="25">
        <f>AE1116*0.5</f>
        <v>128.5</v>
      </c>
      <c r="AP1116" s="25">
        <f>(AD1116+AH1116+AJ1116+AL1116+AO1116)*I1116</f>
        <v>6778.4584999999997</v>
      </c>
      <c r="AQ1116" s="25">
        <f>SUM(N1116:Q1116)</f>
        <v>37.674999999999997</v>
      </c>
      <c r="AR1116" s="25">
        <f>SUM(T1116:W1116)</f>
        <v>37.674999999999997</v>
      </c>
      <c r="AT1116" s="41"/>
      <c r="AU1116" s="41">
        <f>SUM(N1116:Q1116)</f>
        <v>37.674999999999997</v>
      </c>
      <c r="AV1116" s="41">
        <f>SUM(T1116:W1116)</f>
        <v>37.674999999999997</v>
      </c>
      <c r="AW1116" s="41">
        <f>SUM(Z1116:AB1116)</f>
        <v>37.674999999999997</v>
      </c>
      <c r="AY1116" s="22">
        <f>I1116/AU1116</f>
        <v>1.0023357664233576</v>
      </c>
      <c r="AZ1116" s="22">
        <f>I1116/AV1116</f>
        <v>1.0023357664233576</v>
      </c>
      <c r="BA1116" s="22">
        <f>I1116/AW1116</f>
        <v>1.0023357664233576</v>
      </c>
    </row>
    <row r="1117" spans="1:88" s="22" customFormat="1">
      <c r="A1117" s="1">
        <v>1276</v>
      </c>
      <c r="B1117" s="74" t="s">
        <v>1820</v>
      </c>
      <c r="C1117" s="34">
        <v>441</v>
      </c>
      <c r="D1117" s="75">
        <v>333</v>
      </c>
      <c r="E1117" s="69">
        <v>200</v>
      </c>
      <c r="F1117" s="34" t="s">
        <v>1821</v>
      </c>
      <c r="G1117" s="58">
        <v>33800</v>
      </c>
      <c r="H1117" s="58">
        <v>83075</v>
      </c>
      <c r="I1117" s="55">
        <v>49.274999999999999</v>
      </c>
      <c r="J1117" s="34">
        <v>2</v>
      </c>
      <c r="K1117" s="34" t="s">
        <v>238</v>
      </c>
      <c r="L1117" s="10">
        <v>42184</v>
      </c>
      <c r="M1117" s="9" t="s">
        <v>191</v>
      </c>
      <c r="N1117" s="38">
        <v>41.05</v>
      </c>
      <c r="O1117" s="38">
        <v>6.0750000000000002</v>
      </c>
      <c r="P1117" s="38">
        <v>1.425</v>
      </c>
      <c r="Q1117" s="38">
        <v>0.55000000000000004</v>
      </c>
      <c r="R1117" s="38">
        <v>1.97786</v>
      </c>
      <c r="S1117" s="38">
        <f t="shared" si="143"/>
        <v>2</v>
      </c>
      <c r="T1117" s="38">
        <v>45.6</v>
      </c>
      <c r="U1117" s="38">
        <v>3.0249999999999999</v>
      </c>
      <c r="V1117" s="38">
        <v>0.42499999999999999</v>
      </c>
      <c r="W1117" s="38">
        <v>0.05</v>
      </c>
      <c r="X1117" s="38">
        <v>4.4263599999999999</v>
      </c>
      <c r="Y1117" s="38">
        <f t="shared" si="144"/>
        <v>4.5</v>
      </c>
      <c r="Z1117" s="38">
        <v>0</v>
      </c>
      <c r="AA1117" s="38">
        <v>0</v>
      </c>
      <c r="AB1117" s="38">
        <v>49.099999999999994</v>
      </c>
      <c r="AC1117" s="38">
        <v>1.04142</v>
      </c>
      <c r="AD1117" s="38">
        <v>223</v>
      </c>
      <c r="AE1117" s="38">
        <v>20</v>
      </c>
      <c r="AF1117" s="38">
        <v>0.13510183373197099</v>
      </c>
      <c r="AG1117" s="38">
        <f t="shared" si="145"/>
        <v>0.1</v>
      </c>
      <c r="AH1117" s="38">
        <v>0</v>
      </c>
      <c r="AI1117" s="38">
        <v>1.8202999854376001E-2</v>
      </c>
      <c r="AJ1117" s="38">
        <v>0</v>
      </c>
      <c r="AK1117" s="38">
        <v>4.1260133003252271E-2</v>
      </c>
      <c r="AL1117" s="38">
        <v>1</v>
      </c>
      <c r="AM1117" s="38">
        <v>0</v>
      </c>
      <c r="AN1117" s="40"/>
      <c r="AO1117" s="25"/>
    </row>
    <row r="1118" spans="1:88" s="22" customFormat="1">
      <c r="A1118" s="1">
        <v>798</v>
      </c>
      <c r="B1118" s="34" t="s">
        <v>1186</v>
      </c>
      <c r="C1118" s="34">
        <v>635</v>
      </c>
      <c r="D1118" s="8">
        <v>2043</v>
      </c>
      <c r="E1118" s="34">
        <v>100</v>
      </c>
      <c r="F1118" s="34" t="s">
        <v>1191</v>
      </c>
      <c r="G1118" s="58">
        <v>2430</v>
      </c>
      <c r="H1118" s="58">
        <v>24500</v>
      </c>
      <c r="I1118" s="35">
        <v>22.07</v>
      </c>
      <c r="J1118" s="9">
        <v>2</v>
      </c>
      <c r="K1118" s="34" t="s">
        <v>238</v>
      </c>
      <c r="L1118" s="10">
        <v>42150</v>
      </c>
      <c r="M1118" s="9" t="s">
        <v>191</v>
      </c>
      <c r="N1118" s="38">
        <v>17.049999999999997</v>
      </c>
      <c r="O1118" s="38">
        <v>3.2250000000000001</v>
      </c>
      <c r="P1118" s="38">
        <v>1.375</v>
      </c>
      <c r="Q1118" s="38">
        <v>0.375</v>
      </c>
      <c r="R1118" s="38">
        <v>2.613</v>
      </c>
      <c r="S1118" s="38">
        <f t="shared" si="143"/>
        <v>2.5</v>
      </c>
      <c r="T1118" s="38">
        <v>21.75</v>
      </c>
      <c r="U1118" s="38">
        <v>0.27500000000000002</v>
      </c>
      <c r="V1118" s="38">
        <v>0</v>
      </c>
      <c r="W1118" s="38">
        <v>0</v>
      </c>
      <c r="X1118" s="38">
        <v>3.5769000000000002</v>
      </c>
      <c r="Y1118" s="38">
        <f t="shared" si="144"/>
        <v>3.5</v>
      </c>
      <c r="Z1118" s="38">
        <v>0</v>
      </c>
      <c r="AA1118" s="38">
        <v>0</v>
      </c>
      <c r="AB1118" s="35">
        <v>22.07</v>
      </c>
      <c r="AC1118" s="38">
        <v>1.2553000000000001</v>
      </c>
      <c r="AD1118" s="38">
        <v>102</v>
      </c>
      <c r="AE1118" s="38">
        <v>4</v>
      </c>
      <c r="AF1118" s="38">
        <v>0.13464000000000001</v>
      </c>
      <c r="AG1118" s="38">
        <f t="shared" si="145"/>
        <v>0.1</v>
      </c>
      <c r="AH1118" s="38">
        <v>8</v>
      </c>
      <c r="AI1118" s="38">
        <v>1.0359999999999999E-2</v>
      </c>
      <c r="AJ1118" s="38">
        <v>247</v>
      </c>
      <c r="AK1118" s="38">
        <v>0.31976199999999999</v>
      </c>
      <c r="AL1118" s="38">
        <v>0</v>
      </c>
      <c r="AM1118" s="38">
        <v>0</v>
      </c>
      <c r="AN1118" s="25"/>
      <c r="AO1118" s="25">
        <f>AE1118*0.5</f>
        <v>2</v>
      </c>
      <c r="AP1118" s="25">
        <f>(AD1118+AH1118+AJ1118+AL1118+AO1118)*I1118</f>
        <v>7923.13</v>
      </c>
      <c r="AQ1118" s="25">
        <f>SUM(N1118:Q1118)</f>
        <v>22.024999999999999</v>
      </c>
      <c r="AR1118" s="25">
        <f>SUM(T1118:W1118)</f>
        <v>22.024999999999999</v>
      </c>
      <c r="AT1118" s="41"/>
      <c r="AU1118" s="41"/>
      <c r="AV1118" s="41"/>
      <c r="AW1118" s="41"/>
    </row>
    <row r="1119" spans="1:88" s="22" customFormat="1" ht="21.75" customHeight="1">
      <c r="A1119" s="1">
        <v>1033</v>
      </c>
      <c r="B1119" s="9" t="s">
        <v>1394</v>
      </c>
      <c r="C1119" s="9">
        <v>617</v>
      </c>
      <c r="D1119" s="8">
        <v>2166</v>
      </c>
      <c r="E1119" s="9">
        <v>203</v>
      </c>
      <c r="F1119" s="9" t="s">
        <v>1433</v>
      </c>
      <c r="G1119" s="20">
        <v>59289</v>
      </c>
      <c r="H1119" s="20">
        <v>84624</v>
      </c>
      <c r="I1119" s="35">
        <v>25.335000000000001</v>
      </c>
      <c r="J1119" s="9">
        <v>2</v>
      </c>
      <c r="K1119" s="9" t="s">
        <v>238</v>
      </c>
      <c r="L1119" s="18">
        <v>42132</v>
      </c>
      <c r="M1119" s="9" t="s">
        <v>191</v>
      </c>
      <c r="N1119" s="11">
        <v>21.128</v>
      </c>
      <c r="O1119" s="11">
        <v>3.1579999999999999</v>
      </c>
      <c r="P1119" s="11">
        <v>0.88</v>
      </c>
      <c r="Q1119" s="11">
        <v>0.16900000000000001</v>
      </c>
      <c r="R1119" s="11">
        <v>2.0716399999999999</v>
      </c>
      <c r="S1119" s="38">
        <f t="shared" si="143"/>
        <v>2</v>
      </c>
      <c r="T1119" s="11">
        <v>22.05</v>
      </c>
      <c r="U1119" s="11">
        <v>0.4</v>
      </c>
      <c r="V1119" s="11">
        <v>0</v>
      </c>
      <c r="W1119" s="11">
        <v>0</v>
      </c>
      <c r="X1119" s="11">
        <v>3.2906200000000001</v>
      </c>
      <c r="Y1119" s="38">
        <f t="shared" si="144"/>
        <v>3.5</v>
      </c>
      <c r="Z1119" s="11">
        <v>0</v>
      </c>
      <c r="AA1119" s="11">
        <v>0</v>
      </c>
      <c r="AB1119" s="11">
        <f>SUM(N1119:Q1119)</f>
        <v>25.335000000000001</v>
      </c>
      <c r="AC1119" s="11">
        <v>1.24946</v>
      </c>
      <c r="AD1119" s="11">
        <v>25.67</v>
      </c>
      <c r="AE1119" s="11">
        <v>186.9</v>
      </c>
      <c r="AF1119" s="11">
        <f>(AD1119+AE1119*0.5)/(3.5*I1119*1000)*100</f>
        <v>0.13433702669937128</v>
      </c>
      <c r="AG1119" s="38">
        <f t="shared" si="145"/>
        <v>0.1</v>
      </c>
      <c r="AH1119" s="11">
        <v>0</v>
      </c>
      <c r="AI1119" s="38">
        <f>AH1119/(3.5*I1119*1000)*100</f>
        <v>0</v>
      </c>
      <c r="AJ1119" s="11">
        <v>0</v>
      </c>
      <c r="AK1119" s="38">
        <f>AJ1119/(3.5*I1119*1000)*100</f>
        <v>0</v>
      </c>
      <c r="AL1119" s="11">
        <v>0</v>
      </c>
      <c r="AM1119" s="38">
        <f>AL1119/(3.5*I1119*1000)*100</f>
        <v>0</v>
      </c>
      <c r="AN1119" s="25"/>
      <c r="AO1119" s="25">
        <f>AE1119*0.5</f>
        <v>93.45</v>
      </c>
      <c r="AP1119" s="25">
        <f>(AD1119+AH1119+AJ1119+AL1119+AO1119)*I1119</f>
        <v>3017.9052000000001</v>
      </c>
      <c r="AQ1119" s="25"/>
      <c r="AR1119" s="25"/>
      <c r="AS1119" s="25">
        <f>SUM(N1119:Q1119)</f>
        <v>25.335000000000001</v>
      </c>
      <c r="AT1119" s="25">
        <f>SUM(T1119:W1119)</f>
        <v>22.45</v>
      </c>
      <c r="AU1119" s="41"/>
      <c r="AV1119" s="41"/>
      <c r="AW1119" s="41"/>
    </row>
    <row r="1120" spans="1:88" s="22" customFormat="1">
      <c r="A1120" s="1">
        <v>1150</v>
      </c>
      <c r="B1120" s="74" t="s">
        <v>1577</v>
      </c>
      <c r="C1120" s="34">
        <v>432</v>
      </c>
      <c r="D1120" s="34">
        <v>3045</v>
      </c>
      <c r="E1120" s="34">
        <v>100</v>
      </c>
      <c r="F1120" s="34" t="s">
        <v>1605</v>
      </c>
      <c r="G1120" s="34" t="s">
        <v>92</v>
      </c>
      <c r="H1120" s="34" t="s">
        <v>1606</v>
      </c>
      <c r="I1120" s="55">
        <v>6.6</v>
      </c>
      <c r="J1120" s="5">
        <v>2</v>
      </c>
      <c r="K1120" s="34" t="s">
        <v>12</v>
      </c>
      <c r="L1120" s="10">
        <v>42282</v>
      </c>
      <c r="M1120" s="9" t="s">
        <v>191</v>
      </c>
      <c r="N1120" s="38">
        <v>4.0250000000000004</v>
      </c>
      <c r="O1120" s="38">
        <v>1.7749999999999999</v>
      </c>
      <c r="P1120" s="38">
        <v>0.65</v>
      </c>
      <c r="Q1120" s="38">
        <v>0.15</v>
      </c>
      <c r="R1120" s="38">
        <v>2.55375</v>
      </c>
      <c r="S1120" s="38">
        <f t="shared" si="143"/>
        <v>2.5</v>
      </c>
      <c r="T1120" s="38">
        <v>6.5750000000000002</v>
      </c>
      <c r="U1120" s="38">
        <v>0</v>
      </c>
      <c r="V1120" s="38">
        <v>2.5000000000000001E-2</v>
      </c>
      <c r="W1120" s="38">
        <v>0</v>
      </c>
      <c r="X1120" s="38">
        <v>2.6804700000000001</v>
      </c>
      <c r="Y1120" s="38">
        <f t="shared" si="144"/>
        <v>2.5</v>
      </c>
      <c r="Z1120" s="38">
        <v>0</v>
      </c>
      <c r="AA1120" s="38">
        <v>0</v>
      </c>
      <c r="AB1120" s="38">
        <v>6.6000000000000014</v>
      </c>
      <c r="AC1120" s="38">
        <v>1.49342</v>
      </c>
      <c r="AD1120" s="38">
        <v>28.99</v>
      </c>
      <c r="AE1120" s="38">
        <v>3.75</v>
      </c>
      <c r="AF1120" s="38">
        <v>0.13361500000000001</v>
      </c>
      <c r="AG1120" s="38">
        <f t="shared" si="145"/>
        <v>0.1</v>
      </c>
      <c r="AH1120" s="38">
        <v>15.201000000000001</v>
      </c>
      <c r="AI1120" s="38">
        <v>6.5805000000000002E-2</v>
      </c>
      <c r="AJ1120" s="38">
        <v>0</v>
      </c>
      <c r="AK1120" s="38">
        <v>0</v>
      </c>
      <c r="AL1120" s="38">
        <v>0</v>
      </c>
      <c r="AM1120" s="38">
        <v>0</v>
      </c>
      <c r="AN1120" s="114"/>
      <c r="AO1120" s="73"/>
    </row>
    <row r="1121" spans="1:88" s="22" customFormat="1">
      <c r="A1121" s="1">
        <v>403</v>
      </c>
      <c r="B1121" s="74" t="s">
        <v>655</v>
      </c>
      <c r="C1121" s="34">
        <v>511</v>
      </c>
      <c r="D1121" s="75">
        <v>1063</v>
      </c>
      <c r="E1121" s="69">
        <v>100</v>
      </c>
      <c r="F1121" s="34" t="s">
        <v>673</v>
      </c>
      <c r="G1121" s="77" t="s">
        <v>674</v>
      </c>
      <c r="H1121" s="20" t="s">
        <v>675</v>
      </c>
      <c r="I1121" s="21">
        <v>35.271999999999998</v>
      </c>
      <c r="J1121" s="8" t="s">
        <v>238</v>
      </c>
      <c r="K1121" s="34">
        <v>2</v>
      </c>
      <c r="L1121" s="18">
        <v>42266</v>
      </c>
      <c r="M1121" s="9" t="s">
        <v>191</v>
      </c>
      <c r="N1121" s="38">
        <v>25.92</v>
      </c>
      <c r="O1121" s="38">
        <v>5.74</v>
      </c>
      <c r="P1121" s="38">
        <v>2.91</v>
      </c>
      <c r="Q1121" s="38">
        <v>0.71</v>
      </c>
      <c r="R1121" s="38">
        <v>2.2584300000000002</v>
      </c>
      <c r="S1121" s="38">
        <f t="shared" si="143"/>
        <v>2.5</v>
      </c>
      <c r="T1121" s="38">
        <v>33.07</v>
      </c>
      <c r="U1121" s="38">
        <v>1.67</v>
      </c>
      <c r="V1121" s="38">
        <v>0.48</v>
      </c>
      <c r="W1121" s="38">
        <v>0.05</v>
      </c>
      <c r="X1121" s="38">
        <v>4.1027100000000001</v>
      </c>
      <c r="Y1121" s="38">
        <f t="shared" si="144"/>
        <v>4</v>
      </c>
      <c r="Z1121" s="38">
        <v>0</v>
      </c>
      <c r="AA1121" s="38">
        <v>0</v>
      </c>
      <c r="AB1121" s="38">
        <v>35.270000000000003</v>
      </c>
      <c r="AC1121" s="38">
        <v>1.1142099999999999</v>
      </c>
      <c r="AD1121" s="38">
        <v>163.33199999999999</v>
      </c>
      <c r="AE1121" s="38">
        <v>2.68</v>
      </c>
      <c r="AF1121" s="38">
        <v>0.13338900000000001</v>
      </c>
      <c r="AG1121" s="38">
        <f t="shared" si="145"/>
        <v>0.1</v>
      </c>
      <c r="AH1121" s="38">
        <v>9.32</v>
      </c>
      <c r="AI1121" s="38">
        <v>7.5490000000000002E-3</v>
      </c>
      <c r="AJ1121" s="38">
        <v>0</v>
      </c>
      <c r="AK1121" s="38">
        <v>0</v>
      </c>
      <c r="AL1121" s="38">
        <v>0</v>
      </c>
      <c r="AM1121" s="38">
        <v>0</v>
      </c>
      <c r="AN1121" s="72"/>
      <c r="AO1121" s="41"/>
      <c r="AP1121" s="41"/>
      <c r="AQ1121" s="41">
        <f>SUM(N1121:Q1121)</f>
        <v>35.280000000000008</v>
      </c>
      <c r="AR1121" s="41">
        <f>SUM(T1121:W1121)</f>
        <v>35.269999999999996</v>
      </c>
      <c r="AS1121" s="41">
        <f>SUM(Z1121:AB1121)</f>
        <v>35.270000000000003</v>
      </c>
      <c r="AU1121" s="22">
        <f>I1121/AQ1121</f>
        <v>0.99977324263038525</v>
      </c>
      <c r="AV1121" s="22">
        <f>I1121/AR1121</f>
        <v>1.0000567054153673</v>
      </c>
      <c r="AW1121" s="22">
        <f>I1121/AS1121</f>
        <v>1.0000567054153671</v>
      </c>
    </row>
    <row r="1122" spans="1:88" s="22" customFormat="1">
      <c r="A1122" s="1">
        <v>445</v>
      </c>
      <c r="B1122" s="74" t="s">
        <v>699</v>
      </c>
      <c r="C1122" s="34">
        <v>513</v>
      </c>
      <c r="D1122" s="75">
        <v>1308</v>
      </c>
      <c r="E1122" s="69">
        <v>100</v>
      </c>
      <c r="F1122" s="76" t="s">
        <v>756</v>
      </c>
      <c r="G1122" s="58" t="s">
        <v>757</v>
      </c>
      <c r="H1122" s="58" t="s">
        <v>92</v>
      </c>
      <c r="I1122" s="55">
        <v>12.569000000000001</v>
      </c>
      <c r="J1122" s="5" t="s">
        <v>12</v>
      </c>
      <c r="K1122" s="34">
        <v>2</v>
      </c>
      <c r="L1122" s="18">
        <v>42264</v>
      </c>
      <c r="M1122" s="9" t="s">
        <v>191</v>
      </c>
      <c r="N1122" s="38">
        <v>6.45</v>
      </c>
      <c r="O1122" s="38">
        <v>3.71</v>
      </c>
      <c r="P1122" s="38">
        <v>1.81</v>
      </c>
      <c r="Q1122" s="38">
        <v>0.6</v>
      </c>
      <c r="R1122" s="38">
        <v>2.774</v>
      </c>
      <c r="S1122" s="38">
        <f t="shared" si="143"/>
        <v>3</v>
      </c>
      <c r="T1122" s="38">
        <v>11.84</v>
      </c>
      <c r="U1122" s="38">
        <v>0.53</v>
      </c>
      <c r="V1122" s="38">
        <v>0.15</v>
      </c>
      <c r="W1122" s="38">
        <v>0.05</v>
      </c>
      <c r="X1122" s="38">
        <v>3.6890000000000001</v>
      </c>
      <c r="Y1122" s="38">
        <f t="shared" si="144"/>
        <v>3.5</v>
      </c>
      <c r="Z1122" s="38">
        <v>0</v>
      </c>
      <c r="AA1122" s="38">
        <v>0</v>
      </c>
      <c r="AB1122" s="38">
        <v>12.57</v>
      </c>
      <c r="AC1122" s="38">
        <v>1.149</v>
      </c>
      <c r="AD1122" s="38">
        <v>56.9</v>
      </c>
      <c r="AE1122" s="38">
        <v>3.5</v>
      </c>
      <c r="AF1122" s="38">
        <f>(AD1122+AE1122*0.5)/(3.5*I1122*1000)*100</f>
        <v>0.1333212097791619</v>
      </c>
      <c r="AG1122" s="38">
        <f t="shared" si="145"/>
        <v>0.1</v>
      </c>
      <c r="AH1122" s="38">
        <v>13.5</v>
      </c>
      <c r="AI1122" s="38">
        <f>AH1122/(3.5*I1122*1000)*100</f>
        <v>3.0687746496482277E-2</v>
      </c>
      <c r="AJ1122" s="38">
        <v>0</v>
      </c>
      <c r="AK1122" s="38">
        <f>AJ1122/(3.5*I1122*1000)*100</f>
        <v>0</v>
      </c>
      <c r="AL1122" s="38">
        <v>0</v>
      </c>
      <c r="AM1122" s="38">
        <f>AL1122/(3.5*I1122*1000)*100</f>
        <v>0</v>
      </c>
      <c r="AN1122" s="41"/>
      <c r="AO1122" s="41"/>
      <c r="AP1122" s="73"/>
      <c r="AQ1122" s="41">
        <f>SUM(N1122:Q1122)</f>
        <v>12.57</v>
      </c>
      <c r="AR1122" s="41">
        <f>SUM(T1122:W1122)</f>
        <v>12.57</v>
      </c>
      <c r="AS1122" s="41">
        <f>SUM(Z1122:AB1122)</f>
        <v>12.57</v>
      </c>
      <c r="AU1122" s="22">
        <f>I1122/AQ1122</f>
        <v>0.99992044550517112</v>
      </c>
      <c r="AV1122" s="22">
        <f>I1122/AR1122</f>
        <v>0.99992044550517112</v>
      </c>
      <c r="AW1122" s="22">
        <f>I1122/AS1122</f>
        <v>0.99992044550517112</v>
      </c>
      <c r="AX1122" s="73"/>
      <c r="AY1122" s="73"/>
      <c r="AZ1122" s="73"/>
      <c r="BA1122" s="73"/>
      <c r="BB1122" s="73"/>
      <c r="BC1122" s="73"/>
      <c r="BD1122" s="73"/>
      <c r="BE1122" s="73"/>
      <c r="BF1122" s="73"/>
      <c r="BG1122" s="73"/>
      <c r="BH1122" s="73"/>
      <c r="BI1122" s="73"/>
      <c r="BJ1122" s="73"/>
      <c r="BK1122" s="73"/>
      <c r="BL1122" s="73"/>
      <c r="BM1122" s="73"/>
      <c r="BN1122" s="73"/>
      <c r="BO1122" s="73"/>
      <c r="BP1122" s="73"/>
      <c r="BQ1122" s="73"/>
      <c r="BR1122" s="73"/>
      <c r="BS1122" s="73"/>
      <c r="BT1122" s="73"/>
      <c r="BU1122" s="73"/>
      <c r="BV1122" s="73"/>
      <c r="BW1122" s="73"/>
      <c r="BX1122" s="73"/>
      <c r="BY1122" s="73"/>
      <c r="BZ1122" s="73"/>
      <c r="CA1122" s="73"/>
      <c r="CB1122" s="73"/>
      <c r="CC1122" s="73"/>
      <c r="CD1122" s="73"/>
      <c r="CE1122" s="73"/>
      <c r="CF1122" s="73"/>
      <c r="CG1122" s="73"/>
      <c r="CH1122" s="73"/>
      <c r="CI1122" s="73"/>
      <c r="CJ1122" s="73"/>
    </row>
    <row r="1123" spans="1:88" s="22" customFormat="1">
      <c r="A1123" s="1">
        <v>1260</v>
      </c>
      <c r="B1123" s="34" t="s">
        <v>1775</v>
      </c>
      <c r="C1123" s="88">
        <v>438</v>
      </c>
      <c r="D1123" s="88">
        <v>1412</v>
      </c>
      <c r="E1123" s="88">
        <v>100</v>
      </c>
      <c r="F1123" s="88" t="s">
        <v>1788</v>
      </c>
      <c r="G1123" s="88" t="s">
        <v>1789</v>
      </c>
      <c r="H1123" s="88" t="s">
        <v>92</v>
      </c>
      <c r="I1123" s="115">
        <v>15.768000000000001</v>
      </c>
      <c r="J1123" s="88">
        <v>2</v>
      </c>
      <c r="K1123" s="88" t="s">
        <v>12</v>
      </c>
      <c r="L1123" s="116">
        <v>42282</v>
      </c>
      <c r="M1123" s="9" t="s">
        <v>191</v>
      </c>
      <c r="N1123" s="117">
        <v>2.125</v>
      </c>
      <c r="O1123" s="117">
        <v>4.4749999999999996</v>
      </c>
      <c r="P1123" s="117">
        <v>5.25</v>
      </c>
      <c r="Q1123" s="117">
        <v>3.9</v>
      </c>
      <c r="R1123" s="117">
        <v>4.2450299999999999</v>
      </c>
      <c r="S1123" s="38">
        <f t="shared" si="143"/>
        <v>4</v>
      </c>
      <c r="T1123" s="117">
        <v>13.675000000000001</v>
      </c>
      <c r="U1123" s="117">
        <v>1.2749999999999999</v>
      </c>
      <c r="V1123" s="117">
        <v>0.57499999999999996</v>
      </c>
      <c r="W1123" s="117">
        <v>0.22500000000000001</v>
      </c>
      <c r="X1123" s="117">
        <v>5.3484299999999996</v>
      </c>
      <c r="Y1123" s="38">
        <f t="shared" si="144"/>
        <v>5.5</v>
      </c>
      <c r="Z1123" s="117">
        <v>0</v>
      </c>
      <c r="AA1123" s="117">
        <v>0</v>
      </c>
      <c r="AB1123" s="115">
        <v>15.768000000000001</v>
      </c>
      <c r="AC1123" s="117">
        <v>1.47949</v>
      </c>
      <c r="AD1123" s="117">
        <v>63.18</v>
      </c>
      <c r="AE1123" s="117">
        <v>20.3</v>
      </c>
      <c r="AF1123" s="117">
        <f>(AD1123+AE1123*0.5)/(3.5*I1123*1000)*100</f>
        <v>0.13287308835254041</v>
      </c>
      <c r="AG1123" s="38">
        <f t="shared" si="145"/>
        <v>0.1</v>
      </c>
      <c r="AH1123" s="117">
        <v>115.5</v>
      </c>
      <c r="AI1123" s="117">
        <f>AH1123/(3.5*I1123*1000)*100</f>
        <v>0.20928462709284626</v>
      </c>
      <c r="AJ1123" s="117">
        <v>0</v>
      </c>
      <c r="AK1123" s="117">
        <v>0</v>
      </c>
      <c r="AL1123" s="117">
        <v>0</v>
      </c>
      <c r="AM1123" s="117">
        <v>0</v>
      </c>
      <c r="AN1123" s="12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</row>
    <row r="1124" spans="1:88" s="22" customFormat="1">
      <c r="A1124" s="1">
        <v>1351</v>
      </c>
      <c r="B1124" s="74" t="s">
        <v>1851</v>
      </c>
      <c r="C1124" s="34">
        <v>444</v>
      </c>
      <c r="D1124" s="75">
        <v>3582</v>
      </c>
      <c r="E1124" s="69">
        <v>100</v>
      </c>
      <c r="F1124" s="34" t="s">
        <v>1902</v>
      </c>
      <c r="G1124" s="20">
        <v>4645</v>
      </c>
      <c r="H1124" s="20">
        <v>0</v>
      </c>
      <c r="I1124" s="21">
        <v>4.6449999999999996</v>
      </c>
      <c r="J1124" s="8">
        <v>2</v>
      </c>
      <c r="K1124" s="34" t="s">
        <v>12</v>
      </c>
      <c r="L1124" s="10">
        <v>42212</v>
      </c>
      <c r="M1124" s="9" t="s">
        <v>191</v>
      </c>
      <c r="N1124" s="38">
        <v>3.3</v>
      </c>
      <c r="O1124" s="38">
        <v>0.92500000000000004</v>
      </c>
      <c r="P1124" s="38">
        <v>0.27500000000000002</v>
      </c>
      <c r="Q1124" s="38">
        <v>0.15</v>
      </c>
      <c r="R1124" s="38">
        <v>2.2631700000000001</v>
      </c>
      <c r="S1124" s="38">
        <f t="shared" si="143"/>
        <v>2.5</v>
      </c>
      <c r="T1124" s="38">
        <v>4.5999999999999996</v>
      </c>
      <c r="U1124" s="38">
        <v>0.05</v>
      </c>
      <c r="V1124" s="38">
        <v>0</v>
      </c>
      <c r="W1124" s="38">
        <v>0</v>
      </c>
      <c r="X1124" s="38">
        <v>1.8403</v>
      </c>
      <c r="Y1124" s="38">
        <f t="shared" si="144"/>
        <v>2</v>
      </c>
      <c r="Z1124" s="38">
        <v>0</v>
      </c>
      <c r="AA1124" s="38">
        <v>0</v>
      </c>
      <c r="AB1124" s="38">
        <v>4.6500000000000004</v>
      </c>
      <c r="AC1124" s="38">
        <v>1.2884899999999999</v>
      </c>
      <c r="AD1124" s="38">
        <v>8</v>
      </c>
      <c r="AE1124" s="38">
        <v>27</v>
      </c>
      <c r="AF1124" s="38">
        <v>0.13224665538982008</v>
      </c>
      <c r="AG1124" s="38">
        <f t="shared" si="145"/>
        <v>0.1</v>
      </c>
      <c r="AH1124" s="38">
        <v>0</v>
      </c>
      <c r="AI1124" s="38">
        <v>0</v>
      </c>
      <c r="AJ1124" s="38">
        <v>0</v>
      </c>
      <c r="AK1124" s="38">
        <v>0</v>
      </c>
      <c r="AL1124" s="38">
        <v>0</v>
      </c>
      <c r="AM1124" s="38">
        <v>0</v>
      </c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</row>
    <row r="1125" spans="1:88" s="22" customFormat="1">
      <c r="A1125" s="1">
        <v>934</v>
      </c>
      <c r="B1125" s="34" t="s">
        <v>1309</v>
      </c>
      <c r="C1125" s="34">
        <v>638</v>
      </c>
      <c r="D1125" s="8">
        <v>2412</v>
      </c>
      <c r="E1125" s="34">
        <v>200</v>
      </c>
      <c r="F1125" s="34" t="s">
        <v>1328</v>
      </c>
      <c r="G1125" s="58">
        <v>10325</v>
      </c>
      <c r="H1125" s="58">
        <v>24065</v>
      </c>
      <c r="I1125" s="35">
        <v>13.74</v>
      </c>
      <c r="J1125" s="9">
        <v>2</v>
      </c>
      <c r="K1125" s="34" t="s">
        <v>238</v>
      </c>
      <c r="L1125" s="10">
        <v>42137</v>
      </c>
      <c r="M1125" s="9" t="s">
        <v>191</v>
      </c>
      <c r="N1125" s="38">
        <v>6.7</v>
      </c>
      <c r="O1125" s="38">
        <v>3.6749999999999998</v>
      </c>
      <c r="P1125" s="38">
        <v>1.825</v>
      </c>
      <c r="Q1125" s="38">
        <v>1.3</v>
      </c>
      <c r="R1125" s="38">
        <v>2.8808600000000002</v>
      </c>
      <c r="S1125" s="38">
        <f t="shared" si="143"/>
        <v>3</v>
      </c>
      <c r="T1125" s="38">
        <v>12.95</v>
      </c>
      <c r="U1125" s="38">
        <v>0.52500000000000002</v>
      </c>
      <c r="V1125" s="38">
        <v>2.5000000000000001E-2</v>
      </c>
      <c r="W1125" s="38">
        <v>0</v>
      </c>
      <c r="X1125" s="38">
        <v>3.8431199999999999</v>
      </c>
      <c r="Y1125" s="38">
        <f t="shared" si="144"/>
        <v>4</v>
      </c>
      <c r="Z1125" s="38">
        <v>0</v>
      </c>
      <c r="AA1125" s="38">
        <v>0</v>
      </c>
      <c r="AB1125" s="38">
        <f>N1125+O1125+P1125+Q1125</f>
        <v>13.5</v>
      </c>
      <c r="AC1125" s="38">
        <v>1.51298</v>
      </c>
      <c r="AD1125" s="38">
        <v>11.61</v>
      </c>
      <c r="AE1125" s="38">
        <v>103.89</v>
      </c>
      <c r="AF1125" s="38">
        <v>0.13216</v>
      </c>
      <c r="AG1125" s="38">
        <f t="shared" si="145"/>
        <v>0.1</v>
      </c>
      <c r="AH1125" s="38">
        <v>277.83999999999997</v>
      </c>
      <c r="AI1125" s="38">
        <v>0.57774999999999999</v>
      </c>
      <c r="AJ1125" s="38">
        <v>175.93</v>
      </c>
      <c r="AK1125" s="38">
        <v>0.36583500000000002</v>
      </c>
      <c r="AL1125" s="38">
        <v>64.94</v>
      </c>
      <c r="AM1125" s="38">
        <v>0.13503999999999999</v>
      </c>
      <c r="AN1125" s="40"/>
      <c r="AO1125" s="40"/>
      <c r="AP1125" s="40">
        <f>AE1125*0.5</f>
        <v>51.945</v>
      </c>
      <c r="AQ1125" s="25">
        <f>(AD1125+AH1125+AJ1125+AL1125+AP1125)*I1125</f>
        <v>8000.3211000000001</v>
      </c>
      <c r="AR1125" s="25"/>
      <c r="AS1125" s="25"/>
      <c r="AT1125" s="25">
        <f>SUM(N1125:Q1125)</f>
        <v>13.5</v>
      </c>
      <c r="AU1125" s="25">
        <f>SUM(T1125:W1125)</f>
        <v>13.5</v>
      </c>
      <c r="AW1125" s="41"/>
      <c r="AX1125" s="41"/>
      <c r="AY1125" s="41"/>
      <c r="AZ1125" s="41"/>
    </row>
    <row r="1126" spans="1:88" s="22" customFormat="1">
      <c r="A1126" s="1">
        <v>198</v>
      </c>
      <c r="B1126" s="34" t="s">
        <v>383</v>
      </c>
      <c r="C1126" s="34">
        <v>535</v>
      </c>
      <c r="D1126" s="34">
        <v>1091</v>
      </c>
      <c r="E1126" s="34">
        <v>102</v>
      </c>
      <c r="F1126" s="34" t="s">
        <v>390</v>
      </c>
      <c r="G1126" s="20" t="s">
        <v>389</v>
      </c>
      <c r="H1126" s="20" t="s">
        <v>391</v>
      </c>
      <c r="I1126" s="35">
        <v>15</v>
      </c>
      <c r="J1126" s="36">
        <v>2</v>
      </c>
      <c r="K1126" s="34" t="s">
        <v>12</v>
      </c>
      <c r="L1126" s="18">
        <v>42209</v>
      </c>
      <c r="M1126" s="9" t="s">
        <v>191</v>
      </c>
      <c r="N1126" s="38">
        <v>12.55</v>
      </c>
      <c r="O1126" s="38">
        <v>1.75</v>
      </c>
      <c r="P1126" s="38">
        <v>0.48</v>
      </c>
      <c r="Q1126" s="38">
        <v>0.23</v>
      </c>
      <c r="R1126" s="38">
        <v>1.9179999999999999</v>
      </c>
      <c r="S1126" s="38">
        <f t="shared" si="143"/>
        <v>2</v>
      </c>
      <c r="T1126" s="38">
        <v>15</v>
      </c>
      <c r="U1126" s="38">
        <v>0</v>
      </c>
      <c r="V1126" s="38">
        <v>0</v>
      </c>
      <c r="W1126" s="38">
        <v>0</v>
      </c>
      <c r="X1126" s="38">
        <v>2.34</v>
      </c>
      <c r="Y1126" s="38">
        <f t="shared" si="144"/>
        <v>2.5</v>
      </c>
      <c r="Z1126" s="38">
        <v>0</v>
      </c>
      <c r="AA1126" s="38">
        <v>0</v>
      </c>
      <c r="AB1126" s="38">
        <v>15</v>
      </c>
      <c r="AC1126" s="38">
        <v>1.19</v>
      </c>
      <c r="AD1126" s="38">
        <v>0</v>
      </c>
      <c r="AE1126" s="38">
        <v>138.36000000000001</v>
      </c>
      <c r="AF1126" s="38">
        <f>(AD1126+AE1126*0.5)/(3.5*I1126*1000)*100</f>
        <v>0.13177142857142857</v>
      </c>
      <c r="AG1126" s="38">
        <f t="shared" si="145"/>
        <v>0.1</v>
      </c>
      <c r="AH1126" s="38">
        <v>0.88</v>
      </c>
      <c r="AI1126" s="38">
        <f>AH1126/(3.5*I1126*1000)*100</f>
        <v>1.6761904761904761E-3</v>
      </c>
      <c r="AJ1126" s="38">
        <v>27.71</v>
      </c>
      <c r="AK1126" s="38">
        <f>AJ1126/(3.5*I1126*1000)*100</f>
        <v>5.278095238095238E-2</v>
      </c>
      <c r="AL1126" s="38">
        <v>0</v>
      </c>
      <c r="AM1126" s="38">
        <f>AL1126/(3.5*I1126*1000)*100</f>
        <v>0</v>
      </c>
      <c r="AN1126" s="25"/>
      <c r="AO1126" s="25"/>
      <c r="AP1126" s="25">
        <f>AE1126*0.5</f>
        <v>69.180000000000007</v>
      </c>
      <c r="AQ1126" s="25">
        <f>(AD1126+AH1126+AJ1126+AL1126+AP1126)*I1126</f>
        <v>1466.5500000000002</v>
      </c>
      <c r="AR1126" s="25"/>
      <c r="AS1126" s="25"/>
      <c r="AT1126" s="25"/>
      <c r="AU1126" s="41">
        <f>SUM(N1126:Q1126)</f>
        <v>15.010000000000002</v>
      </c>
      <c r="AV1126" s="41">
        <f>SUM(T1126:W1126)</f>
        <v>15</v>
      </c>
      <c r="AW1126" s="41">
        <f>SUM(Z1126:AB1126)</f>
        <v>15</v>
      </c>
      <c r="AX1126" s="41"/>
      <c r="AY1126" s="22">
        <f>I1126/AU1126</f>
        <v>0.99933377748167873</v>
      </c>
      <c r="AZ1126" s="22">
        <f>I1126/AV1126</f>
        <v>1</v>
      </c>
      <c r="BA1126" s="22">
        <f>I1126/AW1126</f>
        <v>1</v>
      </c>
    </row>
    <row r="1127" spans="1:88" s="22" customFormat="1">
      <c r="A1127" s="1">
        <v>1884</v>
      </c>
      <c r="B1127" s="34" t="s">
        <v>2495</v>
      </c>
      <c r="C1127" s="34">
        <v>335</v>
      </c>
      <c r="D1127" s="75">
        <v>3357</v>
      </c>
      <c r="E1127" s="8">
        <v>100</v>
      </c>
      <c r="F1127" s="9" t="s">
        <v>2520</v>
      </c>
      <c r="G1127" s="20" t="s">
        <v>2521</v>
      </c>
      <c r="H1127" s="20" t="s">
        <v>92</v>
      </c>
      <c r="I1127" s="21">
        <v>0.315</v>
      </c>
      <c r="J1127" s="34">
        <v>2</v>
      </c>
      <c r="K1127" s="34" t="s">
        <v>12</v>
      </c>
      <c r="L1127" s="18">
        <v>42093</v>
      </c>
      <c r="M1127" s="207" t="s">
        <v>191</v>
      </c>
      <c r="N1127" s="38">
        <v>0</v>
      </c>
      <c r="O1127" s="38">
        <v>0</v>
      </c>
      <c r="P1127" s="38">
        <v>0</v>
      </c>
      <c r="Q1127" s="38">
        <v>0.32</v>
      </c>
      <c r="R1127" s="38">
        <v>11.0425</v>
      </c>
      <c r="S1127" s="38">
        <f t="shared" si="143"/>
        <v>11</v>
      </c>
      <c r="T1127" s="38">
        <v>0.32</v>
      </c>
      <c r="U1127" s="38">
        <v>0</v>
      </c>
      <c r="V1127" s="38">
        <v>0</v>
      </c>
      <c r="W1127" s="38">
        <v>0</v>
      </c>
      <c r="X1127" s="38">
        <v>5.6269999999999998</v>
      </c>
      <c r="Y1127" s="38">
        <f t="shared" si="144"/>
        <v>5.5</v>
      </c>
      <c r="Z1127" s="38">
        <v>0</v>
      </c>
      <c r="AA1127" s="38">
        <v>0</v>
      </c>
      <c r="AB1127" s="38">
        <v>0.32</v>
      </c>
      <c r="AC1127" s="38">
        <v>1.7909999999999999</v>
      </c>
      <c r="AD1127" s="38">
        <v>0.3</v>
      </c>
      <c r="AE1127" s="38">
        <v>2.2999999999999998</v>
      </c>
      <c r="AF1127" s="38">
        <f>(AD1127+AE1127*0.5)/(3.5*I1127*1000)*100</f>
        <v>0.13151927437641725</v>
      </c>
      <c r="AG1127" s="38">
        <f t="shared" si="145"/>
        <v>0.1</v>
      </c>
      <c r="AH1127" s="38">
        <v>1.36</v>
      </c>
      <c r="AI1127" s="38">
        <f>AH1127/(3.5*I1127*1000)*100</f>
        <v>0.12335600907029479</v>
      </c>
      <c r="AJ1127" s="38">
        <v>0</v>
      </c>
      <c r="AK1127" s="38">
        <f>AJ1127/(3.5*I1127*1000)*100</f>
        <v>0</v>
      </c>
      <c r="AL1127" s="38">
        <v>0</v>
      </c>
      <c r="AM1127" s="38">
        <f>AL1127/(3.5*I1127*1000)*100</f>
        <v>0</v>
      </c>
      <c r="AN1127" s="73"/>
      <c r="AO1127" s="73"/>
      <c r="AP1127" s="73"/>
      <c r="AQ1127" s="41">
        <f>SUM(N1127:Q1127)</f>
        <v>0.32</v>
      </c>
      <c r="AR1127" s="41">
        <f>SUM(T1127:W1127)</f>
        <v>0.32</v>
      </c>
      <c r="AS1127" s="12">
        <f>SUM(Z1127:AB1127)</f>
        <v>0.32</v>
      </c>
      <c r="AT1127" s="1"/>
      <c r="AU1127" s="1">
        <f>I1127/AQ1127</f>
        <v>0.984375</v>
      </c>
      <c r="AV1127" s="1">
        <f>I1127/AR1127</f>
        <v>0.984375</v>
      </c>
      <c r="AW1127" s="1">
        <f>I1127/AS1127</f>
        <v>0.984375</v>
      </c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</row>
    <row r="1128" spans="1:88" s="22" customFormat="1">
      <c r="A1128" s="1">
        <v>518</v>
      </c>
      <c r="B1128" s="88" t="s">
        <v>871</v>
      </c>
      <c r="C1128" s="88">
        <v>557</v>
      </c>
      <c r="D1128" s="88">
        <v>1166</v>
      </c>
      <c r="E1128" s="88">
        <v>100</v>
      </c>
      <c r="F1128" s="88" t="s">
        <v>887</v>
      </c>
      <c r="G1128" s="88" t="s">
        <v>92</v>
      </c>
      <c r="H1128" s="88" t="s">
        <v>888</v>
      </c>
      <c r="I1128" s="115">
        <v>18.463000000000001</v>
      </c>
      <c r="J1128" s="88" t="s">
        <v>238</v>
      </c>
      <c r="K1128" s="88">
        <v>2</v>
      </c>
      <c r="L1128" s="116">
        <v>42270</v>
      </c>
      <c r="M1128" s="9" t="s">
        <v>191</v>
      </c>
      <c r="N1128" s="38">
        <v>15.63</v>
      </c>
      <c r="O1128" s="38">
        <v>1.9</v>
      </c>
      <c r="P1128" s="38">
        <v>0.52500000000000002</v>
      </c>
      <c r="Q1128" s="38">
        <v>0.38</v>
      </c>
      <c r="R1128" s="38">
        <v>2.17665</v>
      </c>
      <c r="S1128" s="38">
        <f t="shared" si="143"/>
        <v>2</v>
      </c>
      <c r="T1128" s="38">
        <v>17.899999999999999</v>
      </c>
      <c r="U1128" s="38">
        <v>0.32500000000000001</v>
      </c>
      <c r="V1128" s="38">
        <v>0.2</v>
      </c>
      <c r="W1128" s="38">
        <v>0</v>
      </c>
      <c r="X1128" s="38">
        <v>2.8822000000000001</v>
      </c>
      <c r="Y1128" s="38">
        <f t="shared" si="144"/>
        <v>3</v>
      </c>
      <c r="Z1128" s="117">
        <v>0</v>
      </c>
      <c r="AA1128" s="117">
        <v>0</v>
      </c>
      <c r="AB1128" s="117">
        <v>18.434999999999999</v>
      </c>
      <c r="AC1128" s="117">
        <v>1.3156699999999999</v>
      </c>
      <c r="AD1128" s="117">
        <v>82.353999999999999</v>
      </c>
      <c r="AE1128" s="117">
        <v>4.95</v>
      </c>
      <c r="AF1128" s="117">
        <v>0.131273</v>
      </c>
      <c r="AG1128" s="38">
        <f t="shared" si="145"/>
        <v>0.1</v>
      </c>
      <c r="AH1128" s="117">
        <v>86.45</v>
      </c>
      <c r="AI1128" s="117">
        <v>0.13378100000000001</v>
      </c>
      <c r="AJ1128" s="117">
        <v>0</v>
      </c>
      <c r="AK1128" s="117">
        <v>0</v>
      </c>
      <c r="AL1128" s="117">
        <v>0.89</v>
      </c>
      <c r="AM1128" s="117">
        <v>1.377E-3</v>
      </c>
      <c r="AN1128" s="25"/>
      <c r="AO1128" s="25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</row>
    <row r="1129" spans="1:88" s="22" customFormat="1">
      <c r="A1129" s="1">
        <v>1099</v>
      </c>
      <c r="B1129" s="9" t="s">
        <v>1513</v>
      </c>
      <c r="C1129" s="34">
        <v>431</v>
      </c>
      <c r="D1129" s="75">
        <v>205</v>
      </c>
      <c r="E1129" s="69">
        <v>102</v>
      </c>
      <c r="F1129" s="34" t="s">
        <v>1516</v>
      </c>
      <c r="G1129" s="20" t="s">
        <v>1519</v>
      </c>
      <c r="H1129" s="20" t="s">
        <v>1518</v>
      </c>
      <c r="I1129" s="21">
        <v>28.545000000000002</v>
      </c>
      <c r="J1129" s="8">
        <v>4</v>
      </c>
      <c r="K1129" s="5" t="s">
        <v>1521</v>
      </c>
      <c r="L1129" s="18">
        <v>42282</v>
      </c>
      <c r="M1129" s="9" t="s">
        <v>191</v>
      </c>
      <c r="N1129" s="38">
        <v>13.65</v>
      </c>
      <c r="O1129" s="38">
        <v>10.3</v>
      </c>
      <c r="P1129" s="38">
        <v>3.5750000000000002</v>
      </c>
      <c r="Q1129" s="38">
        <v>1.075</v>
      </c>
      <c r="R1129" s="38">
        <v>2.7458300000000002</v>
      </c>
      <c r="S1129" s="38">
        <f t="shared" si="143"/>
        <v>2.5</v>
      </c>
      <c r="T1129" s="38">
        <v>22.375</v>
      </c>
      <c r="U1129" s="38">
        <v>3.7250000000000001</v>
      </c>
      <c r="V1129" s="38">
        <v>1.625</v>
      </c>
      <c r="W1129" s="38">
        <v>0.875</v>
      </c>
      <c r="X1129" s="38">
        <v>6.9780300000000004</v>
      </c>
      <c r="Y1129" s="38">
        <f t="shared" si="144"/>
        <v>7</v>
      </c>
      <c r="Z1129" s="38">
        <v>0</v>
      </c>
      <c r="AA1129" s="38">
        <v>0</v>
      </c>
      <c r="AB1129" s="38">
        <v>28.6</v>
      </c>
      <c r="AC1129" s="38">
        <v>1.3107599999999999</v>
      </c>
      <c r="AD1129" s="38">
        <v>125.66</v>
      </c>
      <c r="AE1129" s="38">
        <v>10.69</v>
      </c>
      <c r="AF1129" s="38">
        <f>(AD1129+AE1129*0.5)/(3.5*I1129*1000)*100</f>
        <v>0.13112629181993343</v>
      </c>
      <c r="AG1129" s="38">
        <f t="shared" si="145"/>
        <v>0.1</v>
      </c>
      <c r="AH1129" s="38">
        <v>106.32</v>
      </c>
      <c r="AI1129" s="38">
        <f>AH1129/(3.5*I1129*1000)*100</f>
        <v>0.1064184370542752</v>
      </c>
      <c r="AJ1129" s="38">
        <v>0</v>
      </c>
      <c r="AK1129" s="38">
        <f>AJ1129/(3.5*I1129*1000)*100</f>
        <v>0</v>
      </c>
      <c r="AL1129" s="38">
        <v>1.95</v>
      </c>
      <c r="AM1129" s="38">
        <f>AL1129/(3.5*I1129*1000)*100</f>
        <v>1.9518054200135125E-3</v>
      </c>
      <c r="AN1129" s="41"/>
      <c r="AO1129" s="72"/>
      <c r="AP1129" s="73"/>
      <c r="AQ1129" s="73"/>
    </row>
    <row r="1130" spans="1:88" s="22" customFormat="1">
      <c r="A1130" s="1">
        <v>511</v>
      </c>
      <c r="B1130" s="88" t="s">
        <v>871</v>
      </c>
      <c r="C1130" s="88">
        <v>557</v>
      </c>
      <c r="D1130" s="88">
        <v>102</v>
      </c>
      <c r="E1130" s="88">
        <v>102</v>
      </c>
      <c r="F1130" s="88" t="s">
        <v>872</v>
      </c>
      <c r="G1130" s="88" t="s">
        <v>873</v>
      </c>
      <c r="H1130" s="88" t="s">
        <v>712</v>
      </c>
      <c r="I1130" s="115">
        <v>17.8</v>
      </c>
      <c r="J1130" s="88" t="s">
        <v>238</v>
      </c>
      <c r="K1130" s="88">
        <v>2</v>
      </c>
      <c r="L1130" s="116">
        <v>42271</v>
      </c>
      <c r="M1130" s="9" t="s">
        <v>191</v>
      </c>
      <c r="N1130" s="117">
        <v>13.55</v>
      </c>
      <c r="O1130" s="117">
        <v>2.95</v>
      </c>
      <c r="P1130" s="117">
        <v>0.85</v>
      </c>
      <c r="Q1130" s="117">
        <v>0.5</v>
      </c>
      <c r="R1130" s="117">
        <v>2.33961</v>
      </c>
      <c r="S1130" s="38">
        <f t="shared" si="143"/>
        <v>2.5</v>
      </c>
      <c r="T1130" s="117">
        <v>17.625</v>
      </c>
      <c r="U1130" s="117">
        <v>0.22500000000000001</v>
      </c>
      <c r="V1130" s="117">
        <v>0</v>
      </c>
      <c r="W1130" s="117">
        <v>0</v>
      </c>
      <c r="X1130" s="117">
        <v>3.6559300000000001</v>
      </c>
      <c r="Y1130" s="38">
        <f t="shared" si="144"/>
        <v>3.5</v>
      </c>
      <c r="Z1130" s="117">
        <v>0</v>
      </c>
      <c r="AA1130" s="117">
        <v>0</v>
      </c>
      <c r="AB1130" s="117">
        <v>17.850000000000001</v>
      </c>
      <c r="AC1130" s="117">
        <v>1.3221499999999999</v>
      </c>
      <c r="AD1130" s="117">
        <v>77.150000000000006</v>
      </c>
      <c r="AE1130" s="117">
        <v>8.468</v>
      </c>
      <c r="AF1130" s="117">
        <v>0.130632</v>
      </c>
      <c r="AG1130" s="38">
        <f t="shared" si="145"/>
        <v>0.1</v>
      </c>
      <c r="AH1130" s="117">
        <v>75.489999999999995</v>
      </c>
      <c r="AI1130" s="117">
        <v>0.121172</v>
      </c>
      <c r="AJ1130" s="117">
        <v>0</v>
      </c>
      <c r="AK1130" s="117">
        <v>0</v>
      </c>
      <c r="AL1130" s="117">
        <v>0</v>
      </c>
      <c r="AM1130" s="117">
        <v>0</v>
      </c>
      <c r="AN1130" s="25"/>
      <c r="AO1130" s="25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</row>
    <row r="1131" spans="1:88" s="22" customFormat="1">
      <c r="A1131" s="1">
        <v>1939</v>
      </c>
      <c r="B1131" s="34" t="s">
        <v>2586</v>
      </c>
      <c r="C1131" s="34">
        <v>321</v>
      </c>
      <c r="D1131" s="75">
        <v>401</v>
      </c>
      <c r="E1131" s="8">
        <v>502</v>
      </c>
      <c r="F1131" s="9" t="s">
        <v>2587</v>
      </c>
      <c r="G1131" s="20">
        <v>236579</v>
      </c>
      <c r="H1131" s="20">
        <v>286310</v>
      </c>
      <c r="I1131" s="21">
        <v>49.731000000000002</v>
      </c>
      <c r="J1131" s="8">
        <v>4</v>
      </c>
      <c r="K1131" s="8" t="s">
        <v>237</v>
      </c>
      <c r="L1131" s="18">
        <v>42122</v>
      </c>
      <c r="M1131" s="9" t="s">
        <v>191</v>
      </c>
      <c r="N1131" s="38">
        <v>37.5</v>
      </c>
      <c r="O1131" s="38">
        <v>7.5250000000000004</v>
      </c>
      <c r="P1131" s="38">
        <v>3.2250000000000001</v>
      </c>
      <c r="Q1131" s="38">
        <v>1.4</v>
      </c>
      <c r="R1131" s="38">
        <v>2.2053799999999999</v>
      </c>
      <c r="S1131" s="38">
        <f t="shared" si="143"/>
        <v>2</v>
      </c>
      <c r="T1131" s="38">
        <v>47.55</v>
      </c>
      <c r="U1131" s="38">
        <v>1.55</v>
      </c>
      <c r="V1131" s="38">
        <v>0.42499999999999999</v>
      </c>
      <c r="W1131" s="38">
        <v>0.125</v>
      </c>
      <c r="X1131" s="38">
        <v>4.2008099999999997</v>
      </c>
      <c r="Y1131" s="38">
        <f t="shared" si="144"/>
        <v>4</v>
      </c>
      <c r="Z1131" s="38">
        <v>0</v>
      </c>
      <c r="AA1131" s="38">
        <v>0</v>
      </c>
      <c r="AB1131" s="38">
        <v>49.649999999999991</v>
      </c>
      <c r="AC1131" s="38">
        <v>1.20583</v>
      </c>
      <c r="AD1131" s="38">
        <v>162.81</v>
      </c>
      <c r="AE1131" s="38">
        <v>128.74</v>
      </c>
      <c r="AF1131" s="38">
        <v>0.13051933688960896</v>
      </c>
      <c r="AG1131" s="38">
        <f t="shared" si="145"/>
        <v>0.1</v>
      </c>
      <c r="AH1131" s="38">
        <v>26.86</v>
      </c>
      <c r="AI1131" s="38">
        <f>AH1131/(3.5*I1131*1000)*100</f>
        <v>1.5431593401069182E-2</v>
      </c>
      <c r="AJ1131" s="38">
        <v>0</v>
      </c>
      <c r="AK1131" s="38">
        <v>0</v>
      </c>
      <c r="AL1131" s="38">
        <v>0</v>
      </c>
      <c r="AM1131" s="38">
        <f>AL1131/(3.5*I1131*1000)*100</f>
        <v>0</v>
      </c>
      <c r="AN1131" s="73"/>
      <c r="AO1131" s="72"/>
      <c r="AP1131" s="41"/>
      <c r="AQ1131" s="41"/>
      <c r="AR1131" s="73"/>
      <c r="AS1131" s="73"/>
      <c r="AT1131" s="73"/>
      <c r="AU1131" s="73"/>
      <c r="AV1131" s="73"/>
      <c r="AW1131" s="73"/>
      <c r="AX1131" s="73"/>
      <c r="AY1131" s="73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</row>
    <row r="1132" spans="1:88" s="22" customFormat="1">
      <c r="A1132" s="1">
        <v>1</v>
      </c>
      <c r="B1132" s="4" t="s">
        <v>8</v>
      </c>
      <c r="C1132" s="5">
        <v>521</v>
      </c>
      <c r="D1132" s="5">
        <v>108</v>
      </c>
      <c r="E1132" s="5">
        <v>101</v>
      </c>
      <c r="F1132" s="5" t="s">
        <v>219</v>
      </c>
      <c r="G1132" s="6">
        <v>14714</v>
      </c>
      <c r="H1132" s="6">
        <v>49615</v>
      </c>
      <c r="I1132" s="7">
        <v>34.901000000000003</v>
      </c>
      <c r="J1132" s="8">
        <v>4</v>
      </c>
      <c r="K1132" s="9" t="s">
        <v>237</v>
      </c>
      <c r="L1132" s="10">
        <v>42223</v>
      </c>
      <c r="M1132" s="9" t="s">
        <v>191</v>
      </c>
      <c r="N1132" s="11">
        <v>21.75</v>
      </c>
      <c r="O1132" s="11">
        <v>8.5749999999999993</v>
      </c>
      <c r="P1132" s="11">
        <v>3.125</v>
      </c>
      <c r="Q1132" s="11">
        <v>0.47499999999999998</v>
      </c>
      <c r="R1132" s="11">
        <v>3.2469999999999999</v>
      </c>
      <c r="S1132" s="38">
        <f t="shared" si="143"/>
        <v>3</v>
      </c>
      <c r="T1132" s="11">
        <v>30.324999999999999</v>
      </c>
      <c r="U1132" s="11">
        <v>3.6</v>
      </c>
      <c r="V1132" s="11">
        <v>0</v>
      </c>
      <c r="W1132" s="11">
        <v>0</v>
      </c>
      <c r="X1132" s="11">
        <v>3.71</v>
      </c>
      <c r="Y1132" s="38">
        <f t="shared" si="144"/>
        <v>3.5</v>
      </c>
      <c r="Z1132" s="11">
        <v>0</v>
      </c>
      <c r="AA1132" s="11">
        <v>0</v>
      </c>
      <c r="AB1132" s="11">
        <v>33.925000000000004</v>
      </c>
      <c r="AC1132" s="11">
        <v>1.1120000000000001</v>
      </c>
      <c r="AD1132" s="11">
        <v>151.32</v>
      </c>
      <c r="AE1132" s="11">
        <v>15.1</v>
      </c>
      <c r="AF1132" s="11">
        <f>(AD1132+AE1132*0.5)/(3.5*I1132*1000)*100</f>
        <v>0.1300576733372355</v>
      </c>
      <c r="AG1132" s="38">
        <f t="shared" si="145"/>
        <v>0.1</v>
      </c>
      <c r="AH1132" s="11">
        <v>59.62</v>
      </c>
      <c r="AI1132" s="11">
        <f>AH1132/(3.5*I1132*1000)*100</f>
        <v>4.8807443094139744E-2</v>
      </c>
      <c r="AJ1132" s="11">
        <v>10.199999999999999</v>
      </c>
      <c r="AK1132" s="11">
        <f>AJ1132/(3.5*I1132*1000)*100</f>
        <v>8.3501496068471206E-3</v>
      </c>
      <c r="AL1132" s="11">
        <v>0</v>
      </c>
      <c r="AM1132" s="11">
        <f>AL1132/(3.5*I1132*1000)*100</f>
        <v>0</v>
      </c>
      <c r="AN1132" s="1"/>
      <c r="AO1132" s="1"/>
      <c r="AP1132" s="1"/>
      <c r="AQ1132" s="12">
        <f>N1132+O1132+P1132+Q1132</f>
        <v>33.925000000000004</v>
      </c>
      <c r="AR1132" s="12">
        <f>T1132+U1132+V1132+W1132</f>
        <v>33.924999999999997</v>
      </c>
      <c r="AS1132" s="12">
        <f>Z1132+AA1132+AB1132</f>
        <v>33.925000000000004</v>
      </c>
      <c r="AT1132" s="1"/>
      <c r="AU1132" s="1">
        <v>0.97203518523824539</v>
      </c>
      <c r="AV1132" s="1">
        <v>0.97203518523824517</v>
      </c>
      <c r="AW1132" s="1">
        <v>0.97203518523824539</v>
      </c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</row>
    <row r="1133" spans="1:88" s="22" customFormat="1">
      <c r="A1133" s="1">
        <v>1146</v>
      </c>
      <c r="B1133" s="74" t="s">
        <v>1577</v>
      </c>
      <c r="C1133" s="34">
        <v>432</v>
      </c>
      <c r="D1133" s="34">
        <v>3041</v>
      </c>
      <c r="E1133" s="34">
        <v>102</v>
      </c>
      <c r="F1133" s="34" t="s">
        <v>1599</v>
      </c>
      <c r="G1133" s="34" t="s">
        <v>1598</v>
      </c>
      <c r="H1133" s="34" t="s">
        <v>1600</v>
      </c>
      <c r="I1133" s="55">
        <v>15.039</v>
      </c>
      <c r="J1133" s="5">
        <v>4</v>
      </c>
      <c r="K1133" s="181" t="s">
        <v>238</v>
      </c>
      <c r="L1133" s="10">
        <v>42282</v>
      </c>
      <c r="M1133" s="9" t="s">
        <v>191</v>
      </c>
      <c r="N1133" s="38">
        <v>6.875</v>
      </c>
      <c r="O1133" s="38">
        <v>5.375</v>
      </c>
      <c r="P1133" s="38">
        <v>1.7749999999999999</v>
      </c>
      <c r="Q1133" s="38">
        <v>1.0249999999999999</v>
      </c>
      <c r="R1133" s="38">
        <v>2.8828200000000002</v>
      </c>
      <c r="S1133" s="38">
        <f t="shared" si="143"/>
        <v>3</v>
      </c>
      <c r="T1133" s="38">
        <v>14.5</v>
      </c>
      <c r="U1133" s="38">
        <v>0.42499999999999999</v>
      </c>
      <c r="V1133" s="38">
        <v>0.125</v>
      </c>
      <c r="W1133" s="38">
        <v>0</v>
      </c>
      <c r="X1133" s="38">
        <v>3.36673</v>
      </c>
      <c r="Y1133" s="38">
        <f t="shared" si="144"/>
        <v>3.5</v>
      </c>
      <c r="Z1133" s="38">
        <v>0</v>
      </c>
      <c r="AA1133" s="38">
        <v>0</v>
      </c>
      <c r="AB1133" s="38">
        <v>15.05</v>
      </c>
      <c r="AC1133" s="38">
        <v>1.23478</v>
      </c>
      <c r="AD1133" s="38">
        <v>64.3</v>
      </c>
      <c r="AE1133" s="38">
        <v>8.2100000000000009</v>
      </c>
      <c r="AF1133" s="38">
        <v>0.12995699999999999</v>
      </c>
      <c r="AG1133" s="38">
        <f t="shared" si="145"/>
        <v>0.1</v>
      </c>
      <c r="AH1133" s="38">
        <v>63.29</v>
      </c>
      <c r="AI1133" s="38">
        <v>0.12024</v>
      </c>
      <c r="AJ1133" s="38">
        <v>0</v>
      </c>
      <c r="AK1133" s="38">
        <v>0</v>
      </c>
      <c r="AL1133" s="38">
        <v>0</v>
      </c>
      <c r="AM1133" s="38">
        <v>0</v>
      </c>
      <c r="AN1133" s="114"/>
      <c r="AO1133" s="73"/>
    </row>
    <row r="1134" spans="1:88" s="22" customFormat="1">
      <c r="A1134" s="1">
        <v>1441</v>
      </c>
      <c r="B1134" s="34" t="s">
        <v>1987</v>
      </c>
      <c r="C1134" s="34">
        <v>448</v>
      </c>
      <c r="D1134" s="75">
        <v>33</v>
      </c>
      <c r="E1134" s="69">
        <v>202</v>
      </c>
      <c r="F1134" s="34" t="s">
        <v>1991</v>
      </c>
      <c r="G1134" s="20">
        <v>48242</v>
      </c>
      <c r="H1134" s="20">
        <v>40318</v>
      </c>
      <c r="I1134" s="21">
        <v>7.9240000000000004</v>
      </c>
      <c r="J1134" s="8">
        <v>4</v>
      </c>
      <c r="K1134" s="34" t="s">
        <v>96</v>
      </c>
      <c r="L1134" s="10">
        <v>42182</v>
      </c>
      <c r="M1134" s="9" t="s">
        <v>191</v>
      </c>
      <c r="N1134" s="38">
        <v>4.8</v>
      </c>
      <c r="O1134" s="38">
        <v>1.9750000000000001</v>
      </c>
      <c r="P1134" s="38">
        <v>0.95</v>
      </c>
      <c r="Q1134" s="38">
        <v>0.25</v>
      </c>
      <c r="R1134" s="38">
        <v>2.923</v>
      </c>
      <c r="S1134" s="38">
        <f t="shared" si="143"/>
        <v>3</v>
      </c>
      <c r="T1134" s="38">
        <v>6.9749999999999996</v>
      </c>
      <c r="U1134" s="38">
        <v>1</v>
      </c>
      <c r="V1134" s="38">
        <v>0</v>
      </c>
      <c r="W1134" s="38">
        <v>0</v>
      </c>
      <c r="X1134" s="38">
        <v>3.964</v>
      </c>
      <c r="Y1134" s="38">
        <f t="shared" si="144"/>
        <v>4</v>
      </c>
      <c r="Z1134" s="38">
        <v>0</v>
      </c>
      <c r="AA1134" s="38">
        <v>0</v>
      </c>
      <c r="AB1134" s="38">
        <v>7.9750000000000005</v>
      </c>
      <c r="AC1134" s="38">
        <v>1.282</v>
      </c>
      <c r="AD1134" s="38">
        <v>16.68</v>
      </c>
      <c r="AE1134" s="38">
        <v>38.69</v>
      </c>
      <c r="AF1134" s="38">
        <f>(AD1134+AE1134*0.5)/(3.5*I1134*1000)*100</f>
        <v>0.12989471406937333</v>
      </c>
      <c r="AG1134" s="38">
        <f t="shared" si="145"/>
        <v>0.1</v>
      </c>
      <c r="AH1134" s="38">
        <v>0</v>
      </c>
      <c r="AI1134" s="38">
        <f>AH1134/(3.5*I1134*1000)*100</f>
        <v>0</v>
      </c>
      <c r="AJ1134" s="38">
        <v>0</v>
      </c>
      <c r="AK1134" s="38">
        <f>AJ1134/(3.5*I1134*1000)*100</f>
        <v>0</v>
      </c>
      <c r="AL1134" s="38">
        <v>0</v>
      </c>
      <c r="AM1134" s="38">
        <f>AL1134/(3.5*I1134*1000)*100</f>
        <v>0</v>
      </c>
      <c r="AN1134" s="72"/>
      <c r="AO1134" s="41"/>
      <c r="AP1134" s="41"/>
      <c r="AQ1134" s="73"/>
      <c r="AR1134" s="73"/>
      <c r="AS1134" s="73"/>
      <c r="AT1134" s="73"/>
      <c r="AU1134" s="73"/>
      <c r="AV1134" s="73"/>
    </row>
    <row r="1135" spans="1:88" s="22" customFormat="1">
      <c r="A1135" s="1">
        <v>2112</v>
      </c>
      <c r="B1135" s="34" t="s">
        <v>2754</v>
      </c>
      <c r="C1135" s="34">
        <v>324</v>
      </c>
      <c r="D1135" s="75">
        <v>4021</v>
      </c>
      <c r="E1135" s="8">
        <v>100</v>
      </c>
      <c r="F1135" s="9" t="s">
        <v>2758</v>
      </c>
      <c r="G1135" s="20">
        <v>6473</v>
      </c>
      <c r="H1135" s="20">
        <v>0</v>
      </c>
      <c r="I1135" s="21">
        <v>6.4729999999999999</v>
      </c>
      <c r="J1135" s="9">
        <v>4</v>
      </c>
      <c r="K1135" s="34" t="s">
        <v>12</v>
      </c>
      <c r="L1135" s="18">
        <v>42138</v>
      </c>
      <c r="M1135" s="9" t="s">
        <v>191</v>
      </c>
      <c r="N1135" s="38">
        <v>2.0249999999999999</v>
      </c>
      <c r="O1135" s="38">
        <v>2.5</v>
      </c>
      <c r="P1135" s="38">
        <v>1.4</v>
      </c>
      <c r="Q1135" s="38">
        <v>0.85</v>
      </c>
      <c r="R1135" s="38">
        <v>3.5390799999999998</v>
      </c>
      <c r="S1135" s="38">
        <f t="shared" si="143"/>
        <v>3.5</v>
      </c>
      <c r="T1135" s="38">
        <v>6.6</v>
      </c>
      <c r="U1135" s="38">
        <v>0.05</v>
      </c>
      <c r="V1135" s="38">
        <v>7.4999999999999997E-2</v>
      </c>
      <c r="W1135" s="38">
        <v>0.05</v>
      </c>
      <c r="X1135" s="38">
        <v>3.0375800000000002</v>
      </c>
      <c r="Y1135" s="38">
        <f t="shared" si="144"/>
        <v>3</v>
      </c>
      <c r="Z1135" s="38">
        <v>0</v>
      </c>
      <c r="AA1135" s="38">
        <v>0</v>
      </c>
      <c r="AB1135" s="38">
        <v>6.7750000000000004</v>
      </c>
      <c r="AC1135" s="38">
        <v>1.0660700000000001</v>
      </c>
      <c r="AD1135" s="38">
        <v>3.66</v>
      </c>
      <c r="AE1135" s="38">
        <v>51.23</v>
      </c>
      <c r="AF1135" s="38">
        <v>0.1292180706671669</v>
      </c>
      <c r="AG1135" s="38">
        <f t="shared" si="145"/>
        <v>0.1</v>
      </c>
      <c r="AH1135" s="38">
        <v>55.96</v>
      </c>
      <c r="AI1135" s="38">
        <v>0.24700403875438634</v>
      </c>
      <c r="AJ1135" s="38">
        <v>0</v>
      </c>
      <c r="AK1135" s="38">
        <v>0</v>
      </c>
      <c r="AL1135" s="38">
        <v>0</v>
      </c>
      <c r="AM1135" s="38">
        <v>0</v>
      </c>
      <c r="AN1135" s="41"/>
      <c r="AO1135" s="41"/>
      <c r="AP1135" s="73"/>
      <c r="AQ1135" s="73"/>
      <c r="AR1135" s="73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</row>
    <row r="1136" spans="1:88" s="22" customFormat="1">
      <c r="A1136" s="1">
        <v>254</v>
      </c>
      <c r="B1136" s="34" t="s">
        <v>265</v>
      </c>
      <c r="C1136" s="34">
        <v>539</v>
      </c>
      <c r="D1136" s="34">
        <v>101</v>
      </c>
      <c r="E1136" s="34">
        <v>601</v>
      </c>
      <c r="F1136" s="34" t="s">
        <v>266</v>
      </c>
      <c r="G1136" s="20" t="s">
        <v>267</v>
      </c>
      <c r="H1136" s="20" t="s">
        <v>268</v>
      </c>
      <c r="I1136" s="35">
        <v>42.404000000000003</v>
      </c>
      <c r="J1136" s="36">
        <v>2</v>
      </c>
      <c r="K1136" s="34" t="s">
        <v>269</v>
      </c>
      <c r="L1136" s="10">
        <v>42212</v>
      </c>
      <c r="M1136" s="9" t="s">
        <v>191</v>
      </c>
      <c r="N1136" s="38">
        <v>27.63</v>
      </c>
      <c r="O1136" s="38">
        <v>7.89</v>
      </c>
      <c r="P1136" s="38">
        <v>3.17</v>
      </c>
      <c r="Q1136" s="38">
        <v>3.72</v>
      </c>
      <c r="R1136" s="38">
        <v>2.5660500000000002</v>
      </c>
      <c r="S1136" s="38">
        <f t="shared" si="143"/>
        <v>2.5</v>
      </c>
      <c r="T1136" s="38">
        <v>38.74</v>
      </c>
      <c r="U1136" s="38">
        <v>2.74</v>
      </c>
      <c r="V1136" s="38">
        <v>0.53</v>
      </c>
      <c r="W1136" s="38">
        <v>0.4</v>
      </c>
      <c r="X1136" s="38">
        <v>5.4446500000000002</v>
      </c>
      <c r="Y1136" s="38">
        <f t="shared" si="144"/>
        <v>5.5</v>
      </c>
      <c r="Z1136" s="38">
        <v>0</v>
      </c>
      <c r="AA1136" s="38">
        <v>0</v>
      </c>
      <c r="AB1136" s="38">
        <v>42.4</v>
      </c>
      <c r="AC1136" s="38">
        <v>1.1668099999999999</v>
      </c>
      <c r="AD1136" s="38">
        <v>180</v>
      </c>
      <c r="AE1136" s="38">
        <v>22.73</v>
      </c>
      <c r="AF1136" s="38">
        <v>0.12893999218402574</v>
      </c>
      <c r="AG1136" s="38">
        <f t="shared" si="145"/>
        <v>0.1</v>
      </c>
      <c r="AH1136" s="38">
        <v>1</v>
      </c>
      <c r="AI1136" s="38">
        <v>6.7379088226178106E-4</v>
      </c>
      <c r="AJ1136" s="38">
        <v>1472</v>
      </c>
      <c r="AK1136" s="38">
        <v>0.9918201786893418</v>
      </c>
      <c r="AL1136" s="38">
        <v>0</v>
      </c>
      <c r="AM1136" s="38">
        <v>0</v>
      </c>
      <c r="AN1136" s="56"/>
      <c r="AO1136" s="56"/>
      <c r="AP1136" s="25">
        <f>SUM(N1136:Q1136)</f>
        <v>42.41</v>
      </c>
      <c r="AQ1136" s="25">
        <f>SUM(T1136:W1136)</f>
        <v>42.410000000000004</v>
      </c>
      <c r="AS1136" s="41"/>
      <c r="AT1136" s="41"/>
      <c r="AU1136" s="41"/>
      <c r="AV1136" s="41">
        <f>SUM(N1136:Q1136)</f>
        <v>42.41</v>
      </c>
      <c r="AW1136" s="41">
        <f>SUM(T1136:W1136)</f>
        <v>42.410000000000004</v>
      </c>
      <c r="AX1136" s="41">
        <f>SUM(Z1136:AB1136)</f>
        <v>42.4</v>
      </c>
      <c r="AZ1136" s="22">
        <f>I1136/AV1136</f>
        <v>0.99985852393303487</v>
      </c>
      <c r="BA1136" s="22">
        <f>I1136/AW1136</f>
        <v>0.99985852393303465</v>
      </c>
      <c r="BB1136" s="22">
        <f>I1136/AX1136</f>
        <v>1.0000943396226416</v>
      </c>
    </row>
    <row r="1137" spans="1:88" s="22" customFormat="1">
      <c r="A1137" s="1">
        <v>1743</v>
      </c>
      <c r="B1137" s="34" t="s">
        <v>2324</v>
      </c>
      <c r="C1137" s="34">
        <v>423</v>
      </c>
      <c r="D1137" s="8">
        <v>3348</v>
      </c>
      <c r="E1137" s="34">
        <v>100</v>
      </c>
      <c r="F1137" s="34" t="s">
        <v>2339</v>
      </c>
      <c r="G1137" s="58">
        <v>12346</v>
      </c>
      <c r="H1137" s="58">
        <v>0</v>
      </c>
      <c r="I1137" s="35">
        <v>12.346</v>
      </c>
      <c r="J1137" s="9">
        <v>2</v>
      </c>
      <c r="K1137" s="34" t="s">
        <v>12</v>
      </c>
      <c r="L1137" s="10">
        <v>42234</v>
      </c>
      <c r="M1137" s="9" t="s">
        <v>191</v>
      </c>
      <c r="N1137" s="38">
        <v>7.75</v>
      </c>
      <c r="O1137" s="38">
        <v>3.375</v>
      </c>
      <c r="P1137" s="38">
        <v>0.92500000000000004</v>
      </c>
      <c r="Q1137" s="38">
        <v>0.3</v>
      </c>
      <c r="R1137" s="38">
        <v>2.75041</v>
      </c>
      <c r="S1137" s="38">
        <f t="shared" si="143"/>
        <v>3</v>
      </c>
      <c r="T1137" s="38">
        <v>11.775</v>
      </c>
      <c r="U1137" s="38">
        <v>0.47499999999999998</v>
      </c>
      <c r="V1137" s="38">
        <v>0.1</v>
      </c>
      <c r="W1137" s="38">
        <v>0</v>
      </c>
      <c r="X1137" s="38">
        <v>6.0674099999999997</v>
      </c>
      <c r="Y1137" s="38">
        <f t="shared" si="144"/>
        <v>6</v>
      </c>
      <c r="Z1137" s="38">
        <v>0</v>
      </c>
      <c r="AA1137" s="117">
        <v>0</v>
      </c>
      <c r="AB1137" s="35">
        <v>12.346</v>
      </c>
      <c r="AC1137" s="38">
        <v>0.96083300000000005</v>
      </c>
      <c r="AD1137" s="38">
        <v>0</v>
      </c>
      <c r="AE1137" s="38">
        <v>111.42</v>
      </c>
      <c r="AF1137" s="38">
        <f>(AD1137+AE1137*0.5)/(3.5*I1137*1000)*100</f>
        <v>0.12892550507972508</v>
      </c>
      <c r="AG1137" s="38">
        <f t="shared" si="145"/>
        <v>0.1</v>
      </c>
      <c r="AH1137" s="38">
        <v>96.6</v>
      </c>
      <c r="AI1137" s="38">
        <f>AH1137/(3.5*I1137*1000)*100</f>
        <v>0.22355418759112261</v>
      </c>
      <c r="AJ1137" s="38">
        <v>1908</v>
      </c>
      <c r="AK1137" s="38">
        <f>AJ1137/(3.5*I1137*1000)*100</f>
        <v>4.4155423387563353</v>
      </c>
      <c r="AL1137" s="38">
        <v>141.61000000000001</v>
      </c>
      <c r="AM1137" s="38">
        <f>AL1137/(3.5*I1137*1000)*100</f>
        <v>0.32771747934553702</v>
      </c>
      <c r="AN1137" s="25"/>
      <c r="AO1137" s="12">
        <f>AE1137*0.5</f>
        <v>55.71</v>
      </c>
      <c r="AP1137" s="12">
        <f>(AD1137+AH1137+AJ1137+AL1137+AO1137)*I1137</f>
        <v>27184.904320000001</v>
      </c>
      <c r="AQ1137" s="25">
        <f>SUM(N1137:Q1137)</f>
        <v>12.350000000000001</v>
      </c>
      <c r="AR1137" s="25">
        <f>SUM(T1137:W1137)</f>
        <v>12.35</v>
      </c>
      <c r="AT1137" s="41"/>
      <c r="AU1137" s="41"/>
      <c r="AV1137" s="41"/>
      <c r="AW1137" s="41"/>
    </row>
    <row r="1138" spans="1:88" s="22" customFormat="1">
      <c r="A1138" s="1">
        <v>1327</v>
      </c>
      <c r="B1138" s="74" t="s">
        <v>1851</v>
      </c>
      <c r="C1138" s="34">
        <v>444</v>
      </c>
      <c r="D1138" s="75">
        <v>3209</v>
      </c>
      <c r="E1138" s="69">
        <v>103</v>
      </c>
      <c r="F1138" s="34" t="s">
        <v>1871</v>
      </c>
      <c r="G1138" s="20" t="s">
        <v>1872</v>
      </c>
      <c r="H1138" s="20" t="s">
        <v>1873</v>
      </c>
      <c r="I1138" s="21">
        <v>27.811</v>
      </c>
      <c r="J1138" s="8">
        <v>2</v>
      </c>
      <c r="K1138" s="34" t="s">
        <v>238</v>
      </c>
      <c r="L1138" s="10">
        <v>42214</v>
      </c>
      <c r="M1138" s="9" t="s">
        <v>191</v>
      </c>
      <c r="N1138" s="38">
        <v>25.25</v>
      </c>
      <c r="O1138" s="38">
        <v>2.125</v>
      </c>
      <c r="P1138" s="38">
        <v>0.5</v>
      </c>
      <c r="Q1138" s="38">
        <v>0</v>
      </c>
      <c r="R1138" s="38">
        <v>2.9809999999999999</v>
      </c>
      <c r="S1138" s="38">
        <f t="shared" si="143"/>
        <v>3</v>
      </c>
      <c r="T1138" s="38">
        <v>27.875</v>
      </c>
      <c r="U1138" s="38">
        <v>0</v>
      </c>
      <c r="V1138" s="38">
        <v>0</v>
      </c>
      <c r="W1138" s="38">
        <v>0</v>
      </c>
      <c r="X1138" s="38">
        <v>2.1280000000000001</v>
      </c>
      <c r="Y1138" s="38">
        <f t="shared" si="144"/>
        <v>2</v>
      </c>
      <c r="Z1138" s="38">
        <v>0</v>
      </c>
      <c r="AA1138" s="38">
        <v>0</v>
      </c>
      <c r="AB1138" s="38">
        <v>27.875</v>
      </c>
      <c r="AC1138" s="38">
        <v>1.2310000000000001</v>
      </c>
      <c r="AD1138" s="38">
        <v>52.12</v>
      </c>
      <c r="AE1138" s="38">
        <v>13.689</v>
      </c>
      <c r="AF1138" s="38">
        <v>0.128</v>
      </c>
      <c r="AG1138" s="38">
        <f t="shared" si="145"/>
        <v>0.1</v>
      </c>
      <c r="AH1138" s="38">
        <v>0</v>
      </c>
      <c r="AI1138" s="38">
        <v>0</v>
      </c>
      <c r="AJ1138" s="38">
        <v>0</v>
      </c>
      <c r="AK1138" s="38">
        <v>0</v>
      </c>
      <c r="AL1138" s="38">
        <v>0</v>
      </c>
      <c r="AM1138" s="38">
        <v>0</v>
      </c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</row>
    <row r="1139" spans="1:88" s="22" customFormat="1">
      <c r="A1139" s="1">
        <v>409</v>
      </c>
      <c r="B1139" s="74" t="s">
        <v>655</v>
      </c>
      <c r="C1139" s="34">
        <v>511</v>
      </c>
      <c r="D1139" s="75">
        <v>1278</v>
      </c>
      <c r="E1139" s="69">
        <v>100</v>
      </c>
      <c r="F1139" s="34" t="s">
        <v>685</v>
      </c>
      <c r="G1139" s="20" t="s">
        <v>92</v>
      </c>
      <c r="H1139" s="20" t="s">
        <v>686</v>
      </c>
      <c r="I1139" s="21">
        <v>13.161</v>
      </c>
      <c r="J1139" s="8" t="s">
        <v>238</v>
      </c>
      <c r="K1139" s="34">
        <v>2</v>
      </c>
      <c r="L1139" s="18">
        <v>42265</v>
      </c>
      <c r="M1139" s="9" t="s">
        <v>191</v>
      </c>
      <c r="N1139" s="38">
        <v>11.31</v>
      </c>
      <c r="O1139" s="38">
        <v>1.5</v>
      </c>
      <c r="P1139" s="38">
        <v>0.25</v>
      </c>
      <c r="Q1139" s="38">
        <v>0.1</v>
      </c>
      <c r="R1139" s="38">
        <v>2.0005500000000001</v>
      </c>
      <c r="S1139" s="38">
        <f t="shared" si="143"/>
        <v>2</v>
      </c>
      <c r="T1139" s="38">
        <v>13.11</v>
      </c>
      <c r="U1139" s="38">
        <v>0.05</v>
      </c>
      <c r="V1139" s="38">
        <v>0</v>
      </c>
      <c r="W1139" s="38">
        <v>0</v>
      </c>
      <c r="X1139" s="38">
        <v>2.0473599999999998</v>
      </c>
      <c r="Y1139" s="38">
        <f t="shared" si="144"/>
        <v>2</v>
      </c>
      <c r="Z1139" s="38">
        <v>0</v>
      </c>
      <c r="AA1139" s="38">
        <v>0</v>
      </c>
      <c r="AB1139" s="38">
        <v>13.16</v>
      </c>
      <c r="AC1139" s="38">
        <v>1.1114999999999999</v>
      </c>
      <c r="AD1139" s="38">
        <v>52.63</v>
      </c>
      <c r="AE1139" s="38">
        <v>12.36</v>
      </c>
      <c r="AF1139" s="38">
        <v>0.12767200000000001</v>
      </c>
      <c r="AG1139" s="38">
        <f t="shared" si="145"/>
        <v>0.1</v>
      </c>
      <c r="AH1139" s="38">
        <v>111.48</v>
      </c>
      <c r="AI1139" s="38">
        <v>0.24201400000000001</v>
      </c>
      <c r="AJ1139" s="38">
        <v>0</v>
      </c>
      <c r="AK1139" s="38">
        <v>0</v>
      </c>
      <c r="AL1139" s="38">
        <v>0</v>
      </c>
      <c r="AM1139" s="38">
        <v>0</v>
      </c>
      <c r="AN1139" s="72"/>
      <c r="AO1139" s="41"/>
      <c r="AP1139" s="41"/>
      <c r="AQ1139" s="41">
        <f>SUM(N1139:Q1139)</f>
        <v>13.16</v>
      </c>
      <c r="AR1139" s="41">
        <f>SUM(T1139:W1139)</f>
        <v>13.16</v>
      </c>
      <c r="AS1139" s="41">
        <f>SUM(Z1139:AB1139)</f>
        <v>13.16</v>
      </c>
      <c r="AU1139" s="22">
        <f>I1139/AQ1139</f>
        <v>1.0000759878419452</v>
      </c>
      <c r="AV1139" s="22">
        <f>I1139/AR1139</f>
        <v>1.0000759878419452</v>
      </c>
      <c r="AW1139" s="22">
        <f>I1139/AS1139</f>
        <v>1.0000759878419452</v>
      </c>
    </row>
    <row r="1140" spans="1:88" s="22" customFormat="1">
      <c r="A1140" s="1">
        <v>473</v>
      </c>
      <c r="B1140" s="74" t="s">
        <v>780</v>
      </c>
      <c r="C1140" s="34">
        <v>515</v>
      </c>
      <c r="D1140" s="34">
        <v>2013</v>
      </c>
      <c r="E1140" s="34">
        <v>101</v>
      </c>
      <c r="F1140" s="34" t="s">
        <v>810</v>
      </c>
      <c r="G1140" s="34" t="s">
        <v>92</v>
      </c>
      <c r="H1140" s="34" t="s">
        <v>811</v>
      </c>
      <c r="I1140" s="55">
        <v>20.236000000000001</v>
      </c>
      <c r="J1140" s="5" t="s">
        <v>238</v>
      </c>
      <c r="K1140" s="34">
        <v>2</v>
      </c>
      <c r="L1140" s="10">
        <v>42268</v>
      </c>
      <c r="M1140" s="9" t="s">
        <v>191</v>
      </c>
      <c r="N1140" s="38">
        <v>13.23</v>
      </c>
      <c r="O1140" s="38">
        <v>4.9000000000000004</v>
      </c>
      <c r="P1140" s="38">
        <v>1.6</v>
      </c>
      <c r="Q1140" s="38">
        <v>0.48</v>
      </c>
      <c r="R1140" s="38">
        <v>2.4801000000000002</v>
      </c>
      <c r="S1140" s="38">
        <f t="shared" si="143"/>
        <v>2.5</v>
      </c>
      <c r="T1140" s="38">
        <v>20.100000000000001</v>
      </c>
      <c r="U1140" s="38">
        <v>0.1</v>
      </c>
      <c r="V1140" s="38">
        <v>0</v>
      </c>
      <c r="W1140" s="38">
        <v>0</v>
      </c>
      <c r="X1140" s="38">
        <v>2.9946899999999999</v>
      </c>
      <c r="Y1140" s="38">
        <f t="shared" si="144"/>
        <v>3</v>
      </c>
      <c r="Z1140" s="38">
        <v>0</v>
      </c>
      <c r="AA1140" s="38">
        <v>0</v>
      </c>
      <c r="AB1140" s="38">
        <v>20.210000000000004</v>
      </c>
      <c r="AC1140" s="38">
        <v>1.1428199999999999</v>
      </c>
      <c r="AD1140" s="38">
        <v>75.14</v>
      </c>
      <c r="AE1140" s="38">
        <v>30.46</v>
      </c>
      <c r="AF1140" s="38">
        <f>(AD1140+AE1140*0.5)/(3.5*I1140*1000)*100</f>
        <v>0.12759438624234037</v>
      </c>
      <c r="AG1140" s="38">
        <f t="shared" si="145"/>
        <v>0.1</v>
      </c>
      <c r="AH1140" s="38">
        <v>49.685000000000002</v>
      </c>
      <c r="AI1140" s="38">
        <f>AH1140/(3.5*I1140*1000)*100</f>
        <v>7.0150792082003768E-2</v>
      </c>
      <c r="AJ1140" s="38">
        <v>0</v>
      </c>
      <c r="AK1140" s="38">
        <f>AJ1140/(3.5*I1140*1000)*100</f>
        <v>0</v>
      </c>
      <c r="AL1140" s="38">
        <v>0</v>
      </c>
      <c r="AM1140" s="38">
        <f>AL1140/(3.5*I1140*1000)*100</f>
        <v>0</v>
      </c>
      <c r="AN1140" s="41"/>
      <c r="AO1140" s="41"/>
      <c r="AP1140" s="114"/>
      <c r="AQ1140" s="73"/>
      <c r="AR1140" s="73"/>
      <c r="AS1140" s="73"/>
    </row>
    <row r="1141" spans="1:88" s="22" customFormat="1">
      <c r="A1141" s="1">
        <v>1259</v>
      </c>
      <c r="B1141" s="34" t="s">
        <v>1775</v>
      </c>
      <c r="C1141" s="88">
        <v>438</v>
      </c>
      <c r="D1141" s="88">
        <v>1411</v>
      </c>
      <c r="E1141" s="88">
        <v>100</v>
      </c>
      <c r="F1141" s="88" t="s">
        <v>1787</v>
      </c>
      <c r="G1141" s="88" t="s">
        <v>92</v>
      </c>
      <c r="H1141" s="88" t="s">
        <v>1502</v>
      </c>
      <c r="I1141" s="115">
        <v>8</v>
      </c>
      <c r="J1141" s="88">
        <v>2</v>
      </c>
      <c r="K1141" s="181" t="s">
        <v>238</v>
      </c>
      <c r="L1141" s="116">
        <v>42282</v>
      </c>
      <c r="M1141" s="9" t="s">
        <v>191</v>
      </c>
      <c r="N1141" s="117">
        <v>2.8</v>
      </c>
      <c r="O1141" s="117">
        <v>1.875</v>
      </c>
      <c r="P1141" s="117">
        <v>1.2749999999999999</v>
      </c>
      <c r="Q1141" s="117">
        <v>2.1</v>
      </c>
      <c r="R1141" s="117">
        <v>4.0904999999999996</v>
      </c>
      <c r="S1141" s="38">
        <f t="shared" si="143"/>
        <v>4</v>
      </c>
      <c r="T1141" s="117">
        <v>7.875</v>
      </c>
      <c r="U1141" s="117">
        <v>0.125</v>
      </c>
      <c r="V1141" s="117">
        <v>0.05</v>
      </c>
      <c r="W1141" s="117">
        <v>0</v>
      </c>
      <c r="X1141" s="117">
        <v>2.99411</v>
      </c>
      <c r="Y1141" s="38">
        <f t="shared" si="144"/>
        <v>3</v>
      </c>
      <c r="Z1141" s="117">
        <v>0</v>
      </c>
      <c r="AA1141" s="117">
        <v>0</v>
      </c>
      <c r="AB1141" s="115">
        <v>8</v>
      </c>
      <c r="AC1141" s="117">
        <v>1.6194999999999999</v>
      </c>
      <c r="AD1141" s="117">
        <v>27.95</v>
      </c>
      <c r="AE1141" s="117">
        <v>15.36</v>
      </c>
      <c r="AF1141" s="117">
        <f>(AD1141+AE1141*0.5)/(3.5*I1141*1000)*100</f>
        <v>0.12724999999999997</v>
      </c>
      <c r="AG1141" s="38">
        <f t="shared" si="145"/>
        <v>0.1</v>
      </c>
      <c r="AH1141" s="117">
        <v>69.58</v>
      </c>
      <c r="AI1141" s="117">
        <f>AH1141/(3.5*I1141*1000)*100</f>
        <v>0.24849999999999997</v>
      </c>
      <c r="AJ1141" s="117">
        <v>0</v>
      </c>
      <c r="AK1141" s="117">
        <v>0</v>
      </c>
      <c r="AL1141" s="117">
        <v>0</v>
      </c>
      <c r="AM1141" s="117">
        <v>0</v>
      </c>
      <c r="AN1141" s="12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</row>
    <row r="1142" spans="1:88" s="22" customFormat="1">
      <c r="A1142" s="1">
        <v>1343</v>
      </c>
      <c r="B1142" s="74" t="s">
        <v>1851</v>
      </c>
      <c r="C1142" s="34">
        <v>444</v>
      </c>
      <c r="D1142" s="75">
        <v>3548</v>
      </c>
      <c r="E1142" s="69">
        <v>100</v>
      </c>
      <c r="F1142" s="34" t="s">
        <v>1889</v>
      </c>
      <c r="G1142" s="53" t="s">
        <v>1891</v>
      </c>
      <c r="H1142" s="53" t="s">
        <v>1892</v>
      </c>
      <c r="I1142" s="5">
        <v>12.581</v>
      </c>
      <c r="J1142" s="8">
        <v>2</v>
      </c>
      <c r="K1142" s="34" t="s">
        <v>238</v>
      </c>
      <c r="L1142" s="10">
        <v>42214</v>
      </c>
      <c r="M1142" s="9" t="s">
        <v>191</v>
      </c>
      <c r="N1142" s="38">
        <v>10.3</v>
      </c>
      <c r="O1142" s="38">
        <v>2.0499999999999998</v>
      </c>
      <c r="P1142" s="38">
        <v>0.27500000000000002</v>
      </c>
      <c r="Q1142" s="38">
        <v>0</v>
      </c>
      <c r="R1142" s="38">
        <v>1.9890099999999999</v>
      </c>
      <c r="S1142" s="38">
        <f t="shared" si="143"/>
        <v>2</v>
      </c>
      <c r="T1142" s="38">
        <v>11.55</v>
      </c>
      <c r="U1142" s="38">
        <v>1</v>
      </c>
      <c r="V1142" s="38">
        <v>0.05</v>
      </c>
      <c r="W1142" s="38">
        <v>2.5000000000000001E-2</v>
      </c>
      <c r="X1142" s="38">
        <v>5.3786800000000001</v>
      </c>
      <c r="Y1142" s="38">
        <f t="shared" si="144"/>
        <v>5.5</v>
      </c>
      <c r="Z1142" s="38">
        <v>0</v>
      </c>
      <c r="AA1142" s="38">
        <v>0</v>
      </c>
      <c r="AB1142" s="38">
        <v>12.625000000000002</v>
      </c>
      <c r="AC1142" s="38">
        <v>1.0191699999999999</v>
      </c>
      <c r="AD1142" s="38">
        <v>34.5</v>
      </c>
      <c r="AE1142" s="38">
        <v>42.542999999999999</v>
      </c>
      <c r="AF1142" s="38">
        <v>0.12665697707427301</v>
      </c>
      <c r="AG1142" s="38">
        <f t="shared" si="145"/>
        <v>0.1</v>
      </c>
      <c r="AH1142" s="38">
        <v>11.5</v>
      </c>
      <c r="AI1142" s="38">
        <v>2.6116479498563595E-2</v>
      </c>
      <c r="AJ1142" s="38">
        <v>1.5334000000000001</v>
      </c>
      <c r="AK1142" s="38">
        <v>3.4823486663562971E-3</v>
      </c>
      <c r="AL1142" s="38">
        <v>1.5</v>
      </c>
      <c r="AM1142" s="38">
        <v>3.4064973258995991E-3</v>
      </c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</row>
    <row r="1143" spans="1:88" s="22" customFormat="1">
      <c r="A1143" s="1">
        <v>427</v>
      </c>
      <c r="B1143" s="74" t="s">
        <v>699</v>
      </c>
      <c r="C1143" s="34">
        <v>513</v>
      </c>
      <c r="D1143" s="75">
        <v>1048</v>
      </c>
      <c r="E1143" s="69">
        <v>200</v>
      </c>
      <c r="F1143" s="76" t="s">
        <v>719</v>
      </c>
      <c r="G1143" s="20" t="s">
        <v>104</v>
      </c>
      <c r="H1143" s="20" t="s">
        <v>720</v>
      </c>
      <c r="I1143" s="21">
        <v>39.101999999999997</v>
      </c>
      <c r="J1143" s="5" t="s">
        <v>238</v>
      </c>
      <c r="K1143" s="34">
        <v>2</v>
      </c>
      <c r="L1143" s="18">
        <v>42263</v>
      </c>
      <c r="M1143" s="9" t="s">
        <v>191</v>
      </c>
      <c r="N1143" s="38">
        <v>28.12</v>
      </c>
      <c r="O1143" s="38">
        <v>8.68</v>
      </c>
      <c r="P1143" s="38">
        <v>1.85</v>
      </c>
      <c r="Q1143" s="38">
        <v>0.45</v>
      </c>
      <c r="R1143" s="38">
        <v>2.2200000000000002</v>
      </c>
      <c r="S1143" s="38">
        <f t="shared" si="143"/>
        <v>2</v>
      </c>
      <c r="T1143" s="38">
        <v>37.35</v>
      </c>
      <c r="U1143" s="38">
        <v>1.43</v>
      </c>
      <c r="V1143" s="38">
        <v>0.33</v>
      </c>
      <c r="W1143" s="38">
        <v>0</v>
      </c>
      <c r="X1143" s="38">
        <v>3.556</v>
      </c>
      <c r="Y1143" s="38">
        <f t="shared" si="144"/>
        <v>3.5</v>
      </c>
      <c r="Z1143" s="38">
        <v>0</v>
      </c>
      <c r="AA1143" s="38">
        <v>0</v>
      </c>
      <c r="AB1143" s="38">
        <v>39.1</v>
      </c>
      <c r="AC1143" s="38">
        <v>1.042</v>
      </c>
      <c r="AD1143" s="38">
        <v>54.12</v>
      </c>
      <c r="AE1143" s="38">
        <v>236.6</v>
      </c>
      <c r="AF1143" s="38">
        <f>(AD1143+AE1143*0.5)/(3.5*I1143*1000)*100</f>
        <v>0.12598551773018551</v>
      </c>
      <c r="AG1143" s="38">
        <f t="shared" si="145"/>
        <v>0.1</v>
      </c>
      <c r="AH1143" s="38">
        <v>0</v>
      </c>
      <c r="AI1143" s="38">
        <f>AH1143/(3.5*I1143*1000)*100</f>
        <v>0</v>
      </c>
      <c r="AJ1143" s="38">
        <v>0</v>
      </c>
      <c r="AK1143" s="38">
        <f>AJ1143/(3.5*I1143*1000)*100</f>
        <v>0</v>
      </c>
      <c r="AL1143" s="38">
        <v>0</v>
      </c>
      <c r="AM1143" s="38">
        <f>AL1143/(3.5*I1143*1000)*100</f>
        <v>0</v>
      </c>
      <c r="AN1143" s="41"/>
      <c r="AO1143" s="41"/>
      <c r="AP1143" s="73"/>
      <c r="AQ1143" s="41">
        <f>SUM(N1143:Q1143)</f>
        <v>39.1</v>
      </c>
      <c r="AR1143" s="41">
        <f>SUM(T1143:W1143)</f>
        <v>39.11</v>
      </c>
      <c r="AS1143" s="41">
        <f>SUM(Z1143:AB1143)</f>
        <v>39.1</v>
      </c>
      <c r="AU1143" s="22">
        <f>I1143/AQ1143</f>
        <v>1.0000511508951406</v>
      </c>
      <c r="AV1143" s="22">
        <f>I1143/AR1143</f>
        <v>0.99979544873433901</v>
      </c>
      <c r="AW1143" s="22">
        <f>I1143/AS1143</f>
        <v>1.0000511508951406</v>
      </c>
      <c r="AX1143" s="73"/>
      <c r="AY1143" s="73"/>
      <c r="AZ1143" s="73"/>
      <c r="BA1143" s="73"/>
      <c r="BB1143" s="73"/>
      <c r="BC1143" s="73"/>
      <c r="BD1143" s="73"/>
      <c r="BE1143" s="73"/>
      <c r="BF1143" s="73"/>
      <c r="BG1143" s="73"/>
      <c r="BH1143" s="73"/>
      <c r="BI1143" s="73"/>
      <c r="BJ1143" s="73"/>
      <c r="BK1143" s="73"/>
      <c r="BL1143" s="73"/>
      <c r="BM1143" s="73"/>
      <c r="BN1143" s="73"/>
      <c r="BO1143" s="73"/>
      <c r="BP1143" s="73"/>
      <c r="BQ1143" s="73"/>
      <c r="BR1143" s="73"/>
      <c r="BS1143" s="73"/>
      <c r="BT1143" s="73"/>
      <c r="BU1143" s="73"/>
      <c r="BV1143" s="73"/>
      <c r="BW1143" s="73"/>
      <c r="BX1143" s="73"/>
      <c r="BY1143" s="73"/>
      <c r="BZ1143" s="73"/>
      <c r="CA1143" s="73"/>
      <c r="CB1143" s="73"/>
      <c r="CC1143" s="73"/>
      <c r="CD1143" s="73"/>
      <c r="CE1143" s="73"/>
      <c r="CF1143" s="73"/>
      <c r="CG1143" s="73"/>
      <c r="CH1143" s="73"/>
      <c r="CI1143" s="73"/>
      <c r="CJ1143" s="73"/>
    </row>
    <row r="1144" spans="1:88" s="22" customFormat="1">
      <c r="A1144" s="1">
        <v>2033</v>
      </c>
      <c r="B1144" s="34" t="s">
        <v>2678</v>
      </c>
      <c r="C1144" s="34">
        <v>326</v>
      </c>
      <c r="D1144" s="75">
        <v>4015</v>
      </c>
      <c r="E1144" s="8">
        <v>202</v>
      </c>
      <c r="F1144" s="34" t="s">
        <v>2682</v>
      </c>
      <c r="G1144" s="58">
        <v>60745</v>
      </c>
      <c r="H1144" s="58">
        <v>80896</v>
      </c>
      <c r="I1144" s="21">
        <v>20.151</v>
      </c>
      <c r="J1144" s="8">
        <v>2</v>
      </c>
      <c r="K1144" s="8" t="s">
        <v>12</v>
      </c>
      <c r="L1144" s="18">
        <v>42125</v>
      </c>
      <c r="M1144" s="9" t="s">
        <v>191</v>
      </c>
      <c r="N1144" s="38">
        <v>13.425000000000001</v>
      </c>
      <c r="O1144" s="38">
        <v>4.3250000000000002</v>
      </c>
      <c r="P1144" s="38">
        <v>1.85</v>
      </c>
      <c r="Q1144" s="38">
        <v>0.57499999999999996</v>
      </c>
      <c r="R1144" s="38">
        <v>2.3836900000000001</v>
      </c>
      <c r="S1144" s="38">
        <f t="shared" si="143"/>
        <v>2.5</v>
      </c>
      <c r="T1144" s="38">
        <v>18.55</v>
      </c>
      <c r="U1144" s="38">
        <v>1.4</v>
      </c>
      <c r="V1144" s="38">
        <v>0.17499999999999999</v>
      </c>
      <c r="W1144" s="38">
        <v>0.05</v>
      </c>
      <c r="X1144" s="38">
        <v>4.5724600000000004</v>
      </c>
      <c r="Y1144" s="38">
        <f t="shared" si="144"/>
        <v>4.5</v>
      </c>
      <c r="Z1144" s="38">
        <v>0</v>
      </c>
      <c r="AA1144" s="38">
        <v>0</v>
      </c>
      <c r="AB1144" s="38">
        <v>20.175000000000001</v>
      </c>
      <c r="AC1144" s="38">
        <v>1.2010000000000001</v>
      </c>
      <c r="AD1144" s="38">
        <v>18.07</v>
      </c>
      <c r="AE1144" s="38">
        <v>141.27000000000001</v>
      </c>
      <c r="AF1144" s="38">
        <f>(AD1144+AE1144*0.5)/(3.5*I1144*1000)*100</f>
        <v>0.12577185109565639</v>
      </c>
      <c r="AG1144" s="38">
        <f t="shared" si="145"/>
        <v>0.1</v>
      </c>
      <c r="AH1144" s="38">
        <v>0</v>
      </c>
      <c r="AI1144" s="38">
        <v>0</v>
      </c>
      <c r="AJ1144" s="55">
        <v>0</v>
      </c>
      <c r="AK1144" s="55">
        <v>0</v>
      </c>
      <c r="AL1144" s="55">
        <v>0</v>
      </c>
      <c r="AM1144" s="55">
        <f>AL1144/(3.5*I1144*1000)*100</f>
        <v>0</v>
      </c>
      <c r="AN1144" s="1"/>
      <c r="AO1144" s="12"/>
      <c r="AP1144" s="12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</row>
    <row r="1145" spans="1:88" s="22" customFormat="1">
      <c r="A1145" s="1">
        <v>1295</v>
      </c>
      <c r="B1145" s="74" t="s">
        <v>1820</v>
      </c>
      <c r="C1145" s="34">
        <v>441</v>
      </c>
      <c r="D1145" s="75">
        <v>3502</v>
      </c>
      <c r="E1145" s="69">
        <v>100</v>
      </c>
      <c r="F1145" s="34" t="s">
        <v>1841</v>
      </c>
      <c r="G1145" s="58">
        <v>0</v>
      </c>
      <c r="H1145" s="58">
        <v>38694</v>
      </c>
      <c r="I1145" s="55">
        <v>38.694000000000003</v>
      </c>
      <c r="J1145" s="34">
        <v>2</v>
      </c>
      <c r="K1145" s="34" t="s">
        <v>238</v>
      </c>
      <c r="L1145" s="10">
        <v>42184</v>
      </c>
      <c r="M1145" s="9" t="s">
        <v>191</v>
      </c>
      <c r="N1145" s="38">
        <v>26.85</v>
      </c>
      <c r="O1145" s="38">
        <v>5.875</v>
      </c>
      <c r="P1145" s="38">
        <v>3.8</v>
      </c>
      <c r="Q1145" s="38">
        <v>2.0249999999999999</v>
      </c>
      <c r="R1145" s="38">
        <v>2.3665400000000001</v>
      </c>
      <c r="S1145" s="38">
        <f t="shared" si="143"/>
        <v>2.5</v>
      </c>
      <c r="T1145" s="38">
        <v>38</v>
      </c>
      <c r="U1145" s="38">
        <v>0.55000000000000004</v>
      </c>
      <c r="V1145" s="38">
        <v>0</v>
      </c>
      <c r="W1145" s="38">
        <v>0</v>
      </c>
      <c r="X1145" s="38">
        <v>2.9809999999999999</v>
      </c>
      <c r="Y1145" s="38">
        <f t="shared" si="144"/>
        <v>3</v>
      </c>
      <c r="Z1145" s="38">
        <v>0</v>
      </c>
      <c r="AA1145" s="38">
        <v>0</v>
      </c>
      <c r="AB1145" s="38">
        <v>38.549999999999997</v>
      </c>
      <c r="AC1145" s="38">
        <v>1.1535</v>
      </c>
      <c r="AD1145" s="38">
        <v>159</v>
      </c>
      <c r="AE1145" s="38">
        <v>22</v>
      </c>
      <c r="AF1145" s="38">
        <v>0.12552702892290427</v>
      </c>
      <c r="AG1145" s="38">
        <f t="shared" si="145"/>
        <v>0.1</v>
      </c>
      <c r="AH1145" s="38">
        <v>51</v>
      </c>
      <c r="AI1145" s="38">
        <v>3.765810867687127E-2</v>
      </c>
      <c r="AJ1145" s="38">
        <v>1</v>
      </c>
      <c r="AK1145" s="38">
        <v>7.3839428778178968E-4</v>
      </c>
      <c r="AL1145" s="38">
        <v>0</v>
      </c>
      <c r="AM1145" s="38">
        <v>0</v>
      </c>
      <c r="AN1145" s="40"/>
      <c r="AO1145" s="12"/>
    </row>
    <row r="1146" spans="1:88" s="22" customFormat="1">
      <c r="A1146" s="1">
        <v>866</v>
      </c>
      <c r="B1146" s="34" t="s">
        <v>1259</v>
      </c>
      <c r="C1146" s="34">
        <v>631</v>
      </c>
      <c r="D1146" s="8">
        <v>212</v>
      </c>
      <c r="E1146" s="34">
        <v>601</v>
      </c>
      <c r="F1146" s="34" t="s">
        <v>1260</v>
      </c>
      <c r="G1146" s="58">
        <v>563148</v>
      </c>
      <c r="H1146" s="58">
        <v>532733</v>
      </c>
      <c r="I1146" s="35">
        <v>30.414999999999999</v>
      </c>
      <c r="J1146" s="9">
        <v>4</v>
      </c>
      <c r="K1146" s="34" t="s">
        <v>96</v>
      </c>
      <c r="L1146" s="10">
        <v>42139</v>
      </c>
      <c r="M1146" s="9" t="s">
        <v>191</v>
      </c>
      <c r="N1146" s="38">
        <v>18.8</v>
      </c>
      <c r="O1146" s="38">
        <v>6.9</v>
      </c>
      <c r="P1146" s="38">
        <v>3.35</v>
      </c>
      <c r="Q1146" s="38">
        <v>1.3</v>
      </c>
      <c r="R1146" s="38">
        <v>2.5270700000000001</v>
      </c>
      <c r="S1146" s="38">
        <f t="shared" si="143"/>
        <v>2.5</v>
      </c>
      <c r="T1146" s="38">
        <v>26.074999999999999</v>
      </c>
      <c r="U1146" s="38">
        <v>3.15</v>
      </c>
      <c r="V1146" s="38">
        <v>0.9</v>
      </c>
      <c r="W1146" s="38">
        <v>0.22500000000000001</v>
      </c>
      <c r="X1146" s="38">
        <v>6.7534200000000002</v>
      </c>
      <c r="Y1146" s="38">
        <f t="shared" si="144"/>
        <v>7</v>
      </c>
      <c r="Z1146" s="38">
        <v>0</v>
      </c>
      <c r="AA1146" s="38">
        <v>0</v>
      </c>
      <c r="AB1146" s="38">
        <f>N1146+O1146+P1146+Q1146</f>
        <v>30.350000000000005</v>
      </c>
      <c r="AC1146" s="38">
        <v>1.3654599999999999</v>
      </c>
      <c r="AD1146" s="38">
        <v>129.72</v>
      </c>
      <c r="AE1146" s="38">
        <v>7.57</v>
      </c>
      <c r="AF1146" s="38">
        <v>0.12540999999999999</v>
      </c>
      <c r="AG1146" s="38">
        <f t="shared" si="145"/>
        <v>0.1</v>
      </c>
      <c r="AH1146" s="38">
        <v>196.67</v>
      </c>
      <c r="AI1146" s="38">
        <v>0.18475</v>
      </c>
      <c r="AJ1146" s="38">
        <v>72.14</v>
      </c>
      <c r="AK1146" s="38">
        <v>6.7766999999999994E-2</v>
      </c>
      <c r="AL1146" s="38">
        <v>0</v>
      </c>
      <c r="AM1146" s="38">
        <v>0</v>
      </c>
      <c r="AN1146" s="25"/>
      <c r="AO1146" s="25">
        <f>AE1146*0.5</f>
        <v>3.7850000000000001</v>
      </c>
      <c r="AP1146" s="25">
        <f>(AD1146+AH1146+AJ1146+AL1146+AO1146)*I1146</f>
        <v>12236.410725</v>
      </c>
      <c r="AQ1146" s="25"/>
      <c r="AR1146" s="25"/>
      <c r="AS1146" s="25">
        <f>SUM(N1146:Q1146)</f>
        <v>30.350000000000005</v>
      </c>
      <c r="AT1146" s="25">
        <f>SUM(T1146:W1146)</f>
        <v>30.349999999999998</v>
      </c>
      <c r="AU1146" s="25"/>
      <c r="AW1146" s="41"/>
      <c r="AX1146" s="41"/>
      <c r="AY1146" s="25" t="e">
        <f>SUM(#REF!)/O1146</f>
        <v>#REF!</v>
      </c>
      <c r="AZ1146" s="41"/>
    </row>
    <row r="1147" spans="1:88" s="22" customFormat="1">
      <c r="A1147" s="1">
        <v>584</v>
      </c>
      <c r="B1147" s="34" t="s">
        <v>976</v>
      </c>
      <c r="C1147" s="34">
        <v>552</v>
      </c>
      <c r="D1147" s="34">
        <v>2245</v>
      </c>
      <c r="E1147" s="34">
        <v>100</v>
      </c>
      <c r="F1147" s="9" t="s">
        <v>985</v>
      </c>
      <c r="G1147" s="118">
        <v>0</v>
      </c>
      <c r="H1147" s="118">
        <v>7915</v>
      </c>
      <c r="I1147" s="35">
        <v>7.915</v>
      </c>
      <c r="J1147" s="71">
        <v>2</v>
      </c>
      <c r="K1147" s="34" t="s">
        <v>238</v>
      </c>
      <c r="L1147" s="10">
        <v>42194</v>
      </c>
      <c r="M1147" s="9" t="s">
        <v>191</v>
      </c>
      <c r="N1147" s="38">
        <v>6.05</v>
      </c>
      <c r="O1147" s="38">
        <v>1.45</v>
      </c>
      <c r="P1147" s="38">
        <v>0.3</v>
      </c>
      <c r="Q1147" s="38">
        <v>0.05</v>
      </c>
      <c r="R1147" s="38">
        <v>2.1211899999999999</v>
      </c>
      <c r="S1147" s="38">
        <f t="shared" si="143"/>
        <v>2</v>
      </c>
      <c r="T1147" s="38">
        <v>7.7750000000000004</v>
      </c>
      <c r="U1147" s="38">
        <v>7.4999999999999997E-2</v>
      </c>
      <c r="V1147" s="38">
        <v>0</v>
      </c>
      <c r="W1147" s="38">
        <v>0</v>
      </c>
      <c r="X1147" s="38">
        <v>2.50339</v>
      </c>
      <c r="Y1147" s="38">
        <f t="shared" si="144"/>
        <v>2.5</v>
      </c>
      <c r="Z1147" s="38">
        <v>0</v>
      </c>
      <c r="AA1147" s="38">
        <v>0</v>
      </c>
      <c r="AB1147" s="38">
        <f>N1147+O1147+P1147+Q1147</f>
        <v>7.85</v>
      </c>
      <c r="AC1147" s="38">
        <v>1.1673100000000001</v>
      </c>
      <c r="AD1147" s="38">
        <v>33</v>
      </c>
      <c r="AE1147" s="38">
        <v>3.46</v>
      </c>
      <c r="AF1147" s="38">
        <f>(AD1147+AE1147*0.5)/(3.5*I1147*1000)*100</f>
        <v>0.12536774659326774</v>
      </c>
      <c r="AG1147" s="38">
        <f t="shared" si="145"/>
        <v>0.1</v>
      </c>
      <c r="AH1147" s="38">
        <v>0</v>
      </c>
      <c r="AI1147" s="38">
        <f>AH1147/(3.5*I1147*1000)*100</f>
        <v>0</v>
      </c>
      <c r="AJ1147" s="38">
        <v>0</v>
      </c>
      <c r="AK1147" s="38">
        <f>AJ1147/(3.5*I1147*1000)*100</f>
        <v>0</v>
      </c>
      <c r="AL1147" s="38">
        <v>0</v>
      </c>
      <c r="AM1147" s="38">
        <f>AL1147/(3.5*I1147*1000)*100</f>
        <v>0</v>
      </c>
      <c r="AN1147" s="25"/>
      <c r="AO1147" s="25">
        <f>AE1147*0.5</f>
        <v>1.73</v>
      </c>
      <c r="AP1147" s="25">
        <f>(AD1147+AH1147+AJ1147+AL1147+AO1147)*I1147</f>
        <v>274.88794999999999</v>
      </c>
      <c r="AQ1147" s="25">
        <f>SUM(N1147:Q1147)</f>
        <v>7.85</v>
      </c>
      <c r="AR1147" s="25">
        <f>SUM(T1147:W1147)</f>
        <v>7.8500000000000005</v>
      </c>
      <c r="AS1147" s="268">
        <v>7.915</v>
      </c>
      <c r="AT1147" s="41"/>
      <c r="AU1147" s="41"/>
      <c r="AV1147" s="41"/>
      <c r="AW1147" s="41"/>
    </row>
    <row r="1148" spans="1:88" s="22" customFormat="1">
      <c r="A1148" s="1">
        <v>521</v>
      </c>
      <c r="B1148" s="88" t="s">
        <v>871</v>
      </c>
      <c r="C1148" s="88">
        <v>557</v>
      </c>
      <c r="D1148" s="88">
        <v>1204</v>
      </c>
      <c r="E1148" s="88">
        <v>101</v>
      </c>
      <c r="F1148" s="88" t="s">
        <v>893</v>
      </c>
      <c r="G1148" s="88" t="s">
        <v>92</v>
      </c>
      <c r="H1148" s="88" t="s">
        <v>894</v>
      </c>
      <c r="I1148" s="115">
        <v>21.741</v>
      </c>
      <c r="J1148" s="88" t="s">
        <v>238</v>
      </c>
      <c r="K1148" s="88">
        <v>2</v>
      </c>
      <c r="L1148" s="116">
        <v>42270</v>
      </c>
      <c r="M1148" s="9" t="s">
        <v>191</v>
      </c>
      <c r="N1148" s="38">
        <v>16.399999999999999</v>
      </c>
      <c r="O1148" s="38">
        <v>3.95</v>
      </c>
      <c r="P1148" s="38">
        <v>0.95</v>
      </c>
      <c r="Q1148" s="38">
        <v>0.35</v>
      </c>
      <c r="R1148" s="38">
        <v>2.1497299999999999</v>
      </c>
      <c r="S1148" s="38">
        <f t="shared" si="143"/>
        <v>2</v>
      </c>
      <c r="T1148" s="38">
        <v>21.23</v>
      </c>
      <c r="U1148" s="38">
        <v>0.41</v>
      </c>
      <c r="V1148" s="38">
        <v>0.03</v>
      </c>
      <c r="W1148" s="38">
        <v>2.5000000000000001E-2</v>
      </c>
      <c r="X1148" s="38">
        <v>3.1663000000000001</v>
      </c>
      <c r="Y1148" s="38">
        <f t="shared" si="144"/>
        <v>3</v>
      </c>
      <c r="Z1148" s="117">
        <v>0</v>
      </c>
      <c r="AA1148" s="117">
        <v>0</v>
      </c>
      <c r="AB1148" s="117">
        <v>21.65</v>
      </c>
      <c r="AC1148" s="117">
        <v>1.0564199999999999</v>
      </c>
      <c r="AD1148" s="117">
        <v>95.24</v>
      </c>
      <c r="AE1148" s="117">
        <v>0</v>
      </c>
      <c r="AF1148" s="117">
        <v>0.125162</v>
      </c>
      <c r="AG1148" s="38">
        <f t="shared" si="145"/>
        <v>0.1</v>
      </c>
      <c r="AH1148" s="117">
        <v>130.44999999999999</v>
      </c>
      <c r="AI1148" s="117">
        <v>0.171434</v>
      </c>
      <c r="AJ1148" s="117">
        <v>0</v>
      </c>
      <c r="AK1148" s="117">
        <v>0</v>
      </c>
      <c r="AL1148" s="117">
        <v>0</v>
      </c>
      <c r="AM1148" s="117">
        <v>0</v>
      </c>
      <c r="AN1148" s="25"/>
      <c r="AO1148" s="25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</row>
    <row r="1149" spans="1:88" s="22" customFormat="1">
      <c r="A1149" s="1">
        <v>1489</v>
      </c>
      <c r="B1149" s="34" t="s">
        <v>2016</v>
      </c>
      <c r="C1149" s="34">
        <v>411</v>
      </c>
      <c r="D1149" s="69">
        <v>3702</v>
      </c>
      <c r="E1149" s="34">
        <v>100</v>
      </c>
      <c r="F1149" s="34" t="s">
        <v>2039</v>
      </c>
      <c r="G1149" s="20" t="s">
        <v>2045</v>
      </c>
      <c r="H1149" s="20" t="s">
        <v>2050</v>
      </c>
      <c r="I1149" s="188">
        <v>7.2329999999999997</v>
      </c>
      <c r="J1149" s="34">
        <v>2</v>
      </c>
      <c r="K1149" s="34" t="s">
        <v>12</v>
      </c>
      <c r="L1149" s="10">
        <v>42248</v>
      </c>
      <c r="M1149" s="9" t="s">
        <v>191</v>
      </c>
      <c r="N1149" s="38">
        <v>3.9750000000000001</v>
      </c>
      <c r="O1149" s="38">
        <v>1.55</v>
      </c>
      <c r="P1149" s="38">
        <v>0.9</v>
      </c>
      <c r="Q1149" s="38">
        <v>0.72499999999999998</v>
      </c>
      <c r="R1149" s="38">
        <v>2.92</v>
      </c>
      <c r="S1149" s="38">
        <f t="shared" si="143"/>
        <v>3</v>
      </c>
      <c r="T1149" s="38">
        <v>7.05</v>
      </c>
      <c r="U1149" s="38">
        <v>0.1</v>
      </c>
      <c r="V1149" s="38">
        <v>0</v>
      </c>
      <c r="W1149" s="38">
        <v>0</v>
      </c>
      <c r="X1149" s="38">
        <v>4.375</v>
      </c>
      <c r="Y1149" s="38">
        <f t="shared" si="144"/>
        <v>4.5</v>
      </c>
      <c r="Z1149" s="38">
        <v>0</v>
      </c>
      <c r="AA1149" s="38">
        <v>0</v>
      </c>
      <c r="AB1149" s="38">
        <f>SUM(T1149:W1149)</f>
        <v>7.1499999999999995</v>
      </c>
      <c r="AC1149" s="38">
        <v>1.234</v>
      </c>
      <c r="AD1149" s="38">
        <v>0</v>
      </c>
      <c r="AE1149" s="38">
        <v>63.07</v>
      </c>
      <c r="AF1149" s="38">
        <f>(AD1149+AE1149*0.5)/(3.5*I1149*1000)*100</f>
        <v>0.12456795244020463</v>
      </c>
      <c r="AG1149" s="38">
        <f t="shared" si="145"/>
        <v>0.1</v>
      </c>
      <c r="AH1149" s="38">
        <v>6980</v>
      </c>
      <c r="AI1149" s="38">
        <f>AH1149/(3.5*I1149*1000)*100</f>
        <v>27.572040844541885</v>
      </c>
      <c r="AJ1149" s="38">
        <v>113.68</v>
      </c>
      <c r="AK1149" s="38">
        <f>AJ1149/(3.5*I1149*1000)*100</f>
        <v>0.44905295174892856</v>
      </c>
      <c r="AL1149" s="38">
        <v>4</v>
      </c>
      <c r="AM1149" s="38">
        <f>AL1149/(3.5*I1149*1000)*100</f>
        <v>1.5800596472516838E-2</v>
      </c>
      <c r="AN1149" s="60"/>
      <c r="AO1149" s="60">
        <f>AE1149*0.5</f>
        <v>31.535</v>
      </c>
      <c r="AP1149" s="60">
        <f>(AD1149+AH1149+AJ1149+AL1149+AO1149)*I1149</f>
        <v>51565.612094999997</v>
      </c>
      <c r="AQ1149" s="60"/>
      <c r="AR1149" s="60"/>
      <c r="AS1149" s="60"/>
      <c r="AT1149" s="60"/>
      <c r="AU1149" s="61"/>
      <c r="AV1149" s="40"/>
      <c r="AW1149" s="40"/>
      <c r="AX1149" s="40"/>
      <c r="AY1149" s="40"/>
      <c r="AZ1149" s="61"/>
      <c r="BA1149" s="61"/>
      <c r="BB1149" s="61"/>
      <c r="BC1149" s="61"/>
      <c r="BD1149" s="61"/>
      <c r="BE1149" s="61"/>
      <c r="BF1149" s="61"/>
      <c r="BG1149" s="61"/>
      <c r="BH1149" s="61"/>
      <c r="BI1149" s="61"/>
      <c r="BJ1149" s="61"/>
      <c r="BK1149" s="61"/>
      <c r="BL1149" s="61"/>
      <c r="BM1149" s="61"/>
      <c r="BN1149" s="61"/>
      <c r="BO1149" s="61"/>
      <c r="BP1149" s="61"/>
      <c r="BQ1149" s="61"/>
      <c r="BR1149" s="61"/>
      <c r="BS1149" s="61"/>
      <c r="BT1149" s="61"/>
      <c r="BU1149" s="61"/>
      <c r="BV1149" s="61"/>
      <c r="BW1149" s="61"/>
      <c r="BX1149" s="61"/>
      <c r="BY1149" s="61"/>
      <c r="BZ1149" s="61"/>
      <c r="CA1149" s="61"/>
      <c r="CB1149" s="61"/>
      <c r="CC1149" s="61"/>
      <c r="CD1149" s="61"/>
      <c r="CE1149" s="61"/>
      <c r="CF1149" s="61"/>
      <c r="CG1149" s="61"/>
      <c r="CH1149" s="61"/>
      <c r="CI1149" s="61"/>
      <c r="CJ1149" s="61"/>
    </row>
    <row r="1150" spans="1:88" s="22" customFormat="1">
      <c r="A1150" s="1">
        <v>450</v>
      </c>
      <c r="B1150" s="74" t="s">
        <v>699</v>
      </c>
      <c r="C1150" s="34">
        <v>513</v>
      </c>
      <c r="D1150" s="34">
        <v>1330</v>
      </c>
      <c r="E1150" s="34">
        <v>102</v>
      </c>
      <c r="F1150" s="34" t="s">
        <v>764</v>
      </c>
      <c r="G1150" s="34" t="s">
        <v>765</v>
      </c>
      <c r="H1150" s="34" t="s">
        <v>279</v>
      </c>
      <c r="I1150" s="55">
        <v>17.806999999999999</v>
      </c>
      <c r="J1150" s="5" t="s">
        <v>12</v>
      </c>
      <c r="K1150" s="34">
        <v>2</v>
      </c>
      <c r="L1150" s="18">
        <v>42263</v>
      </c>
      <c r="M1150" s="9" t="s">
        <v>191</v>
      </c>
      <c r="N1150" s="38">
        <v>12.05</v>
      </c>
      <c r="O1150" s="38">
        <v>4.53</v>
      </c>
      <c r="P1150" s="38">
        <v>0.75</v>
      </c>
      <c r="Q1150" s="38">
        <v>0.48</v>
      </c>
      <c r="R1150" s="38">
        <v>2.3028900000000001</v>
      </c>
      <c r="S1150" s="38">
        <f t="shared" si="143"/>
        <v>2.5</v>
      </c>
      <c r="T1150" s="38">
        <v>17.61</v>
      </c>
      <c r="U1150" s="38">
        <v>0.15</v>
      </c>
      <c r="V1150" s="38">
        <v>0.05</v>
      </c>
      <c r="W1150" s="38">
        <v>0</v>
      </c>
      <c r="X1150" s="38">
        <v>3.3904899999999998</v>
      </c>
      <c r="Y1150" s="38">
        <f t="shared" si="144"/>
        <v>3.5</v>
      </c>
      <c r="Z1150" s="38">
        <v>0</v>
      </c>
      <c r="AA1150" s="38">
        <v>0</v>
      </c>
      <c r="AB1150" s="38">
        <v>17.809999999999999</v>
      </c>
      <c r="AC1150" s="38">
        <v>1.4255899999999999</v>
      </c>
      <c r="AD1150" s="38">
        <v>65.209999999999994</v>
      </c>
      <c r="AE1150" s="38">
        <v>24.65</v>
      </c>
      <c r="AF1150" s="38">
        <f>(AD1150+AE1150*0.5)/(3.5*I1150*1000)*100</f>
        <v>0.12440533016710925</v>
      </c>
      <c r="AG1150" s="38">
        <f t="shared" si="145"/>
        <v>0.1</v>
      </c>
      <c r="AH1150" s="38">
        <v>93.484999999999999</v>
      </c>
      <c r="AI1150" s="38">
        <f>AH1150/(3.5*I1150*1000)*100</f>
        <v>0.14999719211546023</v>
      </c>
      <c r="AJ1150" s="38">
        <v>0</v>
      </c>
      <c r="AK1150" s="38">
        <f>AJ1150/(3.5*I1150*1000)*100</f>
        <v>0</v>
      </c>
      <c r="AL1150" s="38">
        <v>0</v>
      </c>
      <c r="AM1150" s="38">
        <f>AL1150/(3.5*I1150*1000)*100</f>
        <v>0</v>
      </c>
      <c r="AN1150" s="41"/>
      <c r="AO1150" s="41"/>
      <c r="AP1150" s="73"/>
      <c r="AQ1150" s="41">
        <f>SUM(N1150:Q1150)</f>
        <v>17.810000000000002</v>
      </c>
      <c r="AR1150" s="41">
        <f>SUM(T1150:W1150)</f>
        <v>17.809999999999999</v>
      </c>
      <c r="AS1150" s="41">
        <f>SUM(Z1150:AB1150)</f>
        <v>17.809999999999999</v>
      </c>
      <c r="AU1150" s="22">
        <f>I1150/AQ1150</f>
        <v>0.99983155530600765</v>
      </c>
      <c r="AV1150" s="22">
        <f>I1150/AR1150</f>
        <v>0.99983155530600787</v>
      </c>
      <c r="AW1150" s="22">
        <f>I1150/AS1150</f>
        <v>0.99983155530600787</v>
      </c>
      <c r="AX1150" s="73"/>
      <c r="AY1150" s="73"/>
      <c r="AZ1150" s="73"/>
      <c r="BA1150" s="73"/>
      <c r="BB1150" s="73"/>
      <c r="BC1150" s="73"/>
      <c r="BD1150" s="73"/>
      <c r="BE1150" s="73"/>
      <c r="BF1150" s="73"/>
      <c r="BG1150" s="73"/>
      <c r="BH1150" s="73"/>
      <c r="BI1150" s="73"/>
      <c r="BJ1150" s="73"/>
      <c r="BK1150" s="73"/>
      <c r="BL1150" s="73"/>
      <c r="BM1150" s="73"/>
      <c r="BN1150" s="73"/>
      <c r="BO1150" s="73"/>
      <c r="BP1150" s="73"/>
      <c r="BQ1150" s="73"/>
      <c r="BR1150" s="73"/>
      <c r="BS1150" s="73"/>
      <c r="BT1150" s="73"/>
      <c r="BU1150" s="73"/>
      <c r="BV1150" s="73"/>
      <c r="BW1150" s="73"/>
      <c r="BX1150" s="73"/>
      <c r="BY1150" s="73"/>
      <c r="BZ1150" s="73"/>
      <c r="CA1150" s="73"/>
      <c r="CB1150" s="73"/>
      <c r="CC1150" s="73"/>
      <c r="CD1150" s="73"/>
      <c r="CE1150" s="73"/>
      <c r="CF1150" s="73"/>
      <c r="CG1150" s="73"/>
      <c r="CH1150" s="73"/>
      <c r="CI1150" s="73"/>
      <c r="CJ1150" s="73"/>
    </row>
    <row r="1151" spans="1:88" s="22" customFormat="1">
      <c r="A1151" s="1">
        <v>1514</v>
      </c>
      <c r="B1151" s="34" t="s">
        <v>2069</v>
      </c>
      <c r="C1151" s="34">
        <v>413</v>
      </c>
      <c r="D1151" s="69">
        <v>3056</v>
      </c>
      <c r="E1151" s="34">
        <v>100</v>
      </c>
      <c r="F1151" s="34" t="s">
        <v>2086</v>
      </c>
      <c r="G1151" s="58">
        <v>23727</v>
      </c>
      <c r="H1151" s="58">
        <v>0</v>
      </c>
      <c r="I1151" s="35">
        <v>23.727</v>
      </c>
      <c r="J1151" s="34">
        <v>4</v>
      </c>
      <c r="K1151" s="34" t="s">
        <v>12</v>
      </c>
      <c r="L1151" s="10">
        <v>42265</v>
      </c>
      <c r="M1151" s="9" t="s">
        <v>191</v>
      </c>
      <c r="N1151" s="38">
        <v>11.175000000000001</v>
      </c>
      <c r="O1151" s="38">
        <v>5.5250000000000004</v>
      </c>
      <c r="P1151" s="38">
        <v>3.125</v>
      </c>
      <c r="Q1151" s="38">
        <v>3.7749999999999999</v>
      </c>
      <c r="R1151" s="38">
        <v>3.1549999999999998</v>
      </c>
      <c r="S1151" s="38">
        <f t="shared" si="143"/>
        <v>3</v>
      </c>
      <c r="T1151" s="38">
        <v>15.3</v>
      </c>
      <c r="U1151" s="38">
        <v>4.1749999999999998</v>
      </c>
      <c r="V1151" s="38">
        <v>2.0499999999999998</v>
      </c>
      <c r="W1151" s="38">
        <v>2.0750000000000002</v>
      </c>
      <c r="X1151" s="38">
        <v>10.051</v>
      </c>
      <c r="Y1151" s="38">
        <f t="shared" si="144"/>
        <v>10</v>
      </c>
      <c r="Z1151" s="38">
        <v>0</v>
      </c>
      <c r="AA1151" s="38">
        <v>0</v>
      </c>
      <c r="AB1151" s="196">
        <v>23.727</v>
      </c>
      <c r="AC1151" s="38">
        <v>1.006</v>
      </c>
      <c r="AD1151" s="38">
        <v>42</v>
      </c>
      <c r="AE1151" s="38">
        <v>122.03</v>
      </c>
      <c r="AF1151" s="38">
        <f>(AD1151+AE1151*0.5)/(3.5*I1151*1000)*100</f>
        <v>0.12404795019537718</v>
      </c>
      <c r="AG1151" s="38">
        <f t="shared" si="145"/>
        <v>0.1</v>
      </c>
      <c r="AH1151" s="38">
        <v>1</v>
      </c>
      <c r="AI1151" s="38">
        <f>AH1151/(3.5*I1151*1000)*100</f>
        <v>1.2041736659260999E-3</v>
      </c>
      <c r="AJ1151" s="38">
        <v>0</v>
      </c>
      <c r="AK1151" s="38">
        <f>AJ1151/(3.5*I1151*1000)*100</f>
        <v>0</v>
      </c>
      <c r="AL1151" s="38">
        <v>74</v>
      </c>
      <c r="AM1151" s="38">
        <f>AL1151/(3.5*I1151*1000)*100</f>
        <v>8.9108851278531395E-2</v>
      </c>
      <c r="AN1151" s="25"/>
      <c r="AO1151" s="25">
        <f>AE1151*0.5</f>
        <v>61.015000000000001</v>
      </c>
      <c r="AP1151" s="25">
        <f>(AD1151+AH1151+AJ1151+AL1151+AO1151)*I1151</f>
        <v>4223.7619049999994</v>
      </c>
      <c r="AQ1151" s="25">
        <f>(AD1151+AH1151+AJ1151+AL1151)*I1151</f>
        <v>2776.0590000000002</v>
      </c>
      <c r="AR1151" s="25"/>
      <c r="AS1151" s="25"/>
      <c r="AU1151" s="275">
        <v>23.727</v>
      </c>
      <c r="AV1151" s="41">
        <f>SUM(N1151:Q1151)</f>
        <v>23.6</v>
      </c>
      <c r="AW1151" s="41">
        <f>SUM(T1151:W1151)</f>
        <v>23.6</v>
      </c>
      <c r="AX1151" s="41">
        <f>SUM(Z1151:AB1151)</f>
        <v>23.727</v>
      </c>
      <c r="AZ1151" s="22">
        <f>I1151/AV1151</f>
        <v>1.0053813559322033</v>
      </c>
      <c r="BA1151" s="22">
        <f>I1151/AW1151</f>
        <v>1.0053813559322033</v>
      </c>
      <c r="BB1151" s="22">
        <f>I1151/AX1151</f>
        <v>1</v>
      </c>
    </row>
    <row r="1152" spans="1:88" s="22" customFormat="1">
      <c r="A1152" s="1">
        <v>1905</v>
      </c>
      <c r="B1152" s="34" t="s">
        <v>2550</v>
      </c>
      <c r="C1152" s="34">
        <v>337</v>
      </c>
      <c r="D1152" s="75">
        <v>325</v>
      </c>
      <c r="E1152" s="8">
        <v>102</v>
      </c>
      <c r="F1152" s="9" t="s">
        <v>2551</v>
      </c>
      <c r="G1152" s="20">
        <v>42406</v>
      </c>
      <c r="H1152" s="20">
        <v>28775</v>
      </c>
      <c r="I1152" s="21">
        <v>13.631</v>
      </c>
      <c r="J1152" s="8">
        <v>4</v>
      </c>
      <c r="K1152" s="8" t="s">
        <v>96</v>
      </c>
      <c r="L1152" s="18">
        <v>42091</v>
      </c>
      <c r="M1152" s="207" t="s">
        <v>191</v>
      </c>
      <c r="N1152" s="38">
        <v>6.43</v>
      </c>
      <c r="O1152" s="38">
        <v>2.87</v>
      </c>
      <c r="P1152" s="38">
        <v>2.31</v>
      </c>
      <c r="Q1152" s="38">
        <v>2.02</v>
      </c>
      <c r="R1152" s="38">
        <v>3.1805699999999999</v>
      </c>
      <c r="S1152" s="38">
        <f t="shared" si="143"/>
        <v>3</v>
      </c>
      <c r="T1152" s="38">
        <v>12.14</v>
      </c>
      <c r="U1152" s="38">
        <v>1.33</v>
      </c>
      <c r="V1152" s="38">
        <v>0.13</v>
      </c>
      <c r="W1152" s="38">
        <v>0.03</v>
      </c>
      <c r="X1152" s="38">
        <v>5.6394099999999998</v>
      </c>
      <c r="Y1152" s="38">
        <f t="shared" si="144"/>
        <v>5.5</v>
      </c>
      <c r="Z1152" s="38">
        <v>0</v>
      </c>
      <c r="AA1152" s="38">
        <v>0</v>
      </c>
      <c r="AB1152" s="38">
        <v>13.63</v>
      </c>
      <c r="AC1152" s="38">
        <v>1.39676</v>
      </c>
      <c r="AD1152" s="38">
        <v>49.69</v>
      </c>
      <c r="AE1152" s="38">
        <v>18.670000000000002</v>
      </c>
      <c r="AF1152" s="38">
        <v>0.12372009180753954</v>
      </c>
      <c r="AG1152" s="38">
        <f t="shared" si="145"/>
        <v>0.1</v>
      </c>
      <c r="AH1152" s="38">
        <v>10.09</v>
      </c>
      <c r="AI1152" s="38">
        <v>2.1149271094249453E-2</v>
      </c>
      <c r="AJ1152" s="38">
        <v>99.35</v>
      </c>
      <c r="AK1152" s="38">
        <v>0.20824381399540964</v>
      </c>
      <c r="AL1152" s="38">
        <v>0</v>
      </c>
      <c r="AM1152" s="38">
        <f>AL1152/(3.5*I1152*1000)*100</f>
        <v>0</v>
      </c>
      <c r="AN1152" s="1"/>
      <c r="AO1152" s="1"/>
      <c r="AP1152" s="1"/>
      <c r="AQ1152" s="41">
        <f>SUM(N1152:Q1152)</f>
        <v>13.63</v>
      </c>
      <c r="AR1152" s="41">
        <f>SUM(T1152:W1152)</f>
        <v>13.63</v>
      </c>
      <c r="AS1152" s="12">
        <f>SUM(Z1152:AB1152)</f>
        <v>13.63</v>
      </c>
      <c r="AT1152" s="1"/>
      <c r="AU1152" s="1">
        <f>I1152/AQ1152</f>
        <v>1.0000733675715334</v>
      </c>
      <c r="AV1152" s="1">
        <f>I1152/AR1152</f>
        <v>1.0000733675715334</v>
      </c>
      <c r="AW1152" s="1">
        <f>I1152/AS1152</f>
        <v>1.0000733675715334</v>
      </c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</row>
    <row r="1153" spans="1:88" s="22" customFormat="1">
      <c r="A1153" s="1">
        <v>672</v>
      </c>
      <c r="B1153" s="34" t="s">
        <v>1062</v>
      </c>
      <c r="C1153" s="34">
        <v>623</v>
      </c>
      <c r="D1153" s="34">
        <v>2376</v>
      </c>
      <c r="E1153" s="34">
        <v>101</v>
      </c>
      <c r="F1153" s="9" t="s">
        <v>1081</v>
      </c>
      <c r="G1153" s="20">
        <v>26825</v>
      </c>
      <c r="H1153" s="20">
        <v>0</v>
      </c>
      <c r="I1153" s="35">
        <v>26.824999999999999</v>
      </c>
      <c r="J1153" s="34">
        <v>2</v>
      </c>
      <c r="K1153" s="34" t="s">
        <v>12</v>
      </c>
      <c r="L1153" s="10">
        <v>42136</v>
      </c>
      <c r="M1153" s="9" t="s">
        <v>191</v>
      </c>
      <c r="N1153" s="38">
        <v>11.45</v>
      </c>
      <c r="O1153" s="38">
        <v>7.92</v>
      </c>
      <c r="P1153" s="38">
        <v>4.95</v>
      </c>
      <c r="Q1153" s="38">
        <v>2.5099999999999998</v>
      </c>
      <c r="R1153" s="38">
        <v>3.0954700000000002</v>
      </c>
      <c r="S1153" s="38">
        <f t="shared" si="143"/>
        <v>3</v>
      </c>
      <c r="T1153" s="38">
        <v>23.54</v>
      </c>
      <c r="U1153" s="38">
        <v>2.21</v>
      </c>
      <c r="V1153" s="38">
        <v>0.75</v>
      </c>
      <c r="W1153" s="38">
        <v>0.33</v>
      </c>
      <c r="X1153" s="38">
        <v>5.1641899999999996</v>
      </c>
      <c r="Y1153" s="38">
        <f t="shared" si="144"/>
        <v>5</v>
      </c>
      <c r="Z1153" s="38">
        <v>0</v>
      </c>
      <c r="AA1153" s="38">
        <v>0.03</v>
      </c>
      <c r="AB1153" s="38">
        <v>26.8</v>
      </c>
      <c r="AC1153" s="38">
        <v>1.11561</v>
      </c>
      <c r="AD1153" s="38">
        <v>116.16</v>
      </c>
      <c r="AE1153" s="38">
        <v>0</v>
      </c>
      <c r="AF1153" s="38">
        <v>0.12372</v>
      </c>
      <c r="AG1153" s="38">
        <f t="shared" si="145"/>
        <v>0.1</v>
      </c>
      <c r="AH1153" s="38">
        <v>0</v>
      </c>
      <c r="AI1153" s="38">
        <v>0</v>
      </c>
      <c r="AJ1153" s="38">
        <v>66.7</v>
      </c>
      <c r="AK1153" s="38">
        <v>7.1041999999999994E-2</v>
      </c>
      <c r="AL1153" s="38">
        <v>0</v>
      </c>
      <c r="AM1153" s="38">
        <v>0</v>
      </c>
      <c r="AN1153" s="25"/>
      <c r="AO1153" s="1">
        <f>AE1153*0.5</f>
        <v>0</v>
      </c>
      <c r="AP1153" s="25">
        <f>(AD1153+AH1153+AJ1153+AL1153+AO1153)*I1153</f>
        <v>4905.2195000000002</v>
      </c>
      <c r="AQ1153" s="25">
        <f>SUM(N1153:Q1153)</f>
        <v>26.83</v>
      </c>
      <c r="AR1153" s="25">
        <f>SUM(T1153:W1153)</f>
        <v>26.83</v>
      </c>
      <c r="AT1153" s="41"/>
      <c r="AU1153" s="41">
        <f>SUM(N1153:Q1153)</f>
        <v>26.83</v>
      </c>
      <c r="AV1153" s="41">
        <f>SUM(T1153:W1153)</f>
        <v>26.83</v>
      </c>
      <c r="AW1153" s="41">
        <f>SUM(Z1153:AB1153)</f>
        <v>26.830000000000002</v>
      </c>
      <c r="AY1153" s="22">
        <f>I1153/AU1153</f>
        <v>0.99981364144614238</v>
      </c>
      <c r="AZ1153" s="22">
        <f>I1153/AV1153</f>
        <v>0.99981364144614238</v>
      </c>
      <c r="BA1153" s="22">
        <f>I1153/AW1153</f>
        <v>0.99981364144614226</v>
      </c>
    </row>
    <row r="1154" spans="1:88">
      <c r="A1154" s="1">
        <v>594</v>
      </c>
      <c r="B1154" s="34" t="s">
        <v>994</v>
      </c>
      <c r="C1154" s="34">
        <v>554</v>
      </c>
      <c r="D1154" s="34">
        <v>201</v>
      </c>
      <c r="E1154" s="34">
        <v>402</v>
      </c>
      <c r="F1154" s="9" t="s">
        <v>996</v>
      </c>
      <c r="G1154" s="118">
        <v>285186</v>
      </c>
      <c r="H1154" s="118">
        <v>308986</v>
      </c>
      <c r="I1154" s="35">
        <v>22.8</v>
      </c>
      <c r="J1154" s="71">
        <v>2</v>
      </c>
      <c r="K1154" s="34" t="s">
        <v>238</v>
      </c>
      <c r="L1154" s="10">
        <v>42182</v>
      </c>
      <c r="M1154" s="9" t="s">
        <v>191</v>
      </c>
      <c r="N1154" s="38">
        <v>16.920000000000002</v>
      </c>
      <c r="O1154" s="38">
        <v>4.3099999999999996</v>
      </c>
      <c r="P1154" s="38">
        <v>1.1000000000000001</v>
      </c>
      <c r="Q1154" s="38">
        <v>0.48</v>
      </c>
      <c r="R1154" s="38">
        <v>2.4350000000000001</v>
      </c>
      <c r="S1154" s="38">
        <f t="shared" si="143"/>
        <v>2.5</v>
      </c>
      <c r="T1154" s="38">
        <v>21.67</v>
      </c>
      <c r="U1154" s="38">
        <v>0.7</v>
      </c>
      <c r="V1154" s="38">
        <v>0.24</v>
      </c>
      <c r="W1154" s="38">
        <v>0.19</v>
      </c>
      <c r="X1154" s="38">
        <v>4.3369999999999997</v>
      </c>
      <c r="Y1154" s="38">
        <f t="shared" si="144"/>
        <v>4.5</v>
      </c>
      <c r="Z1154" s="38">
        <v>0</v>
      </c>
      <c r="AA1154" s="38">
        <v>0</v>
      </c>
      <c r="AB1154" s="38">
        <v>22.8</v>
      </c>
      <c r="AC1154" s="38">
        <v>1.1619999999999999</v>
      </c>
      <c r="AD1154" s="38">
        <v>103</v>
      </c>
      <c r="AE1154" s="38">
        <v>0</v>
      </c>
      <c r="AF1154" s="38">
        <v>0.12364945978391358</v>
      </c>
      <c r="AG1154" s="38">
        <f t="shared" si="145"/>
        <v>0.1</v>
      </c>
      <c r="AH1154" s="38">
        <v>0</v>
      </c>
      <c r="AI1154" s="38">
        <v>0</v>
      </c>
      <c r="AJ1154" s="38">
        <v>0</v>
      </c>
      <c r="AK1154" s="38">
        <v>0</v>
      </c>
      <c r="AL1154" s="38">
        <v>0</v>
      </c>
      <c r="AM1154" s="38">
        <f>AL1154/(3.5*I1154*1000)*100</f>
        <v>0</v>
      </c>
      <c r="AN1154" s="60"/>
      <c r="AO1154" s="60">
        <f>AE1154*0.5</f>
        <v>0</v>
      </c>
      <c r="AP1154" s="60">
        <f>(AD1154+AH1154+AJ1154+AL1154+AO1154)*I1154</f>
        <v>2348.4</v>
      </c>
      <c r="AQ1154" s="25">
        <f>SUM(N1154:Q1154)</f>
        <v>22.810000000000002</v>
      </c>
      <c r="AR1154" s="25">
        <f>SUM(T1154:W1154)</f>
        <v>22.8</v>
      </c>
      <c r="AS1154" s="268">
        <v>22.8</v>
      </c>
      <c r="AT1154" s="40"/>
      <c r="AU1154" s="41">
        <f>SUM(N1154:Q1154)</f>
        <v>22.810000000000002</v>
      </c>
      <c r="AV1154" s="41">
        <f>SUM(T1154:W1154)</f>
        <v>22.8</v>
      </c>
      <c r="AW1154" s="41">
        <f>SUM(Z1154:AB1154)</f>
        <v>22.8</v>
      </c>
      <c r="AX1154" s="22"/>
      <c r="AY1154" s="22">
        <f>I1154/AU1154</f>
        <v>0.99956159579131953</v>
      </c>
      <c r="AZ1154" s="22">
        <f>I1154/AV1154</f>
        <v>1</v>
      </c>
      <c r="BA1154" s="22">
        <f>I1154/AW1154</f>
        <v>1</v>
      </c>
      <c r="BB1154" s="61"/>
      <c r="BC1154" s="61"/>
      <c r="BD1154" s="61"/>
      <c r="BE1154" s="61"/>
      <c r="BF1154" s="61"/>
      <c r="BG1154" s="61"/>
      <c r="BH1154" s="61"/>
      <c r="BI1154" s="61"/>
      <c r="BJ1154" s="61"/>
      <c r="BK1154" s="61"/>
      <c r="BL1154" s="61"/>
      <c r="BM1154" s="61"/>
      <c r="BN1154" s="61"/>
      <c r="BO1154" s="61"/>
      <c r="BP1154" s="61"/>
      <c r="BQ1154" s="61"/>
      <c r="BR1154" s="61"/>
      <c r="BS1154" s="61"/>
      <c r="BT1154" s="61"/>
      <c r="BU1154" s="61"/>
      <c r="BV1154" s="61"/>
      <c r="BW1154" s="61"/>
      <c r="BX1154" s="61"/>
      <c r="BY1154" s="61"/>
      <c r="BZ1154" s="61"/>
      <c r="CA1154" s="61"/>
      <c r="CB1154" s="61"/>
      <c r="CC1154" s="61"/>
      <c r="CD1154" s="61"/>
      <c r="CE1154" s="61"/>
      <c r="CF1154" s="61"/>
      <c r="CG1154" s="61"/>
      <c r="CH1154" s="61"/>
      <c r="CI1154" s="61"/>
      <c r="CJ1154" s="61"/>
    </row>
    <row r="1155" spans="1:88">
      <c r="A1155" s="1">
        <v>948</v>
      </c>
      <c r="B1155" s="34" t="s">
        <v>1329</v>
      </c>
      <c r="C1155" s="34">
        <v>611</v>
      </c>
      <c r="D1155" s="161">
        <v>2150</v>
      </c>
      <c r="E1155" s="34">
        <v>102</v>
      </c>
      <c r="F1155" s="34" t="s">
        <v>1347</v>
      </c>
      <c r="G1155" s="58">
        <v>18804</v>
      </c>
      <c r="H1155" s="58">
        <v>65374</v>
      </c>
      <c r="I1155" s="35">
        <v>46.57</v>
      </c>
      <c r="J1155" s="71">
        <v>2</v>
      </c>
      <c r="K1155" s="34" t="s">
        <v>12</v>
      </c>
      <c r="L1155" s="10">
        <v>42117</v>
      </c>
      <c r="M1155" s="9" t="s">
        <v>191</v>
      </c>
      <c r="N1155" s="38">
        <v>33.725000000000001</v>
      </c>
      <c r="O1155" s="38">
        <v>7.7249999999999996</v>
      </c>
      <c r="P1155" s="38">
        <v>3.65</v>
      </c>
      <c r="Q1155" s="38">
        <v>1.2</v>
      </c>
      <c r="R1155" s="38">
        <v>3.9244500000000002</v>
      </c>
      <c r="S1155" s="38">
        <f t="shared" ref="S1155:S1218" si="148">ROUND(R1155/5,1)*5</f>
        <v>4</v>
      </c>
      <c r="T1155" s="38">
        <v>43.325000000000003</v>
      </c>
      <c r="U1155" s="38">
        <v>2.1749999999999998</v>
      </c>
      <c r="V1155" s="38">
        <v>0.42499999999999999</v>
      </c>
      <c r="W1155" s="38">
        <v>0.35</v>
      </c>
      <c r="X1155" s="38">
        <v>3.7800799999999999</v>
      </c>
      <c r="Y1155" s="38">
        <f t="shared" ref="Y1155:Y1218" si="149">ROUND(X1155/5,1)*5</f>
        <v>4</v>
      </c>
      <c r="Z1155" s="38">
        <v>0</v>
      </c>
      <c r="AA1155" s="38">
        <v>0</v>
      </c>
      <c r="AB1155" s="38">
        <v>46.57</v>
      </c>
      <c r="AC1155" s="38">
        <v>1.1799500000000001</v>
      </c>
      <c r="AD1155" s="38">
        <v>200.82</v>
      </c>
      <c r="AE1155" s="38">
        <v>0</v>
      </c>
      <c r="AF1155" s="38">
        <f>(AD1155+AE1155*0.5)/(3.5*I1155*1000)*100</f>
        <v>0.12320623332004049</v>
      </c>
      <c r="AG1155" s="38">
        <f t="shared" ref="AG1155:AG1218" si="150">ROUND(AF1155,1)</f>
        <v>0.1</v>
      </c>
      <c r="AH1155" s="38">
        <v>62.63</v>
      </c>
      <c r="AI1155" s="38">
        <f>AH1155/(3.5*I1155*1000)*100</f>
        <v>3.8424491548820515E-2</v>
      </c>
      <c r="AJ1155" s="38">
        <v>0</v>
      </c>
      <c r="AK1155" s="38">
        <f>AJ1155/(3.5*I1155*1000)*100</f>
        <v>0</v>
      </c>
      <c r="AL1155" s="38">
        <v>7</v>
      </c>
      <c r="AM1155" s="38">
        <f>AL1155/(3.5*I1155*1000)*100</f>
        <v>4.2946102641185308E-3</v>
      </c>
      <c r="AN1155" s="25"/>
      <c r="AO1155" s="25">
        <f>AE1155*0.5</f>
        <v>0</v>
      </c>
      <c r="AP1155" s="25">
        <f>(AD1155+AH1155+AJ1155+AL1155+AO1155)*I1155</f>
        <v>12594.8565</v>
      </c>
      <c r="AQ1155" s="25"/>
      <c r="AR1155" s="25">
        <f>SUM(N1155:Q1155)</f>
        <v>46.300000000000004</v>
      </c>
      <c r="AS1155" s="25">
        <f>SUM(T1155:W1155)</f>
        <v>46.274999999999999</v>
      </c>
      <c r="AT1155" s="268">
        <v>46.57</v>
      </c>
      <c r="AU1155" s="41"/>
      <c r="AV1155" s="41"/>
      <c r="AW1155" s="41"/>
      <c r="AX1155" s="22"/>
      <c r="AY1155" s="22"/>
      <c r="AZ1155" s="22"/>
      <c r="BA1155" s="22"/>
      <c r="BB1155" s="22"/>
      <c r="BC1155" s="22"/>
      <c r="BD1155" s="22"/>
      <c r="BE1155" s="22"/>
      <c r="BF1155" s="22"/>
      <c r="BG1155" s="22"/>
      <c r="BH1155" s="22"/>
      <c r="BI1155" s="22"/>
      <c r="BJ1155" s="22"/>
      <c r="BK1155" s="22"/>
      <c r="BL1155" s="22"/>
      <c r="BM1155" s="22"/>
      <c r="BN1155" s="22"/>
      <c r="BO1155" s="22"/>
      <c r="BP1155" s="22"/>
      <c r="BQ1155" s="22"/>
      <c r="BR1155" s="22"/>
      <c r="BS1155" s="22"/>
      <c r="BT1155" s="22"/>
      <c r="BU1155" s="22"/>
      <c r="BV1155" s="22"/>
      <c r="BW1155" s="22"/>
      <c r="BX1155" s="22"/>
      <c r="BY1155" s="22"/>
      <c r="BZ1155" s="22"/>
      <c r="CA1155" s="22"/>
      <c r="CB1155" s="22"/>
      <c r="CC1155" s="22"/>
      <c r="CD1155" s="22"/>
      <c r="CE1155" s="22"/>
      <c r="CF1155" s="22"/>
      <c r="CG1155" s="22"/>
      <c r="CH1155" s="22"/>
      <c r="CI1155" s="22"/>
      <c r="CJ1155" s="22"/>
    </row>
    <row r="1156" spans="1:88">
      <c r="A1156" s="1">
        <v>239</v>
      </c>
      <c r="B1156" s="34" t="s">
        <v>436</v>
      </c>
      <c r="C1156" s="34">
        <v>537</v>
      </c>
      <c r="D1156" s="34">
        <v>1155</v>
      </c>
      <c r="E1156" s="34">
        <v>101</v>
      </c>
      <c r="F1156" s="34" t="s">
        <v>455</v>
      </c>
      <c r="G1156" s="20">
        <v>0</v>
      </c>
      <c r="H1156" s="20">
        <v>13000</v>
      </c>
      <c r="I1156" s="35">
        <v>13</v>
      </c>
      <c r="J1156" s="33">
        <v>2</v>
      </c>
      <c r="K1156" s="34" t="s">
        <v>238</v>
      </c>
      <c r="L1156" s="10">
        <v>42198</v>
      </c>
      <c r="M1156" s="9" t="s">
        <v>191</v>
      </c>
      <c r="N1156" s="38">
        <v>8.5500000000000007</v>
      </c>
      <c r="O1156" s="38">
        <v>3.03</v>
      </c>
      <c r="P1156" s="38">
        <v>0.93</v>
      </c>
      <c r="Q1156" s="38">
        <v>0.5</v>
      </c>
      <c r="R1156" s="38">
        <v>2.3375499999999998</v>
      </c>
      <c r="S1156" s="38">
        <f t="shared" si="148"/>
        <v>2.5</v>
      </c>
      <c r="T1156" s="38">
        <v>12.85</v>
      </c>
      <c r="U1156" s="38">
        <v>0.15</v>
      </c>
      <c r="V1156" s="38">
        <v>0</v>
      </c>
      <c r="W1156" s="38">
        <v>0</v>
      </c>
      <c r="X1156" s="38">
        <v>2.9473600000000002</v>
      </c>
      <c r="Y1156" s="38">
        <f t="shared" si="149"/>
        <v>3</v>
      </c>
      <c r="Z1156" s="38">
        <v>0</v>
      </c>
      <c r="AA1156" s="38">
        <v>0</v>
      </c>
      <c r="AB1156" s="38">
        <v>13</v>
      </c>
      <c r="AC1156" s="38">
        <v>1.34216</v>
      </c>
      <c r="AD1156" s="38">
        <v>56</v>
      </c>
      <c r="AE1156" s="38">
        <v>0</v>
      </c>
      <c r="AF1156" s="38">
        <v>0.12307692307692308</v>
      </c>
      <c r="AG1156" s="38">
        <f t="shared" si="150"/>
        <v>0.1</v>
      </c>
      <c r="AH1156" s="38">
        <v>2</v>
      </c>
      <c r="AI1156" s="38">
        <v>4.3956043956043956E-3</v>
      </c>
      <c r="AJ1156" s="38">
        <v>0</v>
      </c>
      <c r="AK1156" s="55">
        <v>0</v>
      </c>
      <c r="AL1156" s="55">
        <v>7</v>
      </c>
      <c r="AM1156" s="55">
        <v>1.5384615384615385E-2</v>
      </c>
      <c r="AN1156" s="40"/>
      <c r="AO1156" s="25">
        <f>SUM(N1156:Q1156)</f>
        <v>13.01</v>
      </c>
      <c r="AP1156" s="25">
        <f>SUM(T1156:W1156)</f>
        <v>13</v>
      </c>
      <c r="AQ1156" s="268">
        <v>13</v>
      </c>
      <c r="AR1156" s="41"/>
      <c r="AS1156" s="41"/>
      <c r="AT1156" s="41"/>
      <c r="AU1156" s="41">
        <f>SUM(N1156:Q1156)</f>
        <v>13.01</v>
      </c>
      <c r="AV1156" s="41">
        <f>SUM(T1156:W1156)</f>
        <v>13</v>
      </c>
      <c r="AW1156" s="41">
        <f>SUM(Z1156:AB1156)</f>
        <v>13</v>
      </c>
      <c r="AX1156" s="22"/>
      <c r="AY1156" s="22">
        <f>I1156/AU1156</f>
        <v>0.99923136049192929</v>
      </c>
      <c r="AZ1156" s="22">
        <f>I1156/AV1156</f>
        <v>1</v>
      </c>
      <c r="BA1156" s="22">
        <f>I1156/AW1156</f>
        <v>1</v>
      </c>
      <c r="BB1156" s="22"/>
      <c r="BC1156" s="22"/>
      <c r="BD1156" s="22"/>
      <c r="BE1156" s="22"/>
      <c r="BF1156" s="22"/>
      <c r="BG1156" s="22"/>
      <c r="BH1156" s="22"/>
      <c r="BI1156" s="22"/>
      <c r="BJ1156" s="22"/>
      <c r="BK1156" s="22"/>
      <c r="BL1156" s="22"/>
      <c r="BM1156" s="22"/>
      <c r="BN1156" s="22"/>
      <c r="BO1156" s="22"/>
      <c r="BP1156" s="22"/>
      <c r="BQ1156" s="22"/>
      <c r="BR1156" s="22"/>
      <c r="BS1156" s="22"/>
      <c r="BT1156" s="22"/>
      <c r="BU1156" s="22"/>
      <c r="BV1156" s="22"/>
      <c r="BW1156" s="22"/>
      <c r="BX1156" s="22"/>
      <c r="BY1156" s="22"/>
      <c r="BZ1156" s="22"/>
      <c r="CA1156" s="22"/>
      <c r="CB1156" s="22"/>
      <c r="CC1156" s="22"/>
      <c r="CD1156" s="22"/>
      <c r="CE1156" s="22"/>
      <c r="CF1156" s="22"/>
      <c r="CG1156" s="22"/>
      <c r="CH1156" s="22"/>
      <c r="CI1156" s="22"/>
      <c r="CJ1156" s="22"/>
    </row>
    <row r="1157" spans="1:88">
      <c r="A1157" s="1">
        <v>151</v>
      </c>
      <c r="B1157" s="34" t="s">
        <v>294</v>
      </c>
      <c r="C1157" s="34">
        <v>531</v>
      </c>
      <c r="D1157" s="34">
        <v>1134</v>
      </c>
      <c r="E1157" s="34">
        <v>100</v>
      </c>
      <c r="F1157" s="34" t="s">
        <v>318</v>
      </c>
      <c r="G1157" s="20" t="s">
        <v>319</v>
      </c>
      <c r="H1157" s="20" t="s">
        <v>92</v>
      </c>
      <c r="I1157" s="35">
        <v>9.7349999999999994</v>
      </c>
      <c r="J1157" s="36">
        <v>2</v>
      </c>
      <c r="K1157" s="34" t="s">
        <v>12</v>
      </c>
      <c r="L1157" s="18">
        <v>42221</v>
      </c>
      <c r="M1157" s="9" t="s">
        <v>191</v>
      </c>
      <c r="N1157" s="38">
        <v>7.67</v>
      </c>
      <c r="O1157" s="38">
        <v>1.56</v>
      </c>
      <c r="P1157" s="38">
        <v>0.43</v>
      </c>
      <c r="Q1157" s="38">
        <v>0.08</v>
      </c>
      <c r="R1157" s="38">
        <v>2</v>
      </c>
      <c r="S1157" s="38">
        <f t="shared" si="148"/>
        <v>2</v>
      </c>
      <c r="T1157" s="38">
        <v>6.59</v>
      </c>
      <c r="U1157" s="38">
        <v>1.92</v>
      </c>
      <c r="V1157" s="38">
        <v>0.71</v>
      </c>
      <c r="W1157" s="38">
        <v>0.53</v>
      </c>
      <c r="X1157" s="38">
        <v>8.77</v>
      </c>
      <c r="Y1157" s="38">
        <f t="shared" si="149"/>
        <v>9</v>
      </c>
      <c r="Z1157" s="38">
        <v>0</v>
      </c>
      <c r="AA1157" s="38">
        <v>0</v>
      </c>
      <c r="AB1157" s="38">
        <v>9.73</v>
      </c>
      <c r="AC1157" s="38">
        <v>1.1080000000000001</v>
      </c>
      <c r="AD1157" s="38">
        <v>19</v>
      </c>
      <c r="AE1157" s="38">
        <v>45.86</v>
      </c>
      <c r="AF1157" s="38">
        <f>(AD1157+AE1157*0.5)/(3.5*I1157*1000)*100</f>
        <v>0.12306111967128916</v>
      </c>
      <c r="AG1157" s="38">
        <f t="shared" si="150"/>
        <v>0.1</v>
      </c>
      <c r="AH1157" s="38">
        <v>87</v>
      </c>
      <c r="AI1157" s="38">
        <f>AH1157/(3.5*I1157*1000)*100</f>
        <v>0.25533788245652655</v>
      </c>
      <c r="AJ1157" s="38">
        <v>130</v>
      </c>
      <c r="AK1157" s="38">
        <f>AJ1157/(3.5*I1157*1000)*100</f>
        <v>0.38153936459021209</v>
      </c>
      <c r="AL1157" s="38">
        <v>6</v>
      </c>
      <c r="AM1157" s="38">
        <f>AL1157/(3.5*I1157*1000)*100</f>
        <v>1.7609509134932862E-2</v>
      </c>
      <c r="AN1157" s="40"/>
      <c r="AO1157" s="40">
        <f>AE1157*0.5</f>
        <v>22.93</v>
      </c>
      <c r="AP1157" s="40">
        <f>(AD1157+AH1157+AJ1157+AL1157+AO1157)*I1157</f>
        <v>2579.0935500000001</v>
      </c>
      <c r="AQ1157" s="25">
        <f>SUM(N1157:Q1157)</f>
        <v>9.74</v>
      </c>
      <c r="AR1157" s="25">
        <f>SUM(T1157:W1157)</f>
        <v>9.7499999999999982</v>
      </c>
      <c r="AS1157" s="22"/>
      <c r="AT1157" s="41"/>
      <c r="AU1157" s="41">
        <f>SUM(N1157:Q1157)</f>
        <v>9.74</v>
      </c>
      <c r="AV1157" s="41">
        <f>SUM(T1157:W1157)</f>
        <v>9.7499999999999982</v>
      </c>
      <c r="AW1157" s="41">
        <f>SUM(Z1157:AB1157)</f>
        <v>9.73</v>
      </c>
      <c r="AX1157" s="22"/>
      <c r="AY1157" s="22">
        <f>I1157/AU1157</f>
        <v>0.99948665297741268</v>
      </c>
      <c r="AZ1157" s="22">
        <f>I1157/AV1157</f>
        <v>0.99846153846153862</v>
      </c>
      <c r="BA1157" s="22">
        <f>I1157/AW1157</f>
        <v>1.0005138746145938</v>
      </c>
      <c r="BB1157" s="22"/>
      <c r="BC1157" s="22"/>
      <c r="BD1157" s="22"/>
      <c r="BE1157" s="22"/>
      <c r="BF1157" s="22"/>
      <c r="BG1157" s="22"/>
      <c r="BH1157" s="22"/>
      <c r="BI1157" s="22"/>
      <c r="BJ1157" s="22"/>
      <c r="BK1157" s="22"/>
      <c r="BL1157" s="22"/>
      <c r="BM1157" s="22"/>
      <c r="BN1157" s="22"/>
      <c r="BO1157" s="22"/>
      <c r="BP1157" s="22"/>
      <c r="BQ1157" s="22"/>
      <c r="BR1157" s="22"/>
      <c r="BS1157" s="22"/>
      <c r="BT1157" s="22"/>
      <c r="BU1157" s="22"/>
      <c r="BV1157" s="22"/>
      <c r="BW1157" s="22"/>
      <c r="BX1157" s="22"/>
      <c r="BY1157" s="22"/>
      <c r="BZ1157" s="22"/>
      <c r="CA1157" s="22"/>
      <c r="CB1157" s="22"/>
      <c r="CC1157" s="22"/>
      <c r="CD1157" s="22"/>
      <c r="CE1157" s="22"/>
      <c r="CF1157" s="22"/>
      <c r="CG1157" s="22"/>
      <c r="CH1157" s="22"/>
      <c r="CI1157" s="22"/>
      <c r="CJ1157" s="22"/>
    </row>
    <row r="1158" spans="1:88">
      <c r="A1158" s="1">
        <v>2134</v>
      </c>
      <c r="B1158" s="34" t="s">
        <v>2754</v>
      </c>
      <c r="C1158" s="34">
        <v>324</v>
      </c>
      <c r="D1158" s="75">
        <v>4240</v>
      </c>
      <c r="E1158" s="8">
        <v>100</v>
      </c>
      <c r="F1158" s="9" t="s">
        <v>2775</v>
      </c>
      <c r="G1158" s="20">
        <v>0</v>
      </c>
      <c r="H1158" s="20">
        <v>14800</v>
      </c>
      <c r="I1158" s="21">
        <v>14.8</v>
      </c>
      <c r="J1158" s="9">
        <v>2</v>
      </c>
      <c r="K1158" s="34" t="s">
        <v>238</v>
      </c>
      <c r="L1158" s="18">
        <v>42140</v>
      </c>
      <c r="M1158" s="9" t="s">
        <v>191</v>
      </c>
      <c r="N1158" s="38">
        <v>10.9</v>
      </c>
      <c r="O1158" s="38">
        <v>2.2749999999999999</v>
      </c>
      <c r="P1158" s="38">
        <v>0.9</v>
      </c>
      <c r="Q1158" s="38">
        <v>0.375</v>
      </c>
      <c r="R1158" s="38">
        <v>2.0830099999999998</v>
      </c>
      <c r="S1158" s="38">
        <f t="shared" si="148"/>
        <v>2</v>
      </c>
      <c r="T1158" s="38">
        <v>13.65</v>
      </c>
      <c r="U1158" s="38">
        <v>0.77500000000000002</v>
      </c>
      <c r="V1158" s="38">
        <v>2.5000000000000001E-2</v>
      </c>
      <c r="W1158" s="38">
        <v>0</v>
      </c>
      <c r="X1158" s="38">
        <v>5.3822400000000004</v>
      </c>
      <c r="Y1158" s="38">
        <f t="shared" si="149"/>
        <v>5.5</v>
      </c>
      <c r="Z1158" s="38">
        <v>0</v>
      </c>
      <c r="AA1158" s="38">
        <v>0</v>
      </c>
      <c r="AB1158" s="38">
        <v>14.450000000000001</v>
      </c>
      <c r="AC1158" s="38">
        <v>1.4713499999999999</v>
      </c>
      <c r="AD1158" s="38">
        <v>51.914999999999999</v>
      </c>
      <c r="AE1158" s="38">
        <v>23.36</v>
      </c>
      <c r="AF1158" s="38">
        <v>0.12277027027027025</v>
      </c>
      <c r="AG1158" s="38">
        <f t="shared" si="150"/>
        <v>0.1</v>
      </c>
      <c r="AH1158" s="38">
        <v>5.97</v>
      </c>
      <c r="AI1158" s="38">
        <v>1.1525096525096522E-2</v>
      </c>
      <c r="AJ1158" s="38">
        <v>0</v>
      </c>
      <c r="AK1158" s="38">
        <v>0</v>
      </c>
      <c r="AL1158" s="38">
        <v>0</v>
      </c>
      <c r="AM1158" s="38">
        <v>0</v>
      </c>
      <c r="AN1158" s="41"/>
      <c r="AO1158" s="41"/>
      <c r="AP1158" s="73"/>
      <c r="AQ1158" s="73"/>
      <c r="AR1158" s="73"/>
    </row>
    <row r="1159" spans="1:88">
      <c r="A1159" s="1">
        <v>394</v>
      </c>
      <c r="B1159" s="74" t="s">
        <v>655</v>
      </c>
      <c r="C1159" s="34">
        <v>511</v>
      </c>
      <c r="D1159" s="75">
        <v>115</v>
      </c>
      <c r="E1159" s="69">
        <v>200</v>
      </c>
      <c r="F1159" s="34" t="s">
        <v>656</v>
      </c>
      <c r="G1159" s="20" t="s">
        <v>657</v>
      </c>
      <c r="H1159" s="20" t="s">
        <v>630</v>
      </c>
      <c r="I1159" s="21">
        <v>20.535</v>
      </c>
      <c r="J1159" s="8" t="s">
        <v>12</v>
      </c>
      <c r="K1159" s="34">
        <v>2</v>
      </c>
      <c r="L1159" s="18">
        <v>42265</v>
      </c>
      <c r="M1159" s="9" t="s">
        <v>191</v>
      </c>
      <c r="N1159" s="38">
        <v>7.69</v>
      </c>
      <c r="O1159" s="38">
        <v>8.34</v>
      </c>
      <c r="P1159" s="38">
        <v>3.7</v>
      </c>
      <c r="Q1159" s="38">
        <v>0.8</v>
      </c>
      <c r="R1159" s="38">
        <v>2.9357899999999999</v>
      </c>
      <c r="S1159" s="38">
        <f t="shared" si="148"/>
        <v>3</v>
      </c>
      <c r="T1159" s="38">
        <v>20.49</v>
      </c>
      <c r="U1159" s="38">
        <v>0.05</v>
      </c>
      <c r="V1159" s="38">
        <v>0</v>
      </c>
      <c r="W1159" s="38">
        <v>0</v>
      </c>
      <c r="X1159" s="38">
        <v>3.0838899999999998</v>
      </c>
      <c r="Y1159" s="38">
        <f t="shared" si="149"/>
        <v>3</v>
      </c>
      <c r="Z1159" s="38">
        <v>0</v>
      </c>
      <c r="AA1159" s="38">
        <v>0</v>
      </c>
      <c r="AB1159" s="38">
        <v>20.53</v>
      </c>
      <c r="AC1159" s="38">
        <v>1.1746099999999999</v>
      </c>
      <c r="AD1159" s="38">
        <v>84.63</v>
      </c>
      <c r="AE1159" s="38">
        <v>6.3449999999999998</v>
      </c>
      <c r="AF1159" s="38">
        <v>0.12216399999999999</v>
      </c>
      <c r="AG1159" s="38">
        <f t="shared" si="150"/>
        <v>0.1</v>
      </c>
      <c r="AH1159" s="38">
        <v>122.95</v>
      </c>
      <c r="AI1159" s="38">
        <v>0.171067</v>
      </c>
      <c r="AJ1159" s="38">
        <v>0</v>
      </c>
      <c r="AK1159" s="38">
        <v>0</v>
      </c>
      <c r="AL1159" s="38">
        <v>0</v>
      </c>
      <c r="AM1159" s="38">
        <v>0</v>
      </c>
      <c r="AN1159" s="72"/>
      <c r="AO1159" s="41"/>
      <c r="AP1159" s="41"/>
      <c r="AQ1159" s="41">
        <f>SUM(N1159:Q1159)</f>
        <v>20.53</v>
      </c>
      <c r="AR1159" s="41">
        <f>SUM(T1159:W1159)</f>
        <v>20.54</v>
      </c>
      <c r="AS1159" s="41">
        <f>SUM(Z1159:AB1159)</f>
        <v>20.53</v>
      </c>
      <c r="AT1159" s="22"/>
      <c r="AU1159" s="22">
        <f>I1159/AQ1159</f>
        <v>1.0002435460301997</v>
      </c>
      <c r="AV1159" s="22">
        <f>I1159/AR1159</f>
        <v>0.99975657254138273</v>
      </c>
      <c r="AW1159" s="22">
        <f>I1159/AS1159</f>
        <v>1.0002435460301997</v>
      </c>
      <c r="AX1159" s="22"/>
      <c r="AY1159" s="22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22"/>
      <c r="BK1159" s="22"/>
      <c r="BL1159" s="22"/>
      <c r="BM1159" s="22"/>
      <c r="BN1159" s="22"/>
      <c r="BO1159" s="22"/>
      <c r="BP1159" s="22"/>
      <c r="BQ1159" s="22"/>
      <c r="BR1159" s="22"/>
      <c r="BS1159" s="22"/>
      <c r="BT1159" s="22"/>
      <c r="BU1159" s="22"/>
      <c r="BV1159" s="22"/>
      <c r="BW1159" s="22"/>
      <c r="BX1159" s="22"/>
      <c r="BY1159" s="22"/>
      <c r="BZ1159" s="22"/>
      <c r="CA1159" s="22"/>
      <c r="CB1159" s="22"/>
      <c r="CC1159" s="22"/>
      <c r="CD1159" s="22"/>
      <c r="CE1159" s="22"/>
      <c r="CF1159" s="22"/>
      <c r="CG1159" s="22"/>
      <c r="CH1159" s="22"/>
      <c r="CI1159" s="22"/>
      <c r="CJ1159" s="22"/>
    </row>
    <row r="1160" spans="1:88">
      <c r="A1160" s="1">
        <v>468</v>
      </c>
      <c r="B1160" s="74" t="s">
        <v>780</v>
      </c>
      <c r="C1160" s="34">
        <v>515</v>
      </c>
      <c r="D1160" s="34">
        <v>1295</v>
      </c>
      <c r="E1160" s="34">
        <v>100</v>
      </c>
      <c r="F1160" s="34" t="s">
        <v>800</v>
      </c>
      <c r="G1160" s="34" t="s">
        <v>92</v>
      </c>
      <c r="H1160" s="34" t="s">
        <v>801</v>
      </c>
      <c r="I1160" s="55">
        <v>36.033000000000001</v>
      </c>
      <c r="J1160" s="5" t="s">
        <v>238</v>
      </c>
      <c r="K1160" s="34">
        <v>2</v>
      </c>
      <c r="L1160" s="10">
        <v>42269</v>
      </c>
      <c r="M1160" s="9" t="s">
        <v>191</v>
      </c>
      <c r="N1160" s="38">
        <v>26.63</v>
      </c>
      <c r="O1160" s="38">
        <v>6.95</v>
      </c>
      <c r="P1160" s="38">
        <v>1.9</v>
      </c>
      <c r="Q1160" s="38">
        <v>0.55000000000000004</v>
      </c>
      <c r="R1160" s="38">
        <v>2.30199</v>
      </c>
      <c r="S1160" s="38">
        <f t="shared" si="148"/>
        <v>2.5</v>
      </c>
      <c r="T1160" s="38">
        <v>35.875</v>
      </c>
      <c r="U1160" s="38">
        <v>0.15</v>
      </c>
      <c r="V1160" s="38">
        <v>0</v>
      </c>
      <c r="W1160" s="38">
        <v>0</v>
      </c>
      <c r="X1160" s="38">
        <v>2.79216</v>
      </c>
      <c r="Y1160" s="38">
        <f t="shared" si="149"/>
        <v>3</v>
      </c>
      <c r="Z1160" s="38">
        <v>0</v>
      </c>
      <c r="AA1160" s="38">
        <v>0</v>
      </c>
      <c r="AB1160" s="38">
        <v>36.029999999999994</v>
      </c>
      <c r="AC1160" s="38">
        <v>1.1826099999999999</v>
      </c>
      <c r="AD1160" s="38">
        <v>153.25</v>
      </c>
      <c r="AE1160" s="38">
        <v>0</v>
      </c>
      <c r="AF1160" s="38">
        <f>(AD1160+AE1160*0.5)/(3.5*I1160*1000)*100</f>
        <v>0.12151559483172172</v>
      </c>
      <c r="AG1160" s="38">
        <f t="shared" si="150"/>
        <v>0.1</v>
      </c>
      <c r="AH1160" s="38">
        <v>123.65</v>
      </c>
      <c r="AI1160" s="38">
        <f>AH1160/(3.5*I1160*1000)*100</f>
        <v>9.804504600941201E-2</v>
      </c>
      <c r="AJ1160" s="38">
        <v>0</v>
      </c>
      <c r="AK1160" s="38">
        <f>AJ1160/(3.5*I1160*1000)*100</f>
        <v>0</v>
      </c>
      <c r="AL1160" s="38">
        <v>0</v>
      </c>
      <c r="AM1160" s="38">
        <f>AL1160/(3.5*I1160*1000)*100</f>
        <v>0</v>
      </c>
      <c r="AN1160" s="41"/>
      <c r="AO1160" s="41"/>
      <c r="AP1160" s="114"/>
      <c r="AQ1160" s="73"/>
      <c r="AR1160" s="73"/>
      <c r="AS1160" s="73"/>
      <c r="AT1160" s="22"/>
      <c r="AU1160" s="22"/>
      <c r="AV1160" s="22"/>
      <c r="AW1160" s="22"/>
      <c r="AX1160" s="22"/>
      <c r="AY1160" s="22"/>
      <c r="AZ1160" s="22"/>
      <c r="BA1160" s="22"/>
      <c r="BB1160" s="22"/>
      <c r="BC1160" s="22"/>
      <c r="BD1160" s="22"/>
      <c r="BE1160" s="22"/>
      <c r="BF1160" s="22"/>
      <c r="BG1160" s="22"/>
      <c r="BH1160" s="22"/>
      <c r="BI1160" s="22"/>
      <c r="BJ1160" s="22"/>
      <c r="BK1160" s="22"/>
      <c r="BL1160" s="22"/>
      <c r="BM1160" s="22"/>
      <c r="BN1160" s="22"/>
      <c r="BO1160" s="22"/>
      <c r="BP1160" s="22"/>
      <c r="BQ1160" s="22"/>
      <c r="BR1160" s="22"/>
      <c r="BS1160" s="22"/>
      <c r="BT1160" s="22"/>
      <c r="BU1160" s="22"/>
      <c r="BV1160" s="22"/>
      <c r="BW1160" s="22"/>
      <c r="BX1160" s="22"/>
      <c r="BY1160" s="22"/>
      <c r="BZ1160" s="22"/>
      <c r="CA1160" s="22"/>
      <c r="CB1160" s="22"/>
      <c r="CC1160" s="22"/>
      <c r="CD1160" s="22"/>
      <c r="CE1160" s="22"/>
      <c r="CF1160" s="22"/>
      <c r="CG1160" s="22"/>
      <c r="CH1160" s="22"/>
      <c r="CI1160" s="22"/>
      <c r="CJ1160" s="22"/>
    </row>
    <row r="1161" spans="1:88">
      <c r="A1161" s="1">
        <v>406</v>
      </c>
      <c r="B1161" s="90" t="s">
        <v>655</v>
      </c>
      <c r="C1161" s="91">
        <v>511</v>
      </c>
      <c r="D1161" s="92">
        <v>1086</v>
      </c>
      <c r="E1161" s="93">
        <v>100</v>
      </c>
      <c r="F1161" s="91" t="s">
        <v>678</v>
      </c>
      <c r="G1161" s="94" t="s">
        <v>92</v>
      </c>
      <c r="H1161" s="94" t="s">
        <v>679</v>
      </c>
      <c r="I1161" s="95">
        <v>13.32</v>
      </c>
      <c r="J1161" s="96" t="s">
        <v>237</v>
      </c>
      <c r="K1161" s="91">
        <v>4</v>
      </c>
      <c r="L1161" s="97">
        <v>42266</v>
      </c>
      <c r="M1161" s="98" t="s">
        <v>191</v>
      </c>
      <c r="N1161" s="99">
        <v>7.76</v>
      </c>
      <c r="O1161" s="99">
        <v>3.49</v>
      </c>
      <c r="P1161" s="99">
        <v>1.49</v>
      </c>
      <c r="Q1161" s="99">
        <v>0.56999999999999995</v>
      </c>
      <c r="R1161" s="99">
        <v>2.6996699999999998</v>
      </c>
      <c r="S1161" s="38">
        <f t="shared" si="148"/>
        <v>2.5</v>
      </c>
      <c r="T1161" s="99">
        <v>13.28</v>
      </c>
      <c r="U1161" s="99">
        <v>0.04</v>
      </c>
      <c r="V1161" s="99">
        <v>0</v>
      </c>
      <c r="W1161" s="99">
        <v>0</v>
      </c>
      <c r="X1161" s="99">
        <v>2.9964400000000002</v>
      </c>
      <c r="Y1161" s="38">
        <f t="shared" si="149"/>
        <v>3</v>
      </c>
      <c r="Z1161" s="38">
        <v>0</v>
      </c>
      <c r="AA1161" s="38">
        <v>0</v>
      </c>
      <c r="AB1161" s="99">
        <v>13.32</v>
      </c>
      <c r="AC1161" s="99">
        <v>1.10165</v>
      </c>
      <c r="AD1161" s="99">
        <v>49.6</v>
      </c>
      <c r="AE1161" s="99">
        <v>17.259</v>
      </c>
      <c r="AF1161" s="99">
        <v>0.12087299999999999</v>
      </c>
      <c r="AG1161" s="38">
        <f t="shared" si="150"/>
        <v>0.1</v>
      </c>
      <c r="AH1161" s="99">
        <v>112.45</v>
      </c>
      <c r="AI1161" s="99">
        <v>0.23342499999999999</v>
      </c>
      <c r="AJ1161" s="99">
        <v>1.47</v>
      </c>
      <c r="AK1161" s="99">
        <v>3.0509999999999999E-3</v>
      </c>
      <c r="AL1161" s="99">
        <v>0</v>
      </c>
      <c r="AM1161" s="99">
        <v>0</v>
      </c>
      <c r="AN1161" s="72"/>
      <c r="AO1161" s="41"/>
      <c r="AP1161" s="41"/>
      <c r="AQ1161" s="41">
        <f>SUM(N1161:Q1161)</f>
        <v>13.31</v>
      </c>
      <c r="AR1161" s="41">
        <f>SUM(T1161:W1161)</f>
        <v>13.319999999999999</v>
      </c>
      <c r="AS1161" s="41">
        <f>SUM(Z1161:AB1161)</f>
        <v>13.32</v>
      </c>
      <c r="AT1161" s="100"/>
      <c r="AU1161" s="22">
        <f>I1161/AQ1161</f>
        <v>1.0007513148009015</v>
      </c>
      <c r="AV1161" s="22">
        <f>I1161/AR1161</f>
        <v>1.0000000000000002</v>
      </c>
      <c r="AW1161" s="22">
        <f>I1161/AS1161</f>
        <v>1</v>
      </c>
      <c r="AX1161" s="100"/>
      <c r="AY1161" s="100"/>
      <c r="AZ1161" s="100"/>
      <c r="BA1161" s="100"/>
      <c r="BB1161" s="100"/>
      <c r="BC1161" s="100"/>
      <c r="BD1161" s="100"/>
      <c r="BE1161" s="100"/>
      <c r="BF1161" s="100"/>
      <c r="BG1161" s="100"/>
      <c r="BH1161" s="100"/>
      <c r="BI1161" s="100"/>
      <c r="BJ1161" s="100"/>
      <c r="BK1161" s="100"/>
      <c r="BL1161" s="100"/>
      <c r="BM1161" s="100"/>
      <c r="BN1161" s="100"/>
      <c r="BO1161" s="100"/>
      <c r="BP1161" s="100"/>
      <c r="BQ1161" s="100"/>
      <c r="BR1161" s="100"/>
      <c r="BS1161" s="100"/>
      <c r="BT1161" s="100"/>
      <c r="BU1161" s="100"/>
      <c r="BV1161" s="100"/>
      <c r="BW1161" s="100"/>
      <c r="BX1161" s="100"/>
      <c r="BY1161" s="100"/>
      <c r="BZ1161" s="100"/>
      <c r="CA1161" s="100"/>
      <c r="CB1161" s="100"/>
      <c r="CC1161" s="100"/>
      <c r="CD1161" s="100"/>
      <c r="CE1161" s="100"/>
      <c r="CF1161" s="100"/>
      <c r="CG1161" s="100"/>
      <c r="CH1161" s="100"/>
      <c r="CI1161" s="100"/>
      <c r="CJ1161" s="100"/>
    </row>
    <row r="1162" spans="1:88">
      <c r="A1162" s="1">
        <v>1949</v>
      </c>
      <c r="B1162" s="34" t="s">
        <v>2586</v>
      </c>
      <c r="C1162" s="34">
        <v>321</v>
      </c>
      <c r="D1162" s="75">
        <v>4013</v>
      </c>
      <c r="E1162" s="8">
        <v>102</v>
      </c>
      <c r="F1162" s="34" t="s">
        <v>2592</v>
      </c>
      <c r="G1162" s="58">
        <v>35636</v>
      </c>
      <c r="H1162" s="58">
        <v>69763</v>
      </c>
      <c r="I1162" s="21">
        <v>34.127000000000002</v>
      </c>
      <c r="J1162" s="8">
        <v>2</v>
      </c>
      <c r="K1162" s="8" t="s">
        <v>238</v>
      </c>
      <c r="L1162" s="18">
        <v>42123</v>
      </c>
      <c r="M1162" s="9" t="s">
        <v>191</v>
      </c>
      <c r="N1162" s="38">
        <v>26.1</v>
      </c>
      <c r="O1162" s="38">
        <v>5.45</v>
      </c>
      <c r="P1162" s="38">
        <v>2.0249999999999999</v>
      </c>
      <c r="Q1162" s="38">
        <v>0.5</v>
      </c>
      <c r="R1162" s="38">
        <v>2.1836799999999998</v>
      </c>
      <c r="S1162" s="38">
        <f t="shared" si="148"/>
        <v>2</v>
      </c>
      <c r="T1162" s="38">
        <v>32.875</v>
      </c>
      <c r="U1162" s="38">
        <v>1.0249999999999999</v>
      </c>
      <c r="V1162" s="38">
        <v>0.17499999999999999</v>
      </c>
      <c r="W1162" s="38">
        <v>0</v>
      </c>
      <c r="X1162" s="38">
        <v>3.4846599999999999</v>
      </c>
      <c r="Y1162" s="38">
        <f t="shared" si="149"/>
        <v>3.5</v>
      </c>
      <c r="Z1162" s="38">
        <v>0</v>
      </c>
      <c r="AA1162" s="38">
        <v>0</v>
      </c>
      <c r="AB1162" s="38">
        <v>34.074999999999996</v>
      </c>
      <c r="AC1162" s="38">
        <v>1.0944</v>
      </c>
      <c r="AD1162" s="38">
        <v>9.68</v>
      </c>
      <c r="AE1162" s="38">
        <v>268</v>
      </c>
      <c r="AF1162" s="38">
        <v>0.1202901766092202</v>
      </c>
      <c r="AG1162" s="38">
        <f t="shared" si="150"/>
        <v>0.1</v>
      </c>
      <c r="AH1162" s="38">
        <v>0</v>
      </c>
      <c r="AI1162" s="38">
        <f>AH1162/(3.5*I1162*1000)*100</f>
        <v>0</v>
      </c>
      <c r="AJ1162" s="38">
        <v>0</v>
      </c>
      <c r="AK1162" s="38">
        <v>0</v>
      </c>
      <c r="AL1162" s="38">
        <v>0</v>
      </c>
      <c r="AM1162" s="38">
        <f>AL1162/(3.5*I1162*1000)*100</f>
        <v>0</v>
      </c>
      <c r="AN1162" s="73"/>
      <c r="AO1162" s="72"/>
      <c r="AP1162" s="41"/>
      <c r="AQ1162" s="41"/>
      <c r="AR1162" s="73"/>
      <c r="AS1162" s="73"/>
      <c r="AT1162" s="73"/>
      <c r="AU1162" s="73"/>
      <c r="AV1162" s="73"/>
      <c r="AW1162" s="73"/>
      <c r="AX1162" s="73"/>
      <c r="AY1162" s="73"/>
    </row>
    <row r="1163" spans="1:88">
      <c r="A1163" s="1">
        <v>413</v>
      </c>
      <c r="B1163" s="74" t="s">
        <v>655</v>
      </c>
      <c r="C1163" s="34">
        <v>511</v>
      </c>
      <c r="D1163" s="75">
        <v>1312</v>
      </c>
      <c r="E1163" s="69">
        <v>200</v>
      </c>
      <c r="F1163" s="34" t="s">
        <v>694</v>
      </c>
      <c r="G1163" s="20" t="s">
        <v>695</v>
      </c>
      <c r="H1163" s="20" t="s">
        <v>696</v>
      </c>
      <c r="I1163" s="21">
        <v>2.5049999999999999</v>
      </c>
      <c r="J1163" s="8" t="s">
        <v>12</v>
      </c>
      <c r="K1163" s="34">
        <v>2</v>
      </c>
      <c r="L1163" s="18">
        <v>42223</v>
      </c>
      <c r="M1163" s="9" t="s">
        <v>191</v>
      </c>
      <c r="N1163" s="38">
        <v>1.87</v>
      </c>
      <c r="O1163" s="38">
        <v>0.53</v>
      </c>
      <c r="P1163" s="38">
        <v>0.03</v>
      </c>
      <c r="Q1163" s="38">
        <v>0.08</v>
      </c>
      <c r="R1163" s="38">
        <v>2.3332299999999999</v>
      </c>
      <c r="S1163" s="38">
        <f t="shared" si="148"/>
        <v>2.5</v>
      </c>
      <c r="T1163" s="38">
        <v>2.5</v>
      </c>
      <c r="U1163" s="38">
        <v>0</v>
      </c>
      <c r="V1163" s="38">
        <v>0</v>
      </c>
      <c r="W1163" s="38">
        <v>0</v>
      </c>
      <c r="X1163" s="38">
        <v>1.91269</v>
      </c>
      <c r="Y1163" s="38">
        <f t="shared" si="149"/>
        <v>2</v>
      </c>
      <c r="Z1163" s="38">
        <v>0</v>
      </c>
      <c r="AA1163" s="38">
        <v>0</v>
      </c>
      <c r="AB1163" s="38">
        <v>2.5</v>
      </c>
      <c r="AC1163" s="38">
        <v>1.0706599999999999</v>
      </c>
      <c r="AD1163" s="38">
        <v>12.893000000000001</v>
      </c>
      <c r="AE1163" s="38">
        <v>5.1529999999999996</v>
      </c>
      <c r="AF1163" s="38">
        <v>0.12</v>
      </c>
      <c r="AG1163" s="38">
        <f t="shared" si="150"/>
        <v>0.1</v>
      </c>
      <c r="AH1163" s="38">
        <v>36.69</v>
      </c>
      <c r="AI1163" s="38">
        <v>0.112</v>
      </c>
      <c r="AJ1163" s="38">
        <v>0</v>
      </c>
      <c r="AK1163" s="38">
        <v>0</v>
      </c>
      <c r="AL1163" s="38">
        <v>0</v>
      </c>
      <c r="AM1163" s="38">
        <v>0</v>
      </c>
      <c r="AN1163" s="72"/>
      <c r="AO1163" s="41"/>
      <c r="AP1163" s="41"/>
      <c r="AQ1163" s="41">
        <f>SUM(N1163:Q1163)</f>
        <v>2.5100000000000002</v>
      </c>
      <c r="AR1163" s="41">
        <f>SUM(T1163:W1163)</f>
        <v>2.5</v>
      </c>
      <c r="AS1163" s="41">
        <f>SUM(Z1163:AB1163)</f>
        <v>2.5</v>
      </c>
      <c r="AT1163" s="22"/>
      <c r="AU1163" s="22">
        <f>I1163/AQ1163</f>
        <v>0.99800796812748993</v>
      </c>
      <c r="AV1163" s="22">
        <f>I1163/AR1163</f>
        <v>1.002</v>
      </c>
      <c r="AW1163" s="22">
        <f>I1163/AS1163</f>
        <v>1.002</v>
      </c>
      <c r="AX1163" s="22"/>
      <c r="AY1163" s="22"/>
      <c r="AZ1163" s="22"/>
      <c r="BA1163" s="22"/>
      <c r="BB1163" s="22"/>
      <c r="BC1163" s="22"/>
      <c r="BD1163" s="22"/>
      <c r="BE1163" s="22"/>
      <c r="BF1163" s="22"/>
      <c r="BG1163" s="22"/>
      <c r="BH1163" s="22"/>
      <c r="BI1163" s="22"/>
      <c r="BJ1163" s="22"/>
      <c r="BK1163" s="22"/>
      <c r="BL1163" s="22"/>
      <c r="BM1163" s="22"/>
      <c r="BN1163" s="22"/>
      <c r="BO1163" s="22"/>
      <c r="BP1163" s="22"/>
      <c r="BQ1163" s="22"/>
      <c r="BR1163" s="22"/>
      <c r="BS1163" s="22"/>
      <c r="BT1163" s="22"/>
      <c r="BU1163" s="22"/>
      <c r="BV1163" s="22"/>
      <c r="BW1163" s="22"/>
      <c r="BX1163" s="22"/>
      <c r="BY1163" s="22"/>
      <c r="BZ1163" s="22"/>
      <c r="CA1163" s="22"/>
      <c r="CB1163" s="22"/>
      <c r="CC1163" s="22"/>
      <c r="CD1163" s="22"/>
      <c r="CE1163" s="22"/>
      <c r="CF1163" s="22"/>
      <c r="CG1163" s="22"/>
      <c r="CH1163" s="22"/>
      <c r="CI1163" s="22"/>
      <c r="CJ1163" s="22"/>
    </row>
    <row r="1164" spans="1:88">
      <c r="A1164" s="1">
        <v>1838</v>
      </c>
      <c r="B1164" s="34" t="s">
        <v>2461</v>
      </c>
      <c r="C1164" s="34">
        <v>332</v>
      </c>
      <c r="D1164" s="75">
        <v>327</v>
      </c>
      <c r="E1164" s="69">
        <v>100</v>
      </c>
      <c r="F1164" s="9" t="s">
        <v>2462</v>
      </c>
      <c r="G1164" s="20">
        <v>7833</v>
      </c>
      <c r="H1164" s="20">
        <v>0</v>
      </c>
      <c r="I1164" s="21">
        <v>7.8330000000000002</v>
      </c>
      <c r="J1164" s="8">
        <v>6</v>
      </c>
      <c r="K1164" s="8" t="s">
        <v>1521</v>
      </c>
      <c r="L1164" s="18">
        <v>42101</v>
      </c>
      <c r="M1164" s="207" t="s">
        <v>191</v>
      </c>
      <c r="N1164" s="38">
        <v>5.4749999999999996</v>
      </c>
      <c r="O1164" s="38">
        <v>1.05</v>
      </c>
      <c r="P1164" s="38">
        <v>0.67500000000000004</v>
      </c>
      <c r="Q1164" s="38">
        <v>0.65</v>
      </c>
      <c r="R1164" s="38">
        <v>2.49621</v>
      </c>
      <c r="S1164" s="38">
        <f t="shared" si="148"/>
        <v>2.5</v>
      </c>
      <c r="T1164" s="38">
        <v>7.6749999999999998</v>
      </c>
      <c r="U1164" s="38">
        <v>0.125</v>
      </c>
      <c r="V1164" s="38">
        <v>2.5000000000000001E-2</v>
      </c>
      <c r="W1164" s="38">
        <v>2.5000000000000001E-2</v>
      </c>
      <c r="X1164" s="38">
        <v>3.3066399999999998</v>
      </c>
      <c r="Y1164" s="38">
        <f t="shared" si="149"/>
        <v>3.5</v>
      </c>
      <c r="Z1164" s="38">
        <v>0</v>
      </c>
      <c r="AA1164" s="11">
        <v>0</v>
      </c>
      <c r="AB1164" s="11">
        <v>7.85</v>
      </c>
      <c r="AC1164" s="38">
        <v>1.26193</v>
      </c>
      <c r="AD1164" s="11">
        <v>31.57</v>
      </c>
      <c r="AE1164" s="11">
        <v>2.36</v>
      </c>
      <c r="AF1164" s="38">
        <v>0.11945797085590268</v>
      </c>
      <c r="AG1164" s="38">
        <f t="shared" si="150"/>
        <v>0.1</v>
      </c>
      <c r="AH1164" s="38">
        <v>18.96</v>
      </c>
      <c r="AI1164" s="38">
        <v>6.9157958089401977E-2</v>
      </c>
      <c r="AJ1164" s="38">
        <v>14.58</v>
      </c>
      <c r="AK1164" s="38">
        <v>5.3181594353559118E-2</v>
      </c>
      <c r="AL1164" s="38">
        <v>0</v>
      </c>
      <c r="AM1164" s="38">
        <f>AL1164/(3.5*I1164*1000)*100</f>
        <v>0</v>
      </c>
      <c r="AN1164" s="73"/>
      <c r="AO1164" s="73"/>
      <c r="AP1164" s="73"/>
      <c r="AQ1164" s="73"/>
      <c r="AR1164" s="73"/>
      <c r="AS1164" s="73"/>
      <c r="AT1164" s="73"/>
      <c r="AU1164" s="73"/>
      <c r="AV1164" s="73"/>
      <c r="AW1164" s="73"/>
      <c r="AX1164" s="73"/>
      <c r="AY1164" s="73"/>
      <c r="AZ1164" s="73"/>
      <c r="BA1164" s="73"/>
    </row>
    <row r="1165" spans="1:88">
      <c r="A1165" s="1">
        <v>1839</v>
      </c>
      <c r="B1165" s="34" t="s">
        <v>2461</v>
      </c>
      <c r="C1165" s="34">
        <v>332</v>
      </c>
      <c r="D1165" s="75">
        <v>3180</v>
      </c>
      <c r="E1165" s="8">
        <v>101</v>
      </c>
      <c r="F1165" s="9" t="s">
        <v>2463</v>
      </c>
      <c r="G1165" s="20">
        <v>0</v>
      </c>
      <c r="H1165" s="20">
        <v>14864</v>
      </c>
      <c r="I1165" s="21">
        <v>14.864000000000001</v>
      </c>
      <c r="J1165" s="8">
        <v>2</v>
      </c>
      <c r="K1165" s="8" t="s">
        <v>238</v>
      </c>
      <c r="L1165" s="18">
        <v>42101</v>
      </c>
      <c r="M1165" s="207" t="s">
        <v>191</v>
      </c>
      <c r="N1165" s="38">
        <v>9.6999999999999993</v>
      </c>
      <c r="O1165" s="38">
        <v>2.3250000000000002</v>
      </c>
      <c r="P1165" s="38">
        <v>1.95</v>
      </c>
      <c r="Q1165" s="38">
        <v>0.82499999999999996</v>
      </c>
      <c r="R1165" s="38">
        <v>2.4910999999999999</v>
      </c>
      <c r="S1165" s="38">
        <f t="shared" si="148"/>
        <v>2.5</v>
      </c>
      <c r="T1165" s="38">
        <v>14.475</v>
      </c>
      <c r="U1165" s="38">
        <v>0.3</v>
      </c>
      <c r="V1165" s="38">
        <v>2.5000000000000001E-2</v>
      </c>
      <c r="W1165" s="38">
        <v>0</v>
      </c>
      <c r="X1165" s="38">
        <v>3.2252100000000001</v>
      </c>
      <c r="Y1165" s="38">
        <f t="shared" si="149"/>
        <v>3</v>
      </c>
      <c r="Z1165" s="38">
        <v>0</v>
      </c>
      <c r="AA1165" s="11">
        <v>0</v>
      </c>
      <c r="AB1165" s="38">
        <v>14.799999999999997</v>
      </c>
      <c r="AC1165" s="38">
        <v>1.1898599999999999</v>
      </c>
      <c r="AD1165" s="38">
        <v>37.96</v>
      </c>
      <c r="AE1165" s="38">
        <v>48.258000000000003</v>
      </c>
      <c r="AF1165" s="38">
        <v>0.1193468399200369</v>
      </c>
      <c r="AG1165" s="38">
        <f t="shared" si="150"/>
        <v>0.1</v>
      </c>
      <c r="AH1165" s="38">
        <v>10.68</v>
      </c>
      <c r="AI1165" s="38">
        <v>2.0528986621559279E-2</v>
      </c>
      <c r="AJ1165" s="38">
        <v>0</v>
      </c>
      <c r="AK1165" s="38">
        <v>0</v>
      </c>
      <c r="AL1165" s="38">
        <v>1.08</v>
      </c>
      <c r="AM1165" s="38">
        <f>AL1165/(3.5*I1165*1000)*100</f>
        <v>2.075964939258804E-3</v>
      </c>
      <c r="AN1165" s="73"/>
      <c r="AO1165" s="73"/>
      <c r="AP1165" s="73"/>
      <c r="AQ1165" s="73"/>
      <c r="AR1165" s="73"/>
      <c r="AS1165" s="73"/>
      <c r="AT1165" s="73"/>
      <c r="AU1165" s="73"/>
      <c r="AV1165" s="73"/>
      <c r="AW1165" s="73"/>
      <c r="AX1165" s="73"/>
      <c r="AY1165" s="73"/>
      <c r="AZ1165" s="73"/>
      <c r="BA1165" s="73"/>
    </row>
    <row r="1166" spans="1:88">
      <c r="A1166" s="1">
        <v>1142</v>
      </c>
      <c r="B1166" s="74" t="s">
        <v>1577</v>
      </c>
      <c r="C1166" s="34">
        <v>432</v>
      </c>
      <c r="D1166" s="34">
        <v>3022</v>
      </c>
      <c r="E1166" s="34">
        <v>100</v>
      </c>
      <c r="F1166" s="34" t="s">
        <v>1593</v>
      </c>
      <c r="G1166" s="34" t="s">
        <v>92</v>
      </c>
      <c r="H1166" s="34" t="s">
        <v>1594</v>
      </c>
      <c r="I1166" s="55">
        <v>17.5</v>
      </c>
      <c r="J1166" s="5">
        <v>4</v>
      </c>
      <c r="K1166" s="181" t="s">
        <v>238</v>
      </c>
      <c r="L1166" s="10">
        <v>42282</v>
      </c>
      <c r="M1166" s="9" t="s">
        <v>191</v>
      </c>
      <c r="N1166" s="38">
        <v>10.175000000000001</v>
      </c>
      <c r="O1166" s="38">
        <v>4.4000000000000004</v>
      </c>
      <c r="P1166" s="38">
        <v>1.8</v>
      </c>
      <c r="Q1166" s="38">
        <v>1.2749999999999999</v>
      </c>
      <c r="R1166" s="38">
        <v>2.9007800000000001</v>
      </c>
      <c r="S1166" s="38">
        <f t="shared" si="148"/>
        <v>3</v>
      </c>
      <c r="T1166" s="38">
        <v>14.1</v>
      </c>
      <c r="U1166" s="38">
        <v>2.3250000000000002</v>
      </c>
      <c r="V1166" s="38">
        <v>0.9</v>
      </c>
      <c r="W1166" s="38">
        <v>0.32500000000000001</v>
      </c>
      <c r="X1166" s="38">
        <v>6.7075899999999997</v>
      </c>
      <c r="Y1166" s="38">
        <f t="shared" si="149"/>
        <v>6.5</v>
      </c>
      <c r="Z1166" s="38">
        <v>0</v>
      </c>
      <c r="AA1166" s="38">
        <v>0</v>
      </c>
      <c r="AB1166" s="38">
        <v>17.649999999999999</v>
      </c>
      <c r="AC1166" s="38">
        <v>1.4602900000000001</v>
      </c>
      <c r="AD1166" s="38">
        <v>68.260000000000005</v>
      </c>
      <c r="AE1166" s="38">
        <v>9.2260000000000009</v>
      </c>
      <c r="AF1166" s="38">
        <v>0.118976</v>
      </c>
      <c r="AG1166" s="38">
        <f t="shared" si="150"/>
        <v>0.1</v>
      </c>
      <c r="AH1166" s="38">
        <v>49.32</v>
      </c>
      <c r="AI1166" s="38">
        <v>8.0521999999999996E-2</v>
      </c>
      <c r="AJ1166" s="38">
        <v>0</v>
      </c>
      <c r="AK1166" s="38">
        <v>0</v>
      </c>
      <c r="AL1166" s="38">
        <v>0</v>
      </c>
      <c r="AM1166" s="38">
        <v>0</v>
      </c>
      <c r="AN1166" s="114"/>
      <c r="AO1166" s="73"/>
      <c r="AP1166" s="22"/>
      <c r="AQ1166" s="22"/>
      <c r="AR1166" s="22"/>
      <c r="AS1166" s="22"/>
      <c r="AT1166" s="22"/>
      <c r="AU1166" s="22"/>
      <c r="AV1166" s="22"/>
      <c r="AW1166" s="22"/>
      <c r="AX1166" s="22"/>
      <c r="AY1166" s="22"/>
      <c r="AZ1166" s="22"/>
      <c r="BA1166" s="22"/>
      <c r="BB1166" s="22"/>
      <c r="BC1166" s="22"/>
      <c r="BD1166" s="22"/>
      <c r="BE1166" s="22"/>
      <c r="BF1166" s="22"/>
      <c r="BG1166" s="22"/>
      <c r="BH1166" s="22"/>
      <c r="BI1166" s="22"/>
      <c r="BJ1166" s="22"/>
      <c r="BK1166" s="22"/>
      <c r="BL1166" s="22"/>
      <c r="BM1166" s="22"/>
      <c r="BN1166" s="22"/>
      <c r="BO1166" s="22"/>
      <c r="BP1166" s="22"/>
      <c r="BQ1166" s="22"/>
      <c r="BR1166" s="22"/>
      <c r="BS1166" s="22"/>
      <c r="BT1166" s="22"/>
      <c r="BU1166" s="22"/>
      <c r="BV1166" s="22"/>
      <c r="BW1166" s="22"/>
      <c r="BX1166" s="22"/>
      <c r="BY1166" s="22"/>
      <c r="BZ1166" s="22"/>
      <c r="CA1166" s="22"/>
      <c r="CB1166" s="22"/>
      <c r="CC1166" s="22"/>
      <c r="CD1166" s="22"/>
      <c r="CE1166" s="22"/>
      <c r="CF1166" s="22"/>
      <c r="CG1166" s="22"/>
      <c r="CH1166" s="22"/>
      <c r="CI1166" s="22"/>
      <c r="CJ1166" s="22"/>
    </row>
    <row r="1167" spans="1:88">
      <c r="A1167" s="1">
        <v>2049</v>
      </c>
      <c r="B1167" s="34" t="s">
        <v>2697</v>
      </c>
      <c r="C1167" s="34">
        <v>328</v>
      </c>
      <c r="D1167" s="75">
        <v>401</v>
      </c>
      <c r="E1167" s="8">
        <v>402</v>
      </c>
      <c r="F1167" s="34" t="s">
        <v>2699</v>
      </c>
      <c r="G1167" s="58">
        <v>162379</v>
      </c>
      <c r="H1167" s="58">
        <v>209704</v>
      </c>
      <c r="I1167" s="21">
        <v>47.325000000000003</v>
      </c>
      <c r="J1167" s="8">
        <v>4</v>
      </c>
      <c r="K1167" s="8" t="s">
        <v>671</v>
      </c>
      <c r="L1167" s="18">
        <v>42120</v>
      </c>
      <c r="M1167" s="9" t="s">
        <v>191</v>
      </c>
      <c r="N1167" s="38">
        <v>37.325000000000003</v>
      </c>
      <c r="O1167" s="38">
        <v>5.875</v>
      </c>
      <c r="P1167" s="38">
        <v>2.3250000000000002</v>
      </c>
      <c r="Q1167" s="38">
        <v>1.425</v>
      </c>
      <c r="R1167" s="38">
        <v>2.0738500000000002</v>
      </c>
      <c r="S1167" s="38">
        <f t="shared" si="148"/>
        <v>2</v>
      </c>
      <c r="T1167" s="38">
        <v>45.15</v>
      </c>
      <c r="U1167" s="38">
        <v>1.4</v>
      </c>
      <c r="V1167" s="38">
        <v>0.3</v>
      </c>
      <c r="W1167" s="38">
        <v>0.1</v>
      </c>
      <c r="X1167" s="38">
        <v>4.2446999999999999</v>
      </c>
      <c r="Y1167" s="38">
        <f t="shared" si="149"/>
        <v>4</v>
      </c>
      <c r="Z1167" s="38">
        <v>0</v>
      </c>
      <c r="AA1167" s="38">
        <v>0</v>
      </c>
      <c r="AB1167" s="38">
        <v>46.95</v>
      </c>
      <c r="AC1167" s="38">
        <v>1.29914</v>
      </c>
      <c r="AD1167" s="38">
        <v>195.74</v>
      </c>
      <c r="AE1167" s="38">
        <v>2.57</v>
      </c>
      <c r="AF1167" s="38">
        <v>0.11894951324428343</v>
      </c>
      <c r="AG1167" s="38">
        <f t="shared" si="150"/>
        <v>0.1</v>
      </c>
      <c r="AH1167" s="38">
        <v>0</v>
      </c>
      <c r="AI1167" s="38">
        <v>0</v>
      </c>
      <c r="AJ1167" s="38">
        <v>0</v>
      </c>
      <c r="AK1167" s="38">
        <v>0</v>
      </c>
      <c r="AL1167" s="38">
        <v>0</v>
      </c>
      <c r="AM1167" s="38">
        <f>AL1167/(3.5*I1167*1000)*100</f>
        <v>0</v>
      </c>
      <c r="AN1167" s="72"/>
      <c r="AO1167" s="41"/>
      <c r="AP1167" s="41"/>
      <c r="AQ1167" s="73"/>
      <c r="AR1167" s="73"/>
    </row>
    <row r="1168" spans="1:88">
      <c r="A1168" s="1">
        <v>490</v>
      </c>
      <c r="B1168" s="34" t="s">
        <v>821</v>
      </c>
      <c r="C1168" s="34">
        <v>519</v>
      </c>
      <c r="D1168" s="34">
        <v>117</v>
      </c>
      <c r="E1168" s="34">
        <v>201</v>
      </c>
      <c r="F1168" s="34" t="s">
        <v>837</v>
      </c>
      <c r="G1168" s="34" t="s">
        <v>838</v>
      </c>
      <c r="H1168" s="34" t="s">
        <v>839</v>
      </c>
      <c r="I1168" s="55">
        <v>31.372</v>
      </c>
      <c r="J1168" s="34" t="s">
        <v>237</v>
      </c>
      <c r="K1168" s="34">
        <v>4</v>
      </c>
      <c r="L1168" s="10">
        <v>42275</v>
      </c>
      <c r="M1168" s="9" t="s">
        <v>191</v>
      </c>
      <c r="N1168" s="38">
        <v>24.6</v>
      </c>
      <c r="O1168" s="38">
        <v>4.12</v>
      </c>
      <c r="P1168" s="38">
        <v>1.52</v>
      </c>
      <c r="Q1168" s="38">
        <v>1.1299999999999999</v>
      </c>
      <c r="R1168" s="38">
        <v>2.1215700000000002</v>
      </c>
      <c r="S1168" s="38">
        <f t="shared" si="148"/>
        <v>2</v>
      </c>
      <c r="T1168" s="38">
        <v>31.22</v>
      </c>
      <c r="U1168" s="38">
        <v>0.15</v>
      </c>
      <c r="V1168" s="38">
        <v>0</v>
      </c>
      <c r="W1168" s="38">
        <v>0</v>
      </c>
      <c r="X1168" s="38">
        <v>2.8649900000000001</v>
      </c>
      <c r="Y1168" s="38">
        <f t="shared" si="149"/>
        <v>3</v>
      </c>
      <c r="Z1168" s="117">
        <v>0</v>
      </c>
      <c r="AA1168" s="117">
        <v>0</v>
      </c>
      <c r="AB1168" s="38">
        <v>31.37</v>
      </c>
      <c r="AC1168" s="38">
        <v>1.3755599999999999</v>
      </c>
      <c r="AD1168" s="38">
        <v>130.32</v>
      </c>
      <c r="AE1168" s="38">
        <v>0</v>
      </c>
      <c r="AF1168" s="38">
        <v>0.118686</v>
      </c>
      <c r="AG1168" s="38">
        <f t="shared" si="150"/>
        <v>0.1</v>
      </c>
      <c r="AH1168" s="38">
        <v>94.18</v>
      </c>
      <c r="AI1168" s="38">
        <v>8.5773000000000002E-2</v>
      </c>
      <c r="AJ1168" s="38">
        <v>0.77</v>
      </c>
      <c r="AK1168" s="38">
        <v>7.0100000000000002E-4</v>
      </c>
      <c r="AL1168" s="38">
        <v>0</v>
      </c>
      <c r="AM1168" s="38">
        <v>0</v>
      </c>
      <c r="AN1168" s="41"/>
      <c r="AO1168" s="41"/>
      <c r="AP1168" s="41"/>
      <c r="AQ1168" s="41">
        <f>SUM(N1168:Q1168)</f>
        <v>31.37</v>
      </c>
      <c r="AR1168" s="41">
        <f>SUM(T1168:W1168)</f>
        <v>31.369999999999997</v>
      </c>
      <c r="AS1168" s="41">
        <f>SUM(Z1168:AB1168)</f>
        <v>31.37</v>
      </c>
      <c r="AT1168" s="22"/>
      <c r="AU1168" s="22">
        <f>I1168/AQ1168</f>
        <v>1.0000637551801084</v>
      </c>
      <c r="AV1168" s="22">
        <f>I1168/AR1168</f>
        <v>1.0000637551801084</v>
      </c>
      <c r="AW1168" s="22">
        <f>I1168/AS1168</f>
        <v>1.0000637551801084</v>
      </c>
      <c r="AX1168" s="22"/>
      <c r="AY1168" s="22"/>
      <c r="AZ1168" s="22"/>
      <c r="BA1168" s="22"/>
      <c r="BB1168" s="22"/>
      <c r="BC1168" s="22"/>
      <c r="BD1168" s="22"/>
      <c r="BE1168" s="22"/>
      <c r="BF1168" s="22"/>
      <c r="BG1168" s="22"/>
      <c r="BH1168" s="22"/>
      <c r="BI1168" s="22"/>
      <c r="BJ1168" s="22"/>
      <c r="BK1168" s="22"/>
      <c r="BL1168" s="22"/>
      <c r="BM1168" s="22"/>
      <c r="BN1168" s="22"/>
      <c r="BO1168" s="22"/>
      <c r="BP1168" s="22"/>
      <c r="BQ1168" s="22"/>
      <c r="BR1168" s="22"/>
      <c r="BS1168" s="22"/>
      <c r="BT1168" s="22"/>
      <c r="BU1168" s="22"/>
      <c r="BV1168" s="22"/>
      <c r="BW1168" s="22"/>
      <c r="BX1168" s="22"/>
      <c r="BY1168" s="22"/>
      <c r="BZ1168" s="22"/>
      <c r="CA1168" s="22"/>
      <c r="CB1168" s="22"/>
      <c r="CC1168" s="22"/>
      <c r="CD1168" s="22"/>
      <c r="CE1168" s="22"/>
      <c r="CF1168" s="22"/>
      <c r="CG1168" s="22"/>
      <c r="CH1168" s="22"/>
      <c r="CI1168" s="22"/>
      <c r="CJ1168" s="22"/>
    </row>
    <row r="1169" spans="1:88">
      <c r="A1169" s="1">
        <v>877</v>
      </c>
      <c r="B1169" s="34" t="s">
        <v>1259</v>
      </c>
      <c r="C1169" s="34">
        <v>631</v>
      </c>
      <c r="D1169" s="148">
        <v>2415</v>
      </c>
      <c r="E1169" s="34">
        <v>101</v>
      </c>
      <c r="F1169" s="34" t="s">
        <v>1269</v>
      </c>
      <c r="G1169" s="58">
        <v>0</v>
      </c>
      <c r="H1169" s="58">
        <v>14070</v>
      </c>
      <c r="I1169" s="35">
        <v>14.07</v>
      </c>
      <c r="J1169" s="160">
        <v>2</v>
      </c>
      <c r="K1169" s="34" t="s">
        <v>238</v>
      </c>
      <c r="L1169" s="10">
        <v>42139</v>
      </c>
      <c r="M1169" s="9" t="s">
        <v>191</v>
      </c>
      <c r="N1169" s="38">
        <v>11.5</v>
      </c>
      <c r="O1169" s="38">
        <v>1.85</v>
      </c>
      <c r="P1169" s="38">
        <v>0.42499999999999999</v>
      </c>
      <c r="Q1169" s="38">
        <v>0.25</v>
      </c>
      <c r="R1169" s="38">
        <v>2.1920799999999998</v>
      </c>
      <c r="S1169" s="38">
        <f t="shared" si="148"/>
        <v>2</v>
      </c>
      <c r="T1169" s="38">
        <v>14</v>
      </c>
      <c r="U1169" s="38">
        <v>2.5000000000000001E-2</v>
      </c>
      <c r="V1169" s="38">
        <v>0</v>
      </c>
      <c r="W1169" s="38">
        <v>0</v>
      </c>
      <c r="X1169" s="38">
        <v>4.0064599999999997</v>
      </c>
      <c r="Y1169" s="38">
        <f t="shared" si="149"/>
        <v>4</v>
      </c>
      <c r="Z1169" s="38">
        <v>0</v>
      </c>
      <c r="AA1169" s="38">
        <v>0</v>
      </c>
      <c r="AB1169" s="38">
        <f>N1169+O1169+P1169+Q1169</f>
        <v>14.025</v>
      </c>
      <c r="AC1169" s="38">
        <v>1.41221</v>
      </c>
      <c r="AD1169" s="38">
        <v>28.15</v>
      </c>
      <c r="AE1169" s="38">
        <v>60.55</v>
      </c>
      <c r="AF1169" s="38">
        <v>0.11864</v>
      </c>
      <c r="AG1169" s="38">
        <f t="shared" si="150"/>
        <v>0.1</v>
      </c>
      <c r="AH1169" s="38">
        <v>0</v>
      </c>
      <c r="AI1169" s="38">
        <v>0</v>
      </c>
      <c r="AJ1169" s="38">
        <v>31.99</v>
      </c>
      <c r="AK1169" s="38">
        <v>6.4960000000000004E-2</v>
      </c>
      <c r="AL1169" s="38">
        <v>0</v>
      </c>
      <c r="AM1169" s="38">
        <v>0</v>
      </c>
      <c r="AN1169" s="25"/>
      <c r="AO1169" s="25">
        <f>AE1169*0.5</f>
        <v>30.274999999999999</v>
      </c>
      <c r="AP1169" s="25">
        <f>(AD1169+AH1169+AJ1169+AL1169+AO1169)*I1169</f>
        <v>1272.13905</v>
      </c>
      <c r="AQ1169" s="25"/>
      <c r="AR1169" s="25"/>
      <c r="AS1169" s="25">
        <f>SUM(N1169:Q1169)</f>
        <v>14.025</v>
      </c>
      <c r="AT1169" s="25">
        <f>SUM(T1169:W1169)</f>
        <v>14.025</v>
      </c>
      <c r="AU1169" s="25"/>
      <c r="AV1169" s="22"/>
      <c r="AW1169" s="41"/>
      <c r="AX1169" s="41"/>
      <c r="AY1169" s="41"/>
      <c r="AZ1169" s="41"/>
      <c r="BA1169" s="22"/>
      <c r="BB1169" s="22"/>
      <c r="BC1169" s="22"/>
      <c r="BD1169" s="22"/>
      <c r="BE1169" s="22"/>
      <c r="BF1169" s="22"/>
      <c r="BG1169" s="22"/>
      <c r="BH1169" s="22"/>
      <c r="BI1169" s="22"/>
      <c r="BJ1169" s="22"/>
      <c r="BK1169" s="22"/>
      <c r="BL1169" s="22"/>
      <c r="BM1169" s="22"/>
      <c r="BN1169" s="22"/>
      <c r="BO1169" s="22"/>
      <c r="BP1169" s="22"/>
      <c r="BQ1169" s="22"/>
      <c r="BR1169" s="22"/>
      <c r="BS1169" s="22"/>
      <c r="BT1169" s="22"/>
      <c r="BU1169" s="22"/>
      <c r="BV1169" s="22"/>
      <c r="BW1169" s="22"/>
      <c r="BX1169" s="22"/>
      <c r="BY1169" s="22"/>
      <c r="BZ1169" s="22"/>
      <c r="CA1169" s="22"/>
      <c r="CB1169" s="22"/>
      <c r="CC1169" s="22"/>
      <c r="CD1169" s="22"/>
      <c r="CE1169" s="22"/>
      <c r="CF1169" s="22"/>
      <c r="CG1169" s="22"/>
      <c r="CH1169" s="22"/>
      <c r="CI1169" s="22"/>
      <c r="CJ1169" s="22"/>
    </row>
    <row r="1170" spans="1:88">
      <c r="A1170" s="1">
        <v>334</v>
      </c>
      <c r="B1170" s="34" t="s">
        <v>557</v>
      </c>
      <c r="C1170" s="34">
        <v>646</v>
      </c>
      <c r="D1170" s="34">
        <v>2230</v>
      </c>
      <c r="E1170" s="34">
        <v>200</v>
      </c>
      <c r="F1170" s="34" t="s">
        <v>567</v>
      </c>
      <c r="G1170" s="58">
        <v>3144</v>
      </c>
      <c r="H1170" s="58">
        <v>24949</v>
      </c>
      <c r="I1170" s="35">
        <v>21.805</v>
      </c>
      <c r="J1170" s="62">
        <v>2</v>
      </c>
      <c r="K1170" s="34" t="s">
        <v>238</v>
      </c>
      <c r="L1170" s="10">
        <v>42164</v>
      </c>
      <c r="M1170" s="9" t="s">
        <v>191</v>
      </c>
      <c r="N1170" s="38">
        <v>15.875</v>
      </c>
      <c r="O1170" s="38">
        <v>4.2</v>
      </c>
      <c r="P1170" s="38">
        <v>1.2</v>
      </c>
      <c r="Q1170" s="38">
        <v>0.4</v>
      </c>
      <c r="R1170" s="38">
        <v>2.4108800000000001</v>
      </c>
      <c r="S1170" s="38">
        <f t="shared" si="148"/>
        <v>2.5</v>
      </c>
      <c r="T1170" s="38">
        <v>21.35</v>
      </c>
      <c r="U1170" s="38">
        <v>0.3</v>
      </c>
      <c r="V1170" s="38">
        <v>2.5000000000000001E-2</v>
      </c>
      <c r="W1170" s="38">
        <v>0</v>
      </c>
      <c r="X1170" s="38">
        <v>3.9069099999999999</v>
      </c>
      <c r="Y1170" s="38">
        <f t="shared" si="149"/>
        <v>4</v>
      </c>
      <c r="Z1170" s="38">
        <v>0</v>
      </c>
      <c r="AA1170" s="38">
        <v>0</v>
      </c>
      <c r="AB1170" s="38">
        <f>T1170+U1170+V1170+W1170</f>
        <v>21.675000000000001</v>
      </c>
      <c r="AC1170" s="38">
        <v>1.17154</v>
      </c>
      <c r="AD1170" s="38">
        <v>78</v>
      </c>
      <c r="AE1170" s="38">
        <v>24</v>
      </c>
      <c r="AF1170" s="38">
        <v>0.11847000000000001</v>
      </c>
      <c r="AG1170" s="38">
        <f t="shared" si="150"/>
        <v>0.1</v>
      </c>
      <c r="AH1170" s="38">
        <v>2</v>
      </c>
      <c r="AI1170" s="38">
        <v>2.6329999999999999E-3</v>
      </c>
      <c r="AJ1170" s="38">
        <v>0</v>
      </c>
      <c r="AK1170" s="38">
        <v>0</v>
      </c>
      <c r="AL1170" s="38">
        <v>0</v>
      </c>
      <c r="AM1170" s="38">
        <v>0</v>
      </c>
      <c r="AN1170" s="25"/>
      <c r="AO1170" s="25">
        <f>AE1170*0.5</f>
        <v>12</v>
      </c>
      <c r="AP1170" s="25">
        <f>(AD1170+AH1170+AJ1170+AL1170+AO1170)*I1170</f>
        <v>2006.06</v>
      </c>
      <c r="AQ1170" s="25">
        <f>SUM(N1170:Q1170)</f>
        <v>21.674999999999997</v>
      </c>
      <c r="AR1170" s="25">
        <f>SUM(T1170:W1170)</f>
        <v>21.675000000000001</v>
      </c>
      <c r="AS1170" s="22"/>
      <c r="AT1170" s="41"/>
      <c r="AU1170" s="41">
        <f>SUM(N1170:Q1170)</f>
        <v>21.674999999999997</v>
      </c>
      <c r="AV1170" s="41">
        <f>SUM(T1170:W1170)</f>
        <v>21.675000000000001</v>
      </c>
      <c r="AW1170" s="41">
        <f>SUM(Z1170:AB1170)</f>
        <v>21.675000000000001</v>
      </c>
      <c r="AX1170" s="22"/>
      <c r="AY1170" s="22">
        <f>I1170/AU1170</f>
        <v>1.005997693194925</v>
      </c>
      <c r="AZ1170" s="22">
        <f>I1170/AV1170</f>
        <v>1.005997693194925</v>
      </c>
      <c r="BA1170" s="22">
        <f>I1170/AW1170</f>
        <v>1.005997693194925</v>
      </c>
      <c r="BB1170" s="22"/>
      <c r="BC1170" s="22"/>
      <c r="BD1170" s="22"/>
      <c r="BE1170" s="22"/>
      <c r="BF1170" s="22"/>
      <c r="BG1170" s="22"/>
      <c r="BH1170" s="22"/>
      <c r="BI1170" s="22"/>
      <c r="BJ1170" s="22"/>
      <c r="BK1170" s="22"/>
      <c r="BL1170" s="22"/>
      <c r="BM1170" s="22"/>
      <c r="BN1170" s="22"/>
      <c r="BO1170" s="22"/>
      <c r="BP1170" s="22"/>
      <c r="BQ1170" s="22"/>
      <c r="BR1170" s="22"/>
      <c r="BS1170" s="22"/>
      <c r="BT1170" s="22"/>
      <c r="BU1170" s="22"/>
      <c r="BV1170" s="22"/>
      <c r="BW1170" s="22"/>
      <c r="BX1170" s="22"/>
      <c r="BY1170" s="22"/>
      <c r="BZ1170" s="22"/>
      <c r="CA1170" s="22"/>
      <c r="CB1170" s="22"/>
      <c r="CC1170" s="22"/>
      <c r="CD1170" s="22"/>
      <c r="CE1170" s="22"/>
      <c r="CF1170" s="22"/>
      <c r="CG1170" s="22"/>
      <c r="CH1170" s="22"/>
      <c r="CI1170" s="22"/>
      <c r="CJ1170" s="22"/>
    </row>
    <row r="1171" spans="1:88">
      <c r="A1171" s="1">
        <v>880</v>
      </c>
      <c r="B1171" s="34" t="s">
        <v>1271</v>
      </c>
      <c r="C1171" s="34">
        <v>632</v>
      </c>
      <c r="D1171" s="8">
        <v>2134</v>
      </c>
      <c r="E1171" s="34">
        <v>200</v>
      </c>
      <c r="F1171" s="34" t="s">
        <v>1273</v>
      </c>
      <c r="G1171" s="58">
        <v>79725</v>
      </c>
      <c r="H1171" s="58">
        <v>105325</v>
      </c>
      <c r="I1171" s="35">
        <v>25.6</v>
      </c>
      <c r="J1171" s="9">
        <v>2</v>
      </c>
      <c r="K1171" s="34" t="s">
        <v>238</v>
      </c>
      <c r="L1171" s="10">
        <v>42143</v>
      </c>
      <c r="M1171" s="9" t="s">
        <v>191</v>
      </c>
      <c r="N1171" s="38">
        <v>14.475</v>
      </c>
      <c r="O1171" s="38">
        <v>7.6</v>
      </c>
      <c r="P1171" s="38">
        <v>2.375</v>
      </c>
      <c r="Q1171" s="38">
        <v>1.125</v>
      </c>
      <c r="R1171" s="38">
        <v>3.4771899999999998</v>
      </c>
      <c r="S1171" s="38">
        <f t="shared" si="148"/>
        <v>3.5</v>
      </c>
      <c r="T1171" s="38">
        <v>25.05</v>
      </c>
      <c r="U1171" s="38">
        <v>0.45</v>
      </c>
      <c r="V1171" s="38">
        <v>7.4999999999999997E-2</v>
      </c>
      <c r="W1171" s="38">
        <v>0</v>
      </c>
      <c r="X1171" s="38">
        <v>4.6959900000000001</v>
      </c>
      <c r="Y1171" s="38">
        <f t="shared" si="149"/>
        <v>4.5</v>
      </c>
      <c r="Z1171" s="38">
        <v>0</v>
      </c>
      <c r="AA1171" s="38">
        <v>0</v>
      </c>
      <c r="AB1171" s="38">
        <f>N1171+O1171+P1171+Q1171</f>
        <v>25.574999999999999</v>
      </c>
      <c r="AC1171" s="38">
        <v>1.67018</v>
      </c>
      <c r="AD1171" s="38">
        <v>51.75</v>
      </c>
      <c r="AE1171" s="38">
        <v>108.13</v>
      </c>
      <c r="AF1171" s="38">
        <v>0.11809699999999999</v>
      </c>
      <c r="AG1171" s="38">
        <f t="shared" si="150"/>
        <v>0.1</v>
      </c>
      <c r="AH1171" s="38">
        <v>208.37</v>
      </c>
      <c r="AI1171" s="38">
        <v>0.23255600000000001</v>
      </c>
      <c r="AJ1171" s="38">
        <v>1.87</v>
      </c>
      <c r="AK1171" s="38">
        <v>2.0869999999999999E-3</v>
      </c>
      <c r="AL1171" s="38">
        <v>554.28</v>
      </c>
      <c r="AM1171" s="38">
        <v>0.61861600000000005</v>
      </c>
      <c r="AN1171" s="25"/>
      <c r="AO1171" s="25">
        <f>AE1171*0.5</f>
        <v>54.064999999999998</v>
      </c>
      <c r="AP1171" s="25">
        <f>(AD1171+AH1171+AJ1171+AL1171+AO1171)*I1171</f>
        <v>22280.576000000001</v>
      </c>
      <c r="AQ1171" s="25">
        <f>SUM(N1171:Q1171)</f>
        <v>25.574999999999999</v>
      </c>
      <c r="AR1171" s="25">
        <f>SUM(T1171:W1171)</f>
        <v>25.574999999999999</v>
      </c>
      <c r="AS1171" s="22"/>
      <c r="AT1171" s="41"/>
      <c r="AU1171" s="41"/>
      <c r="AV1171" s="41"/>
      <c r="AW1171" s="41"/>
      <c r="AX1171" s="22"/>
      <c r="AY1171" s="22"/>
      <c r="AZ1171" s="22"/>
      <c r="BA1171" s="22"/>
      <c r="BB1171" s="22"/>
      <c r="BC1171" s="22"/>
      <c r="BD1171" s="22"/>
      <c r="BE1171" s="22"/>
      <c r="BF1171" s="22"/>
      <c r="BG1171" s="22"/>
      <c r="BH1171" s="22"/>
      <c r="BI1171" s="22"/>
      <c r="BJ1171" s="22"/>
      <c r="BK1171" s="22"/>
      <c r="BL1171" s="22"/>
      <c r="BM1171" s="22"/>
      <c r="BN1171" s="22"/>
      <c r="BO1171" s="22"/>
      <c r="BP1171" s="22"/>
      <c r="BQ1171" s="22"/>
      <c r="BR1171" s="22"/>
      <c r="BS1171" s="22"/>
      <c r="BT1171" s="22"/>
      <c r="BU1171" s="22"/>
      <c r="BV1171" s="22"/>
      <c r="BW1171" s="22"/>
      <c r="BX1171" s="22"/>
      <c r="BY1171" s="22"/>
      <c r="BZ1171" s="22"/>
      <c r="CA1171" s="22"/>
      <c r="CB1171" s="22"/>
      <c r="CC1171" s="22"/>
      <c r="CD1171" s="22"/>
      <c r="CE1171" s="22"/>
      <c r="CF1171" s="22"/>
      <c r="CG1171" s="22"/>
      <c r="CH1171" s="22"/>
      <c r="CI1171" s="22"/>
      <c r="CJ1171" s="22"/>
    </row>
    <row r="1172" spans="1:88">
      <c r="A1172" s="1">
        <v>89</v>
      </c>
      <c r="B1172" s="4" t="s">
        <v>61</v>
      </c>
      <c r="C1172" s="14">
        <v>526</v>
      </c>
      <c r="D1172" s="19">
        <v>108</v>
      </c>
      <c r="E1172" s="16">
        <v>203</v>
      </c>
      <c r="F1172" s="14" t="s">
        <v>65</v>
      </c>
      <c r="G1172" s="27" t="s">
        <v>154</v>
      </c>
      <c r="H1172" s="27" t="s">
        <v>153</v>
      </c>
      <c r="I1172" s="28">
        <v>36.799999999999997</v>
      </c>
      <c r="J1172" s="16">
        <v>2</v>
      </c>
      <c r="K1172" s="14" t="s">
        <v>12</v>
      </c>
      <c r="L1172" s="29">
        <v>42244</v>
      </c>
      <c r="M1172" s="14" t="s">
        <v>191</v>
      </c>
      <c r="N1172" s="30">
        <v>15.16</v>
      </c>
      <c r="O1172" s="30">
        <v>14.07</v>
      </c>
      <c r="P1172" s="30">
        <v>6.12</v>
      </c>
      <c r="Q1172" s="30">
        <v>1.45</v>
      </c>
      <c r="R1172" s="30">
        <v>2.8629600000000002</v>
      </c>
      <c r="S1172" s="38">
        <f t="shared" si="148"/>
        <v>3</v>
      </c>
      <c r="T1172" s="30">
        <v>36.15</v>
      </c>
      <c r="U1172" s="30">
        <v>0.65</v>
      </c>
      <c r="V1172" s="30">
        <v>0</v>
      </c>
      <c r="W1172" s="30">
        <v>0</v>
      </c>
      <c r="X1172" s="30">
        <v>2.9479899999999999</v>
      </c>
      <c r="Y1172" s="38">
        <f t="shared" si="149"/>
        <v>3</v>
      </c>
      <c r="Z1172" s="30">
        <v>0</v>
      </c>
      <c r="AA1172" s="30">
        <v>0</v>
      </c>
      <c r="AB1172" s="30">
        <v>36.799999999999997</v>
      </c>
      <c r="AC1172" s="30">
        <v>1.3665099999999999</v>
      </c>
      <c r="AD1172" s="30">
        <v>148.35</v>
      </c>
      <c r="AE1172" s="30">
        <v>6.3</v>
      </c>
      <c r="AF1172" s="30">
        <f>(AD1172+AE1172*0.5)/(3.5*I1172*1000)*100</f>
        <v>0.11762422360248449</v>
      </c>
      <c r="AG1172" s="38">
        <f t="shared" si="150"/>
        <v>0.1</v>
      </c>
      <c r="AH1172" s="30">
        <v>0</v>
      </c>
      <c r="AI1172" s="30">
        <f>AH1172/(3.5*I1172*1000)*100</f>
        <v>0</v>
      </c>
      <c r="AJ1172" s="30">
        <v>0</v>
      </c>
      <c r="AK1172" s="30">
        <f>AJ1172/(3.5*I1172*1000)*100</f>
        <v>0</v>
      </c>
      <c r="AL1172" s="30">
        <v>1.3</v>
      </c>
      <c r="AM1172" s="30">
        <f>AL1172/(3.5*I1172*1000)*100</f>
        <v>1.0093167701863354E-3</v>
      </c>
      <c r="AN1172" s="22"/>
      <c r="AO1172" s="25"/>
      <c r="AP1172" s="25">
        <f>N1172+O1172+P1172+Q1172</f>
        <v>36.800000000000004</v>
      </c>
      <c r="AQ1172" s="25">
        <f>T1172+U1172+V1172+W1172</f>
        <v>36.799999999999997</v>
      </c>
      <c r="AR1172" s="25">
        <f>Z1172+AA1172+AB1172</f>
        <v>36.799999999999997</v>
      </c>
      <c r="AS1172" s="22"/>
      <c r="AT1172" s="22">
        <f>I1172/AP1172</f>
        <v>0.99999999999999978</v>
      </c>
      <c r="AU1172" s="22">
        <f>I1172/AQ1172</f>
        <v>1</v>
      </c>
      <c r="AV1172" s="22">
        <f>I1172/AR1172</f>
        <v>1</v>
      </c>
      <c r="AW1172" s="22"/>
      <c r="AX1172" s="22"/>
      <c r="AY1172" s="22"/>
      <c r="AZ1172" s="22"/>
      <c r="BA1172" s="22"/>
      <c r="BB1172" s="22"/>
      <c r="BC1172" s="22"/>
      <c r="BD1172" s="22"/>
      <c r="BE1172" s="22"/>
      <c r="BF1172" s="22"/>
      <c r="BG1172" s="22"/>
      <c r="BH1172" s="22"/>
      <c r="BI1172" s="22"/>
      <c r="BJ1172" s="22"/>
      <c r="BK1172" s="22"/>
      <c r="BL1172" s="22"/>
      <c r="BM1172" s="22"/>
      <c r="BN1172" s="22"/>
      <c r="BO1172" s="22"/>
      <c r="BP1172" s="22"/>
      <c r="BQ1172" s="22"/>
      <c r="BR1172" s="22"/>
      <c r="BS1172" s="22"/>
      <c r="BT1172" s="22"/>
      <c r="BU1172" s="22"/>
      <c r="BV1172" s="22"/>
      <c r="BW1172" s="22"/>
      <c r="BX1172" s="22"/>
      <c r="BY1172" s="22"/>
      <c r="BZ1172" s="22"/>
      <c r="CA1172" s="22"/>
      <c r="CB1172" s="22"/>
      <c r="CC1172" s="22"/>
      <c r="CD1172" s="22"/>
      <c r="CE1172" s="22"/>
      <c r="CF1172" s="22"/>
      <c r="CG1172" s="22"/>
      <c r="CH1172" s="22"/>
      <c r="CI1172" s="22"/>
      <c r="CJ1172" s="22"/>
    </row>
    <row r="1173" spans="1:88">
      <c r="A1173" s="1">
        <v>48</v>
      </c>
      <c r="B1173" s="4" t="s">
        <v>37</v>
      </c>
      <c r="C1173" s="14">
        <v>523</v>
      </c>
      <c r="D1173" s="19">
        <v>1034</v>
      </c>
      <c r="E1173" s="16">
        <v>100</v>
      </c>
      <c r="F1173" s="14" t="s">
        <v>116</v>
      </c>
      <c r="G1173" s="20" t="s">
        <v>99</v>
      </c>
      <c r="H1173" s="20" t="s">
        <v>100</v>
      </c>
      <c r="I1173" s="8">
        <v>16.178999999999998</v>
      </c>
      <c r="J1173" s="8">
        <v>2</v>
      </c>
      <c r="K1173" s="9" t="s">
        <v>12</v>
      </c>
      <c r="L1173" s="18">
        <v>42222</v>
      </c>
      <c r="M1173" s="9" t="s">
        <v>191</v>
      </c>
      <c r="N1173" s="26">
        <v>11.275</v>
      </c>
      <c r="O1173" s="26">
        <v>2.6</v>
      </c>
      <c r="P1173" s="26">
        <v>1.575</v>
      </c>
      <c r="Q1173" s="26">
        <v>0.45</v>
      </c>
      <c r="R1173" s="26">
        <v>2.3095300000000001</v>
      </c>
      <c r="S1173" s="38">
        <f t="shared" si="148"/>
        <v>2.5</v>
      </c>
      <c r="T1173" s="26">
        <v>15.775</v>
      </c>
      <c r="U1173" s="26">
        <v>0.1</v>
      </c>
      <c r="V1173" s="26">
        <v>2.5000000000000001E-2</v>
      </c>
      <c r="W1173" s="26">
        <v>0</v>
      </c>
      <c r="X1173" s="26">
        <v>2.3852699999999998</v>
      </c>
      <c r="Y1173" s="38">
        <f t="shared" si="149"/>
        <v>2.5</v>
      </c>
      <c r="Z1173" s="26">
        <v>0</v>
      </c>
      <c r="AA1173" s="26">
        <v>0</v>
      </c>
      <c r="AB1173" s="26">
        <f>SUM(N1173:Q1173)</f>
        <v>15.899999999999999</v>
      </c>
      <c r="AC1173" s="26">
        <v>1.0645</v>
      </c>
      <c r="AD1173" s="26">
        <v>21.28</v>
      </c>
      <c r="AE1173" s="26">
        <v>89.96</v>
      </c>
      <c r="AF1173" s="26">
        <f>(AD1173+AE1173*0.5)/(3.5*I1173*1000)*100</f>
        <v>0.11701235287365455</v>
      </c>
      <c r="AG1173" s="38">
        <f t="shared" si="150"/>
        <v>0.1</v>
      </c>
      <c r="AH1173" s="26">
        <v>231.57</v>
      </c>
      <c r="AI1173" s="26">
        <f>AH1173/(3.5*I1173*1000)*100</f>
        <v>0.40894280946200107</v>
      </c>
      <c r="AJ1173" s="26">
        <v>11</v>
      </c>
      <c r="AK1173" s="26">
        <f>AJ1173/(3.5*I1173*1000)*100</f>
        <v>1.9425533981439785E-2</v>
      </c>
      <c r="AL1173" s="26">
        <v>0</v>
      </c>
      <c r="AM1173" s="26">
        <f>AL1173/(3.5*I1173*1000)*100</f>
        <v>0</v>
      </c>
      <c r="AN1173" s="22"/>
      <c r="AO1173" s="25"/>
      <c r="AP1173" s="25"/>
      <c r="AQ1173" s="22"/>
      <c r="AR1173" s="22"/>
      <c r="AS1173" s="22"/>
      <c r="AT1173" s="22"/>
      <c r="AU1173" s="22"/>
      <c r="AV1173" s="22"/>
      <c r="AW1173" s="22"/>
      <c r="AX1173" s="22"/>
      <c r="AY1173" s="22"/>
      <c r="AZ1173" s="22"/>
      <c r="BA1173" s="22"/>
      <c r="BB1173" s="22"/>
      <c r="BC1173" s="22"/>
      <c r="BD1173" s="22"/>
      <c r="BE1173" s="22"/>
      <c r="BF1173" s="22"/>
      <c r="BG1173" s="22"/>
      <c r="BH1173" s="22"/>
      <c r="BI1173" s="22"/>
      <c r="BJ1173" s="22"/>
      <c r="BK1173" s="22"/>
      <c r="BL1173" s="22"/>
      <c r="BM1173" s="22"/>
      <c r="BN1173" s="22"/>
      <c r="BO1173" s="22"/>
      <c r="BP1173" s="22"/>
      <c r="BQ1173" s="22"/>
      <c r="BR1173" s="22"/>
      <c r="BS1173" s="22"/>
      <c r="BT1173" s="22"/>
      <c r="BU1173" s="22"/>
      <c r="BV1173" s="22"/>
      <c r="BW1173" s="22"/>
      <c r="BX1173" s="22"/>
      <c r="BY1173" s="22"/>
      <c r="BZ1173" s="22"/>
      <c r="CA1173" s="22"/>
      <c r="CB1173" s="22"/>
      <c r="CC1173" s="22"/>
      <c r="CD1173" s="22"/>
      <c r="CE1173" s="22"/>
      <c r="CF1173" s="22"/>
      <c r="CG1173" s="22"/>
      <c r="CH1173" s="22"/>
      <c r="CI1173" s="22"/>
      <c r="CJ1173" s="22"/>
    </row>
    <row r="1174" spans="1:88">
      <c r="A1174" s="1">
        <v>1015</v>
      </c>
      <c r="B1174" s="9" t="s">
        <v>1394</v>
      </c>
      <c r="C1174" s="9">
        <v>617</v>
      </c>
      <c r="D1174" s="8">
        <v>228</v>
      </c>
      <c r="E1174" s="9">
        <v>100</v>
      </c>
      <c r="F1174" s="9" t="s">
        <v>1413</v>
      </c>
      <c r="G1174" s="175">
        <v>15559</v>
      </c>
      <c r="H1174" s="175">
        <v>0</v>
      </c>
      <c r="I1174" s="35">
        <v>15.558999999999999</v>
      </c>
      <c r="J1174" s="9">
        <v>4</v>
      </c>
      <c r="K1174" s="9" t="s">
        <v>12</v>
      </c>
      <c r="L1174" s="18">
        <v>42128</v>
      </c>
      <c r="M1174" s="9" t="s">
        <v>191</v>
      </c>
      <c r="N1174" s="11">
        <v>5.4749999999999996</v>
      </c>
      <c r="O1174" s="11">
        <v>5.1749999999999998</v>
      </c>
      <c r="P1174" s="11">
        <v>2.9</v>
      </c>
      <c r="Q1174" s="11">
        <v>2</v>
      </c>
      <c r="R1174" s="11">
        <v>3.1907700000000001</v>
      </c>
      <c r="S1174" s="38">
        <f t="shared" si="148"/>
        <v>3</v>
      </c>
      <c r="T1174" s="11">
        <v>11.15</v>
      </c>
      <c r="U1174" s="11">
        <v>2.4</v>
      </c>
      <c r="V1174" s="11">
        <v>1.3</v>
      </c>
      <c r="W1174" s="11">
        <v>0.7</v>
      </c>
      <c r="X1174" s="11">
        <v>7.6440599999999996</v>
      </c>
      <c r="Y1174" s="38">
        <f t="shared" si="149"/>
        <v>7.5</v>
      </c>
      <c r="Z1174" s="11">
        <v>0</v>
      </c>
      <c r="AA1174" s="11">
        <v>0</v>
      </c>
      <c r="AB1174" s="11">
        <f>SUM(N1174:Q1174)</f>
        <v>15.549999999999999</v>
      </c>
      <c r="AC1174" s="11">
        <v>1.2500199999999999</v>
      </c>
      <c r="AD1174" s="11">
        <v>35.619999999999997</v>
      </c>
      <c r="AE1174" s="11">
        <v>55.99</v>
      </c>
      <c r="AF1174" s="11">
        <f>(AD1174+AE1174*0.5)/(3.5*I1174*1000)*100</f>
        <v>0.1168180107057927</v>
      </c>
      <c r="AG1174" s="38">
        <f t="shared" si="150"/>
        <v>0.1</v>
      </c>
      <c r="AH1174" s="11">
        <v>179.31</v>
      </c>
      <c r="AI1174" s="38">
        <f>AH1174/(3.5*I1174*1000)*100</f>
        <v>0.32927198773332844</v>
      </c>
      <c r="AJ1174" s="11">
        <v>77.260000000000005</v>
      </c>
      <c r="AK1174" s="38">
        <f>AJ1174/(3.5*I1174*1000)*100</f>
        <v>0.14187470733521251</v>
      </c>
      <c r="AL1174" s="11">
        <v>0.76</v>
      </c>
      <c r="AM1174" s="38">
        <f>AL1174/(3.5*I1174*1000)*100</f>
        <v>1.3956093395646066E-3</v>
      </c>
      <c r="AN1174" s="25"/>
      <c r="AO1174" s="25">
        <f>AE1174*0.5</f>
        <v>27.995000000000001</v>
      </c>
      <c r="AP1174" s="25">
        <f>(AD1174+AH1174+AJ1174+AL1174+AO1174)*I1174</f>
        <v>4993.5832549999996</v>
      </c>
      <c r="AQ1174" s="25"/>
      <c r="AR1174" s="25"/>
      <c r="AS1174" s="25">
        <f>SUM(N1174:Q1174)</f>
        <v>15.549999999999999</v>
      </c>
      <c r="AT1174" s="25">
        <f>SUM(T1174:W1174)</f>
        <v>15.55</v>
      </c>
      <c r="AU1174" s="41"/>
      <c r="AV1174" s="41"/>
      <c r="AW1174" s="41"/>
      <c r="AX1174" s="22"/>
      <c r="AY1174" s="22"/>
      <c r="AZ1174" s="22"/>
      <c r="BA1174" s="22"/>
      <c r="BB1174" s="22"/>
      <c r="BC1174" s="22"/>
      <c r="BD1174" s="22"/>
      <c r="BE1174" s="22"/>
      <c r="BF1174" s="22"/>
      <c r="BG1174" s="22"/>
      <c r="BH1174" s="22"/>
      <c r="BI1174" s="22"/>
      <c r="BJ1174" s="22"/>
      <c r="BK1174" s="22"/>
      <c r="BL1174" s="22"/>
      <c r="BM1174" s="22"/>
      <c r="BN1174" s="22"/>
      <c r="BO1174" s="22"/>
      <c r="BP1174" s="22"/>
      <c r="BQ1174" s="22"/>
      <c r="BR1174" s="22"/>
      <c r="BS1174" s="22"/>
      <c r="BT1174" s="22"/>
      <c r="BU1174" s="22"/>
      <c r="BV1174" s="22"/>
      <c r="BW1174" s="22"/>
      <c r="BX1174" s="22"/>
      <c r="BY1174" s="22"/>
      <c r="BZ1174" s="22"/>
      <c r="CA1174" s="22"/>
      <c r="CB1174" s="22"/>
      <c r="CC1174" s="22"/>
      <c r="CD1174" s="22"/>
      <c r="CE1174" s="22"/>
      <c r="CF1174" s="22"/>
      <c r="CG1174" s="22"/>
      <c r="CH1174" s="22"/>
      <c r="CI1174" s="22"/>
      <c r="CJ1174" s="22"/>
    </row>
    <row r="1175" spans="1:88">
      <c r="A1175" s="1">
        <v>1482</v>
      </c>
      <c r="B1175" s="34" t="s">
        <v>2016</v>
      </c>
      <c r="C1175" s="34">
        <v>411</v>
      </c>
      <c r="D1175" s="69">
        <v>3481</v>
      </c>
      <c r="E1175" s="34">
        <v>100</v>
      </c>
      <c r="F1175" s="34" t="s">
        <v>2037</v>
      </c>
      <c r="G1175" s="20" t="s">
        <v>92</v>
      </c>
      <c r="H1175" s="20" t="s">
        <v>2038</v>
      </c>
      <c r="I1175" s="188">
        <v>1.57</v>
      </c>
      <c r="J1175" s="34">
        <v>2</v>
      </c>
      <c r="K1175" s="34" t="s">
        <v>238</v>
      </c>
      <c r="L1175" s="10">
        <v>42246</v>
      </c>
      <c r="M1175" s="9" t="s">
        <v>191</v>
      </c>
      <c r="N1175" s="38">
        <v>0.875</v>
      </c>
      <c r="O1175" s="38">
        <v>0.25</v>
      </c>
      <c r="P1175" s="38">
        <v>0.15</v>
      </c>
      <c r="Q1175" s="38">
        <v>0.3</v>
      </c>
      <c r="R1175" s="38">
        <v>3.18</v>
      </c>
      <c r="S1175" s="38">
        <f t="shared" si="148"/>
        <v>3</v>
      </c>
      <c r="T1175" s="38">
        <v>1.5</v>
      </c>
      <c r="U1175" s="38">
        <v>7.4999999999999997E-2</v>
      </c>
      <c r="V1175" s="38">
        <v>0</v>
      </c>
      <c r="W1175" s="38">
        <v>0</v>
      </c>
      <c r="X1175" s="38">
        <v>5.2370000000000001</v>
      </c>
      <c r="Y1175" s="38">
        <f t="shared" si="149"/>
        <v>5</v>
      </c>
      <c r="Z1175" s="38">
        <v>0</v>
      </c>
      <c r="AA1175" s="38">
        <v>0</v>
      </c>
      <c r="AB1175" s="38">
        <f>SUM(T1175:W1175)</f>
        <v>1.575</v>
      </c>
      <c r="AC1175" s="38">
        <v>0.99</v>
      </c>
      <c r="AD1175" s="38">
        <v>0</v>
      </c>
      <c r="AE1175" s="38">
        <v>12.73</v>
      </c>
      <c r="AF1175" s="38">
        <f>(AD1175+AE1175*0.5)/(3.5*I1175*1000)*100</f>
        <v>0.11583257506824388</v>
      </c>
      <c r="AG1175" s="38">
        <f t="shared" si="150"/>
        <v>0.1</v>
      </c>
      <c r="AH1175" s="38">
        <v>0</v>
      </c>
      <c r="AI1175" s="38">
        <f>AH1175/(3.5*I1175*1000)*100</f>
        <v>0</v>
      </c>
      <c r="AJ1175" s="38">
        <v>0</v>
      </c>
      <c r="AK1175" s="38">
        <f>AJ1175/(3.5*I1175*1000)*100</f>
        <v>0</v>
      </c>
      <c r="AL1175" s="38">
        <v>0</v>
      </c>
      <c r="AM1175" s="38">
        <f>AL1175/(3.5*I1175*1000)*100</f>
        <v>0</v>
      </c>
      <c r="AN1175" s="60"/>
      <c r="AO1175" s="60">
        <f>AE1175*0.5</f>
        <v>6.3650000000000002</v>
      </c>
      <c r="AP1175" s="60">
        <f>(AD1175+AH1175+AJ1175+AL1175+AO1175)*I1175</f>
        <v>9.9930500000000002</v>
      </c>
      <c r="AQ1175" s="60"/>
      <c r="AR1175" s="60"/>
      <c r="AS1175" s="60"/>
      <c r="AT1175" s="60"/>
      <c r="AU1175" s="61"/>
      <c r="AV1175" s="40"/>
      <c r="AW1175" s="40"/>
      <c r="AX1175" s="40"/>
      <c r="AY1175" s="40"/>
      <c r="AZ1175" s="61"/>
      <c r="BA1175" s="61"/>
      <c r="BB1175" s="61"/>
      <c r="BC1175" s="61"/>
      <c r="BD1175" s="61"/>
      <c r="BE1175" s="61"/>
      <c r="BF1175" s="61"/>
      <c r="BG1175" s="61"/>
      <c r="BH1175" s="61"/>
      <c r="BI1175" s="61"/>
      <c r="BJ1175" s="61"/>
      <c r="BK1175" s="61"/>
      <c r="BL1175" s="61"/>
      <c r="BM1175" s="61"/>
      <c r="BN1175" s="61"/>
      <c r="BO1175" s="61"/>
      <c r="BP1175" s="61"/>
      <c r="BQ1175" s="61"/>
      <c r="BR1175" s="61"/>
      <c r="BS1175" s="61"/>
      <c r="BT1175" s="61"/>
      <c r="BU1175" s="61"/>
      <c r="BV1175" s="61"/>
      <c r="BW1175" s="61"/>
      <c r="BX1175" s="61"/>
      <c r="BY1175" s="61"/>
      <c r="BZ1175" s="61"/>
      <c r="CA1175" s="61"/>
      <c r="CB1175" s="61"/>
      <c r="CC1175" s="61"/>
      <c r="CD1175" s="61"/>
      <c r="CE1175" s="61"/>
      <c r="CF1175" s="61"/>
      <c r="CG1175" s="61"/>
      <c r="CH1175" s="61"/>
      <c r="CI1175" s="61"/>
      <c r="CJ1175" s="61"/>
    </row>
    <row r="1176" spans="1:88">
      <c r="A1176" s="1">
        <v>1979</v>
      </c>
      <c r="B1176" s="34" t="s">
        <v>2615</v>
      </c>
      <c r="C1176" s="34">
        <v>322</v>
      </c>
      <c r="D1176" s="75">
        <v>419</v>
      </c>
      <c r="E1176" s="8">
        <v>100</v>
      </c>
      <c r="F1176" s="34" t="s">
        <v>2620</v>
      </c>
      <c r="G1176" s="58">
        <v>31255</v>
      </c>
      <c r="H1176" s="58">
        <v>0</v>
      </c>
      <c r="I1176" s="21">
        <v>31.254999999999999</v>
      </c>
      <c r="J1176" s="8">
        <v>2</v>
      </c>
      <c r="K1176" s="8" t="s">
        <v>96</v>
      </c>
      <c r="L1176" s="18">
        <v>42130</v>
      </c>
      <c r="M1176" s="9" t="s">
        <v>191</v>
      </c>
      <c r="N1176" s="38">
        <v>21.75</v>
      </c>
      <c r="O1176" s="38">
        <v>6.05</v>
      </c>
      <c r="P1176" s="38">
        <v>2.1749999999999998</v>
      </c>
      <c r="Q1176" s="38">
        <v>1.2</v>
      </c>
      <c r="R1176" s="38">
        <v>2.39432</v>
      </c>
      <c r="S1176" s="38">
        <f t="shared" si="148"/>
        <v>2.5</v>
      </c>
      <c r="T1176" s="38">
        <v>30.074999999999999</v>
      </c>
      <c r="U1176" s="38">
        <v>1.05</v>
      </c>
      <c r="V1176" s="38">
        <v>2.5000000000000001E-2</v>
      </c>
      <c r="W1176" s="38">
        <v>2.5000000000000001E-2</v>
      </c>
      <c r="X1176" s="38">
        <v>4.3002000000000002</v>
      </c>
      <c r="Y1176" s="38">
        <f t="shared" si="149"/>
        <v>4.5</v>
      </c>
      <c r="Z1176" s="38">
        <v>0</v>
      </c>
      <c r="AA1176" s="38">
        <v>0</v>
      </c>
      <c r="AB1176" s="38">
        <v>31.175000000000001</v>
      </c>
      <c r="AC1176" s="38">
        <v>1.3068900000000001</v>
      </c>
      <c r="AD1176" s="38">
        <v>96.16</v>
      </c>
      <c r="AE1176" s="38">
        <v>61</v>
      </c>
      <c r="AF1176" s="38">
        <v>0.11578490298695064</v>
      </c>
      <c r="AG1176" s="38">
        <f t="shared" si="150"/>
        <v>0.1</v>
      </c>
      <c r="AH1176" s="38">
        <v>5.87</v>
      </c>
      <c r="AI1176" s="38">
        <v>5.3659985830838497E-3</v>
      </c>
      <c r="AJ1176" s="38">
        <v>14.96</v>
      </c>
      <c r="AK1176" s="38">
        <v>1.3675526201522044E-2</v>
      </c>
      <c r="AL1176" s="38">
        <v>0</v>
      </c>
      <c r="AM1176" s="38">
        <f>AL1176/(3.5*I1176*1000)*100</f>
        <v>0</v>
      </c>
      <c r="AN1176" s="72"/>
      <c r="AO1176" s="41"/>
      <c r="AP1176" s="41"/>
      <c r="AQ1176" s="73"/>
      <c r="AR1176" s="73"/>
      <c r="AS1176" s="73"/>
      <c r="AT1176" s="73"/>
    </row>
    <row r="1177" spans="1:88">
      <c r="A1177" s="1">
        <v>793</v>
      </c>
      <c r="B1177" s="34" t="s">
        <v>1171</v>
      </c>
      <c r="C1177" s="34">
        <v>633</v>
      </c>
      <c r="D1177" s="8">
        <v>2477</v>
      </c>
      <c r="E1177" s="34">
        <v>100</v>
      </c>
      <c r="F1177" s="34" t="s">
        <v>1185</v>
      </c>
      <c r="G1177" s="58">
        <v>1732</v>
      </c>
      <c r="H1177" s="58">
        <v>0</v>
      </c>
      <c r="I1177" s="35">
        <v>1.732</v>
      </c>
      <c r="J1177" s="9">
        <v>4</v>
      </c>
      <c r="K1177" s="34" t="s">
        <v>96</v>
      </c>
      <c r="L1177" s="10">
        <v>42147</v>
      </c>
      <c r="M1177" s="9" t="s">
        <v>191</v>
      </c>
      <c r="N1177" s="38">
        <v>1.0249999999999999</v>
      </c>
      <c r="O1177" s="38">
        <v>0.35</v>
      </c>
      <c r="P1177" s="38">
        <v>0.2</v>
      </c>
      <c r="Q1177" s="38">
        <v>0.17499999999999999</v>
      </c>
      <c r="R1177" s="38">
        <v>2.6678850000000001</v>
      </c>
      <c r="S1177" s="38">
        <f t="shared" si="148"/>
        <v>2.5</v>
      </c>
      <c r="T1177" s="38">
        <v>1.675</v>
      </c>
      <c r="U1177" s="38">
        <v>0.05</v>
      </c>
      <c r="V1177" s="38">
        <v>2.5000000000000001E-2</v>
      </c>
      <c r="W1177" s="38">
        <v>0</v>
      </c>
      <c r="X1177" s="38">
        <v>5.0648150000000003</v>
      </c>
      <c r="Y1177" s="38">
        <f t="shared" si="149"/>
        <v>5</v>
      </c>
      <c r="Z1177" s="38">
        <v>0</v>
      </c>
      <c r="AA1177" s="38">
        <v>0</v>
      </c>
      <c r="AB1177" s="38">
        <f>N1177+O1177+P1177+Q1177</f>
        <v>1.75</v>
      </c>
      <c r="AC1177" s="38">
        <v>1.2527300000000001</v>
      </c>
      <c r="AD1177" s="38">
        <v>7</v>
      </c>
      <c r="AE1177" s="38">
        <v>0</v>
      </c>
      <c r="AF1177" s="38">
        <v>0.11547</v>
      </c>
      <c r="AG1177" s="38">
        <f t="shared" si="150"/>
        <v>0.1</v>
      </c>
      <c r="AH1177" s="38">
        <v>3</v>
      </c>
      <c r="AI1177" s="38">
        <v>4.9489999999999999E-2</v>
      </c>
      <c r="AJ1177" s="38">
        <v>5</v>
      </c>
      <c r="AK1177" s="38">
        <v>8.2480999999999999E-2</v>
      </c>
      <c r="AL1177" s="38">
        <v>0</v>
      </c>
      <c r="AM1177" s="38">
        <v>0</v>
      </c>
      <c r="AN1177" s="25"/>
      <c r="AO1177" s="25">
        <f>AE1177*0.5</f>
        <v>0</v>
      </c>
      <c r="AP1177" s="25">
        <f>(AD1177+AH1177+AJ1177+AL1177+AO1177)*I1177</f>
        <v>25.98</v>
      </c>
      <c r="AQ1177" s="136">
        <f>SUM(N1177:Q1177)</f>
        <v>1.75</v>
      </c>
      <c r="AR1177" s="136">
        <f>SUM(T1177:W1177)</f>
        <v>1.75</v>
      </c>
      <c r="AS1177" s="22"/>
      <c r="AT1177" s="41"/>
      <c r="AU1177" s="41"/>
      <c r="AV1177" s="41"/>
      <c r="AW1177" s="41"/>
      <c r="AX1177" s="22"/>
      <c r="AY1177" s="22"/>
      <c r="AZ1177" s="22"/>
      <c r="BA1177" s="22"/>
      <c r="BB1177" s="22"/>
      <c r="BC1177" s="22"/>
      <c r="BD1177" s="22"/>
      <c r="BE1177" s="22"/>
      <c r="BF1177" s="22"/>
      <c r="BG1177" s="22"/>
      <c r="BH1177" s="22"/>
      <c r="BI1177" s="22"/>
      <c r="BJ1177" s="22"/>
      <c r="BK1177" s="22"/>
      <c r="BL1177" s="22"/>
      <c r="BM1177" s="22"/>
      <c r="BN1177" s="22"/>
      <c r="BO1177" s="22"/>
      <c r="BP1177" s="22"/>
      <c r="BQ1177" s="22"/>
      <c r="BR1177" s="22"/>
      <c r="BS1177" s="22"/>
      <c r="BT1177" s="22"/>
      <c r="BU1177" s="22"/>
      <c r="BV1177" s="22"/>
      <c r="BW1177" s="22"/>
      <c r="BX1177" s="22"/>
      <c r="BY1177" s="22"/>
      <c r="BZ1177" s="22"/>
      <c r="CA1177" s="22"/>
      <c r="CB1177" s="22"/>
      <c r="CC1177" s="22"/>
      <c r="CD1177" s="22"/>
      <c r="CE1177" s="22"/>
      <c r="CF1177" s="22"/>
      <c r="CG1177" s="22"/>
      <c r="CH1177" s="22"/>
      <c r="CI1177" s="22"/>
      <c r="CJ1177" s="22"/>
    </row>
    <row r="1178" spans="1:88">
      <c r="A1178" s="1">
        <v>2192</v>
      </c>
      <c r="B1178" s="34" t="s">
        <v>2827</v>
      </c>
      <c r="C1178" s="34">
        <v>314</v>
      </c>
      <c r="D1178" s="75">
        <v>4048</v>
      </c>
      <c r="E1178" s="8">
        <v>100</v>
      </c>
      <c r="F1178" s="9" t="s">
        <v>2836</v>
      </c>
      <c r="G1178" s="20">
        <v>7960</v>
      </c>
      <c r="H1178" s="20">
        <v>0</v>
      </c>
      <c r="I1178" s="21">
        <v>7.96</v>
      </c>
      <c r="J1178" s="8">
        <v>2</v>
      </c>
      <c r="K1178" s="8" t="s">
        <v>12</v>
      </c>
      <c r="L1178" s="18">
        <v>42144</v>
      </c>
      <c r="M1178" s="9" t="s">
        <v>191</v>
      </c>
      <c r="N1178" s="38">
        <v>4.9749999999999996</v>
      </c>
      <c r="O1178" s="38">
        <v>1.625</v>
      </c>
      <c r="P1178" s="38">
        <v>0.77500000000000002</v>
      </c>
      <c r="Q1178" s="38">
        <v>0.42499999999999999</v>
      </c>
      <c r="R1178" s="38">
        <v>2.56298</v>
      </c>
      <c r="S1178" s="38">
        <f t="shared" si="148"/>
        <v>2.5</v>
      </c>
      <c r="T1178" s="38">
        <v>7.2750000000000004</v>
      </c>
      <c r="U1178" s="38">
        <v>0.5</v>
      </c>
      <c r="V1178" s="38">
        <v>2.5000000000000001E-2</v>
      </c>
      <c r="W1178" s="38">
        <v>0</v>
      </c>
      <c r="X1178" s="38">
        <v>4.7378299999999998</v>
      </c>
      <c r="Y1178" s="38">
        <f t="shared" si="149"/>
        <v>4.5</v>
      </c>
      <c r="Z1178" s="38">
        <v>0</v>
      </c>
      <c r="AA1178" s="38">
        <v>0</v>
      </c>
      <c r="AB1178" s="38">
        <v>7.8</v>
      </c>
      <c r="AC1178" s="38">
        <v>1.27399</v>
      </c>
      <c r="AD1178" s="38">
        <v>32.14</v>
      </c>
      <c r="AE1178" s="38">
        <v>0</v>
      </c>
      <c r="AF1178" s="38">
        <f>(AD1178+AE1178*0.5)/(3.5*I1178*1000)*100</f>
        <v>0.11536252692031586</v>
      </c>
      <c r="AG1178" s="38">
        <f t="shared" si="150"/>
        <v>0.1</v>
      </c>
      <c r="AH1178" s="38">
        <v>32.92</v>
      </c>
      <c r="AI1178" s="38">
        <f>AH1178/(3.5*I1178*1000)*100</f>
        <v>0.11816223977027998</v>
      </c>
      <c r="AJ1178" s="38">
        <v>73.41</v>
      </c>
      <c r="AK1178" s="38">
        <v>0.26349605168700646</v>
      </c>
      <c r="AL1178" s="38">
        <v>0</v>
      </c>
      <c r="AM1178" s="38">
        <f>AL1178/(3.5*I1178*1000)*100</f>
        <v>0</v>
      </c>
      <c r="AN1178" s="72"/>
      <c r="AO1178" s="41"/>
      <c r="AP1178" s="41"/>
      <c r="AQ1178" s="73"/>
      <c r="AR1178" s="73"/>
      <c r="AS1178" s="73"/>
      <c r="AT1178" s="73"/>
    </row>
    <row r="1179" spans="1:88">
      <c r="A1179" s="1">
        <v>129</v>
      </c>
      <c r="B1179" s="4" t="s">
        <v>38</v>
      </c>
      <c r="C1179" s="14">
        <v>528</v>
      </c>
      <c r="D1179" s="19">
        <v>1035</v>
      </c>
      <c r="E1179" s="16">
        <v>102</v>
      </c>
      <c r="F1179" s="14" t="s">
        <v>40</v>
      </c>
      <c r="G1179" s="20" t="s">
        <v>180</v>
      </c>
      <c r="H1179" s="20" t="s">
        <v>179</v>
      </c>
      <c r="I1179" s="21">
        <v>25.291</v>
      </c>
      <c r="J1179" s="8">
        <v>2</v>
      </c>
      <c r="K1179" s="33" t="s">
        <v>12</v>
      </c>
      <c r="L1179" s="18">
        <v>42224</v>
      </c>
      <c r="M1179" s="9" t="s">
        <v>191</v>
      </c>
      <c r="N1179" s="11">
        <v>16.100000000000001</v>
      </c>
      <c r="O1179" s="11">
        <v>5.35</v>
      </c>
      <c r="P1179" s="11">
        <v>2.8</v>
      </c>
      <c r="Q1179" s="11">
        <v>1.1000000000000001</v>
      </c>
      <c r="R1179" s="11">
        <v>2.4689199999999998</v>
      </c>
      <c r="S1179" s="38">
        <f t="shared" si="148"/>
        <v>2.5</v>
      </c>
      <c r="T1179" s="11">
        <v>24.824999999999999</v>
      </c>
      <c r="U1179" s="11">
        <v>0.4</v>
      </c>
      <c r="V1179" s="11">
        <v>0.1</v>
      </c>
      <c r="W1179" s="11">
        <v>2.5000000000000001E-2</v>
      </c>
      <c r="X1179" s="11">
        <v>2.6708599999999998</v>
      </c>
      <c r="Y1179" s="38">
        <f t="shared" si="149"/>
        <v>2.5</v>
      </c>
      <c r="Z1179" s="11">
        <v>0</v>
      </c>
      <c r="AA1179" s="11">
        <v>0</v>
      </c>
      <c r="AB1179" s="11">
        <v>25.350000000000005</v>
      </c>
      <c r="AC1179" s="11">
        <v>1.1791499999999999</v>
      </c>
      <c r="AD1179" s="11">
        <v>94.68</v>
      </c>
      <c r="AE1179" s="11">
        <v>14.68</v>
      </c>
      <c r="AF1179" s="11">
        <f>(AD1179+AE1179*0.5)/(3.5*I1179*1000)*100</f>
        <v>0.11525274377672465</v>
      </c>
      <c r="AG1179" s="38">
        <f t="shared" si="150"/>
        <v>0.1</v>
      </c>
      <c r="AH1179" s="11">
        <v>0</v>
      </c>
      <c r="AI1179" s="11">
        <f>AH1179/(3.5*I1179*1000)*100</f>
        <v>0</v>
      </c>
      <c r="AJ1179" s="11">
        <v>0</v>
      </c>
      <c r="AK1179" s="11">
        <f>AJ1179/(3.5*I1179*1000)*100</f>
        <v>0</v>
      </c>
      <c r="AL1179" s="11">
        <v>0</v>
      </c>
      <c r="AM1179" s="11">
        <f>AL1179/(3.5*I1179*1000)*100</f>
        <v>0</v>
      </c>
      <c r="AN1179" s="22"/>
      <c r="AO1179" s="22"/>
      <c r="AP1179" s="22"/>
      <c r="AQ1179" s="22"/>
      <c r="AR1179" s="22"/>
      <c r="AS1179" s="22"/>
      <c r="AT1179" s="22"/>
      <c r="AU1179" s="22"/>
      <c r="AV1179" s="22"/>
      <c r="AW1179" s="22"/>
      <c r="AX1179" s="22"/>
      <c r="AY1179" s="22"/>
      <c r="AZ1179" s="22"/>
      <c r="BA1179" s="22"/>
      <c r="BB1179" s="22"/>
      <c r="BC1179" s="22"/>
      <c r="BD1179" s="22"/>
      <c r="BE1179" s="22"/>
      <c r="BF1179" s="22"/>
      <c r="BG1179" s="22"/>
      <c r="BH1179" s="22"/>
      <c r="BI1179" s="22"/>
      <c r="BJ1179" s="22"/>
      <c r="BK1179" s="22"/>
      <c r="BL1179" s="22"/>
      <c r="BM1179" s="22"/>
      <c r="BN1179" s="22"/>
      <c r="BO1179" s="22"/>
      <c r="BP1179" s="22"/>
      <c r="BQ1179" s="22"/>
      <c r="BR1179" s="22"/>
      <c r="BS1179" s="22"/>
      <c r="BT1179" s="22"/>
      <c r="BU1179" s="22"/>
      <c r="BV1179" s="22"/>
      <c r="BW1179" s="22"/>
      <c r="BX1179" s="22"/>
      <c r="BY1179" s="22"/>
      <c r="BZ1179" s="22"/>
      <c r="CA1179" s="22"/>
      <c r="CB1179" s="22"/>
      <c r="CC1179" s="22"/>
      <c r="CD1179" s="22"/>
      <c r="CE1179" s="22"/>
      <c r="CF1179" s="22"/>
      <c r="CG1179" s="22"/>
      <c r="CH1179" s="22"/>
      <c r="CI1179" s="22"/>
      <c r="CJ1179" s="22"/>
    </row>
    <row r="1180" spans="1:88">
      <c r="A1180" s="1">
        <v>1375</v>
      </c>
      <c r="B1180" s="74" t="s">
        <v>1905</v>
      </c>
      <c r="C1180" s="34">
        <v>445</v>
      </c>
      <c r="D1180" s="75">
        <v>3422</v>
      </c>
      <c r="E1180" s="69">
        <v>100</v>
      </c>
      <c r="F1180" s="184" t="s">
        <v>1927</v>
      </c>
      <c r="G1180" s="20">
        <v>0</v>
      </c>
      <c r="H1180" s="20">
        <v>32355</v>
      </c>
      <c r="I1180" s="21">
        <v>32.354999999999997</v>
      </c>
      <c r="J1180" s="8">
        <v>4</v>
      </c>
      <c r="K1180" s="34" t="s">
        <v>237</v>
      </c>
      <c r="L1180" s="10">
        <v>42207</v>
      </c>
      <c r="M1180" s="9" t="s">
        <v>191</v>
      </c>
      <c r="N1180" s="38">
        <v>22.975000000000001</v>
      </c>
      <c r="O1180" s="38">
        <v>6.5250000000000004</v>
      </c>
      <c r="P1180" s="38">
        <v>2.2999999999999998</v>
      </c>
      <c r="Q1180" s="38">
        <v>0.65</v>
      </c>
      <c r="R1180" s="38">
        <v>2.3046500000000001</v>
      </c>
      <c r="S1180" s="38">
        <f t="shared" si="148"/>
        <v>2.5</v>
      </c>
      <c r="T1180" s="38">
        <v>29.7</v>
      </c>
      <c r="U1180" s="38">
        <v>2.15</v>
      </c>
      <c r="V1180" s="38">
        <v>0.52500000000000002</v>
      </c>
      <c r="W1180" s="38">
        <v>7.4999999999999997E-2</v>
      </c>
      <c r="X1180" s="38">
        <v>5.4486999999999997</v>
      </c>
      <c r="Y1180" s="38">
        <f t="shared" si="149"/>
        <v>5.5</v>
      </c>
      <c r="Z1180" s="38">
        <v>0</v>
      </c>
      <c r="AA1180" s="38">
        <v>0</v>
      </c>
      <c r="AB1180" s="38">
        <v>32.450000000000003</v>
      </c>
      <c r="AC1180" s="38">
        <v>1.17737</v>
      </c>
      <c r="AD1180" s="38">
        <v>90</v>
      </c>
      <c r="AE1180" s="38">
        <v>81</v>
      </c>
      <c r="AF1180" s="38">
        <v>0.11523941982912776</v>
      </c>
      <c r="AG1180" s="38">
        <f t="shared" si="150"/>
        <v>0.1</v>
      </c>
      <c r="AH1180" s="38">
        <v>0</v>
      </c>
      <c r="AI1180" s="38">
        <v>0</v>
      </c>
      <c r="AJ1180" s="38">
        <v>221</v>
      </c>
      <c r="AK1180" s="38">
        <v>0.19515641212442328</v>
      </c>
      <c r="AL1180" s="38">
        <v>0</v>
      </c>
      <c r="AM1180" s="38">
        <v>0</v>
      </c>
      <c r="AN1180" s="72"/>
      <c r="AO1180" s="41"/>
      <c r="AP1180" s="41"/>
      <c r="AQ1180" s="41"/>
      <c r="AR1180" s="41"/>
      <c r="AS1180" s="73"/>
      <c r="AT1180" s="73"/>
      <c r="AU1180" s="73"/>
      <c r="AV1180" s="73"/>
    </row>
    <row r="1181" spans="1:88">
      <c r="A1181" s="1">
        <v>1326</v>
      </c>
      <c r="B1181" s="74" t="s">
        <v>1851</v>
      </c>
      <c r="C1181" s="34">
        <v>444</v>
      </c>
      <c r="D1181" s="75">
        <v>3209</v>
      </c>
      <c r="E1181" s="69">
        <v>102</v>
      </c>
      <c r="F1181" s="34" t="s">
        <v>1870</v>
      </c>
      <c r="G1181" s="20">
        <v>4000</v>
      </c>
      <c r="H1181" s="20">
        <v>52800</v>
      </c>
      <c r="I1181" s="21">
        <v>48.8</v>
      </c>
      <c r="J1181" s="8">
        <v>2</v>
      </c>
      <c r="K1181" s="34" t="s">
        <v>238</v>
      </c>
      <c r="L1181" s="10">
        <v>42214</v>
      </c>
      <c r="M1181" s="9" t="s">
        <v>191</v>
      </c>
      <c r="N1181" s="38">
        <v>33.125</v>
      </c>
      <c r="O1181" s="38">
        <v>10.9</v>
      </c>
      <c r="P1181" s="38">
        <v>3.7749999999999999</v>
      </c>
      <c r="Q1181" s="38">
        <v>1.125</v>
      </c>
      <c r="R1181" s="38">
        <v>2.33297</v>
      </c>
      <c r="S1181" s="38">
        <f t="shared" si="148"/>
        <v>2.5</v>
      </c>
      <c r="T1181" s="38">
        <v>48.375</v>
      </c>
      <c r="U1181" s="38">
        <v>0.52500000000000002</v>
      </c>
      <c r="V1181" s="38">
        <v>2.5000000000000001E-2</v>
      </c>
      <c r="W1181" s="38">
        <v>0</v>
      </c>
      <c r="X1181" s="38">
        <v>2.8511299999999999</v>
      </c>
      <c r="Y1181" s="38">
        <f t="shared" si="149"/>
        <v>3</v>
      </c>
      <c r="Z1181" s="38">
        <v>0</v>
      </c>
      <c r="AA1181" s="38">
        <v>0</v>
      </c>
      <c r="AB1181" s="38">
        <v>48.924999999999997</v>
      </c>
      <c r="AC1181" s="38">
        <v>1.3124400000000001</v>
      </c>
      <c r="AD1181" s="38">
        <v>174.22300000000001</v>
      </c>
      <c r="AE1181" s="38">
        <v>44.2</v>
      </c>
      <c r="AF1181" s="38">
        <v>0.11494320843091338</v>
      </c>
      <c r="AG1181" s="38">
        <f t="shared" si="150"/>
        <v>0.1</v>
      </c>
      <c r="AH1181" s="38">
        <v>235.6</v>
      </c>
      <c r="AI1181" s="38">
        <v>0.13793911007025764</v>
      </c>
      <c r="AJ1181" s="38">
        <v>0</v>
      </c>
      <c r="AK1181" s="38">
        <v>0</v>
      </c>
      <c r="AL1181" s="38">
        <v>0</v>
      </c>
      <c r="AM1181" s="38">
        <v>0</v>
      </c>
    </row>
    <row r="1182" spans="1:88" s="182" customFormat="1">
      <c r="A1182" s="1">
        <v>472</v>
      </c>
      <c r="B1182" s="74" t="s">
        <v>780</v>
      </c>
      <c r="C1182" s="34">
        <v>515</v>
      </c>
      <c r="D1182" s="34">
        <v>1344</v>
      </c>
      <c r="E1182" s="34">
        <v>100</v>
      </c>
      <c r="F1182" s="34" t="s">
        <v>808</v>
      </c>
      <c r="G1182" s="34" t="s">
        <v>92</v>
      </c>
      <c r="H1182" s="34" t="s">
        <v>809</v>
      </c>
      <c r="I1182" s="55">
        <v>26.97</v>
      </c>
      <c r="J1182" s="5" t="s">
        <v>238</v>
      </c>
      <c r="K1182" s="34">
        <v>2</v>
      </c>
      <c r="L1182" s="10">
        <v>42269</v>
      </c>
      <c r="M1182" s="9" t="s">
        <v>191</v>
      </c>
      <c r="N1182" s="38">
        <v>15.5</v>
      </c>
      <c r="O1182" s="38">
        <v>7.5250000000000004</v>
      </c>
      <c r="P1182" s="38">
        <v>3.1</v>
      </c>
      <c r="Q1182" s="38">
        <v>0.93</v>
      </c>
      <c r="R1182" s="38">
        <v>2.6394500000000001</v>
      </c>
      <c r="S1182" s="38">
        <f t="shared" si="148"/>
        <v>2.5</v>
      </c>
      <c r="T1182" s="38">
        <v>24.774999999999999</v>
      </c>
      <c r="U1182" s="38">
        <v>1.5249999999999999</v>
      </c>
      <c r="V1182" s="38">
        <v>0.47499999999999998</v>
      </c>
      <c r="W1182" s="38">
        <v>0.27500000000000002</v>
      </c>
      <c r="X1182" s="38">
        <v>4.4148300000000003</v>
      </c>
      <c r="Y1182" s="38">
        <f t="shared" si="149"/>
        <v>4.5</v>
      </c>
      <c r="Z1182" s="38">
        <v>0</v>
      </c>
      <c r="AA1182" s="38">
        <v>0</v>
      </c>
      <c r="AB1182" s="38">
        <v>27.055</v>
      </c>
      <c r="AC1182" s="38">
        <v>1.2598499999999999</v>
      </c>
      <c r="AD1182" s="38">
        <v>95.15</v>
      </c>
      <c r="AE1182" s="38">
        <v>26.54</v>
      </c>
      <c r="AF1182" s="38">
        <f>(AD1182+AE1182*0.5)/(3.5*I1182*1000)*100</f>
        <v>0.11485777848402987</v>
      </c>
      <c r="AG1182" s="38">
        <f t="shared" si="150"/>
        <v>0.1</v>
      </c>
      <c r="AH1182" s="38">
        <v>77.658000000000001</v>
      </c>
      <c r="AI1182" s="38">
        <f>AH1182/(3.5*I1182*1000)*100</f>
        <v>8.2269187986651837E-2</v>
      </c>
      <c r="AJ1182" s="38">
        <v>0</v>
      </c>
      <c r="AK1182" s="38">
        <f>AJ1182/(3.5*I1182*1000)*100</f>
        <v>0</v>
      </c>
      <c r="AL1182" s="38">
        <v>0</v>
      </c>
      <c r="AM1182" s="38">
        <f>AL1182/(3.5*I1182*1000)*100</f>
        <v>0</v>
      </c>
      <c r="AN1182" s="41"/>
      <c r="AO1182" s="41"/>
      <c r="AP1182" s="114"/>
      <c r="AQ1182" s="73"/>
      <c r="AR1182" s="73"/>
      <c r="AS1182" s="73"/>
      <c r="AT1182" s="22"/>
      <c r="AU1182" s="22"/>
      <c r="AV1182" s="22"/>
      <c r="AW1182" s="22"/>
      <c r="AX1182" s="22"/>
      <c r="AY1182" s="22"/>
      <c r="AZ1182" s="22"/>
      <c r="BA1182" s="22"/>
      <c r="BB1182" s="22"/>
      <c r="BC1182" s="22"/>
      <c r="BD1182" s="22"/>
      <c r="BE1182" s="22"/>
      <c r="BF1182" s="22"/>
      <c r="BG1182" s="22"/>
      <c r="BH1182" s="22"/>
      <c r="BI1182" s="22"/>
      <c r="BJ1182" s="22"/>
      <c r="BK1182" s="22"/>
      <c r="BL1182" s="22"/>
      <c r="BM1182" s="22"/>
      <c r="BN1182" s="22"/>
      <c r="BO1182" s="22"/>
      <c r="BP1182" s="22"/>
      <c r="BQ1182" s="22"/>
      <c r="BR1182" s="22"/>
      <c r="BS1182" s="22"/>
      <c r="BT1182" s="22"/>
      <c r="BU1182" s="22"/>
      <c r="BV1182" s="22"/>
      <c r="BW1182" s="22"/>
      <c r="BX1182" s="22"/>
      <c r="BY1182" s="22"/>
      <c r="BZ1182" s="22"/>
      <c r="CA1182" s="22"/>
      <c r="CB1182" s="22"/>
      <c r="CC1182" s="22"/>
      <c r="CD1182" s="22"/>
      <c r="CE1182" s="22"/>
      <c r="CF1182" s="22"/>
      <c r="CG1182" s="22"/>
      <c r="CH1182" s="22"/>
      <c r="CI1182" s="22"/>
      <c r="CJ1182" s="22"/>
    </row>
    <row r="1183" spans="1:88" s="182" customFormat="1">
      <c r="A1183" s="1">
        <v>883</v>
      </c>
      <c r="B1183" s="34" t="s">
        <v>1271</v>
      </c>
      <c r="C1183" s="34">
        <v>632</v>
      </c>
      <c r="D1183" s="161">
        <v>2173</v>
      </c>
      <c r="E1183" s="34">
        <v>100</v>
      </c>
      <c r="F1183" s="34" t="s">
        <v>1276</v>
      </c>
      <c r="G1183" s="58">
        <v>900</v>
      </c>
      <c r="H1183" s="58">
        <v>13300</v>
      </c>
      <c r="I1183" s="35">
        <v>13.3</v>
      </c>
      <c r="J1183" s="9">
        <v>2</v>
      </c>
      <c r="K1183" s="34" t="s">
        <v>237</v>
      </c>
      <c r="L1183" s="10">
        <v>42144</v>
      </c>
      <c r="M1183" s="9" t="s">
        <v>191</v>
      </c>
      <c r="N1183" s="38">
        <v>6.4749999999999996</v>
      </c>
      <c r="O1183" s="38">
        <v>3.875</v>
      </c>
      <c r="P1183" s="38">
        <v>1.7250000000000001</v>
      </c>
      <c r="Q1183" s="38">
        <v>1.125</v>
      </c>
      <c r="R1183" s="38">
        <v>2.87853</v>
      </c>
      <c r="S1183" s="38">
        <f t="shared" si="148"/>
        <v>3</v>
      </c>
      <c r="T1183" s="38">
        <v>12.775</v>
      </c>
      <c r="U1183" s="38">
        <v>0.3</v>
      </c>
      <c r="V1183" s="38">
        <v>2.5000000000000001E-2</v>
      </c>
      <c r="W1183" s="38">
        <v>0.1</v>
      </c>
      <c r="X1183" s="38">
        <v>5.3879299999999999</v>
      </c>
      <c r="Y1183" s="38">
        <f t="shared" si="149"/>
        <v>5.5</v>
      </c>
      <c r="Z1183" s="38">
        <v>0</v>
      </c>
      <c r="AA1183" s="38">
        <v>0</v>
      </c>
      <c r="AB1183" s="38">
        <f>N1183+O1183+P1183+Q1183</f>
        <v>13.2</v>
      </c>
      <c r="AC1183" s="38">
        <v>1.2745200000000001</v>
      </c>
      <c r="AD1183" s="38">
        <v>23.66</v>
      </c>
      <c r="AE1183" s="38">
        <v>59.58</v>
      </c>
      <c r="AF1183" s="38">
        <v>0.11482299999999999</v>
      </c>
      <c r="AG1183" s="38">
        <f t="shared" si="150"/>
        <v>0.1</v>
      </c>
      <c r="AH1183" s="38">
        <v>62.31</v>
      </c>
      <c r="AI1183" s="38">
        <v>0.133856</v>
      </c>
      <c r="AJ1183" s="38">
        <v>2.02</v>
      </c>
      <c r="AK1183" s="38">
        <v>4.339E-3</v>
      </c>
      <c r="AL1183" s="38">
        <v>18.39</v>
      </c>
      <c r="AM1183" s="38">
        <v>3.9505999999999999E-2</v>
      </c>
      <c r="AN1183" s="25"/>
      <c r="AO1183" s="25">
        <f>AE1183*0.5</f>
        <v>29.79</v>
      </c>
      <c r="AP1183" s="25">
        <f>(AD1183+AH1183+AJ1183+AL1183+AO1183)*I1183</f>
        <v>1811.0609999999999</v>
      </c>
      <c r="AQ1183" s="25">
        <f>SUM(N1183:Q1183)</f>
        <v>13.2</v>
      </c>
      <c r="AR1183" s="25">
        <f>SUM(T1183:W1183)</f>
        <v>13.200000000000001</v>
      </c>
      <c r="AS1183" s="22"/>
      <c r="AT1183" s="41"/>
      <c r="AU1183" s="41"/>
      <c r="AV1183" s="41"/>
      <c r="AW1183" s="41"/>
      <c r="AX1183" s="22"/>
      <c r="AY1183" s="22"/>
      <c r="AZ1183" s="22"/>
      <c r="BA1183" s="22"/>
      <c r="BB1183" s="22"/>
      <c r="BC1183" s="22"/>
      <c r="BD1183" s="22"/>
      <c r="BE1183" s="22"/>
      <c r="BF1183" s="22"/>
      <c r="BG1183" s="22"/>
      <c r="BH1183" s="22"/>
      <c r="BI1183" s="22"/>
      <c r="BJ1183" s="22"/>
      <c r="BK1183" s="22"/>
      <c r="BL1183" s="22"/>
      <c r="BM1183" s="22"/>
      <c r="BN1183" s="22"/>
      <c r="BO1183" s="22"/>
      <c r="BP1183" s="22"/>
      <c r="BQ1183" s="22"/>
      <c r="BR1183" s="22"/>
      <c r="BS1183" s="22"/>
      <c r="BT1183" s="22"/>
      <c r="BU1183" s="22"/>
      <c r="BV1183" s="22"/>
      <c r="BW1183" s="22"/>
      <c r="BX1183" s="22"/>
      <c r="BY1183" s="22"/>
      <c r="BZ1183" s="22"/>
      <c r="CA1183" s="22"/>
      <c r="CB1183" s="22"/>
      <c r="CC1183" s="22"/>
      <c r="CD1183" s="22"/>
      <c r="CE1183" s="22"/>
      <c r="CF1183" s="22"/>
      <c r="CG1183" s="22"/>
      <c r="CH1183" s="22"/>
      <c r="CI1183" s="22"/>
      <c r="CJ1183" s="22"/>
    </row>
    <row r="1184" spans="1:88" s="182" customFormat="1">
      <c r="A1184" s="1">
        <v>1203</v>
      </c>
      <c r="B1184" s="34" t="s">
        <v>1674</v>
      </c>
      <c r="C1184" s="34">
        <v>435</v>
      </c>
      <c r="D1184" s="34">
        <v>2247</v>
      </c>
      <c r="E1184" s="34">
        <v>101</v>
      </c>
      <c r="F1184" s="34" t="s">
        <v>1692</v>
      </c>
      <c r="G1184" s="34" t="s">
        <v>1693</v>
      </c>
      <c r="H1184" s="34" t="s">
        <v>92</v>
      </c>
      <c r="I1184" s="55">
        <v>16.222000000000001</v>
      </c>
      <c r="J1184" s="34">
        <v>2</v>
      </c>
      <c r="K1184" s="34" t="s">
        <v>12</v>
      </c>
      <c r="L1184" s="10">
        <v>42282</v>
      </c>
      <c r="M1184" s="9" t="s">
        <v>191</v>
      </c>
      <c r="N1184" s="38">
        <v>10.074999999999999</v>
      </c>
      <c r="O1184" s="38">
        <v>3.55</v>
      </c>
      <c r="P1184" s="38">
        <v>1.4750000000000001</v>
      </c>
      <c r="Q1184" s="38">
        <v>1.1000000000000001</v>
      </c>
      <c r="R1184" s="38">
        <v>2.6575299999999999</v>
      </c>
      <c r="S1184" s="38">
        <f t="shared" si="148"/>
        <v>2.5</v>
      </c>
      <c r="T1184" s="38">
        <v>12.5</v>
      </c>
      <c r="U1184" s="38">
        <v>3.1</v>
      </c>
      <c r="V1184" s="38">
        <v>0.57499999999999996</v>
      </c>
      <c r="W1184" s="38">
        <v>2.5000000000000001E-2</v>
      </c>
      <c r="X1184" s="38">
        <v>7.1051299999999999</v>
      </c>
      <c r="Y1184" s="38">
        <f t="shared" si="149"/>
        <v>7</v>
      </c>
      <c r="Z1184" s="38">
        <v>0</v>
      </c>
      <c r="AA1184" s="38">
        <v>0</v>
      </c>
      <c r="AB1184" s="55">
        <v>16.222000000000001</v>
      </c>
      <c r="AC1184" s="38">
        <v>1.19343</v>
      </c>
      <c r="AD1184" s="38">
        <v>58</v>
      </c>
      <c r="AE1184" s="38">
        <v>14.324999999999999</v>
      </c>
      <c r="AF1184" s="38">
        <f>(AD1184+AE1184*0.5)/(3.5*I1184*1000)*100</f>
        <v>0.11476918470507422</v>
      </c>
      <c r="AG1184" s="38">
        <f t="shared" si="150"/>
        <v>0.1</v>
      </c>
      <c r="AH1184" s="38">
        <v>40.25</v>
      </c>
      <c r="AI1184" s="38">
        <v>7.0890999999999996E-2</v>
      </c>
      <c r="AJ1184" s="38">
        <v>0</v>
      </c>
      <c r="AK1184" s="38">
        <v>0</v>
      </c>
      <c r="AL1184" s="38">
        <v>0</v>
      </c>
      <c r="AM1184" s="38">
        <v>0</v>
      </c>
      <c r="AN1184" s="12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</row>
    <row r="1185" spans="1:88">
      <c r="A1185" s="1">
        <v>121</v>
      </c>
      <c r="B1185" s="4" t="s">
        <v>78</v>
      </c>
      <c r="C1185" s="14">
        <v>527</v>
      </c>
      <c r="D1185" s="19">
        <v>1346</v>
      </c>
      <c r="E1185" s="16">
        <v>101</v>
      </c>
      <c r="F1185" s="14" t="s">
        <v>85</v>
      </c>
      <c r="G1185" s="20">
        <v>24801</v>
      </c>
      <c r="H1185" s="20">
        <v>0</v>
      </c>
      <c r="I1185" s="21">
        <v>24.800999999999998</v>
      </c>
      <c r="J1185" s="8">
        <v>2</v>
      </c>
      <c r="K1185" s="9" t="s">
        <v>12</v>
      </c>
      <c r="L1185" s="18">
        <v>42240</v>
      </c>
      <c r="M1185" s="9" t="s">
        <v>191</v>
      </c>
      <c r="N1185" s="11">
        <v>2.66</v>
      </c>
      <c r="O1185" s="11">
        <v>8.61</v>
      </c>
      <c r="P1185" s="11">
        <v>7.64</v>
      </c>
      <c r="Q1185" s="11">
        <v>5.9</v>
      </c>
      <c r="R1185" s="11">
        <v>4.1850300000000002</v>
      </c>
      <c r="S1185" s="38">
        <f t="shared" si="148"/>
        <v>4</v>
      </c>
      <c r="T1185" s="11">
        <v>22.14</v>
      </c>
      <c r="U1185" s="11">
        <v>1.04</v>
      </c>
      <c r="V1185" s="11">
        <v>0.47</v>
      </c>
      <c r="W1185" s="11">
        <v>1.1399999999999999</v>
      </c>
      <c r="X1185" s="11">
        <v>4.9864499999999996</v>
      </c>
      <c r="Y1185" s="38">
        <f t="shared" si="149"/>
        <v>5</v>
      </c>
      <c r="Z1185" s="11">
        <v>0</v>
      </c>
      <c r="AA1185" s="11">
        <v>0</v>
      </c>
      <c r="AB1185" s="11">
        <v>24.8</v>
      </c>
      <c r="AC1185" s="11">
        <v>1.36229</v>
      </c>
      <c r="AD1185" s="11">
        <v>98.63</v>
      </c>
      <c r="AE1185" s="11">
        <v>1.25</v>
      </c>
      <c r="AF1185" s="11">
        <f>(AD1185+AE1185*0.5)/(3.5*I1185*1000)*100</f>
        <v>0.11434446767699458</v>
      </c>
      <c r="AG1185" s="38">
        <f t="shared" si="150"/>
        <v>0.1</v>
      </c>
      <c r="AH1185" s="11">
        <v>10.32</v>
      </c>
      <c r="AI1185" s="11">
        <f>AH1185/(3.5*I1185*1000)*100</f>
        <v>1.1888921529661823E-2</v>
      </c>
      <c r="AJ1185" s="11">
        <v>0</v>
      </c>
      <c r="AK1185" s="11">
        <f>AJ1185/(3.5*I1185*1000)*100</f>
        <v>0</v>
      </c>
      <c r="AL1185" s="11">
        <v>0</v>
      </c>
      <c r="AM1185" s="11">
        <f t="shared" ref="AM1185:AM1190" si="151">AL1185/(3.5*I1185*1000)*100</f>
        <v>0</v>
      </c>
      <c r="AN1185" s="22"/>
      <c r="AO1185" s="25"/>
      <c r="AP1185" s="25">
        <f>SUM(N1185:Q1185)</f>
        <v>24.810000000000002</v>
      </c>
      <c r="AQ1185" s="25">
        <f>SUM(T1185:W1185)</f>
        <v>24.79</v>
      </c>
      <c r="AR1185" s="25">
        <f>SUM(Z1185:AB1185)</f>
        <v>24.8</v>
      </c>
      <c r="AS1185" s="22"/>
      <c r="AT1185" s="22">
        <f>I1185/AP1185</f>
        <v>0.99963724304715829</v>
      </c>
      <c r="AU1185" s="22">
        <f>I1185/AQ1185</f>
        <v>1.0004437273093989</v>
      </c>
      <c r="AV1185" s="22">
        <f>I1185/AR1185</f>
        <v>1.0000403225806451</v>
      </c>
      <c r="AW1185" s="22"/>
      <c r="AX1185" s="22"/>
      <c r="AY1185" s="22"/>
      <c r="AZ1185" s="22"/>
      <c r="BA1185" s="22"/>
      <c r="BB1185" s="22"/>
      <c r="BC1185" s="22"/>
      <c r="BD1185" s="22"/>
      <c r="BE1185" s="22"/>
      <c r="BF1185" s="22"/>
      <c r="BG1185" s="22"/>
      <c r="BH1185" s="22"/>
      <c r="BI1185" s="22"/>
      <c r="BJ1185" s="22"/>
      <c r="BK1185" s="22"/>
      <c r="BL1185" s="22"/>
      <c r="BM1185" s="22"/>
      <c r="BN1185" s="22"/>
      <c r="BO1185" s="22"/>
      <c r="BP1185" s="22"/>
      <c r="BQ1185" s="22"/>
      <c r="BR1185" s="22"/>
      <c r="BS1185" s="22"/>
      <c r="BT1185" s="22"/>
      <c r="BU1185" s="22"/>
      <c r="BV1185" s="22"/>
      <c r="BW1185" s="22"/>
      <c r="BX1185" s="22"/>
      <c r="BY1185" s="22"/>
      <c r="BZ1185" s="22"/>
      <c r="CA1185" s="22"/>
      <c r="CB1185" s="22"/>
      <c r="CC1185" s="22"/>
      <c r="CD1185" s="22"/>
      <c r="CE1185" s="22"/>
      <c r="CF1185" s="22"/>
      <c r="CG1185" s="22"/>
      <c r="CH1185" s="22"/>
      <c r="CI1185" s="22"/>
      <c r="CJ1185" s="22"/>
    </row>
    <row r="1186" spans="1:88">
      <c r="A1186" s="1">
        <v>600</v>
      </c>
      <c r="B1186" s="34" t="s">
        <v>994</v>
      </c>
      <c r="C1186" s="34">
        <v>554</v>
      </c>
      <c r="D1186" s="34">
        <v>201</v>
      </c>
      <c r="E1186" s="34">
        <v>405</v>
      </c>
      <c r="F1186" s="9" t="s">
        <v>1002</v>
      </c>
      <c r="G1186" s="118">
        <v>341241</v>
      </c>
      <c r="H1186" s="118">
        <v>382228</v>
      </c>
      <c r="I1186" s="35">
        <v>40.987000000000002</v>
      </c>
      <c r="J1186" s="71">
        <v>4</v>
      </c>
      <c r="K1186" s="34" t="s">
        <v>237</v>
      </c>
      <c r="L1186" s="10">
        <v>42186</v>
      </c>
      <c r="M1186" s="9" t="s">
        <v>191</v>
      </c>
      <c r="N1186" s="38">
        <v>25.55</v>
      </c>
      <c r="O1186" s="38">
        <v>8.9600000000000009</v>
      </c>
      <c r="P1186" s="38">
        <v>4</v>
      </c>
      <c r="Q1186" s="38">
        <v>2.48</v>
      </c>
      <c r="R1186" s="38">
        <v>2.8580000000000001</v>
      </c>
      <c r="S1186" s="38">
        <f t="shared" si="148"/>
        <v>3</v>
      </c>
      <c r="T1186" s="38">
        <v>36.64</v>
      </c>
      <c r="U1186" s="38">
        <v>3</v>
      </c>
      <c r="V1186" s="38">
        <v>0.85</v>
      </c>
      <c r="W1186" s="38">
        <v>0.5</v>
      </c>
      <c r="X1186" s="38">
        <v>5.6139999999999999</v>
      </c>
      <c r="Y1186" s="38">
        <f t="shared" si="149"/>
        <v>5.5</v>
      </c>
      <c r="Z1186" s="38">
        <v>0</v>
      </c>
      <c r="AA1186" s="38">
        <v>0</v>
      </c>
      <c r="AB1186" s="38">
        <v>40.99</v>
      </c>
      <c r="AC1186" s="38">
        <v>1.175</v>
      </c>
      <c r="AD1186" s="38">
        <v>164</v>
      </c>
      <c r="AE1186" s="38">
        <v>0</v>
      </c>
      <c r="AF1186" s="38">
        <v>0.11432196271291593</v>
      </c>
      <c r="AG1186" s="38">
        <f t="shared" si="150"/>
        <v>0.1</v>
      </c>
      <c r="AH1186" s="38">
        <v>6</v>
      </c>
      <c r="AI1186" s="38">
        <v>4.1825108309603391E-3</v>
      </c>
      <c r="AJ1186" s="38">
        <v>0</v>
      </c>
      <c r="AK1186" s="38">
        <v>0</v>
      </c>
      <c r="AL1186" s="38">
        <v>0</v>
      </c>
      <c r="AM1186" s="38">
        <f t="shared" si="151"/>
        <v>0</v>
      </c>
      <c r="AN1186" s="60"/>
      <c r="AO1186" s="60">
        <f>AE1186*0.5</f>
        <v>0</v>
      </c>
      <c r="AP1186" s="60">
        <f>(AD1186+AH1186+AJ1186+AL1186+AO1186)*I1186</f>
        <v>6967.79</v>
      </c>
      <c r="AQ1186" s="25">
        <f>SUM(N1186:Q1186)</f>
        <v>40.99</v>
      </c>
      <c r="AR1186" s="25">
        <f>SUM(T1186:W1186)</f>
        <v>40.99</v>
      </c>
      <c r="AS1186" s="268">
        <v>40.987000000000002</v>
      </c>
      <c r="AT1186" s="40"/>
      <c r="AU1186" s="41">
        <f>SUM(N1186:Q1186)</f>
        <v>40.99</v>
      </c>
      <c r="AV1186" s="41">
        <f>SUM(T1186:W1186)</f>
        <v>40.99</v>
      </c>
      <c r="AW1186" s="41">
        <f>SUM(Z1186:AB1186)</f>
        <v>40.99</v>
      </c>
      <c r="AX1186" s="22"/>
      <c r="AY1186" s="22">
        <f>I1186/AU1186</f>
        <v>0.9999268114174189</v>
      </c>
      <c r="AZ1186" s="22">
        <f>I1186/AV1186</f>
        <v>0.9999268114174189</v>
      </c>
      <c r="BA1186" s="22">
        <f>I1186/AW1186</f>
        <v>0.9999268114174189</v>
      </c>
      <c r="BB1186" s="61"/>
      <c r="BC1186" s="61"/>
      <c r="BD1186" s="61"/>
      <c r="BE1186" s="61"/>
      <c r="BF1186" s="61"/>
      <c r="BG1186" s="61"/>
      <c r="BH1186" s="61"/>
      <c r="BI1186" s="61"/>
      <c r="BJ1186" s="61"/>
      <c r="BK1186" s="61"/>
      <c r="BL1186" s="61"/>
      <c r="BM1186" s="61"/>
      <c r="BN1186" s="61"/>
      <c r="BO1186" s="61"/>
      <c r="BP1186" s="61"/>
      <c r="BQ1186" s="61"/>
      <c r="BR1186" s="61"/>
      <c r="BS1186" s="61"/>
      <c r="BT1186" s="61"/>
      <c r="BU1186" s="61"/>
      <c r="BV1186" s="61"/>
      <c r="BW1186" s="61"/>
      <c r="BX1186" s="61"/>
      <c r="BY1186" s="61"/>
      <c r="BZ1186" s="61"/>
      <c r="CA1186" s="61"/>
      <c r="CB1186" s="61"/>
      <c r="CC1186" s="61"/>
      <c r="CD1186" s="61"/>
      <c r="CE1186" s="61"/>
      <c r="CF1186" s="61"/>
      <c r="CG1186" s="61"/>
      <c r="CH1186" s="61"/>
      <c r="CI1186" s="61"/>
      <c r="CJ1186" s="61"/>
    </row>
    <row r="1187" spans="1:88">
      <c r="A1187" s="1">
        <v>556</v>
      </c>
      <c r="B1187" s="34" t="s">
        <v>948</v>
      </c>
      <c r="C1187" s="34">
        <v>551</v>
      </c>
      <c r="D1187" s="34">
        <v>2216</v>
      </c>
      <c r="E1187" s="34">
        <v>201</v>
      </c>
      <c r="F1187" s="9" t="s">
        <v>957</v>
      </c>
      <c r="G1187" s="20">
        <v>513</v>
      </c>
      <c r="H1187" s="20">
        <v>10000</v>
      </c>
      <c r="I1187" s="35">
        <v>9.4870000000000001</v>
      </c>
      <c r="J1187" s="71">
        <v>2</v>
      </c>
      <c r="K1187" s="34" t="s">
        <v>238</v>
      </c>
      <c r="L1187" s="10">
        <v>42178</v>
      </c>
      <c r="M1187" s="9" t="s">
        <v>191</v>
      </c>
      <c r="N1187" s="38">
        <v>3.66</v>
      </c>
      <c r="O1187" s="38">
        <v>3.36</v>
      </c>
      <c r="P1187" s="38">
        <v>2.09</v>
      </c>
      <c r="Q1187" s="38">
        <v>0.38</v>
      </c>
      <c r="R1187" s="38">
        <v>2.9040499999999998</v>
      </c>
      <c r="S1187" s="38">
        <f t="shared" si="148"/>
        <v>3</v>
      </c>
      <c r="T1187" s="38">
        <v>9.02</v>
      </c>
      <c r="U1187" s="38">
        <v>0.38</v>
      </c>
      <c r="V1187" s="38">
        <v>0.1</v>
      </c>
      <c r="W1187" s="38">
        <v>0</v>
      </c>
      <c r="X1187" s="38">
        <v>4.1616</v>
      </c>
      <c r="Y1187" s="38">
        <f t="shared" si="149"/>
        <v>4</v>
      </c>
      <c r="Z1187" s="38">
        <v>0</v>
      </c>
      <c r="AA1187" s="38">
        <v>0</v>
      </c>
      <c r="AB1187" s="38">
        <f>T1187+U1187+V1187+W1187</f>
        <v>9.5</v>
      </c>
      <c r="AC1187" s="38">
        <v>1.2184600000000001</v>
      </c>
      <c r="AD1187" s="38">
        <v>28.24</v>
      </c>
      <c r="AE1187" s="38">
        <v>18.97</v>
      </c>
      <c r="AF1187" s="38">
        <f>(AD1187+AE1187*0.5)/(3.5*I1187*1000)*100</f>
        <v>0.11361411856826632</v>
      </c>
      <c r="AG1187" s="38">
        <f t="shared" si="150"/>
        <v>0.1</v>
      </c>
      <c r="AH1187" s="38">
        <v>0</v>
      </c>
      <c r="AI1187" s="38">
        <f>AH1187/(3.5*I1187*1000)*100</f>
        <v>0</v>
      </c>
      <c r="AJ1187" s="38">
        <v>0</v>
      </c>
      <c r="AK1187" s="38">
        <f>AJ1187/(3.5*I1187*1000)*100</f>
        <v>0</v>
      </c>
      <c r="AL1187" s="38">
        <v>0</v>
      </c>
      <c r="AM1187" s="38">
        <f t="shared" si="151"/>
        <v>0</v>
      </c>
      <c r="AN1187" s="25"/>
      <c r="AO1187" s="25">
        <f>AE1187*0.5</f>
        <v>9.4849999999999994</v>
      </c>
      <c r="AP1187" s="25">
        <f>(AD1187+AH1187+AJ1187+AL1187+AO1187)*I1187</f>
        <v>357.89707499999997</v>
      </c>
      <c r="AQ1187" s="25">
        <f>SUM(N1187:Q1187)</f>
        <v>9.49</v>
      </c>
      <c r="AR1187" s="25">
        <f>SUM(T1187:W1187)</f>
        <v>9.5</v>
      </c>
      <c r="AS1187" s="268">
        <v>9.4870000000000001</v>
      </c>
      <c r="AT1187" s="41"/>
      <c r="AU1187" s="41">
        <f>SUM(N1187:Q1187)</f>
        <v>9.49</v>
      </c>
      <c r="AV1187" s="41">
        <f>SUM(T1187:W1187)</f>
        <v>9.5</v>
      </c>
      <c r="AW1187" s="41">
        <f>SUM(Z1187:AB1187)</f>
        <v>9.5</v>
      </c>
      <c r="AX1187" s="22"/>
      <c r="AY1187" s="22">
        <f>I1187/AU1187</f>
        <v>0.99968387776606948</v>
      </c>
      <c r="AZ1187" s="22">
        <f>I1187/AV1187</f>
        <v>0.99863157894736843</v>
      </c>
      <c r="BA1187" s="22">
        <f>I1187/AW1187</f>
        <v>0.99863157894736843</v>
      </c>
      <c r="BB1187" s="22"/>
      <c r="BC1187" s="22"/>
      <c r="BD1187" s="22"/>
      <c r="BE1187" s="22"/>
      <c r="BF1187" s="22"/>
      <c r="BG1187" s="22"/>
      <c r="BH1187" s="22"/>
      <c r="BI1187" s="22"/>
      <c r="BJ1187" s="22"/>
      <c r="BK1187" s="22"/>
      <c r="BL1187" s="22"/>
      <c r="BM1187" s="22"/>
      <c r="BN1187" s="22"/>
      <c r="BO1187" s="22"/>
      <c r="BP1187" s="22"/>
      <c r="BQ1187" s="22"/>
      <c r="BR1187" s="22"/>
      <c r="BS1187" s="22"/>
      <c r="BT1187" s="22"/>
      <c r="BU1187" s="22"/>
      <c r="BV1187" s="22"/>
      <c r="BW1187" s="22"/>
      <c r="BX1187" s="22"/>
      <c r="BY1187" s="22"/>
      <c r="BZ1187" s="22"/>
      <c r="CA1187" s="22"/>
      <c r="CB1187" s="22"/>
      <c r="CC1187" s="22"/>
      <c r="CD1187" s="22"/>
      <c r="CE1187" s="22"/>
      <c r="CF1187" s="22"/>
      <c r="CG1187" s="22"/>
      <c r="CH1187" s="22"/>
      <c r="CI1187" s="22"/>
      <c r="CJ1187" s="22"/>
    </row>
    <row r="1188" spans="1:88">
      <c r="A1188" s="1">
        <v>1446</v>
      </c>
      <c r="B1188" s="34" t="s">
        <v>1987</v>
      </c>
      <c r="C1188" s="34">
        <v>448</v>
      </c>
      <c r="D1188" s="75">
        <v>309</v>
      </c>
      <c r="E1188" s="69">
        <v>202</v>
      </c>
      <c r="F1188" s="34" t="s">
        <v>1995</v>
      </c>
      <c r="G1188" s="20" t="s">
        <v>1994</v>
      </c>
      <c r="H1188" s="20" t="s">
        <v>1997</v>
      </c>
      <c r="I1188" s="21">
        <v>2.371</v>
      </c>
      <c r="J1188" s="8">
        <v>4</v>
      </c>
      <c r="K1188" s="34" t="s">
        <v>96</v>
      </c>
      <c r="L1188" s="10">
        <v>42181</v>
      </c>
      <c r="M1188" s="9" t="s">
        <v>191</v>
      </c>
      <c r="N1188" s="38">
        <v>1.3</v>
      </c>
      <c r="O1188" s="38">
        <v>0.45</v>
      </c>
      <c r="P1188" s="38">
        <v>0.22500000000000001</v>
      </c>
      <c r="Q1188" s="38">
        <v>0.22500000000000001</v>
      </c>
      <c r="R1188" s="38">
        <v>3.5139999999999998</v>
      </c>
      <c r="S1188" s="38">
        <f t="shared" si="148"/>
        <v>3.5</v>
      </c>
      <c r="T1188" s="38">
        <v>1.75</v>
      </c>
      <c r="U1188" s="38">
        <v>0.45</v>
      </c>
      <c r="V1188" s="38">
        <v>0</v>
      </c>
      <c r="W1188" s="38">
        <v>0</v>
      </c>
      <c r="X1188" s="38">
        <v>2.9409999999999998</v>
      </c>
      <c r="Y1188" s="38">
        <f t="shared" si="149"/>
        <v>3</v>
      </c>
      <c r="Z1188" s="38">
        <v>0</v>
      </c>
      <c r="AA1188" s="38">
        <v>0</v>
      </c>
      <c r="AB1188" s="38">
        <v>2.2000000000000002</v>
      </c>
      <c r="AC1188" s="38">
        <v>1.1120000000000001</v>
      </c>
      <c r="AD1188" s="38">
        <v>5.1100000000000003</v>
      </c>
      <c r="AE1188" s="38">
        <v>8.51</v>
      </c>
      <c r="AF1188" s="38">
        <f>(AD1188+AE1188*0.5)/(3.5*I1188*1000)*100</f>
        <v>0.11285172019039585</v>
      </c>
      <c r="AG1188" s="38">
        <f t="shared" si="150"/>
        <v>0.1</v>
      </c>
      <c r="AH1188" s="38">
        <v>16.8</v>
      </c>
      <c r="AI1188" s="38">
        <f>AH1188/(3.5*I1188*1000)*100</f>
        <v>0.20244622522142558</v>
      </c>
      <c r="AJ1188" s="38">
        <v>0</v>
      </c>
      <c r="AK1188" s="38">
        <f>AJ1188/(3.5*I1188*1000)*100</f>
        <v>0</v>
      </c>
      <c r="AL1188" s="38">
        <v>0</v>
      </c>
      <c r="AM1188" s="38">
        <f t="shared" si="151"/>
        <v>0</v>
      </c>
      <c r="AN1188" s="72"/>
      <c r="AO1188" s="41"/>
      <c r="AP1188" s="41"/>
      <c r="AQ1188" s="73"/>
      <c r="AR1188" s="73"/>
      <c r="AS1188" s="73"/>
      <c r="AT1188" s="73"/>
      <c r="AU1188" s="73"/>
      <c r="AV1188" s="73"/>
      <c r="AW1188" s="22"/>
      <c r="AX1188" s="22"/>
      <c r="AY1188" s="22"/>
      <c r="AZ1188" s="22"/>
      <c r="BA1188" s="22"/>
      <c r="BB1188" s="22"/>
      <c r="BC1188" s="22"/>
      <c r="BD1188" s="22"/>
      <c r="BE1188" s="22"/>
      <c r="BF1188" s="22"/>
      <c r="BG1188" s="22"/>
      <c r="BH1188" s="22"/>
      <c r="BI1188" s="22"/>
      <c r="BJ1188" s="22"/>
      <c r="BK1188" s="22"/>
      <c r="BL1188" s="22"/>
      <c r="BM1188" s="22"/>
      <c r="BN1188" s="22"/>
      <c r="BO1188" s="22"/>
      <c r="BP1188" s="22"/>
      <c r="BQ1188" s="22"/>
      <c r="BR1188" s="22"/>
      <c r="BS1188" s="22"/>
      <c r="BT1188" s="22"/>
      <c r="BU1188" s="22"/>
      <c r="BV1188" s="22"/>
      <c r="BW1188" s="22"/>
      <c r="BX1188" s="22"/>
      <c r="BY1188" s="22"/>
      <c r="BZ1188" s="22"/>
      <c r="CA1188" s="22"/>
      <c r="CB1188" s="22"/>
      <c r="CC1188" s="22"/>
      <c r="CD1188" s="22"/>
      <c r="CE1188" s="22"/>
      <c r="CF1188" s="22"/>
      <c r="CG1188" s="22"/>
      <c r="CH1188" s="22"/>
      <c r="CI1188" s="22"/>
      <c r="CJ1188" s="22"/>
    </row>
    <row r="1189" spans="1:88">
      <c r="A1189" s="1">
        <v>111</v>
      </c>
      <c r="B1189" s="4" t="s">
        <v>78</v>
      </c>
      <c r="C1189" s="14">
        <v>527</v>
      </c>
      <c r="D1189" s="19">
        <v>1001</v>
      </c>
      <c r="E1189" s="16">
        <v>200</v>
      </c>
      <c r="F1189" s="31" t="s">
        <v>81</v>
      </c>
      <c r="G1189" s="20" t="s">
        <v>215</v>
      </c>
      <c r="H1189" s="20" t="s">
        <v>95</v>
      </c>
      <c r="I1189" s="21">
        <v>59.517000000000003</v>
      </c>
      <c r="J1189" s="8">
        <v>2</v>
      </c>
      <c r="K1189" s="9" t="s">
        <v>12</v>
      </c>
      <c r="L1189" s="18">
        <v>42242</v>
      </c>
      <c r="M1189" s="9" t="s">
        <v>191</v>
      </c>
      <c r="N1189" s="11">
        <v>42.16</v>
      </c>
      <c r="O1189" s="11">
        <v>12.05</v>
      </c>
      <c r="P1189" s="11">
        <v>3.98</v>
      </c>
      <c r="Q1189" s="11">
        <v>1.32</v>
      </c>
      <c r="R1189" s="11">
        <v>2.31962</v>
      </c>
      <c r="S1189" s="38">
        <f t="shared" si="148"/>
        <v>2.5</v>
      </c>
      <c r="T1189" s="11">
        <v>59.04</v>
      </c>
      <c r="U1189" s="11">
        <v>0.35</v>
      </c>
      <c r="V1189" s="11">
        <v>7.0000000000000007E-2</v>
      </c>
      <c r="W1189" s="11">
        <v>0.05</v>
      </c>
      <c r="X1189" s="11">
        <v>2.8850799999999999</v>
      </c>
      <c r="Y1189" s="38">
        <f t="shared" si="149"/>
        <v>3</v>
      </c>
      <c r="Z1189" s="11">
        <v>0</v>
      </c>
      <c r="AA1189" s="11">
        <v>0</v>
      </c>
      <c r="AB1189" s="11">
        <v>59.52</v>
      </c>
      <c r="AC1189" s="11">
        <v>1.12401</v>
      </c>
      <c r="AD1189" s="11">
        <v>223.34</v>
      </c>
      <c r="AE1189" s="11">
        <v>23.17</v>
      </c>
      <c r="AF1189" s="11">
        <f>(AD1189+AE1189*0.5)/(3.5*I1189*1000)*100</f>
        <v>0.11277690167755192</v>
      </c>
      <c r="AG1189" s="38">
        <f t="shared" si="150"/>
        <v>0.1</v>
      </c>
      <c r="AH1189" s="11">
        <v>0</v>
      </c>
      <c r="AI1189" s="11">
        <f>AH1189/(3.5*I1189*1000)*100</f>
        <v>0</v>
      </c>
      <c r="AJ1189" s="11">
        <v>28</v>
      </c>
      <c r="AK1189" s="11">
        <f>AJ1189/(3.5*I1189*1000)*100</f>
        <v>1.3441537711914243E-2</v>
      </c>
      <c r="AL1189" s="11">
        <v>0</v>
      </c>
      <c r="AM1189" s="11">
        <f t="shared" si="151"/>
        <v>0</v>
      </c>
      <c r="AN1189" s="22"/>
      <c r="AO1189" s="25"/>
      <c r="AP1189" s="25">
        <f>SUM(N1189:Q1189)</f>
        <v>59.509999999999991</v>
      </c>
      <c r="AQ1189" s="25">
        <f>SUM(T1189:W1189)</f>
        <v>59.51</v>
      </c>
      <c r="AR1189" s="25">
        <f>SUM(Z1189:AB1189)</f>
        <v>59.52</v>
      </c>
      <c r="AS1189" s="22"/>
      <c r="AT1189" s="22">
        <f>I1189/AP1189</f>
        <v>1.0001176272895314</v>
      </c>
      <c r="AU1189" s="22">
        <f>I1189/AQ1189</f>
        <v>1.0001176272895314</v>
      </c>
      <c r="AV1189" s="22">
        <f>I1189/AR1189</f>
        <v>0.99994959677419359</v>
      </c>
      <c r="AW1189" s="22"/>
      <c r="AX1189" s="22"/>
      <c r="AY1189" s="22"/>
      <c r="AZ1189" s="22"/>
      <c r="BA1189" s="22"/>
      <c r="BB1189" s="22"/>
      <c r="BC1189" s="22"/>
      <c r="BD1189" s="22"/>
      <c r="BE1189" s="22"/>
      <c r="BF1189" s="22"/>
      <c r="BG1189" s="22"/>
      <c r="BH1189" s="22"/>
      <c r="BI1189" s="22"/>
      <c r="BJ1189" s="22"/>
      <c r="BK1189" s="22"/>
      <c r="BL1189" s="22"/>
      <c r="BM1189" s="22"/>
      <c r="BN1189" s="22"/>
      <c r="BO1189" s="22"/>
      <c r="BP1189" s="22"/>
      <c r="BQ1189" s="22"/>
      <c r="BR1189" s="22"/>
      <c r="BS1189" s="22"/>
      <c r="BT1189" s="22"/>
      <c r="BU1189" s="22"/>
      <c r="BV1189" s="22"/>
      <c r="BW1189" s="22"/>
      <c r="BX1189" s="22"/>
      <c r="BY1189" s="22"/>
      <c r="BZ1189" s="22"/>
      <c r="CA1189" s="22"/>
      <c r="CB1189" s="22"/>
      <c r="CC1189" s="22"/>
      <c r="CD1189" s="22"/>
      <c r="CE1189" s="22"/>
      <c r="CF1189" s="22"/>
      <c r="CG1189" s="22"/>
      <c r="CH1189" s="22"/>
      <c r="CI1189" s="22"/>
      <c r="CJ1189" s="22"/>
    </row>
    <row r="1190" spans="1:88">
      <c r="A1190" s="1">
        <v>145</v>
      </c>
      <c r="B1190" s="34" t="s">
        <v>294</v>
      </c>
      <c r="C1190" s="34">
        <v>531</v>
      </c>
      <c r="D1190" s="34">
        <v>1022</v>
      </c>
      <c r="E1190" s="34">
        <v>100</v>
      </c>
      <c r="F1190" s="34" t="s">
        <v>305</v>
      </c>
      <c r="G1190" s="20" t="s">
        <v>306</v>
      </c>
      <c r="H1190" s="20" t="s">
        <v>307</v>
      </c>
      <c r="I1190" s="35">
        <v>22.981000000000002</v>
      </c>
      <c r="J1190" s="36">
        <v>2</v>
      </c>
      <c r="K1190" s="34" t="s">
        <v>238</v>
      </c>
      <c r="L1190" s="18">
        <v>42223</v>
      </c>
      <c r="M1190" s="9" t="s">
        <v>191</v>
      </c>
      <c r="N1190" s="38">
        <v>15.56</v>
      </c>
      <c r="O1190" s="38">
        <v>3.95</v>
      </c>
      <c r="P1190" s="38">
        <v>2.19</v>
      </c>
      <c r="Q1190" s="38">
        <v>1.3</v>
      </c>
      <c r="R1190" s="38">
        <v>2.4929999999999999</v>
      </c>
      <c r="S1190" s="38">
        <f t="shared" si="148"/>
        <v>2.5</v>
      </c>
      <c r="T1190" s="38">
        <v>10.7</v>
      </c>
      <c r="U1190" s="38">
        <v>2.87</v>
      </c>
      <c r="V1190" s="38">
        <v>1.96</v>
      </c>
      <c r="W1190" s="38">
        <v>7.47</v>
      </c>
      <c r="X1190" s="38">
        <v>19.635000000000002</v>
      </c>
      <c r="Y1190" s="38">
        <f t="shared" si="149"/>
        <v>19.5</v>
      </c>
      <c r="Z1190" s="38">
        <v>0</v>
      </c>
      <c r="AA1190" s="38">
        <v>0</v>
      </c>
      <c r="AB1190" s="38">
        <v>22.99</v>
      </c>
      <c r="AC1190" s="38">
        <v>1.1870000000000001</v>
      </c>
      <c r="AD1190" s="38">
        <v>18.09</v>
      </c>
      <c r="AE1190" s="38">
        <v>144.94999999999999</v>
      </c>
      <c r="AF1190" s="38">
        <f>(AD1190+AE1190*0.5)/(3.5*I1190*1000)*100</f>
        <v>0.11259611977596398</v>
      </c>
      <c r="AG1190" s="38">
        <f t="shared" si="150"/>
        <v>0.1</v>
      </c>
      <c r="AH1190" s="38">
        <v>42.02</v>
      </c>
      <c r="AI1190" s="38">
        <f>AH1190/(3.5*I1190*1000)*100</f>
        <v>5.2241914127819866E-2</v>
      </c>
      <c r="AJ1190" s="38">
        <v>87.09</v>
      </c>
      <c r="AK1190" s="38">
        <f>AJ1190/(3.5*I1190*1000)*100</f>
        <v>0.10827578061379896</v>
      </c>
      <c r="AL1190" s="38">
        <v>0.36</v>
      </c>
      <c r="AM1190" s="38">
        <f t="shared" si="151"/>
        <v>4.4757470456961327E-4</v>
      </c>
      <c r="AN1190" s="40"/>
      <c r="AO1190" s="40">
        <f>AE1190*0.5</f>
        <v>72.474999999999994</v>
      </c>
      <c r="AP1190" s="40">
        <f>(AD1190+AH1190+AJ1190+AL1190+AO1190)*I1190</f>
        <v>5056.6243350000004</v>
      </c>
      <c r="AQ1190" s="25">
        <f>SUM(N1190:Q1190)</f>
        <v>23.000000000000004</v>
      </c>
      <c r="AR1190" s="25">
        <f>SUM(T1190:W1190)</f>
        <v>23</v>
      </c>
      <c r="AS1190" s="22"/>
      <c r="AT1190" s="41"/>
      <c r="AU1190" s="41">
        <f>SUM(N1190:Q1190)</f>
        <v>23.000000000000004</v>
      </c>
      <c r="AV1190" s="41">
        <f>SUM(T1190:W1190)</f>
        <v>23</v>
      </c>
      <c r="AW1190" s="41">
        <f>SUM(Z1190:AB1190)</f>
        <v>22.99</v>
      </c>
      <c r="AX1190" s="22"/>
      <c r="AY1190" s="22">
        <f>I1190/AU1190</f>
        <v>0.99917391304347813</v>
      </c>
      <c r="AZ1190" s="22">
        <f>I1190/AV1190</f>
        <v>0.99917391304347836</v>
      </c>
      <c r="BA1190" s="22">
        <f>I1190/AW1190</f>
        <v>0.99960852544584611</v>
      </c>
      <c r="BB1190" s="22"/>
      <c r="BC1190" s="22"/>
      <c r="BD1190" s="22"/>
      <c r="BE1190" s="22"/>
      <c r="BF1190" s="22"/>
      <c r="BG1190" s="22"/>
      <c r="BH1190" s="22"/>
      <c r="BI1190" s="22"/>
      <c r="BJ1190" s="22"/>
      <c r="BK1190" s="22"/>
      <c r="BL1190" s="22"/>
      <c r="BM1190" s="22"/>
      <c r="BN1190" s="22"/>
      <c r="BO1190" s="22"/>
      <c r="BP1190" s="22"/>
      <c r="BQ1190" s="22"/>
      <c r="BR1190" s="22"/>
      <c r="BS1190" s="22"/>
      <c r="BT1190" s="22"/>
      <c r="BU1190" s="22"/>
      <c r="BV1190" s="22"/>
      <c r="BW1190" s="22"/>
      <c r="BX1190" s="22"/>
      <c r="BY1190" s="22"/>
      <c r="BZ1190" s="22"/>
      <c r="CA1190" s="22"/>
      <c r="CB1190" s="22"/>
      <c r="CC1190" s="22"/>
      <c r="CD1190" s="22"/>
      <c r="CE1190" s="22"/>
      <c r="CF1190" s="22"/>
      <c r="CG1190" s="22"/>
      <c r="CH1190" s="22"/>
      <c r="CI1190" s="22"/>
      <c r="CJ1190" s="22"/>
    </row>
    <row r="1191" spans="1:88">
      <c r="A1191" s="1">
        <v>534</v>
      </c>
      <c r="B1191" s="88" t="s">
        <v>915</v>
      </c>
      <c r="C1191" s="88">
        <v>558</v>
      </c>
      <c r="D1191" s="88">
        <v>117</v>
      </c>
      <c r="E1191" s="88">
        <v>503</v>
      </c>
      <c r="F1191" s="88" t="s">
        <v>921</v>
      </c>
      <c r="G1191" s="88" t="s">
        <v>920</v>
      </c>
      <c r="H1191" s="88" t="s">
        <v>922</v>
      </c>
      <c r="I1191" s="88">
        <v>22.869</v>
      </c>
      <c r="J1191" s="88" t="s">
        <v>238</v>
      </c>
      <c r="K1191" s="88">
        <v>2</v>
      </c>
      <c r="L1191" s="116">
        <v>42272</v>
      </c>
      <c r="M1191" s="9" t="s">
        <v>191</v>
      </c>
      <c r="N1191" s="117">
        <v>11.18</v>
      </c>
      <c r="O1191" s="117">
        <v>6.65</v>
      </c>
      <c r="P1191" s="117">
        <v>3.6</v>
      </c>
      <c r="Q1191" s="117">
        <v>1.33</v>
      </c>
      <c r="R1191" s="117">
        <v>2.8107099999999998</v>
      </c>
      <c r="S1191" s="38">
        <f t="shared" si="148"/>
        <v>3</v>
      </c>
      <c r="T1191" s="117">
        <v>22.4</v>
      </c>
      <c r="U1191" s="117">
        <v>0.3</v>
      </c>
      <c r="V1191" s="117">
        <v>0.05</v>
      </c>
      <c r="W1191" s="117">
        <v>0</v>
      </c>
      <c r="X1191" s="117">
        <v>3.1872500000000001</v>
      </c>
      <c r="Y1191" s="38">
        <f t="shared" si="149"/>
        <v>3</v>
      </c>
      <c r="Z1191" s="117">
        <v>0</v>
      </c>
      <c r="AA1191" s="117">
        <v>0</v>
      </c>
      <c r="AB1191" s="117">
        <v>22.759999999999998</v>
      </c>
      <c r="AC1191" s="117">
        <v>1.3715200000000001</v>
      </c>
      <c r="AD1191" s="117">
        <v>85.16</v>
      </c>
      <c r="AE1191" s="117">
        <v>9.57</v>
      </c>
      <c r="AF1191" s="117">
        <v>0.112373</v>
      </c>
      <c r="AG1191" s="38">
        <f t="shared" si="150"/>
        <v>0.1</v>
      </c>
      <c r="AH1191" s="117">
        <v>86.74</v>
      </c>
      <c r="AI1191" s="117">
        <v>0.10836899999999999</v>
      </c>
      <c r="AJ1191" s="117">
        <v>0</v>
      </c>
      <c r="AK1191" s="117">
        <v>0</v>
      </c>
      <c r="AL1191" s="117">
        <v>0</v>
      </c>
      <c r="AM1191" s="117">
        <v>0</v>
      </c>
      <c r="AN1191" s="41"/>
      <c r="AO1191" s="41"/>
      <c r="AP1191" s="73"/>
      <c r="AQ1191" s="73"/>
    </row>
    <row r="1192" spans="1:88">
      <c r="A1192" s="1">
        <v>2201</v>
      </c>
      <c r="B1192" s="34" t="s">
        <v>2827</v>
      </c>
      <c r="C1192" s="34">
        <v>314</v>
      </c>
      <c r="D1192" s="75">
        <v>4164</v>
      </c>
      <c r="E1192" s="8">
        <v>100</v>
      </c>
      <c r="F1192" s="9" t="s">
        <v>2846</v>
      </c>
      <c r="G1192" s="20">
        <v>0</v>
      </c>
      <c r="H1192" s="20">
        <v>17218</v>
      </c>
      <c r="I1192" s="21">
        <v>17.218</v>
      </c>
      <c r="J1192" s="8">
        <v>2</v>
      </c>
      <c r="K1192" s="8" t="s">
        <v>238</v>
      </c>
      <c r="L1192" s="18">
        <v>42144</v>
      </c>
      <c r="M1192" s="9" t="s">
        <v>191</v>
      </c>
      <c r="N1192" s="38">
        <v>12.175000000000001</v>
      </c>
      <c r="O1192" s="38">
        <v>3.6</v>
      </c>
      <c r="P1192" s="38">
        <v>1.1000000000000001</v>
      </c>
      <c r="Q1192" s="38">
        <v>0.25</v>
      </c>
      <c r="R1192" s="38">
        <v>2.1090800000000001</v>
      </c>
      <c r="S1192" s="38">
        <f t="shared" si="148"/>
        <v>2</v>
      </c>
      <c r="T1192" s="38">
        <v>15.95</v>
      </c>
      <c r="U1192" s="38">
        <v>0.75</v>
      </c>
      <c r="V1192" s="38">
        <v>0.3</v>
      </c>
      <c r="W1192" s="38">
        <v>0.125</v>
      </c>
      <c r="X1192" s="38">
        <v>3.1525400000000001</v>
      </c>
      <c r="Y1192" s="38">
        <f t="shared" si="149"/>
        <v>3</v>
      </c>
      <c r="Z1192" s="38">
        <v>0</v>
      </c>
      <c r="AA1192" s="38">
        <v>0</v>
      </c>
      <c r="AB1192" s="38">
        <v>17.125</v>
      </c>
      <c r="AC1192" s="38">
        <v>1.2021900000000001</v>
      </c>
      <c r="AD1192" s="38">
        <v>11.03</v>
      </c>
      <c r="AE1192" s="38">
        <v>112.48</v>
      </c>
      <c r="AF1192" s="38">
        <f>(AD1192+AE1192*0.5)/(3.5*I1192*1000)*100</f>
        <v>0.11162736670925774</v>
      </c>
      <c r="AG1192" s="38">
        <f t="shared" si="150"/>
        <v>0.1</v>
      </c>
      <c r="AH1192" s="38">
        <v>222.19</v>
      </c>
      <c r="AI1192" s="38">
        <f>AH1192/(3.5*I1192*1000)*100</f>
        <v>0.3687005293463651</v>
      </c>
      <c r="AJ1192" s="38">
        <v>23.06</v>
      </c>
      <c r="AK1192" s="38">
        <v>3.8265602442626487E-2</v>
      </c>
      <c r="AL1192" s="38">
        <v>1</v>
      </c>
      <c r="AM1192" s="38">
        <f>AL1192/(3.5*I1192*1000)*100</f>
        <v>1.6593929940427793E-3</v>
      </c>
      <c r="AN1192" s="72"/>
      <c r="AO1192" s="41"/>
      <c r="AP1192" s="41"/>
      <c r="AQ1192" s="73"/>
      <c r="AR1192" s="73"/>
      <c r="AS1192" s="73"/>
      <c r="AT1192" s="73"/>
    </row>
    <row r="1193" spans="1:88">
      <c r="A1193" s="1">
        <v>1226</v>
      </c>
      <c r="B1193" s="34" t="s">
        <v>1725</v>
      </c>
      <c r="C1193" s="88">
        <v>437</v>
      </c>
      <c r="D1193" s="88">
        <v>1072</v>
      </c>
      <c r="E1193" s="88">
        <v>101</v>
      </c>
      <c r="F1193" s="88" t="s">
        <v>1728</v>
      </c>
      <c r="G1193" s="88">
        <v>0</v>
      </c>
      <c r="H1193" s="88" t="s">
        <v>1729</v>
      </c>
      <c r="I1193" s="115">
        <v>22.509</v>
      </c>
      <c r="J1193" s="88">
        <v>2</v>
      </c>
      <c r="K1193" s="181" t="s">
        <v>238</v>
      </c>
      <c r="L1193" s="116">
        <v>42282</v>
      </c>
      <c r="M1193" s="9" t="s">
        <v>191</v>
      </c>
      <c r="N1193" s="38">
        <v>15.05</v>
      </c>
      <c r="O1193" s="38">
        <v>4.375</v>
      </c>
      <c r="P1193" s="38">
        <v>2.7</v>
      </c>
      <c r="Q1193" s="38">
        <v>0.625</v>
      </c>
      <c r="R1193" s="38">
        <v>2.4820000000000002</v>
      </c>
      <c r="S1193" s="38">
        <f t="shared" si="148"/>
        <v>2.5</v>
      </c>
      <c r="T1193" s="38">
        <v>19.425000000000001</v>
      </c>
      <c r="U1193" s="38">
        <v>3.3250000000000002</v>
      </c>
      <c r="V1193" s="38">
        <v>0</v>
      </c>
      <c r="W1193" s="38">
        <v>0</v>
      </c>
      <c r="X1193" s="38">
        <v>2.863</v>
      </c>
      <c r="Y1193" s="38">
        <f t="shared" si="149"/>
        <v>3</v>
      </c>
      <c r="Z1193" s="38">
        <v>0</v>
      </c>
      <c r="AA1193" s="117">
        <v>0</v>
      </c>
      <c r="AB1193" s="117">
        <v>22.509</v>
      </c>
      <c r="AC1193" s="117">
        <v>1.1559999999999999</v>
      </c>
      <c r="AD1193" s="117">
        <v>28.69</v>
      </c>
      <c r="AE1193" s="117">
        <v>118.32</v>
      </c>
      <c r="AF1193" s="117">
        <f>(AD1193+AE1193*0.5)/(3.5*I1193*1000)*100</f>
        <v>0.11151095117508553</v>
      </c>
      <c r="AG1193" s="38">
        <f t="shared" si="150"/>
        <v>0.1</v>
      </c>
      <c r="AH1193" s="117">
        <v>11.51</v>
      </c>
      <c r="AI1193" s="117">
        <f>AH1193/(3.5*I1193*1000)*100</f>
        <v>1.4610029004271307E-2</v>
      </c>
      <c r="AJ1193" s="117">
        <v>10.5</v>
      </c>
      <c r="AK1193" s="117">
        <f>AJ1193/(3.5*I1193*1000)*100</f>
        <v>1.3328002132480341E-2</v>
      </c>
      <c r="AL1193" s="117">
        <v>0</v>
      </c>
      <c r="AM1193" s="117">
        <f>AJ1193/(3.5*I1193*1000)*100</f>
        <v>1.3328002132480341E-2</v>
      </c>
      <c r="AN1193" s="12"/>
    </row>
    <row r="1194" spans="1:88">
      <c r="A1194" s="1">
        <v>1273</v>
      </c>
      <c r="B1194" s="34" t="s">
        <v>1775</v>
      </c>
      <c r="C1194" s="88">
        <v>438</v>
      </c>
      <c r="D1194" s="88">
        <v>3475</v>
      </c>
      <c r="E1194" s="88">
        <v>100</v>
      </c>
      <c r="F1194" s="88" t="s">
        <v>1814</v>
      </c>
      <c r="G1194" s="88" t="s">
        <v>1815</v>
      </c>
      <c r="H1194" s="88" t="s">
        <v>92</v>
      </c>
      <c r="I1194" s="115">
        <v>25.007000000000001</v>
      </c>
      <c r="J1194" s="88">
        <v>2</v>
      </c>
      <c r="K1194" s="88" t="s">
        <v>12</v>
      </c>
      <c r="L1194" s="116">
        <v>42282</v>
      </c>
      <c r="M1194" s="9" t="s">
        <v>191</v>
      </c>
      <c r="N1194" s="117">
        <v>16.149999999999999</v>
      </c>
      <c r="O1194" s="117">
        <v>4.7249999999999996</v>
      </c>
      <c r="P1194" s="117">
        <v>2.2000000000000002</v>
      </c>
      <c r="Q1194" s="117">
        <v>1.625</v>
      </c>
      <c r="R1194" s="117">
        <v>2.5737199999999998</v>
      </c>
      <c r="S1194" s="38">
        <f t="shared" si="148"/>
        <v>2.5</v>
      </c>
      <c r="T1194" s="117">
        <v>22.274999999999999</v>
      </c>
      <c r="U1194" s="38">
        <v>1.35</v>
      </c>
      <c r="V1194" s="38">
        <v>0.72499999999999998</v>
      </c>
      <c r="W1194" s="38">
        <v>0.35</v>
      </c>
      <c r="X1194" s="38">
        <v>4.2085299999999997</v>
      </c>
      <c r="Y1194" s="38">
        <f t="shared" si="149"/>
        <v>4</v>
      </c>
      <c r="Z1194" s="38">
        <v>0</v>
      </c>
      <c r="AA1194" s="38">
        <v>0</v>
      </c>
      <c r="AB1194" s="55">
        <v>25.007000000000001</v>
      </c>
      <c r="AC1194" s="38">
        <v>1.43208</v>
      </c>
      <c r="AD1194" s="38">
        <v>94.28</v>
      </c>
      <c r="AE1194" s="38">
        <v>6.32</v>
      </c>
      <c r="AF1194" s="117">
        <f>(AD1194+AE1194*0.5)/(3.5*I1194*1000)*100</f>
        <v>0.11132882792818011</v>
      </c>
      <c r="AG1194" s="38">
        <f t="shared" si="150"/>
        <v>0.1</v>
      </c>
      <c r="AH1194" s="117">
        <v>95.32</v>
      </c>
      <c r="AI1194" s="117">
        <f>AH1194/(3.5*I1194*1000)*100</f>
        <v>0.10890664899542413</v>
      </c>
      <c r="AJ1194" s="117">
        <v>0</v>
      </c>
      <c r="AK1194" s="117">
        <v>0</v>
      </c>
      <c r="AL1194" s="117">
        <v>0</v>
      </c>
      <c r="AM1194" s="117">
        <v>0</v>
      </c>
      <c r="AN1194" s="12"/>
    </row>
    <row r="1195" spans="1:88">
      <c r="A1195" s="1">
        <v>420</v>
      </c>
      <c r="B1195" s="74" t="s">
        <v>699</v>
      </c>
      <c r="C1195" s="34">
        <v>513</v>
      </c>
      <c r="D1195" s="75">
        <v>102</v>
      </c>
      <c r="E1195" s="69">
        <v>200</v>
      </c>
      <c r="F1195" s="76" t="s">
        <v>710</v>
      </c>
      <c r="G1195" s="20" t="s">
        <v>711</v>
      </c>
      <c r="H1195" s="20" t="s">
        <v>712</v>
      </c>
      <c r="I1195" s="21">
        <v>17.693000000000001</v>
      </c>
      <c r="J1195" s="5" t="s">
        <v>12</v>
      </c>
      <c r="K1195" s="34">
        <v>2</v>
      </c>
      <c r="L1195" s="18">
        <v>42263</v>
      </c>
      <c r="M1195" s="9" t="s">
        <v>191</v>
      </c>
      <c r="N1195" s="38">
        <v>11.12</v>
      </c>
      <c r="O1195" s="38">
        <v>4.62</v>
      </c>
      <c r="P1195" s="38">
        <v>1.57</v>
      </c>
      <c r="Q1195" s="38">
        <v>0.38</v>
      </c>
      <c r="R1195" s="38">
        <v>2.4300600000000001</v>
      </c>
      <c r="S1195" s="38">
        <f t="shared" si="148"/>
        <v>2.5</v>
      </c>
      <c r="T1195" s="38">
        <v>17.47</v>
      </c>
      <c r="U1195" s="38">
        <v>0.22</v>
      </c>
      <c r="V1195" s="38">
        <v>0</v>
      </c>
      <c r="W1195" s="38">
        <v>0</v>
      </c>
      <c r="X1195" s="38">
        <v>3.1294599999999999</v>
      </c>
      <c r="Y1195" s="38">
        <f t="shared" si="149"/>
        <v>3</v>
      </c>
      <c r="Z1195" s="38">
        <v>0</v>
      </c>
      <c r="AA1195" s="38">
        <v>0</v>
      </c>
      <c r="AB1195" s="38">
        <v>17.690000000000001</v>
      </c>
      <c r="AC1195" s="38">
        <v>1.0926</v>
      </c>
      <c r="AD1195" s="38">
        <v>65.25</v>
      </c>
      <c r="AE1195" s="38">
        <v>7.25</v>
      </c>
      <c r="AF1195" s="38">
        <f>(AD1195+AE1195*0.5)/(3.5*I1195*1000)*100</f>
        <v>0.11122235589539041</v>
      </c>
      <c r="AG1195" s="38">
        <f t="shared" si="150"/>
        <v>0.1</v>
      </c>
      <c r="AH1195" s="38">
        <v>94.25</v>
      </c>
      <c r="AI1195" s="38">
        <f>AH1195/(3.5*I1195*1000)*100</f>
        <v>0.15219901333053423</v>
      </c>
      <c r="AJ1195" s="38">
        <v>0</v>
      </c>
      <c r="AK1195" s="38">
        <f>AJ1195/(3.5*I1195*1000)*100</f>
        <v>0</v>
      </c>
      <c r="AL1195" s="38">
        <v>0</v>
      </c>
      <c r="AM1195" s="38">
        <f>AL1195/(3.5*I1195*1000)*100</f>
        <v>0</v>
      </c>
      <c r="AN1195" s="41"/>
      <c r="AO1195" s="41"/>
      <c r="AP1195" s="73"/>
      <c r="AQ1195" s="41">
        <f>SUM(N1195:Q1195)</f>
        <v>17.689999999999998</v>
      </c>
      <c r="AR1195" s="41">
        <f>SUM(T1195:W1195)</f>
        <v>17.689999999999998</v>
      </c>
      <c r="AS1195" s="41">
        <f>SUM(Z1195:AB1195)</f>
        <v>17.690000000000001</v>
      </c>
      <c r="AT1195" s="22"/>
      <c r="AU1195" s="22">
        <f>I1195/AQ1195</f>
        <v>1.000169587337479</v>
      </c>
      <c r="AV1195" s="22">
        <f>I1195/AR1195</f>
        <v>1.000169587337479</v>
      </c>
      <c r="AW1195" s="22">
        <f>I1195/AS1195</f>
        <v>1.0001695873374787</v>
      </c>
      <c r="AX1195" s="73"/>
      <c r="AY1195" s="73"/>
      <c r="AZ1195" s="73"/>
      <c r="BA1195" s="73"/>
      <c r="BB1195" s="73"/>
      <c r="BC1195" s="73"/>
      <c r="BD1195" s="73"/>
      <c r="BE1195" s="73"/>
      <c r="BF1195" s="73"/>
      <c r="BG1195" s="73"/>
      <c r="BH1195" s="73"/>
      <c r="BI1195" s="73"/>
      <c r="BJ1195" s="73"/>
      <c r="BK1195" s="73"/>
      <c r="BL1195" s="73"/>
      <c r="BM1195" s="73"/>
      <c r="BN1195" s="73"/>
      <c r="BO1195" s="73"/>
      <c r="BP1195" s="73"/>
      <c r="BQ1195" s="73"/>
      <c r="BR1195" s="73"/>
      <c r="BS1195" s="73"/>
      <c r="BT1195" s="73"/>
      <c r="BU1195" s="73"/>
      <c r="BV1195" s="73"/>
      <c r="BW1195" s="73"/>
      <c r="BX1195" s="73"/>
      <c r="BY1195" s="73"/>
      <c r="BZ1195" s="73"/>
      <c r="CA1195" s="73"/>
      <c r="CB1195" s="73"/>
      <c r="CC1195" s="73"/>
      <c r="CD1195" s="73"/>
      <c r="CE1195" s="73"/>
      <c r="CF1195" s="73"/>
      <c r="CG1195" s="73"/>
      <c r="CH1195" s="73"/>
      <c r="CI1195" s="73"/>
      <c r="CJ1195" s="73"/>
    </row>
    <row r="1196" spans="1:88">
      <c r="A1196" s="1">
        <v>660</v>
      </c>
      <c r="B1196" s="34" t="s">
        <v>1062</v>
      </c>
      <c r="C1196" s="34">
        <v>623</v>
      </c>
      <c r="D1196" s="34">
        <v>2020</v>
      </c>
      <c r="E1196" s="34">
        <v>200</v>
      </c>
      <c r="F1196" s="9" t="s">
        <v>1069</v>
      </c>
      <c r="G1196" s="20">
        <v>13175</v>
      </c>
      <c r="H1196" s="20">
        <v>22627</v>
      </c>
      <c r="I1196" s="35">
        <v>9.452</v>
      </c>
      <c r="J1196" s="34">
        <v>2</v>
      </c>
      <c r="K1196" s="34" t="s">
        <v>238</v>
      </c>
      <c r="L1196" s="10">
        <v>42167</v>
      </c>
      <c r="M1196" s="9" t="s">
        <v>191</v>
      </c>
      <c r="N1196" s="38">
        <v>6.93</v>
      </c>
      <c r="O1196" s="38">
        <v>1.98</v>
      </c>
      <c r="P1196" s="38">
        <v>0.45</v>
      </c>
      <c r="Q1196" s="38">
        <v>0.1</v>
      </c>
      <c r="R1196" s="38">
        <v>2.3405300000000002</v>
      </c>
      <c r="S1196" s="38">
        <f t="shared" si="148"/>
        <v>2.5</v>
      </c>
      <c r="T1196" s="38">
        <v>8.65</v>
      </c>
      <c r="U1196" s="38">
        <v>0.63</v>
      </c>
      <c r="V1196" s="38">
        <v>0.15</v>
      </c>
      <c r="W1196" s="38">
        <v>0.03</v>
      </c>
      <c r="X1196" s="38">
        <v>5.3045499999999999</v>
      </c>
      <c r="Y1196" s="38">
        <f t="shared" si="149"/>
        <v>5.5</v>
      </c>
      <c r="Z1196" s="38">
        <v>0</v>
      </c>
      <c r="AA1196" s="38">
        <v>0</v>
      </c>
      <c r="AB1196" s="38">
        <v>9.4499999999999993</v>
      </c>
      <c r="AC1196" s="38">
        <v>1.2478800000000001</v>
      </c>
      <c r="AD1196" s="38">
        <v>33.5</v>
      </c>
      <c r="AE1196" s="38">
        <v>6.43</v>
      </c>
      <c r="AF1196" s="38">
        <v>0.11098</v>
      </c>
      <c r="AG1196" s="38">
        <f t="shared" si="150"/>
        <v>0.1</v>
      </c>
      <c r="AH1196" s="38">
        <v>0</v>
      </c>
      <c r="AI1196" s="38">
        <v>0</v>
      </c>
      <c r="AJ1196" s="38">
        <v>0</v>
      </c>
      <c r="AK1196" s="38">
        <v>0</v>
      </c>
      <c r="AL1196" s="38">
        <v>0</v>
      </c>
      <c r="AM1196" s="38">
        <v>0</v>
      </c>
      <c r="AN1196" s="25"/>
      <c r="AO1196" s="1">
        <f>AE1196*0.5</f>
        <v>3.2149999999999999</v>
      </c>
      <c r="AP1196" s="25">
        <f>(AD1196+AH1196+AJ1196+AL1196+AO1196)*I1196</f>
        <v>347.03018000000003</v>
      </c>
      <c r="AQ1196" s="25">
        <f>SUM(N1196:Q1196)</f>
        <v>9.4599999999999991</v>
      </c>
      <c r="AR1196" s="25">
        <f>SUM(T1196:W1196)</f>
        <v>9.4600000000000009</v>
      </c>
      <c r="AS1196" s="22"/>
      <c r="AT1196" s="41"/>
      <c r="AU1196" s="41">
        <f>SUM(N1196:Q1196)</f>
        <v>9.4599999999999991</v>
      </c>
      <c r="AV1196" s="41">
        <f>SUM(T1196:W1196)</f>
        <v>9.4600000000000009</v>
      </c>
      <c r="AW1196" s="41">
        <f>SUM(Z1196:AB1196)</f>
        <v>9.4499999999999993</v>
      </c>
      <c r="AX1196" s="22"/>
      <c r="AY1196" s="22">
        <f>I1196/AU1196</f>
        <v>0.99915433403805509</v>
      </c>
      <c r="AZ1196" s="22">
        <f>I1196/AV1196</f>
        <v>0.99915433403805487</v>
      </c>
      <c r="BA1196" s="22">
        <f>I1196/AW1196</f>
        <v>1.0002116402116403</v>
      </c>
      <c r="BB1196" s="22"/>
      <c r="BC1196" s="22"/>
      <c r="BD1196" s="22"/>
      <c r="BE1196" s="22"/>
      <c r="BF1196" s="22"/>
      <c r="BG1196" s="22"/>
      <c r="BH1196" s="22"/>
      <c r="BI1196" s="22"/>
      <c r="BJ1196" s="22"/>
      <c r="BK1196" s="22"/>
      <c r="BL1196" s="22"/>
      <c r="BM1196" s="22"/>
      <c r="BN1196" s="22"/>
      <c r="BO1196" s="22"/>
      <c r="BP1196" s="22"/>
      <c r="BQ1196" s="22"/>
      <c r="BR1196" s="22"/>
      <c r="BS1196" s="22"/>
      <c r="BT1196" s="22"/>
      <c r="BU1196" s="22"/>
      <c r="BV1196" s="22"/>
      <c r="BW1196" s="22"/>
      <c r="BX1196" s="22"/>
      <c r="BY1196" s="22"/>
      <c r="BZ1196" s="22"/>
      <c r="CA1196" s="22"/>
      <c r="CB1196" s="22"/>
      <c r="CC1196" s="22"/>
      <c r="CD1196" s="22"/>
      <c r="CE1196" s="22"/>
      <c r="CF1196" s="22"/>
      <c r="CG1196" s="22"/>
      <c r="CH1196" s="22"/>
      <c r="CI1196" s="22"/>
      <c r="CJ1196" s="22"/>
    </row>
    <row r="1197" spans="1:88">
      <c r="A1197" s="1">
        <v>872</v>
      </c>
      <c r="B1197" s="34" t="s">
        <v>1259</v>
      </c>
      <c r="C1197" s="34">
        <v>631</v>
      </c>
      <c r="D1197" s="8">
        <v>2382</v>
      </c>
      <c r="E1197" s="34">
        <v>100</v>
      </c>
      <c r="F1197" s="34" t="s">
        <v>1264</v>
      </c>
      <c r="G1197" s="58">
        <v>21130</v>
      </c>
      <c r="H1197" s="58">
        <v>0</v>
      </c>
      <c r="I1197" s="35">
        <v>21.13</v>
      </c>
      <c r="J1197" s="9">
        <v>2</v>
      </c>
      <c r="K1197" s="34" t="s">
        <v>12</v>
      </c>
      <c r="L1197" s="10">
        <v>42139</v>
      </c>
      <c r="M1197" s="9" t="s">
        <v>191</v>
      </c>
      <c r="N1197" s="38">
        <v>13.574999999999999</v>
      </c>
      <c r="O1197" s="38">
        <v>5</v>
      </c>
      <c r="P1197" s="38">
        <v>1.3</v>
      </c>
      <c r="Q1197" s="38">
        <v>1.1000000000000001</v>
      </c>
      <c r="R1197" s="38">
        <v>2.7509000000000001</v>
      </c>
      <c r="S1197" s="38">
        <f t="shared" si="148"/>
        <v>3</v>
      </c>
      <c r="T1197" s="38">
        <v>20.8</v>
      </c>
      <c r="U1197" s="38">
        <v>7.4999999999999997E-2</v>
      </c>
      <c r="V1197" s="38">
        <v>0.1</v>
      </c>
      <c r="W1197" s="38">
        <v>0</v>
      </c>
      <c r="X1197" s="38">
        <v>4.1017299999999999</v>
      </c>
      <c r="Y1197" s="38">
        <f t="shared" si="149"/>
        <v>4</v>
      </c>
      <c r="Z1197" s="38">
        <v>0</v>
      </c>
      <c r="AA1197" s="38">
        <v>0</v>
      </c>
      <c r="AB1197" s="38">
        <f>N1197+O1197+P1197+Q1197</f>
        <v>20.975000000000001</v>
      </c>
      <c r="AC1197" s="38">
        <v>1.3072600000000001</v>
      </c>
      <c r="AD1197" s="38">
        <v>63.81</v>
      </c>
      <c r="AE1197" s="38">
        <v>36.270000000000003</v>
      </c>
      <c r="AF1197" s="38">
        <v>0.1108</v>
      </c>
      <c r="AG1197" s="38">
        <f t="shared" si="150"/>
        <v>0.1</v>
      </c>
      <c r="AH1197" s="38">
        <v>0</v>
      </c>
      <c r="AI1197" s="38">
        <v>0</v>
      </c>
      <c r="AJ1197" s="38">
        <v>343.2</v>
      </c>
      <c r="AK1197" s="38">
        <v>0.46406599999999998</v>
      </c>
      <c r="AL1197" s="38">
        <v>0</v>
      </c>
      <c r="AM1197" s="38">
        <v>0</v>
      </c>
      <c r="AN1197" s="25"/>
      <c r="AO1197" s="25">
        <f>AE1197*0.5</f>
        <v>18.135000000000002</v>
      </c>
      <c r="AP1197" s="25">
        <f>(AD1197+AH1197+AJ1197+AL1197+AO1197)*I1197</f>
        <v>8983.3138499999986</v>
      </c>
      <c r="AQ1197" s="25"/>
      <c r="AR1197" s="25"/>
      <c r="AS1197" s="25">
        <f>SUM(N1197:Q1197)</f>
        <v>20.975000000000001</v>
      </c>
      <c r="AT1197" s="25">
        <f>SUM(T1197:W1197)</f>
        <v>20.975000000000001</v>
      </c>
      <c r="AU1197" s="25"/>
      <c r="AV1197" s="22"/>
      <c r="AW1197" s="41"/>
      <c r="AX1197" s="41"/>
      <c r="AY1197" s="41"/>
      <c r="AZ1197" s="41"/>
      <c r="BA1197" s="22"/>
      <c r="BB1197" s="22"/>
      <c r="BC1197" s="22"/>
      <c r="BD1197" s="22"/>
      <c r="BE1197" s="22"/>
      <c r="BF1197" s="22"/>
      <c r="BG1197" s="22"/>
      <c r="BH1197" s="22"/>
      <c r="BI1197" s="22"/>
      <c r="BJ1197" s="22"/>
      <c r="BK1197" s="22"/>
      <c r="BL1197" s="22"/>
      <c r="BM1197" s="22"/>
      <c r="BN1197" s="22"/>
      <c r="BO1197" s="22"/>
      <c r="BP1197" s="22"/>
      <c r="BQ1197" s="22"/>
      <c r="BR1197" s="22"/>
      <c r="BS1197" s="22"/>
      <c r="BT1197" s="22"/>
      <c r="BU1197" s="22"/>
      <c r="BV1197" s="22"/>
      <c r="BW1197" s="22"/>
      <c r="BX1197" s="22"/>
      <c r="BY1197" s="22"/>
      <c r="BZ1197" s="22"/>
      <c r="CA1197" s="22"/>
      <c r="CB1197" s="22"/>
      <c r="CC1197" s="22"/>
      <c r="CD1197" s="22"/>
      <c r="CE1197" s="22"/>
      <c r="CF1197" s="22"/>
      <c r="CG1197" s="22"/>
      <c r="CH1197" s="22"/>
      <c r="CI1197" s="22"/>
      <c r="CJ1197" s="22"/>
    </row>
    <row r="1198" spans="1:88">
      <c r="A1198" s="1">
        <v>200</v>
      </c>
      <c r="B1198" s="34" t="s">
        <v>383</v>
      </c>
      <c r="C1198" s="34">
        <v>535</v>
      </c>
      <c r="D1198" s="34">
        <v>1092</v>
      </c>
      <c r="E1198" s="34">
        <v>100</v>
      </c>
      <c r="F1198" s="34" t="s">
        <v>393</v>
      </c>
      <c r="G1198" s="20">
        <v>10000</v>
      </c>
      <c r="H1198" s="20">
        <v>0</v>
      </c>
      <c r="I1198" s="35">
        <v>10</v>
      </c>
      <c r="J1198" s="36">
        <v>2</v>
      </c>
      <c r="K1198" s="34" t="s">
        <v>12</v>
      </c>
      <c r="L1198" s="18">
        <v>42209</v>
      </c>
      <c r="M1198" s="9" t="s">
        <v>191</v>
      </c>
      <c r="N1198" s="38">
        <v>4.25</v>
      </c>
      <c r="O1198" s="38">
        <v>3.2</v>
      </c>
      <c r="P1198" s="38">
        <v>1.93</v>
      </c>
      <c r="Q1198" s="38">
        <v>0.63</v>
      </c>
      <c r="R1198" s="38">
        <v>2.93987</v>
      </c>
      <c r="S1198" s="38">
        <f t="shared" si="148"/>
        <v>3</v>
      </c>
      <c r="T1198" s="38">
        <v>9.43</v>
      </c>
      <c r="U1198" s="38">
        <v>0.55000000000000004</v>
      </c>
      <c r="V1198" s="38">
        <v>0.03</v>
      </c>
      <c r="W1198" s="38">
        <v>0</v>
      </c>
      <c r="X1198" s="38">
        <v>5.4520499999999998</v>
      </c>
      <c r="Y1198" s="38">
        <f t="shared" si="149"/>
        <v>5.5</v>
      </c>
      <c r="Z1198" s="38">
        <v>0</v>
      </c>
      <c r="AA1198" s="38">
        <v>0</v>
      </c>
      <c r="AB1198" s="38">
        <v>10</v>
      </c>
      <c r="AC1198" s="38">
        <v>1.1691100000000001</v>
      </c>
      <c r="AD1198" s="38">
        <v>6</v>
      </c>
      <c r="AE1198" s="38">
        <v>65.5</v>
      </c>
      <c r="AF1198" s="38">
        <f>(AD1198+AE1198*0.5)/(3.5*I1198*1000)*100</f>
        <v>0.11071428571428571</v>
      </c>
      <c r="AG1198" s="38">
        <f t="shared" si="150"/>
        <v>0.1</v>
      </c>
      <c r="AH1198" s="38">
        <v>50</v>
      </c>
      <c r="AI1198" s="38">
        <f>AH1198/(3.5*I1198*1000)*100</f>
        <v>0.14285714285714285</v>
      </c>
      <c r="AJ1198" s="38">
        <v>0</v>
      </c>
      <c r="AK1198" s="38">
        <f>AJ1198/(3.5*I1198*1000)*100</f>
        <v>0</v>
      </c>
      <c r="AL1198" s="38">
        <v>15</v>
      </c>
      <c r="AM1198" s="38">
        <f>AL1198/(3.5*I1198*1000)*100</f>
        <v>4.2857142857142858E-2</v>
      </c>
      <c r="AN1198" s="25"/>
      <c r="AO1198" s="25"/>
      <c r="AP1198" s="25">
        <f>AE1198*0.5</f>
        <v>32.75</v>
      </c>
      <c r="AQ1198" s="25">
        <f>(AD1198+AH1198+AJ1198+AL1198+AP1198)*I1198</f>
        <v>1037.5</v>
      </c>
      <c r="AR1198" s="25"/>
      <c r="AS1198" s="25"/>
      <c r="AT1198" s="25"/>
      <c r="AU1198" s="41">
        <f>SUM(N1198:Q1198)</f>
        <v>10.010000000000002</v>
      </c>
      <c r="AV1198" s="41">
        <f>SUM(T1198:W1198)</f>
        <v>10.01</v>
      </c>
      <c r="AW1198" s="41">
        <f>SUM(Z1198:AB1198)</f>
        <v>10</v>
      </c>
      <c r="AX1198" s="41"/>
      <c r="AY1198" s="22">
        <f>I1198/AU1198</f>
        <v>0.99900099900099881</v>
      </c>
      <c r="AZ1198" s="22">
        <f>I1198/AV1198</f>
        <v>0.99900099900099903</v>
      </c>
      <c r="BA1198" s="22">
        <f>I1198/AW1198</f>
        <v>1</v>
      </c>
      <c r="BB1198" s="22"/>
      <c r="BC1198" s="22"/>
      <c r="BD1198" s="22"/>
      <c r="BE1198" s="22"/>
      <c r="BF1198" s="22"/>
      <c r="BG1198" s="22"/>
      <c r="BH1198" s="22"/>
      <c r="BI1198" s="22"/>
      <c r="BJ1198" s="22"/>
      <c r="BK1198" s="22"/>
      <c r="BL1198" s="22"/>
      <c r="BM1198" s="22"/>
      <c r="BN1198" s="22"/>
      <c r="BO1198" s="22"/>
      <c r="BP1198" s="22"/>
      <c r="BQ1198" s="22"/>
      <c r="BR1198" s="22"/>
      <c r="BS1198" s="22"/>
      <c r="BT1198" s="22"/>
      <c r="BU1198" s="22"/>
      <c r="BV1198" s="22"/>
      <c r="BW1198" s="22"/>
      <c r="BX1198" s="22"/>
      <c r="BY1198" s="22"/>
      <c r="BZ1198" s="22"/>
      <c r="CA1198" s="22"/>
      <c r="CB1198" s="22"/>
      <c r="CC1198" s="22"/>
      <c r="CD1198" s="22"/>
      <c r="CE1198" s="22"/>
      <c r="CF1198" s="22"/>
      <c r="CG1198" s="22"/>
      <c r="CH1198" s="22"/>
      <c r="CI1198" s="22"/>
      <c r="CJ1198" s="22"/>
    </row>
    <row r="1199" spans="1:88">
      <c r="A1199" s="1">
        <v>1734</v>
      </c>
      <c r="B1199" s="34" t="s">
        <v>2324</v>
      </c>
      <c r="C1199" s="34">
        <v>423</v>
      </c>
      <c r="D1199" s="8">
        <v>3152</v>
      </c>
      <c r="E1199" s="88">
        <v>100</v>
      </c>
      <c r="F1199" s="34" t="s">
        <v>2329</v>
      </c>
      <c r="G1199" s="58">
        <v>0</v>
      </c>
      <c r="H1199" s="58">
        <v>3382</v>
      </c>
      <c r="I1199" s="35">
        <v>3.3820000000000001</v>
      </c>
      <c r="J1199" s="9">
        <v>2</v>
      </c>
      <c r="K1199" s="88" t="s">
        <v>12</v>
      </c>
      <c r="L1199" s="116">
        <v>42234</v>
      </c>
      <c r="M1199" s="9" t="s">
        <v>191</v>
      </c>
      <c r="N1199" s="38">
        <v>2.6749999999999998</v>
      </c>
      <c r="O1199" s="38">
        <v>0.42499999999999999</v>
      </c>
      <c r="P1199" s="38">
        <v>0.25</v>
      </c>
      <c r="Q1199" s="38">
        <v>0</v>
      </c>
      <c r="R1199" s="38">
        <v>2.5205899999999999</v>
      </c>
      <c r="S1199" s="38">
        <f t="shared" si="148"/>
        <v>2.5</v>
      </c>
      <c r="T1199" s="38">
        <v>3.125</v>
      </c>
      <c r="U1199" s="38">
        <v>0.22500000000000001</v>
      </c>
      <c r="V1199" s="38">
        <v>0</v>
      </c>
      <c r="W1199" s="38">
        <v>0</v>
      </c>
      <c r="X1199" s="38">
        <v>4.7372100000000001</v>
      </c>
      <c r="Y1199" s="38">
        <f t="shared" si="149"/>
        <v>4.5</v>
      </c>
      <c r="Z1199" s="38">
        <v>0</v>
      </c>
      <c r="AA1199" s="117">
        <v>0</v>
      </c>
      <c r="AB1199" s="35">
        <v>3.3820000000000001</v>
      </c>
      <c r="AC1199" s="117">
        <v>1.01495</v>
      </c>
      <c r="AD1199" s="38">
        <v>0</v>
      </c>
      <c r="AE1199" s="38">
        <v>26.13</v>
      </c>
      <c r="AF1199" s="38">
        <v>0.11037</v>
      </c>
      <c r="AG1199" s="38">
        <f t="shared" si="150"/>
        <v>0.1</v>
      </c>
      <c r="AH1199" s="38">
        <v>1.96</v>
      </c>
      <c r="AI1199" s="38">
        <v>1.6559999999999998E-2</v>
      </c>
      <c r="AJ1199" s="38">
        <v>55</v>
      </c>
      <c r="AK1199" s="38">
        <f>AJ1199/(3.5*I1199*1000)*100</f>
        <v>0.46464475796232152</v>
      </c>
      <c r="AL1199" s="38">
        <v>0</v>
      </c>
      <c r="AM1199" s="38">
        <v>0</v>
      </c>
      <c r="AN1199" s="12"/>
      <c r="AO1199" s="12">
        <f>AE1199*0.5</f>
        <v>13.065</v>
      </c>
      <c r="AP1199" s="12">
        <f>(AD1199+AH1199+AJ1199+AL1199+AO1199)*I1199</f>
        <v>236.82455000000002</v>
      </c>
      <c r="AQ1199" s="136">
        <f>SUM(N1199:Q1199)</f>
        <v>3.3499999999999996</v>
      </c>
      <c r="AR1199" s="136">
        <f>SUM(T1199:W1199)</f>
        <v>3.35</v>
      </c>
      <c r="AT1199" s="41"/>
      <c r="AU1199" s="41"/>
      <c r="AV1199" s="41"/>
      <c r="AW1199" s="41"/>
    </row>
    <row r="1200" spans="1:88">
      <c r="A1200" s="1">
        <v>1950</v>
      </c>
      <c r="B1200" s="34" t="s">
        <v>2593</v>
      </c>
      <c r="C1200" s="34">
        <v>321</v>
      </c>
      <c r="D1200" s="75">
        <v>4015</v>
      </c>
      <c r="E1200" s="8">
        <v>200</v>
      </c>
      <c r="F1200" s="34" t="s">
        <v>2594</v>
      </c>
      <c r="G1200" s="58" t="s">
        <v>2595</v>
      </c>
      <c r="H1200" s="58" t="s">
        <v>92</v>
      </c>
      <c r="I1200" s="21">
        <v>24.07</v>
      </c>
      <c r="J1200" s="8">
        <v>2</v>
      </c>
      <c r="K1200" s="8" t="s">
        <v>12</v>
      </c>
      <c r="L1200" s="18">
        <v>42122</v>
      </c>
      <c r="M1200" s="9" t="s">
        <v>191</v>
      </c>
      <c r="N1200" s="38">
        <v>16.95</v>
      </c>
      <c r="O1200" s="38">
        <v>5.35</v>
      </c>
      <c r="P1200" s="38">
        <v>1.625</v>
      </c>
      <c r="Q1200" s="38">
        <v>0.25</v>
      </c>
      <c r="R1200" s="38">
        <v>2.2512099999999999</v>
      </c>
      <c r="S1200" s="38">
        <f t="shared" si="148"/>
        <v>2.5</v>
      </c>
      <c r="T1200" s="38">
        <v>24</v>
      </c>
      <c r="U1200" s="38">
        <v>0.17499999999999999</v>
      </c>
      <c r="V1200" s="38">
        <v>0</v>
      </c>
      <c r="W1200" s="38">
        <v>0</v>
      </c>
      <c r="X1200" s="38">
        <v>3.70906</v>
      </c>
      <c r="Y1200" s="38">
        <f t="shared" si="149"/>
        <v>3.5</v>
      </c>
      <c r="Z1200" s="38">
        <v>0</v>
      </c>
      <c r="AA1200" s="38">
        <v>0</v>
      </c>
      <c r="AB1200" s="38">
        <v>24.175000000000001</v>
      </c>
      <c r="AC1200" s="38">
        <v>1.4743299999999999</v>
      </c>
      <c r="AD1200" s="38">
        <v>15.52</v>
      </c>
      <c r="AE1200" s="38">
        <v>154.86000000000001</v>
      </c>
      <c r="AF1200" s="38">
        <f>(AD1200+AE1200*0.5)/(3.5*I1200*1000)*100</f>
        <v>0.11033295744554572</v>
      </c>
      <c r="AG1200" s="38">
        <f t="shared" si="150"/>
        <v>0.1</v>
      </c>
      <c r="AH1200" s="38">
        <v>43.65</v>
      </c>
      <c r="AI1200" s="38">
        <f>AH1200/(3.5*I1200*1000)*100</f>
        <v>5.1813163985993234E-2</v>
      </c>
      <c r="AJ1200" s="38">
        <v>0</v>
      </c>
      <c r="AK1200" s="38">
        <v>0</v>
      </c>
      <c r="AL1200" s="38">
        <v>0</v>
      </c>
      <c r="AM1200" s="38">
        <f>AL1200/(3.5*I1200*1000)*100</f>
        <v>0</v>
      </c>
      <c r="AN1200" s="73"/>
      <c r="AO1200" s="72"/>
      <c r="AP1200" s="41"/>
      <c r="AQ1200" s="41"/>
      <c r="AR1200" s="73"/>
      <c r="AS1200" s="73"/>
      <c r="AT1200" s="73"/>
      <c r="AU1200" s="73"/>
      <c r="AV1200" s="73"/>
      <c r="AW1200" s="73"/>
      <c r="AX1200" s="73"/>
      <c r="AY1200" s="73"/>
    </row>
    <row r="1201" spans="1:88">
      <c r="A1201" s="1">
        <v>2009</v>
      </c>
      <c r="B1201" s="34" t="s">
        <v>2646</v>
      </c>
      <c r="C1201" s="34">
        <v>325</v>
      </c>
      <c r="D1201" s="75">
        <v>4112</v>
      </c>
      <c r="E1201" s="8">
        <v>201</v>
      </c>
      <c r="F1201" s="34" t="s">
        <v>2654</v>
      </c>
      <c r="G1201" s="58" t="s">
        <v>2655</v>
      </c>
      <c r="H1201" s="58" t="s">
        <v>2656</v>
      </c>
      <c r="I1201" s="21">
        <v>22.4</v>
      </c>
      <c r="J1201" s="8">
        <v>2</v>
      </c>
      <c r="K1201" s="8" t="s">
        <v>12</v>
      </c>
      <c r="L1201" s="18">
        <v>42116</v>
      </c>
      <c r="M1201" s="9" t="s">
        <v>191</v>
      </c>
      <c r="N1201" s="38">
        <v>10.97</v>
      </c>
      <c r="O1201" s="38">
        <v>7.69</v>
      </c>
      <c r="P1201" s="38">
        <v>2.65</v>
      </c>
      <c r="Q1201" s="38">
        <v>1.0900000000000001</v>
      </c>
      <c r="R1201" s="38">
        <v>2.7317200000000001</v>
      </c>
      <c r="S1201" s="38">
        <f t="shared" si="148"/>
        <v>2.5</v>
      </c>
      <c r="T1201" s="38">
        <v>22.4</v>
      </c>
      <c r="U1201" s="38">
        <v>0</v>
      </c>
      <c r="V1201" s="38">
        <v>0</v>
      </c>
      <c r="W1201" s="38">
        <v>0</v>
      </c>
      <c r="X1201" s="38">
        <v>1.9814400000000001</v>
      </c>
      <c r="Y1201" s="38">
        <f t="shared" si="149"/>
        <v>2</v>
      </c>
      <c r="Z1201" s="38">
        <v>0</v>
      </c>
      <c r="AA1201" s="38">
        <v>0</v>
      </c>
      <c r="AB1201" s="38">
        <v>22.4</v>
      </c>
      <c r="AC1201" s="38">
        <v>1.1919599999999999</v>
      </c>
      <c r="AD1201" s="38">
        <v>81.56</v>
      </c>
      <c r="AE1201" s="38">
        <v>9.36</v>
      </c>
      <c r="AF1201" s="38">
        <f>(AD1201+AE1201*0.5)/(3.5*I1201*1000)*100</f>
        <v>0.11000000000000003</v>
      </c>
      <c r="AG1201" s="38">
        <f t="shared" si="150"/>
        <v>0.1</v>
      </c>
      <c r="AH1201" s="38">
        <v>0</v>
      </c>
      <c r="AI1201" s="38">
        <f>AH1201/(3.5*I1201*1000)*100</f>
        <v>0</v>
      </c>
      <c r="AJ1201" s="38">
        <v>0</v>
      </c>
      <c r="AK1201" s="38">
        <f>AJ1201/(3.5*I1201*1000)*100</f>
        <v>0</v>
      </c>
      <c r="AL1201" s="38">
        <v>0</v>
      </c>
      <c r="AM1201" s="38">
        <f>AL1201/(3.5*I1201*1000)*100</f>
        <v>0</v>
      </c>
      <c r="AN1201" s="12"/>
      <c r="AO1201" s="12"/>
      <c r="AQ1201" s="41">
        <f>SUM(N1201:Q1201)</f>
        <v>22.4</v>
      </c>
      <c r="AR1201" s="41">
        <f>SUM(T1201:W1201)</f>
        <v>22.4</v>
      </c>
      <c r="AS1201" s="12">
        <f>SUM(Z1201:AB1201)</f>
        <v>22.4</v>
      </c>
      <c r="AU1201" s="1">
        <f>I1201/AQ1201</f>
        <v>1</v>
      </c>
      <c r="AV1201" s="1">
        <f>I1201/AR1201</f>
        <v>1</v>
      </c>
      <c r="AW1201" s="1">
        <f>I1201/AS1201</f>
        <v>1</v>
      </c>
    </row>
    <row r="1202" spans="1:88">
      <c r="A1202" s="1">
        <v>1303</v>
      </c>
      <c r="B1202" s="74" t="s">
        <v>1820</v>
      </c>
      <c r="C1202" s="34">
        <v>441</v>
      </c>
      <c r="D1202" s="75">
        <v>3602</v>
      </c>
      <c r="E1202" s="69">
        <v>100</v>
      </c>
      <c r="F1202" s="34" t="s">
        <v>1848</v>
      </c>
      <c r="G1202" s="58">
        <v>0</v>
      </c>
      <c r="H1202" s="58">
        <v>9630</v>
      </c>
      <c r="I1202" s="55">
        <v>9.6300000000000008</v>
      </c>
      <c r="J1202" s="34">
        <v>2</v>
      </c>
      <c r="K1202" s="34" t="s">
        <v>238</v>
      </c>
      <c r="L1202" s="10">
        <v>42186</v>
      </c>
      <c r="M1202" s="9" t="s">
        <v>191</v>
      </c>
      <c r="N1202" s="38">
        <v>8.0749999999999993</v>
      </c>
      <c r="O1202" s="38">
        <v>1.175</v>
      </c>
      <c r="P1202" s="38">
        <v>0.2</v>
      </c>
      <c r="Q1202" s="38">
        <v>0.17499999999999999</v>
      </c>
      <c r="R1202" s="38">
        <v>2.1314000000000002</v>
      </c>
      <c r="S1202" s="38">
        <f t="shared" si="148"/>
        <v>2</v>
      </c>
      <c r="T1202" s="38">
        <v>9.5</v>
      </c>
      <c r="U1202" s="38">
        <v>0.125</v>
      </c>
      <c r="V1202" s="38">
        <v>0</v>
      </c>
      <c r="W1202" s="38">
        <v>0</v>
      </c>
      <c r="X1202" s="38">
        <v>3.6518799999999998</v>
      </c>
      <c r="Y1202" s="38">
        <f t="shared" si="149"/>
        <v>3.5</v>
      </c>
      <c r="Z1202" s="38">
        <v>0</v>
      </c>
      <c r="AA1202" s="38">
        <v>0</v>
      </c>
      <c r="AB1202" s="38">
        <v>9.625</v>
      </c>
      <c r="AC1202" s="38">
        <v>1.31186</v>
      </c>
      <c r="AD1202" s="38">
        <v>37</v>
      </c>
      <c r="AE1202" s="38">
        <v>0</v>
      </c>
      <c r="AF1202" s="38">
        <v>0.10977599762646489</v>
      </c>
      <c r="AG1202" s="38">
        <f t="shared" si="150"/>
        <v>0.1</v>
      </c>
      <c r="AH1202" s="38">
        <v>0</v>
      </c>
      <c r="AI1202" s="38">
        <v>0</v>
      </c>
      <c r="AJ1202" s="38">
        <v>0</v>
      </c>
      <c r="AK1202" s="38">
        <v>0</v>
      </c>
      <c r="AL1202" s="38">
        <v>0</v>
      </c>
      <c r="AM1202" s="38">
        <v>0</v>
      </c>
      <c r="AN1202" s="40"/>
      <c r="AO1202" s="12"/>
    </row>
    <row r="1203" spans="1:88">
      <c r="A1203" s="1">
        <v>1309</v>
      </c>
      <c r="B1203" s="74" t="s">
        <v>1851</v>
      </c>
      <c r="C1203" s="34">
        <v>444</v>
      </c>
      <c r="D1203" s="75">
        <v>323</v>
      </c>
      <c r="E1203" s="69">
        <v>202</v>
      </c>
      <c r="F1203" s="34" t="s">
        <v>1853</v>
      </c>
      <c r="G1203" s="20">
        <v>54240</v>
      </c>
      <c r="H1203" s="20">
        <v>32360</v>
      </c>
      <c r="I1203" s="21">
        <v>21.88</v>
      </c>
      <c r="J1203" s="8">
        <v>4</v>
      </c>
      <c r="K1203" s="34" t="s">
        <v>96</v>
      </c>
      <c r="L1203" s="10">
        <v>42209</v>
      </c>
      <c r="M1203" s="9" t="s">
        <v>191</v>
      </c>
      <c r="N1203" s="38">
        <v>10.25</v>
      </c>
      <c r="O1203" s="38">
        <v>7.125</v>
      </c>
      <c r="P1203" s="38">
        <v>2.6749999999999998</v>
      </c>
      <c r="Q1203" s="38">
        <v>1.875</v>
      </c>
      <c r="R1203" s="38">
        <v>3.2783699999999998</v>
      </c>
      <c r="S1203" s="38">
        <f t="shared" si="148"/>
        <v>3.5</v>
      </c>
      <c r="T1203" s="38">
        <v>20.6</v>
      </c>
      <c r="U1203" s="38">
        <v>1.125</v>
      </c>
      <c r="V1203" s="38">
        <v>0.15</v>
      </c>
      <c r="W1203" s="38">
        <v>0.05</v>
      </c>
      <c r="X1203" s="38">
        <v>4.8975799999999996</v>
      </c>
      <c r="Y1203" s="38">
        <f t="shared" si="149"/>
        <v>5</v>
      </c>
      <c r="Z1203" s="38">
        <v>0</v>
      </c>
      <c r="AA1203" s="38">
        <v>0</v>
      </c>
      <c r="AB1203" s="38">
        <v>21.925000000000001</v>
      </c>
      <c r="AC1203" s="38">
        <v>0.98056200000000004</v>
      </c>
      <c r="AD1203" s="38">
        <v>15.55</v>
      </c>
      <c r="AE1203" s="38">
        <v>136.66999999999999</v>
      </c>
      <c r="AF1203" s="38">
        <v>0.10953904413685035</v>
      </c>
      <c r="AG1203" s="38">
        <f t="shared" si="150"/>
        <v>0.1</v>
      </c>
      <c r="AH1203" s="38">
        <v>235.8</v>
      </c>
      <c r="AI1203" s="38">
        <v>0.30791329328806477</v>
      </c>
      <c r="AJ1203" s="38">
        <v>0</v>
      </c>
      <c r="AK1203" s="38">
        <v>0</v>
      </c>
      <c r="AL1203" s="38">
        <v>0</v>
      </c>
      <c r="AM1203" s="38">
        <v>0</v>
      </c>
    </row>
    <row r="1204" spans="1:88">
      <c r="A1204" s="1">
        <v>623</v>
      </c>
      <c r="B1204" s="34" t="s">
        <v>1017</v>
      </c>
      <c r="C1204" s="34">
        <v>555</v>
      </c>
      <c r="D1204" s="34">
        <v>2195</v>
      </c>
      <c r="E1204" s="34">
        <v>102</v>
      </c>
      <c r="F1204" s="9" t="s">
        <v>1026</v>
      </c>
      <c r="G1204" s="118">
        <v>48049</v>
      </c>
      <c r="H1204" s="118">
        <v>59257</v>
      </c>
      <c r="I1204" s="35">
        <v>11.208</v>
      </c>
      <c r="J1204" s="78">
        <v>2</v>
      </c>
      <c r="K1204" s="34" t="s">
        <v>238</v>
      </c>
      <c r="L1204" s="10">
        <v>42186</v>
      </c>
      <c r="M1204" s="9" t="s">
        <v>191</v>
      </c>
      <c r="N1204" s="38">
        <v>0</v>
      </c>
      <c r="O1204" s="38">
        <v>2.11</v>
      </c>
      <c r="P1204" s="38">
        <v>8.6999999999999993</v>
      </c>
      <c r="Q1204" s="38">
        <v>0.4</v>
      </c>
      <c r="R1204" s="38">
        <v>2.5379999999999998</v>
      </c>
      <c r="S1204" s="38">
        <f t="shared" si="148"/>
        <v>2.5</v>
      </c>
      <c r="T1204" s="38">
        <v>11.06</v>
      </c>
      <c r="U1204" s="38">
        <v>0.06</v>
      </c>
      <c r="V1204" s="38">
        <v>2.5000000000000001E-2</v>
      </c>
      <c r="W1204" s="38">
        <v>2.5000000000000001E-2</v>
      </c>
      <c r="X1204" s="38">
        <v>2.7210000000000001</v>
      </c>
      <c r="Y1204" s="38">
        <f t="shared" si="149"/>
        <v>2.5</v>
      </c>
      <c r="Z1204" s="38">
        <v>0</v>
      </c>
      <c r="AA1204" s="38">
        <v>0</v>
      </c>
      <c r="AB1204" s="38">
        <v>11.208</v>
      </c>
      <c r="AC1204" s="38">
        <v>1.1200000000000001</v>
      </c>
      <c r="AD1204" s="38">
        <v>42.92</v>
      </c>
      <c r="AE1204" s="38">
        <v>0</v>
      </c>
      <c r="AF1204" s="38">
        <f>(AD1204+AE1204*0.5)/(3.5*I1204*1000)*100</f>
        <v>0.10941164474355053</v>
      </c>
      <c r="AG1204" s="38">
        <f t="shared" si="150"/>
        <v>0.1</v>
      </c>
      <c r="AH1204" s="38">
        <v>0</v>
      </c>
      <c r="AI1204" s="38">
        <f>AH1204/(3.5*I1204*1000)*100</f>
        <v>0</v>
      </c>
      <c r="AJ1204" s="38">
        <v>0</v>
      </c>
      <c r="AK1204" s="38">
        <f>AJ1204/(3.5*I1204*1000)*100</f>
        <v>0</v>
      </c>
      <c r="AL1204" s="38">
        <v>0</v>
      </c>
      <c r="AM1204" s="38">
        <f>AL1204/(3.5*I1204*1000)*100</f>
        <v>0</v>
      </c>
      <c r="AN1204" s="25"/>
      <c r="AO1204" s="25">
        <f>AE1204*0.5</f>
        <v>0</v>
      </c>
      <c r="AP1204" s="25">
        <f>(AD1204+AH1204+AJ1204+AL1204+AO1204)*I1204</f>
        <v>481.04736000000003</v>
      </c>
      <c r="AQ1204" s="25">
        <f>SUM(N1204:Q1204)</f>
        <v>11.209999999999999</v>
      </c>
      <c r="AR1204" s="25">
        <f>SUM(T1204:W1204)</f>
        <v>11.170000000000002</v>
      </c>
      <c r="AS1204" s="22"/>
      <c r="AT1204" s="41"/>
      <c r="AU1204" s="41"/>
      <c r="AV1204" s="41"/>
      <c r="AW1204" s="41"/>
      <c r="AX1204" s="22"/>
      <c r="AY1204" s="22"/>
      <c r="AZ1204" s="22"/>
      <c r="BA1204" s="22"/>
      <c r="BB1204" s="22"/>
      <c r="BC1204" s="22"/>
      <c r="BD1204" s="22"/>
      <c r="BE1204" s="22"/>
      <c r="BF1204" s="22"/>
      <c r="BG1204" s="22"/>
      <c r="BH1204" s="22"/>
      <c r="BI1204" s="22"/>
      <c r="BJ1204" s="22"/>
      <c r="BK1204" s="22"/>
      <c r="BL1204" s="22"/>
      <c r="BM1204" s="22"/>
      <c r="BN1204" s="22"/>
      <c r="BO1204" s="22"/>
      <c r="BP1204" s="22"/>
      <c r="BQ1204" s="22"/>
      <c r="BR1204" s="22"/>
      <c r="BS1204" s="22"/>
      <c r="BT1204" s="22"/>
      <c r="BU1204" s="22"/>
      <c r="BV1204" s="22"/>
      <c r="BW1204" s="22"/>
      <c r="BX1204" s="22"/>
      <c r="BY1204" s="22"/>
      <c r="BZ1204" s="22"/>
      <c r="CA1204" s="22"/>
      <c r="CB1204" s="22"/>
      <c r="CC1204" s="22"/>
      <c r="CD1204" s="22"/>
      <c r="CE1204" s="22"/>
      <c r="CF1204" s="22"/>
      <c r="CG1204" s="22"/>
      <c r="CH1204" s="22"/>
      <c r="CI1204" s="22"/>
      <c r="CJ1204" s="22"/>
    </row>
    <row r="1205" spans="1:88">
      <c r="A1205" s="1">
        <v>609</v>
      </c>
      <c r="B1205" s="34" t="s">
        <v>994</v>
      </c>
      <c r="C1205" s="34">
        <v>554</v>
      </c>
      <c r="D1205" s="34">
        <v>2249</v>
      </c>
      <c r="E1205" s="34">
        <v>102</v>
      </c>
      <c r="F1205" s="71" t="s">
        <v>1011</v>
      </c>
      <c r="G1205" s="120">
        <v>15000</v>
      </c>
      <c r="H1205" s="120">
        <v>31376</v>
      </c>
      <c r="I1205" s="35">
        <v>16.376000000000001</v>
      </c>
      <c r="J1205" s="71">
        <v>2</v>
      </c>
      <c r="K1205" s="34" t="s">
        <v>238</v>
      </c>
      <c r="L1205" s="10">
        <v>42181</v>
      </c>
      <c r="M1205" s="9" t="s">
        <v>191</v>
      </c>
      <c r="N1205" s="38">
        <v>9.17</v>
      </c>
      <c r="O1205" s="38">
        <v>4.32</v>
      </c>
      <c r="P1205" s="38">
        <v>1.99</v>
      </c>
      <c r="Q1205" s="38">
        <v>0.9</v>
      </c>
      <c r="R1205" s="38">
        <v>2.6881400000000002</v>
      </c>
      <c r="S1205" s="38">
        <f t="shared" si="148"/>
        <v>2.5</v>
      </c>
      <c r="T1205" s="38">
        <v>15.28</v>
      </c>
      <c r="U1205" s="38">
        <v>0.93</v>
      </c>
      <c r="V1205" s="38">
        <v>0.25</v>
      </c>
      <c r="W1205" s="38">
        <v>0.08</v>
      </c>
      <c r="X1205" s="38">
        <v>5.4340900000000003</v>
      </c>
      <c r="Y1205" s="38">
        <f t="shared" si="149"/>
        <v>5.5</v>
      </c>
      <c r="Z1205" s="38">
        <v>0</v>
      </c>
      <c r="AA1205" s="38">
        <v>0.03</v>
      </c>
      <c r="AB1205" s="38">
        <v>16.350000000000001</v>
      </c>
      <c r="AC1205" s="38">
        <v>1.18381</v>
      </c>
      <c r="AD1205" s="38">
        <v>59</v>
      </c>
      <c r="AE1205" s="38">
        <v>6.73</v>
      </c>
      <c r="AF1205" s="38">
        <v>0.10880905855258566</v>
      </c>
      <c r="AG1205" s="38">
        <f t="shared" si="150"/>
        <v>0.1</v>
      </c>
      <c r="AH1205" s="38">
        <v>0</v>
      </c>
      <c r="AI1205" s="38">
        <v>0</v>
      </c>
      <c r="AJ1205" s="38">
        <v>272</v>
      </c>
      <c r="AK1205" s="38">
        <v>0.47456207690697183</v>
      </c>
      <c r="AL1205" s="38">
        <v>0</v>
      </c>
      <c r="AM1205" s="38">
        <f>AL1205/(3.5*I1205*1000)*100</f>
        <v>0</v>
      </c>
      <c r="AN1205" s="60"/>
      <c r="AO1205" s="60">
        <f>AE1205*0.5</f>
        <v>3.3650000000000002</v>
      </c>
      <c r="AP1205" s="60">
        <f>(AD1205+AH1205+AJ1205+AL1205+AO1205)*I1205</f>
        <v>5475.5612400000009</v>
      </c>
      <c r="AQ1205" s="25">
        <f>SUM(N1205:Q1205)</f>
        <v>16.38</v>
      </c>
      <c r="AR1205" s="25">
        <f>SUM(T1205:W1205)</f>
        <v>16.54</v>
      </c>
      <c r="AS1205" s="268">
        <v>16.376000000000001</v>
      </c>
      <c r="AT1205" s="40"/>
      <c r="AU1205" s="41">
        <f>SUM(N1205:Q1205)</f>
        <v>16.38</v>
      </c>
      <c r="AV1205" s="41">
        <f>SUM(T1205:W1205)</f>
        <v>16.54</v>
      </c>
      <c r="AW1205" s="41">
        <f>SUM(Z1205:AB1205)</f>
        <v>16.380000000000003</v>
      </c>
      <c r="AX1205" s="22"/>
      <c r="AY1205" s="22">
        <f>I1205/AU1205</f>
        <v>0.99975579975579987</v>
      </c>
      <c r="AZ1205" s="22">
        <f>I1205/AV1205</f>
        <v>0.99008464328899648</v>
      </c>
      <c r="BA1205" s="22">
        <f>I1205/AW1205</f>
        <v>0.99975579975579965</v>
      </c>
      <c r="BB1205" s="61"/>
      <c r="BC1205" s="61"/>
      <c r="BD1205" s="61"/>
      <c r="BE1205" s="61"/>
      <c r="BF1205" s="61"/>
      <c r="BG1205" s="61"/>
      <c r="BH1205" s="61"/>
      <c r="BI1205" s="61"/>
      <c r="BJ1205" s="61"/>
      <c r="BK1205" s="61"/>
      <c r="BL1205" s="61"/>
      <c r="BM1205" s="61"/>
      <c r="BN1205" s="61"/>
      <c r="BO1205" s="61"/>
      <c r="BP1205" s="61"/>
      <c r="BQ1205" s="61"/>
      <c r="BR1205" s="61"/>
      <c r="BS1205" s="61"/>
      <c r="BT1205" s="61"/>
      <c r="BU1205" s="61"/>
      <c r="BV1205" s="61"/>
      <c r="BW1205" s="61"/>
      <c r="BX1205" s="61"/>
      <c r="BY1205" s="61"/>
      <c r="BZ1205" s="61"/>
      <c r="CA1205" s="61"/>
      <c r="CB1205" s="61"/>
      <c r="CC1205" s="61"/>
      <c r="CD1205" s="61"/>
      <c r="CE1205" s="61"/>
      <c r="CF1205" s="61"/>
      <c r="CG1205" s="61"/>
      <c r="CH1205" s="61"/>
      <c r="CI1205" s="61"/>
      <c r="CJ1205" s="61"/>
    </row>
    <row r="1206" spans="1:88">
      <c r="A1206" s="1">
        <v>834</v>
      </c>
      <c r="B1206" s="34" t="s">
        <v>1204</v>
      </c>
      <c r="C1206" s="34">
        <v>647</v>
      </c>
      <c r="D1206" s="151">
        <v>2442</v>
      </c>
      <c r="E1206" s="34">
        <v>100</v>
      </c>
      <c r="F1206" s="34" t="s">
        <v>1230</v>
      </c>
      <c r="G1206" s="58">
        <v>3</v>
      </c>
      <c r="H1206" s="58">
        <v>2913</v>
      </c>
      <c r="I1206" s="35">
        <v>2.91</v>
      </c>
      <c r="J1206" s="9">
        <v>2</v>
      </c>
      <c r="K1206" s="34" t="s">
        <v>238</v>
      </c>
      <c r="L1206" s="152">
        <v>42154</v>
      </c>
      <c r="M1206" s="9" t="s">
        <v>191</v>
      </c>
      <c r="N1206" s="38">
        <v>2.1</v>
      </c>
      <c r="O1206" s="38">
        <v>0.57499999999999996</v>
      </c>
      <c r="P1206" s="38">
        <v>0.15</v>
      </c>
      <c r="Q1206" s="38">
        <v>7.4999999999999997E-2</v>
      </c>
      <c r="R1206" s="38">
        <v>2.4401700000000002</v>
      </c>
      <c r="S1206" s="38">
        <f t="shared" si="148"/>
        <v>2.5</v>
      </c>
      <c r="T1206" s="38">
        <v>2.6749999999999998</v>
      </c>
      <c r="U1206" s="38">
        <v>0.22500000000000001</v>
      </c>
      <c r="V1206" s="38">
        <v>0</v>
      </c>
      <c r="W1206" s="38">
        <v>0</v>
      </c>
      <c r="X1206" s="38">
        <v>5.0293599999999996</v>
      </c>
      <c r="Y1206" s="38">
        <f t="shared" si="149"/>
        <v>5</v>
      </c>
      <c r="Z1206" s="38">
        <v>0</v>
      </c>
      <c r="AA1206" s="38">
        <v>0</v>
      </c>
      <c r="AB1206" s="38">
        <f>N1206+O1206+P1206+Q1206</f>
        <v>2.9</v>
      </c>
      <c r="AC1206" s="38">
        <v>1.2521599999999999</v>
      </c>
      <c r="AD1206" s="38">
        <v>0</v>
      </c>
      <c r="AE1206" s="38">
        <v>22</v>
      </c>
      <c r="AF1206" s="38">
        <f>(AD1206+AE1206*0.5)/(3.5*I1206*1000)*100</f>
        <v>0.10800196367206677</v>
      </c>
      <c r="AG1206" s="38">
        <f t="shared" si="150"/>
        <v>0.1</v>
      </c>
      <c r="AH1206" s="38">
        <v>0</v>
      </c>
      <c r="AI1206" s="38">
        <f>AH1206/(3.5*I1206*1000)*100</f>
        <v>0</v>
      </c>
      <c r="AJ1206" s="38">
        <v>41</v>
      </c>
      <c r="AK1206" s="38">
        <v>0.40255299999999999</v>
      </c>
      <c r="AL1206" s="38">
        <v>0</v>
      </c>
      <c r="AM1206" s="38">
        <v>0</v>
      </c>
      <c r="AN1206" s="22"/>
      <c r="AO1206" s="25">
        <f>AE1206*0.5</f>
        <v>11</v>
      </c>
      <c r="AP1206" s="25">
        <f>(AD1206+AH1206+AJ1206+AL1206+AO1206)*I1206</f>
        <v>151.32</v>
      </c>
      <c r="AQ1206" s="136">
        <f>SUM(N1206:Q1206)</f>
        <v>2.9</v>
      </c>
      <c r="AR1206" s="136">
        <f>SUM(T1206:W1206)</f>
        <v>2.9</v>
      </c>
      <c r="AS1206" s="268">
        <v>2.91</v>
      </c>
      <c r="AT1206" s="22"/>
      <c r="AU1206" s="22"/>
      <c r="AV1206" s="22"/>
      <c r="AW1206" s="22"/>
      <c r="AX1206" s="22"/>
      <c r="AY1206" s="22"/>
      <c r="AZ1206" s="22"/>
      <c r="BA1206" s="22"/>
      <c r="BB1206" s="22"/>
      <c r="BC1206" s="22"/>
      <c r="BD1206" s="22"/>
      <c r="BE1206" s="22"/>
      <c r="BF1206" s="22"/>
      <c r="BG1206" s="22"/>
      <c r="BH1206" s="22"/>
      <c r="BI1206" s="22"/>
      <c r="BJ1206" s="22"/>
      <c r="BK1206" s="22"/>
      <c r="BL1206" s="22"/>
      <c r="BM1206" s="22"/>
      <c r="BN1206" s="22"/>
      <c r="BO1206" s="22"/>
      <c r="BP1206" s="22"/>
      <c r="BQ1206" s="22"/>
      <c r="BR1206" s="22"/>
      <c r="BS1206" s="22"/>
      <c r="BT1206" s="22"/>
      <c r="BU1206" s="22"/>
      <c r="BV1206" s="22"/>
      <c r="BW1206" s="22"/>
      <c r="BX1206" s="22"/>
      <c r="BY1206" s="22"/>
      <c r="BZ1206" s="22"/>
      <c r="CA1206" s="22"/>
      <c r="CB1206" s="22"/>
      <c r="CC1206" s="22"/>
      <c r="CD1206" s="22"/>
      <c r="CE1206" s="22"/>
      <c r="CF1206" s="22"/>
      <c r="CG1206" s="22"/>
      <c r="CH1206" s="22"/>
      <c r="CI1206" s="22"/>
      <c r="CJ1206" s="22"/>
    </row>
    <row r="1207" spans="1:88">
      <c r="A1207" s="1">
        <v>491</v>
      </c>
      <c r="B1207" s="34" t="s">
        <v>821</v>
      </c>
      <c r="C1207" s="34">
        <v>519</v>
      </c>
      <c r="D1207" s="34">
        <v>117</v>
      </c>
      <c r="E1207" s="34">
        <v>201</v>
      </c>
      <c r="F1207" s="34" t="s">
        <v>837</v>
      </c>
      <c r="G1207" s="34" t="s">
        <v>839</v>
      </c>
      <c r="H1207" s="34" t="s">
        <v>838</v>
      </c>
      <c r="I1207" s="55">
        <v>31.372</v>
      </c>
      <c r="J1207" s="34" t="s">
        <v>96</v>
      </c>
      <c r="K1207" s="34">
        <v>4</v>
      </c>
      <c r="L1207" s="10">
        <v>42275</v>
      </c>
      <c r="M1207" s="9" t="s">
        <v>191</v>
      </c>
      <c r="N1207" s="38">
        <v>18.96</v>
      </c>
      <c r="O1207" s="38">
        <v>6.21</v>
      </c>
      <c r="P1207" s="38">
        <v>4.22</v>
      </c>
      <c r="Q1207" s="38">
        <v>1.98</v>
      </c>
      <c r="R1207" s="38">
        <v>2.6281300000000001</v>
      </c>
      <c r="S1207" s="38">
        <f t="shared" si="148"/>
        <v>2.5</v>
      </c>
      <c r="T1207" s="38">
        <v>29.3</v>
      </c>
      <c r="U1207" s="38">
        <v>1.65</v>
      </c>
      <c r="V1207" s="38">
        <v>0.25</v>
      </c>
      <c r="W1207" s="38">
        <v>0.17</v>
      </c>
      <c r="X1207" s="38">
        <v>5.10459</v>
      </c>
      <c r="Y1207" s="38">
        <f t="shared" si="149"/>
        <v>5</v>
      </c>
      <c r="Z1207" s="117">
        <v>0</v>
      </c>
      <c r="AA1207" s="117">
        <v>0</v>
      </c>
      <c r="AB1207" s="38">
        <v>31.37</v>
      </c>
      <c r="AC1207" s="38">
        <v>1.20645</v>
      </c>
      <c r="AD1207" s="38">
        <v>110.21</v>
      </c>
      <c r="AE1207" s="38">
        <v>15.98</v>
      </c>
      <c r="AF1207" s="38">
        <v>0.10764799999999999</v>
      </c>
      <c r="AG1207" s="38">
        <f t="shared" si="150"/>
        <v>0.1</v>
      </c>
      <c r="AH1207" s="38">
        <v>96.78</v>
      </c>
      <c r="AI1207" s="38">
        <v>8.8139999999999996E-2</v>
      </c>
      <c r="AJ1207" s="38">
        <v>0</v>
      </c>
      <c r="AK1207" s="38">
        <v>0</v>
      </c>
      <c r="AL1207" s="38">
        <v>0</v>
      </c>
      <c r="AM1207" s="38">
        <v>0</v>
      </c>
      <c r="AN1207" s="41"/>
      <c r="AO1207" s="41"/>
      <c r="AP1207" s="41"/>
      <c r="AQ1207" s="41">
        <f>SUM(N1207:Q1207)</f>
        <v>31.37</v>
      </c>
      <c r="AR1207" s="41">
        <f>SUM(T1207:W1207)</f>
        <v>31.37</v>
      </c>
      <c r="AS1207" s="41">
        <f>SUM(Z1207:AB1207)</f>
        <v>31.37</v>
      </c>
      <c r="AT1207" s="22"/>
      <c r="AU1207" s="22">
        <f>I1207/AQ1207</f>
        <v>1.0000637551801084</v>
      </c>
      <c r="AV1207" s="22">
        <f>I1207/AR1207</f>
        <v>1.0000637551801084</v>
      </c>
      <c r="AW1207" s="22">
        <f>I1207/AS1207</f>
        <v>1.0000637551801084</v>
      </c>
      <c r="AX1207" s="22"/>
      <c r="AY1207" s="22"/>
      <c r="AZ1207" s="22"/>
      <c r="BA1207" s="22"/>
      <c r="BB1207" s="22"/>
      <c r="BC1207" s="22"/>
      <c r="BD1207" s="22"/>
      <c r="BE1207" s="22"/>
      <c r="BF1207" s="22"/>
      <c r="BG1207" s="22"/>
      <c r="BH1207" s="22"/>
      <c r="BI1207" s="22"/>
      <c r="BJ1207" s="22"/>
      <c r="BK1207" s="22"/>
      <c r="BL1207" s="22"/>
      <c r="BM1207" s="22"/>
      <c r="BN1207" s="22"/>
      <c r="BO1207" s="22"/>
      <c r="BP1207" s="22"/>
      <c r="BQ1207" s="22"/>
      <c r="BR1207" s="22"/>
      <c r="BS1207" s="22"/>
      <c r="BT1207" s="22"/>
      <c r="BU1207" s="22"/>
      <c r="BV1207" s="22"/>
      <c r="BW1207" s="22"/>
      <c r="BX1207" s="22"/>
      <c r="BY1207" s="22"/>
      <c r="BZ1207" s="22"/>
      <c r="CA1207" s="22"/>
      <c r="CB1207" s="22"/>
      <c r="CC1207" s="22"/>
      <c r="CD1207" s="22"/>
      <c r="CE1207" s="22"/>
      <c r="CF1207" s="22"/>
      <c r="CG1207" s="22"/>
      <c r="CH1207" s="22"/>
      <c r="CI1207" s="22"/>
      <c r="CJ1207" s="22"/>
    </row>
    <row r="1208" spans="1:88">
      <c r="A1208" s="1">
        <v>1102</v>
      </c>
      <c r="B1208" s="9" t="s">
        <v>1513</v>
      </c>
      <c r="C1208" s="34">
        <v>431</v>
      </c>
      <c r="D1208" s="75">
        <v>366</v>
      </c>
      <c r="E1208" s="69">
        <v>100</v>
      </c>
      <c r="F1208" s="34" t="s">
        <v>1525</v>
      </c>
      <c r="G1208" s="20" t="s">
        <v>1526</v>
      </c>
      <c r="H1208" s="20" t="s">
        <v>92</v>
      </c>
      <c r="I1208" s="21">
        <v>19.309999999999999</v>
      </c>
      <c r="J1208" s="8">
        <v>2</v>
      </c>
      <c r="K1208" s="5" t="s">
        <v>12</v>
      </c>
      <c r="L1208" s="18">
        <v>42282</v>
      </c>
      <c r="M1208" s="9" t="s">
        <v>191</v>
      </c>
      <c r="N1208" s="38">
        <v>14.55</v>
      </c>
      <c r="O1208" s="38">
        <v>3.05</v>
      </c>
      <c r="P1208" s="38">
        <v>1.35</v>
      </c>
      <c r="Q1208" s="38">
        <v>0.77500000000000002</v>
      </c>
      <c r="R1208" s="38">
        <v>2.40151</v>
      </c>
      <c r="S1208" s="38">
        <f t="shared" si="148"/>
        <v>2.5</v>
      </c>
      <c r="T1208" s="38">
        <v>18.625</v>
      </c>
      <c r="U1208" s="38">
        <v>0.95</v>
      </c>
      <c r="V1208" s="38">
        <v>0.125</v>
      </c>
      <c r="W1208" s="38">
        <v>2.5000000000000001E-2</v>
      </c>
      <c r="X1208" s="38">
        <v>4.9912900000000002</v>
      </c>
      <c r="Y1208" s="38">
        <f t="shared" si="149"/>
        <v>5</v>
      </c>
      <c r="Z1208" s="38">
        <v>0</v>
      </c>
      <c r="AA1208" s="38">
        <v>0</v>
      </c>
      <c r="AB1208" s="38">
        <v>19.725000000000001</v>
      </c>
      <c r="AC1208" s="38">
        <v>1.13598</v>
      </c>
      <c r="AD1208" s="38">
        <v>68.668999999999997</v>
      </c>
      <c r="AE1208" s="38">
        <v>6.99</v>
      </c>
      <c r="AF1208" s="38">
        <f>(AD1208+AE1208*0.5)/(3.5*I1208*1000)*100</f>
        <v>0.10677517200562256</v>
      </c>
      <c r="AG1208" s="38">
        <f t="shared" si="150"/>
        <v>0.1</v>
      </c>
      <c r="AH1208" s="38">
        <v>20.32</v>
      </c>
      <c r="AI1208" s="38">
        <f>AH1208/(3.5*I1208*1000)*100</f>
        <v>3.0065843012502775E-2</v>
      </c>
      <c r="AJ1208" s="38">
        <v>1.002</v>
      </c>
      <c r="AK1208" s="38">
        <f>AJ1208/(3.5*I1208*1000)*100</f>
        <v>1.4825774950062885E-3</v>
      </c>
      <c r="AL1208" s="38">
        <v>1.2</v>
      </c>
      <c r="AM1208" s="38">
        <f>AL1208/(3.5*I1208*1000)*100</f>
        <v>1.7755419101871716E-3</v>
      </c>
      <c r="AN1208" s="41"/>
      <c r="AO1208" s="72"/>
      <c r="AP1208" s="73"/>
      <c r="AQ1208" s="73"/>
      <c r="AR1208" s="22"/>
      <c r="AS1208" s="22"/>
      <c r="AT1208" s="22"/>
      <c r="AU1208" s="22"/>
      <c r="AV1208" s="22"/>
      <c r="AW1208" s="22"/>
      <c r="AX1208" s="22"/>
      <c r="AY1208" s="22"/>
      <c r="AZ1208" s="22"/>
      <c r="BA1208" s="22"/>
      <c r="BB1208" s="22"/>
      <c r="BC1208" s="22"/>
      <c r="BD1208" s="22"/>
      <c r="BE1208" s="22"/>
      <c r="BF1208" s="22"/>
      <c r="BG1208" s="22"/>
      <c r="BH1208" s="22"/>
      <c r="BI1208" s="22"/>
      <c r="BJ1208" s="22"/>
      <c r="BK1208" s="22"/>
      <c r="BL1208" s="22"/>
      <c r="BM1208" s="22"/>
      <c r="BN1208" s="22"/>
      <c r="BO1208" s="22"/>
      <c r="BP1208" s="22"/>
      <c r="BQ1208" s="22"/>
      <c r="BR1208" s="22"/>
      <c r="BS1208" s="22"/>
      <c r="BT1208" s="22"/>
      <c r="BU1208" s="22"/>
      <c r="BV1208" s="22"/>
      <c r="BW1208" s="22"/>
      <c r="BX1208" s="22"/>
      <c r="BY1208" s="22"/>
      <c r="BZ1208" s="22"/>
      <c r="CA1208" s="22"/>
      <c r="CB1208" s="22"/>
      <c r="CC1208" s="22"/>
      <c r="CD1208" s="22"/>
      <c r="CE1208" s="22"/>
      <c r="CF1208" s="22"/>
      <c r="CG1208" s="22"/>
      <c r="CH1208" s="22"/>
      <c r="CI1208" s="22"/>
      <c r="CJ1208" s="22"/>
    </row>
    <row r="1209" spans="1:88">
      <c r="A1209" s="1">
        <v>818</v>
      </c>
      <c r="B1209" s="34" t="s">
        <v>1204</v>
      </c>
      <c r="C1209" s="34">
        <v>647</v>
      </c>
      <c r="D1209" s="8">
        <v>214</v>
      </c>
      <c r="E1209" s="34">
        <v>100</v>
      </c>
      <c r="F1209" s="34" t="s">
        <v>1207</v>
      </c>
      <c r="G1209" s="58" t="s">
        <v>1210</v>
      </c>
      <c r="H1209" s="58" t="s">
        <v>1211</v>
      </c>
      <c r="I1209" s="35">
        <v>13.5</v>
      </c>
      <c r="J1209" s="9">
        <v>4</v>
      </c>
      <c r="K1209" s="34" t="s">
        <v>238</v>
      </c>
      <c r="L1209" s="10">
        <v>42154</v>
      </c>
      <c r="M1209" s="9" t="s">
        <v>191</v>
      </c>
      <c r="N1209" s="38">
        <v>10.525</v>
      </c>
      <c r="O1209" s="38">
        <v>2.2000000000000002</v>
      </c>
      <c r="P1209" s="38">
        <v>0.6</v>
      </c>
      <c r="Q1209" s="38">
        <v>0.15</v>
      </c>
      <c r="R1209" s="38">
        <v>2.8359999999999999</v>
      </c>
      <c r="S1209" s="38">
        <f t="shared" si="148"/>
        <v>3</v>
      </c>
      <c r="T1209" s="38">
        <v>13.025</v>
      </c>
      <c r="U1209" s="38">
        <v>0.35</v>
      </c>
      <c r="V1209" s="38">
        <v>0</v>
      </c>
      <c r="W1209" s="38">
        <v>0.1</v>
      </c>
      <c r="X1209" s="38">
        <v>5.7549999999999999</v>
      </c>
      <c r="Y1209" s="38">
        <f t="shared" si="149"/>
        <v>6</v>
      </c>
      <c r="Z1209" s="38">
        <v>0</v>
      </c>
      <c r="AA1209" s="38">
        <v>0</v>
      </c>
      <c r="AB1209" s="38">
        <f>N1209+O1209+P1209+Q1209</f>
        <v>13.475000000000001</v>
      </c>
      <c r="AC1209" s="38">
        <v>1.087</v>
      </c>
      <c r="AD1209" s="38">
        <v>1</v>
      </c>
      <c r="AE1209" s="38">
        <v>98</v>
      </c>
      <c r="AF1209" s="38">
        <f>(AD1209+AE1209*0.5)/(3.5*I1209*1000)*100</f>
        <v>0.10582010582010583</v>
      </c>
      <c r="AG1209" s="38">
        <f t="shared" si="150"/>
        <v>0.1</v>
      </c>
      <c r="AH1209" s="38">
        <v>1</v>
      </c>
      <c r="AI1209" s="38">
        <f>AH1209/(3.5*I1209*1000)*100</f>
        <v>2.1164021164021165E-3</v>
      </c>
      <c r="AJ1209" s="38">
        <v>112</v>
      </c>
      <c r="AK1209" s="38">
        <f>AJ1209/(3.5*I1209*1000)*100</f>
        <v>0.23703703703703705</v>
      </c>
      <c r="AL1209" s="38">
        <v>0</v>
      </c>
      <c r="AM1209" s="38">
        <f>AL1209/(3.5*I1209*1000)*100</f>
        <v>0</v>
      </c>
      <c r="AN1209" s="25"/>
      <c r="AO1209" s="25">
        <f>AE1209*0.5</f>
        <v>49</v>
      </c>
      <c r="AP1209" s="25">
        <f>(AD1209+AH1209+AJ1209+AL1209+AO1209)*I1209</f>
        <v>2200.5</v>
      </c>
      <c r="AQ1209" s="25"/>
      <c r="AR1209" s="25"/>
      <c r="AS1209" s="268"/>
      <c r="AT1209" s="41"/>
      <c r="AU1209" s="41"/>
      <c r="AV1209" s="41"/>
      <c r="AW1209" s="41"/>
      <c r="AX1209" s="22"/>
      <c r="AY1209" s="22"/>
      <c r="AZ1209" s="22"/>
      <c r="BA1209" s="22"/>
      <c r="BB1209" s="22"/>
      <c r="BC1209" s="22"/>
      <c r="BD1209" s="22"/>
      <c r="BE1209" s="22"/>
      <c r="BF1209" s="22"/>
      <c r="BG1209" s="22"/>
      <c r="BH1209" s="22"/>
      <c r="BI1209" s="22"/>
      <c r="BJ1209" s="22"/>
      <c r="BK1209" s="22"/>
      <c r="BL1209" s="22"/>
      <c r="BM1209" s="22"/>
      <c r="BN1209" s="22"/>
      <c r="BO1209" s="22"/>
      <c r="BP1209" s="22"/>
      <c r="BQ1209" s="22"/>
      <c r="BR1209" s="22"/>
      <c r="BS1209" s="22"/>
      <c r="BT1209" s="22"/>
      <c r="BU1209" s="22"/>
      <c r="BV1209" s="22"/>
      <c r="BW1209" s="22"/>
      <c r="BX1209" s="22"/>
      <c r="BY1209" s="22"/>
      <c r="BZ1209" s="22"/>
      <c r="CA1209" s="22"/>
      <c r="CB1209" s="22"/>
      <c r="CC1209" s="22"/>
      <c r="CD1209" s="22"/>
      <c r="CE1209" s="22"/>
      <c r="CF1209" s="22"/>
      <c r="CG1209" s="22"/>
      <c r="CH1209" s="22"/>
      <c r="CI1209" s="22"/>
      <c r="CJ1209" s="22"/>
    </row>
    <row r="1210" spans="1:88">
      <c r="A1210" s="1">
        <v>2195</v>
      </c>
      <c r="B1210" s="34" t="s">
        <v>2827</v>
      </c>
      <c r="C1210" s="34">
        <v>314</v>
      </c>
      <c r="D1210" s="75">
        <v>4121</v>
      </c>
      <c r="E1210" s="8">
        <v>100</v>
      </c>
      <c r="F1210" s="9" t="s">
        <v>2839</v>
      </c>
      <c r="G1210" s="20">
        <v>0</v>
      </c>
      <c r="H1210" s="20">
        <v>16360</v>
      </c>
      <c r="I1210" s="21">
        <v>16.36</v>
      </c>
      <c r="J1210" s="8">
        <v>2</v>
      </c>
      <c r="K1210" s="8" t="s">
        <v>238</v>
      </c>
      <c r="L1210" s="18">
        <v>42145</v>
      </c>
      <c r="M1210" s="9" t="s">
        <v>191</v>
      </c>
      <c r="N1210" s="38">
        <v>9.375</v>
      </c>
      <c r="O1210" s="38">
        <v>4.7</v>
      </c>
      <c r="P1210" s="38">
        <v>1.675</v>
      </c>
      <c r="Q1210" s="38">
        <v>0.55000000000000004</v>
      </c>
      <c r="R1210" s="38">
        <v>2.6156600000000001</v>
      </c>
      <c r="S1210" s="38">
        <f t="shared" si="148"/>
        <v>2.5</v>
      </c>
      <c r="T1210" s="38">
        <v>16</v>
      </c>
      <c r="U1210" s="38">
        <v>0.3</v>
      </c>
      <c r="V1210" s="38">
        <v>0</v>
      </c>
      <c r="W1210" s="38">
        <v>0</v>
      </c>
      <c r="X1210" s="38">
        <v>3.1003500000000002</v>
      </c>
      <c r="Y1210" s="38">
        <f t="shared" si="149"/>
        <v>3</v>
      </c>
      <c r="Z1210" s="38">
        <v>0</v>
      </c>
      <c r="AA1210" s="38">
        <v>0</v>
      </c>
      <c r="AB1210" s="38">
        <v>16.3</v>
      </c>
      <c r="AC1210" s="38">
        <v>1.1320300000000001</v>
      </c>
      <c r="AD1210" s="38">
        <v>36.909999999999997</v>
      </c>
      <c r="AE1210" s="38">
        <v>46.88</v>
      </c>
      <c r="AF1210" s="38">
        <f>(AD1210+AE1210*0.5)/(3.5*I1210*1000)*100</f>
        <v>0.10539643730352775</v>
      </c>
      <c r="AG1210" s="38">
        <f t="shared" si="150"/>
        <v>0.1</v>
      </c>
      <c r="AH1210" s="38">
        <v>6.27</v>
      </c>
      <c r="AI1210" s="38">
        <f>AH1210/(3.5*I1210*1000)*100</f>
        <v>1.095005239259518E-2</v>
      </c>
      <c r="AJ1210" s="38">
        <v>0</v>
      </c>
      <c r="AK1210" s="38">
        <v>0</v>
      </c>
      <c r="AL1210" s="38">
        <v>0</v>
      </c>
      <c r="AM1210" s="38">
        <f>AL1210/(3.5*I1210*1000)*100</f>
        <v>0</v>
      </c>
      <c r="AN1210" s="72"/>
      <c r="AO1210" s="41"/>
      <c r="AP1210" s="41"/>
      <c r="AQ1210" s="73"/>
      <c r="AR1210" s="73"/>
      <c r="AS1210" s="73"/>
      <c r="AT1210" s="73"/>
    </row>
    <row r="1211" spans="1:88">
      <c r="A1211" s="1">
        <v>2210</v>
      </c>
      <c r="B1211" s="34" t="s">
        <v>2853</v>
      </c>
      <c r="C1211" s="34">
        <v>318</v>
      </c>
      <c r="D1211" s="75">
        <v>406</v>
      </c>
      <c r="E1211" s="8">
        <v>102</v>
      </c>
      <c r="F1211" s="9" t="s">
        <v>2855</v>
      </c>
      <c r="G1211" s="20">
        <v>54775</v>
      </c>
      <c r="H1211" s="20">
        <v>75725</v>
      </c>
      <c r="I1211" s="21">
        <v>20.95</v>
      </c>
      <c r="J1211" s="8">
        <v>4</v>
      </c>
      <c r="K1211" s="8" t="s">
        <v>237</v>
      </c>
      <c r="L1211" s="18">
        <v>42149</v>
      </c>
      <c r="M1211" s="9" t="s">
        <v>191</v>
      </c>
      <c r="N1211" s="38">
        <v>13.9</v>
      </c>
      <c r="O1211" s="38">
        <v>4.6749999999999998</v>
      </c>
      <c r="P1211" s="38">
        <v>1.625</v>
      </c>
      <c r="Q1211" s="38">
        <v>0.7</v>
      </c>
      <c r="R1211" s="38">
        <v>2.4477799999999998</v>
      </c>
      <c r="S1211" s="38">
        <f t="shared" si="148"/>
        <v>2.5</v>
      </c>
      <c r="T1211" s="38">
        <v>19.45</v>
      </c>
      <c r="U1211" s="38">
        <v>1.325</v>
      </c>
      <c r="V1211" s="38">
        <v>0.125</v>
      </c>
      <c r="W1211" s="38">
        <v>0</v>
      </c>
      <c r="X1211" s="38">
        <v>5.6785800000000002</v>
      </c>
      <c r="Y1211" s="38">
        <f t="shared" si="149"/>
        <v>5.5</v>
      </c>
      <c r="Z1211" s="38">
        <v>0</v>
      </c>
      <c r="AA1211" s="38">
        <v>0</v>
      </c>
      <c r="AB1211" s="38">
        <v>20.9</v>
      </c>
      <c r="AC1211" s="38">
        <v>1.18327</v>
      </c>
      <c r="AD1211" s="38">
        <v>77.25</v>
      </c>
      <c r="AE1211" s="38">
        <v>0</v>
      </c>
      <c r="AF1211" s="38">
        <v>0.10535288100920559</v>
      </c>
      <c r="AG1211" s="38">
        <f t="shared" si="150"/>
        <v>0.1</v>
      </c>
      <c r="AH1211" s="38">
        <v>0</v>
      </c>
      <c r="AI1211" s="38">
        <v>0</v>
      </c>
      <c r="AJ1211" s="38">
        <v>19.04</v>
      </c>
      <c r="AK1211" s="38">
        <v>2.5966587112171834E-2</v>
      </c>
      <c r="AL1211" s="38">
        <v>0</v>
      </c>
      <c r="AM1211" s="38">
        <f>AL1211/(3.5*I1211*1000)*100</f>
        <v>0</v>
      </c>
      <c r="AN1211" s="22"/>
      <c r="AO1211" s="25"/>
      <c r="AP1211" s="25"/>
      <c r="AQ1211" s="22"/>
      <c r="AR1211" s="22"/>
      <c r="AS1211" s="22"/>
    </row>
    <row r="1212" spans="1:88">
      <c r="A1212" s="1">
        <v>429</v>
      </c>
      <c r="B1212" s="74" t="s">
        <v>699</v>
      </c>
      <c r="C1212" s="34">
        <v>513</v>
      </c>
      <c r="D1212" s="75">
        <v>1054</v>
      </c>
      <c r="E1212" s="69">
        <v>102</v>
      </c>
      <c r="F1212" s="76" t="s">
        <v>723</v>
      </c>
      <c r="G1212" s="20" t="s">
        <v>724</v>
      </c>
      <c r="H1212" s="20" t="s">
        <v>725</v>
      </c>
      <c r="I1212" s="21">
        <v>12.521000000000001</v>
      </c>
      <c r="J1212" s="5" t="s">
        <v>238</v>
      </c>
      <c r="K1212" s="34">
        <v>2</v>
      </c>
      <c r="L1212" s="18">
        <v>42265</v>
      </c>
      <c r="M1212" s="9" t="s">
        <v>191</v>
      </c>
      <c r="N1212" s="38">
        <v>7.72</v>
      </c>
      <c r="O1212" s="38">
        <v>3.01</v>
      </c>
      <c r="P1212" s="38">
        <v>1.59</v>
      </c>
      <c r="Q1212" s="38">
        <v>0.2</v>
      </c>
      <c r="R1212" s="38">
        <v>2.5541700000000001</v>
      </c>
      <c r="S1212" s="38">
        <f t="shared" si="148"/>
        <v>2.5</v>
      </c>
      <c r="T1212" s="38">
        <v>11.15</v>
      </c>
      <c r="U1212" s="38">
        <v>0.9</v>
      </c>
      <c r="V1212" s="38">
        <v>0.22</v>
      </c>
      <c r="W1212" s="38">
        <v>0.25</v>
      </c>
      <c r="X1212" s="38">
        <v>5.0537000000000001</v>
      </c>
      <c r="Y1212" s="38">
        <f t="shared" si="149"/>
        <v>5</v>
      </c>
      <c r="Z1212" s="38">
        <v>0</v>
      </c>
      <c r="AA1212" s="38">
        <v>0</v>
      </c>
      <c r="AB1212" s="38">
        <v>12.52</v>
      </c>
      <c r="AC1212" s="38">
        <v>1.0436399999999999</v>
      </c>
      <c r="AD1212" s="38">
        <v>45.95</v>
      </c>
      <c r="AE1212" s="38">
        <v>0</v>
      </c>
      <c r="AF1212" s="38">
        <f>(AD1212+AE1212*0.5)/(3.5*I1212*1000)*100</f>
        <v>0.10485241936403986</v>
      </c>
      <c r="AG1212" s="38">
        <f t="shared" si="150"/>
        <v>0.1</v>
      </c>
      <c r="AH1212" s="38">
        <v>67.25</v>
      </c>
      <c r="AI1212" s="38">
        <f>AH1212/(3.5*I1212*1000)*100</f>
        <v>0.15345647882985156</v>
      </c>
      <c r="AJ1212" s="38">
        <v>0</v>
      </c>
      <c r="AK1212" s="38">
        <f>AJ1212/(3.5*I1212*1000)*100</f>
        <v>0</v>
      </c>
      <c r="AL1212" s="38">
        <v>0</v>
      </c>
      <c r="AM1212" s="38">
        <f>AL1212/(3.5*I1212*1000)*100</f>
        <v>0</v>
      </c>
      <c r="AN1212" s="41"/>
      <c r="AO1212" s="41"/>
      <c r="AP1212" s="73"/>
      <c r="AQ1212" s="41">
        <f>SUM(N1212:Q1212)</f>
        <v>12.52</v>
      </c>
      <c r="AR1212" s="41">
        <f>SUM(T1212:W1212)</f>
        <v>12.520000000000001</v>
      </c>
      <c r="AS1212" s="41">
        <f>SUM(Z1212:AB1212)</f>
        <v>12.52</v>
      </c>
      <c r="AT1212" s="22"/>
      <c r="AU1212" s="22">
        <f>I1212/AQ1212</f>
        <v>1.000079872204473</v>
      </c>
      <c r="AV1212" s="22">
        <f>I1212/AR1212</f>
        <v>1.0000798722044728</v>
      </c>
      <c r="AW1212" s="22">
        <f>I1212/AS1212</f>
        <v>1.000079872204473</v>
      </c>
      <c r="AX1212" s="73"/>
      <c r="AY1212" s="73"/>
      <c r="AZ1212" s="73"/>
      <c r="BA1212" s="73"/>
      <c r="BB1212" s="73"/>
      <c r="BC1212" s="73"/>
      <c r="BD1212" s="73"/>
      <c r="BE1212" s="73"/>
      <c r="BF1212" s="73"/>
      <c r="BG1212" s="73"/>
      <c r="BH1212" s="73"/>
      <c r="BI1212" s="73"/>
      <c r="BJ1212" s="73"/>
      <c r="BK1212" s="73"/>
      <c r="BL1212" s="73"/>
      <c r="BM1212" s="73"/>
      <c r="BN1212" s="73"/>
      <c r="BO1212" s="73"/>
      <c r="BP1212" s="73"/>
      <c r="BQ1212" s="73"/>
      <c r="BR1212" s="73"/>
      <c r="BS1212" s="73"/>
      <c r="BT1212" s="73"/>
      <c r="BU1212" s="73"/>
      <c r="BV1212" s="73"/>
      <c r="BW1212" s="73"/>
      <c r="BX1212" s="73"/>
      <c r="BY1212" s="73"/>
      <c r="BZ1212" s="73"/>
      <c r="CA1212" s="73"/>
      <c r="CB1212" s="73"/>
      <c r="CC1212" s="73"/>
      <c r="CD1212" s="73"/>
      <c r="CE1212" s="73"/>
      <c r="CF1212" s="73"/>
      <c r="CG1212" s="73"/>
      <c r="CH1212" s="73"/>
      <c r="CI1212" s="73"/>
      <c r="CJ1212" s="73"/>
    </row>
    <row r="1213" spans="1:88">
      <c r="A1213" s="1">
        <v>855</v>
      </c>
      <c r="B1213" s="34" t="s">
        <v>1231</v>
      </c>
      <c r="C1213" s="34">
        <v>615</v>
      </c>
      <c r="D1213" s="34">
        <v>2262</v>
      </c>
      <c r="E1213" s="34">
        <v>100</v>
      </c>
      <c r="F1213" s="34" t="s">
        <v>1249</v>
      </c>
      <c r="G1213" s="58">
        <v>0</v>
      </c>
      <c r="H1213" s="58">
        <v>34046</v>
      </c>
      <c r="I1213" s="35">
        <v>34.045999999999999</v>
      </c>
      <c r="J1213" s="9">
        <v>2</v>
      </c>
      <c r="K1213" s="34" t="s">
        <v>238</v>
      </c>
      <c r="L1213" s="10">
        <v>42135</v>
      </c>
      <c r="M1213" s="9" t="s">
        <v>191</v>
      </c>
      <c r="N1213" s="38">
        <v>24.175000000000001</v>
      </c>
      <c r="O1213" s="38">
        <v>6.9249999999999998</v>
      </c>
      <c r="P1213" s="38">
        <v>1.925</v>
      </c>
      <c r="Q1213" s="38">
        <v>0.67500000000000004</v>
      </c>
      <c r="R1213" s="38">
        <v>2.4231099999999999</v>
      </c>
      <c r="S1213" s="38">
        <f t="shared" si="148"/>
        <v>2.5</v>
      </c>
      <c r="T1213" s="38">
        <v>33.475000000000001</v>
      </c>
      <c r="U1213" s="38">
        <v>0.2</v>
      </c>
      <c r="V1213" s="38">
        <v>2.5000000000000001E-2</v>
      </c>
      <c r="W1213" s="38">
        <v>0</v>
      </c>
      <c r="X1213" s="38">
        <v>3.7072099999999999</v>
      </c>
      <c r="Y1213" s="38">
        <f t="shared" si="149"/>
        <v>3.5</v>
      </c>
      <c r="Z1213" s="38">
        <v>0</v>
      </c>
      <c r="AA1213" s="38">
        <v>0</v>
      </c>
      <c r="AB1213" s="38">
        <f>N1213+O1213+P1213+Q1213</f>
        <v>33.699999999999996</v>
      </c>
      <c r="AC1213" s="38">
        <v>1.3716699999999999</v>
      </c>
      <c r="AD1213" s="38">
        <v>100.7</v>
      </c>
      <c r="AE1213" s="38">
        <v>48.16</v>
      </c>
      <c r="AF1213" s="38">
        <v>0.10471999999999999</v>
      </c>
      <c r="AG1213" s="38">
        <f t="shared" si="150"/>
        <v>0.1</v>
      </c>
      <c r="AH1213" s="38">
        <v>282.95</v>
      </c>
      <c r="AI1213" s="38">
        <v>0.23744999999999999</v>
      </c>
      <c r="AJ1213" s="38">
        <v>128.57</v>
      </c>
      <c r="AK1213" s="38">
        <v>0.10789600000000001</v>
      </c>
      <c r="AL1213" s="38">
        <v>339.89</v>
      </c>
      <c r="AM1213" s="38">
        <v>0.28523999999999999</v>
      </c>
      <c r="AN1213" s="25"/>
      <c r="AO1213" s="25">
        <f>AE1213*0.5</f>
        <v>24.08</v>
      </c>
      <c r="AP1213" s="25">
        <f>(AD1213+AH1213+AJ1213+AL1213+AO1213)*I1213</f>
        <v>29830.764740000002</v>
      </c>
      <c r="AQ1213" s="25">
        <f>SUM(N1213:Q1213)</f>
        <v>33.699999999999996</v>
      </c>
      <c r="AR1213" s="25">
        <f>SUM(T1213:W1213)</f>
        <v>33.700000000000003</v>
      </c>
      <c r="AS1213" s="268">
        <v>34.045999999999999</v>
      </c>
      <c r="AT1213" s="41"/>
      <c r="AU1213" s="41"/>
      <c r="AV1213" s="41"/>
      <c r="AW1213" s="41"/>
      <c r="AX1213" s="22"/>
      <c r="AY1213" s="22"/>
      <c r="AZ1213" s="22"/>
      <c r="BA1213" s="22"/>
      <c r="BB1213" s="22"/>
      <c r="BC1213" s="22"/>
      <c r="BD1213" s="22"/>
      <c r="BE1213" s="22"/>
      <c r="BF1213" s="22"/>
      <c r="BG1213" s="22"/>
      <c r="BH1213" s="22"/>
      <c r="BI1213" s="22"/>
      <c r="BJ1213" s="22"/>
      <c r="BK1213" s="22"/>
      <c r="BL1213" s="22"/>
      <c r="BM1213" s="22"/>
      <c r="BN1213" s="22"/>
      <c r="BO1213" s="22"/>
      <c r="BP1213" s="22"/>
      <c r="BQ1213" s="22"/>
      <c r="BR1213" s="22"/>
      <c r="BS1213" s="22"/>
      <c r="BT1213" s="22"/>
      <c r="BU1213" s="22"/>
      <c r="BV1213" s="22"/>
      <c r="BW1213" s="22"/>
      <c r="BX1213" s="22"/>
      <c r="BY1213" s="22"/>
      <c r="BZ1213" s="22"/>
      <c r="CA1213" s="22"/>
      <c r="CB1213" s="22"/>
      <c r="CC1213" s="22"/>
      <c r="CD1213" s="22"/>
      <c r="CE1213" s="22"/>
      <c r="CF1213" s="22"/>
      <c r="CG1213" s="22"/>
      <c r="CH1213" s="22"/>
      <c r="CI1213" s="22"/>
      <c r="CJ1213" s="22"/>
    </row>
    <row r="1214" spans="1:88">
      <c r="A1214" s="1">
        <v>663</v>
      </c>
      <c r="B1214" s="34" t="s">
        <v>1062</v>
      </c>
      <c r="C1214" s="34">
        <v>623</v>
      </c>
      <c r="D1214" s="34">
        <v>2097</v>
      </c>
      <c r="E1214" s="34">
        <v>200</v>
      </c>
      <c r="F1214" s="9" t="s">
        <v>1072</v>
      </c>
      <c r="G1214" s="20">
        <v>31500</v>
      </c>
      <c r="H1214" s="20">
        <v>42397</v>
      </c>
      <c r="I1214" s="35">
        <v>10.897</v>
      </c>
      <c r="J1214" s="34">
        <v>2</v>
      </c>
      <c r="K1214" s="34" t="s">
        <v>238</v>
      </c>
      <c r="L1214" s="10">
        <v>42167</v>
      </c>
      <c r="M1214" s="9" t="s">
        <v>191</v>
      </c>
      <c r="N1214" s="38">
        <v>8.0500000000000007</v>
      </c>
      <c r="O1214" s="38">
        <v>2.19</v>
      </c>
      <c r="P1214" s="38">
        <v>0.43</v>
      </c>
      <c r="Q1214" s="38">
        <v>0.23</v>
      </c>
      <c r="R1214" s="38">
        <v>2.1492399999999998</v>
      </c>
      <c r="S1214" s="38">
        <f t="shared" si="148"/>
        <v>2</v>
      </c>
      <c r="T1214" s="38">
        <v>10.62</v>
      </c>
      <c r="U1214" s="38">
        <v>0.25</v>
      </c>
      <c r="V1214" s="38">
        <v>0.03</v>
      </c>
      <c r="W1214" s="38">
        <v>0</v>
      </c>
      <c r="X1214" s="38">
        <v>3.66628</v>
      </c>
      <c r="Y1214" s="38">
        <f t="shared" si="149"/>
        <v>3.5</v>
      </c>
      <c r="Z1214" s="38">
        <v>0</v>
      </c>
      <c r="AA1214" s="38">
        <v>0</v>
      </c>
      <c r="AB1214" s="38">
        <v>10.9</v>
      </c>
      <c r="AC1214" s="38">
        <v>1.11578</v>
      </c>
      <c r="AD1214" s="38">
        <v>39.89</v>
      </c>
      <c r="AE1214" s="38">
        <v>0</v>
      </c>
      <c r="AF1214" s="38">
        <v>0.10459</v>
      </c>
      <c r="AG1214" s="38">
        <f t="shared" si="150"/>
        <v>0.1</v>
      </c>
      <c r="AH1214" s="38">
        <v>0</v>
      </c>
      <c r="AI1214" s="38">
        <v>0</v>
      </c>
      <c r="AJ1214" s="38">
        <v>13.14</v>
      </c>
      <c r="AK1214" s="38">
        <v>3.4452000000000003E-2</v>
      </c>
      <c r="AL1214" s="38">
        <v>0</v>
      </c>
      <c r="AM1214" s="38">
        <v>0</v>
      </c>
      <c r="AN1214" s="25"/>
      <c r="AO1214" s="1">
        <f>AE1214*0.5</f>
        <v>0</v>
      </c>
      <c r="AP1214" s="25">
        <f>(AD1214+AH1214+AJ1214+AL1214+AO1214)*I1214</f>
        <v>577.86791000000005</v>
      </c>
      <c r="AQ1214" s="25">
        <f>SUM(N1214:Q1214)</f>
        <v>10.9</v>
      </c>
      <c r="AR1214" s="25">
        <f>SUM(T1214:W1214)</f>
        <v>10.899999999999999</v>
      </c>
      <c r="AS1214" s="22"/>
      <c r="AT1214" s="41"/>
      <c r="AU1214" s="41">
        <f>SUM(N1214:Q1214)</f>
        <v>10.9</v>
      </c>
      <c r="AV1214" s="41">
        <f>SUM(T1214:W1214)</f>
        <v>10.899999999999999</v>
      </c>
      <c r="AW1214" s="41">
        <f>SUM(Z1214:AB1214)</f>
        <v>10.9</v>
      </c>
      <c r="AX1214" s="22"/>
      <c r="AY1214" s="22">
        <f>I1214/AU1214</f>
        <v>0.99972477064220178</v>
      </c>
      <c r="AZ1214" s="22">
        <f>I1214/AV1214</f>
        <v>0.999724770642202</v>
      </c>
      <c r="BA1214" s="22">
        <f>I1214/AW1214</f>
        <v>0.99972477064220178</v>
      </c>
      <c r="BB1214" s="22"/>
      <c r="BC1214" s="22"/>
      <c r="BD1214" s="22"/>
      <c r="BE1214" s="22"/>
      <c r="BF1214" s="22"/>
      <c r="BG1214" s="22"/>
      <c r="BH1214" s="22"/>
      <c r="BI1214" s="22"/>
      <c r="BJ1214" s="22"/>
      <c r="BK1214" s="22"/>
      <c r="BL1214" s="22"/>
      <c r="BM1214" s="22"/>
      <c r="BN1214" s="22"/>
      <c r="BO1214" s="22"/>
      <c r="BP1214" s="22"/>
      <c r="BQ1214" s="22"/>
      <c r="BR1214" s="22"/>
      <c r="BS1214" s="22"/>
      <c r="BT1214" s="22"/>
      <c r="BU1214" s="22"/>
      <c r="BV1214" s="22"/>
      <c r="BW1214" s="22"/>
      <c r="BX1214" s="22"/>
      <c r="BY1214" s="22"/>
      <c r="BZ1214" s="22"/>
      <c r="CA1214" s="22"/>
      <c r="CB1214" s="22"/>
      <c r="CC1214" s="22"/>
      <c r="CD1214" s="22"/>
      <c r="CE1214" s="22"/>
      <c r="CF1214" s="22"/>
      <c r="CG1214" s="22"/>
      <c r="CH1214" s="22"/>
      <c r="CI1214" s="22"/>
      <c r="CJ1214" s="22"/>
    </row>
    <row r="1215" spans="1:88">
      <c r="A1215" s="1">
        <v>591</v>
      </c>
      <c r="B1215" s="34" t="s">
        <v>976</v>
      </c>
      <c r="C1215" s="34">
        <v>552</v>
      </c>
      <c r="D1215" s="34">
        <v>2401</v>
      </c>
      <c r="E1215" s="34">
        <v>100</v>
      </c>
      <c r="F1215" s="9" t="s">
        <v>992</v>
      </c>
      <c r="G1215" s="118">
        <v>557</v>
      </c>
      <c r="H1215" s="118">
        <v>16594</v>
      </c>
      <c r="I1215" s="35">
        <v>16.036999999999999</v>
      </c>
      <c r="J1215" s="71">
        <v>2</v>
      </c>
      <c r="K1215" s="34" t="s">
        <v>238</v>
      </c>
      <c r="L1215" s="10">
        <v>42195</v>
      </c>
      <c r="M1215" s="9" t="s">
        <v>191</v>
      </c>
      <c r="N1215" s="38">
        <v>6.9</v>
      </c>
      <c r="O1215" s="38">
        <v>5.875</v>
      </c>
      <c r="P1215" s="38">
        <v>2.4</v>
      </c>
      <c r="Q1215" s="38">
        <v>0.85</v>
      </c>
      <c r="R1215" s="38">
        <v>2.76078</v>
      </c>
      <c r="S1215" s="38">
        <f t="shared" si="148"/>
        <v>3</v>
      </c>
      <c r="T1215" s="38">
        <v>15.475</v>
      </c>
      <c r="U1215" s="38">
        <v>0.4</v>
      </c>
      <c r="V1215" s="38">
        <v>7.4999999999999997E-2</v>
      </c>
      <c r="W1215" s="38">
        <v>7.4999999999999997E-2</v>
      </c>
      <c r="X1215" s="38">
        <v>4.2569699999999999</v>
      </c>
      <c r="Y1215" s="38">
        <f t="shared" si="149"/>
        <v>4.5</v>
      </c>
      <c r="Z1215" s="38">
        <v>0</v>
      </c>
      <c r="AA1215" s="38">
        <v>0</v>
      </c>
      <c r="AB1215" s="38">
        <f>N1215+O1215+P1215+Q1215</f>
        <v>16.025000000000002</v>
      </c>
      <c r="AC1215" s="38">
        <v>1.61504</v>
      </c>
      <c r="AD1215" s="38">
        <v>10</v>
      </c>
      <c r="AE1215" s="38">
        <v>96.89</v>
      </c>
      <c r="AF1215" s="38">
        <f>(AD1215+AE1215*0.5)/(3.5*I1215*1000)*100</f>
        <v>0.10412528171460643</v>
      </c>
      <c r="AG1215" s="38">
        <f t="shared" si="150"/>
        <v>0.1</v>
      </c>
      <c r="AH1215" s="38">
        <v>29</v>
      </c>
      <c r="AI1215" s="38">
        <f>AH1215/(3.5*I1215*1000)*100</f>
        <v>5.1666236114699053E-2</v>
      </c>
      <c r="AJ1215" s="38">
        <v>25</v>
      </c>
      <c r="AK1215" s="38">
        <f>AJ1215/(3.5*I1215*1000)*100</f>
        <v>4.4539858719568143E-2</v>
      </c>
      <c r="AL1215" s="38">
        <v>138</v>
      </c>
      <c r="AM1215" s="38">
        <f>AL1215/(3.5*I1215*1000)*100</f>
        <v>0.24586002013201616</v>
      </c>
      <c r="AN1215" s="25"/>
      <c r="AO1215" s="25">
        <f>AE1215*0.5</f>
        <v>48.445</v>
      </c>
      <c r="AP1215" s="25">
        <f>(AD1215+AH1215+AJ1215+AL1215+AO1215)*I1215</f>
        <v>4016.3864649999996</v>
      </c>
      <c r="AQ1215" s="25">
        <f>SUM(N1215:Q1215)</f>
        <v>16.025000000000002</v>
      </c>
      <c r="AR1215" s="25">
        <f>SUM(T1215:W1215)</f>
        <v>16.024999999999999</v>
      </c>
      <c r="AS1215" s="268">
        <v>16.036999999999999</v>
      </c>
      <c r="AT1215" s="41"/>
      <c r="AU1215" s="41"/>
      <c r="AV1215" s="41"/>
      <c r="AW1215" s="41"/>
      <c r="AX1215" s="22"/>
      <c r="AY1215" s="22"/>
      <c r="AZ1215" s="22"/>
      <c r="BA1215" s="22"/>
      <c r="BB1215" s="22"/>
      <c r="BC1215" s="22"/>
      <c r="BD1215" s="22"/>
      <c r="BE1215" s="22"/>
      <c r="BF1215" s="22"/>
      <c r="BG1215" s="22"/>
      <c r="BH1215" s="22"/>
      <c r="BI1215" s="22"/>
      <c r="BJ1215" s="22"/>
      <c r="BK1215" s="22"/>
      <c r="BL1215" s="22"/>
      <c r="BM1215" s="22"/>
      <c r="BN1215" s="22"/>
      <c r="BO1215" s="22"/>
      <c r="BP1215" s="22"/>
      <c r="BQ1215" s="22"/>
      <c r="BR1215" s="22"/>
      <c r="BS1215" s="22"/>
      <c r="BT1215" s="22"/>
      <c r="BU1215" s="22"/>
      <c r="BV1215" s="22"/>
      <c r="BW1215" s="22"/>
      <c r="BX1215" s="22"/>
      <c r="BY1215" s="22"/>
      <c r="BZ1215" s="22"/>
      <c r="CA1215" s="22"/>
      <c r="CB1215" s="22"/>
      <c r="CC1215" s="22"/>
      <c r="CD1215" s="22"/>
      <c r="CE1215" s="22"/>
      <c r="CF1215" s="22"/>
      <c r="CG1215" s="22"/>
      <c r="CH1215" s="22"/>
      <c r="CI1215" s="22"/>
      <c r="CJ1215" s="22"/>
    </row>
    <row r="1216" spans="1:88">
      <c r="A1216" s="1">
        <v>547</v>
      </c>
      <c r="B1216" s="34" t="s">
        <v>948</v>
      </c>
      <c r="C1216" s="34">
        <v>551</v>
      </c>
      <c r="D1216" s="34">
        <v>12</v>
      </c>
      <c r="E1216" s="34">
        <v>601</v>
      </c>
      <c r="F1216" s="9" t="s">
        <v>949</v>
      </c>
      <c r="G1216" s="118">
        <v>322612</v>
      </c>
      <c r="H1216" s="118">
        <v>355989</v>
      </c>
      <c r="I1216" s="35">
        <v>33.377000000000002</v>
      </c>
      <c r="J1216" s="71">
        <v>4</v>
      </c>
      <c r="K1216" s="34" t="s">
        <v>237</v>
      </c>
      <c r="L1216" s="10">
        <v>42192</v>
      </c>
      <c r="M1216" s="9" t="s">
        <v>191</v>
      </c>
      <c r="N1216" s="38">
        <v>25.55</v>
      </c>
      <c r="O1216" s="38">
        <v>6.43</v>
      </c>
      <c r="P1216" s="38">
        <v>1.87</v>
      </c>
      <c r="Q1216" s="38">
        <v>0.54</v>
      </c>
      <c r="R1216" s="38">
        <v>2.31</v>
      </c>
      <c r="S1216" s="38">
        <f t="shared" si="148"/>
        <v>2.5</v>
      </c>
      <c r="T1216" s="38">
        <v>33.619999999999997</v>
      </c>
      <c r="U1216" s="38">
        <v>0.66</v>
      </c>
      <c r="V1216" s="38">
        <v>0.08</v>
      </c>
      <c r="W1216" s="38">
        <v>0.03</v>
      </c>
      <c r="X1216" s="38">
        <v>4.4740000000000002</v>
      </c>
      <c r="Y1216" s="38">
        <f t="shared" si="149"/>
        <v>4.5</v>
      </c>
      <c r="Z1216" s="38">
        <v>0</v>
      </c>
      <c r="AA1216" s="38">
        <v>0</v>
      </c>
      <c r="AB1216" s="38">
        <f>T1216+U1216+V1216+W1216</f>
        <v>34.389999999999993</v>
      </c>
      <c r="AC1216" s="38">
        <v>1.2310000000000001</v>
      </c>
      <c r="AD1216" s="38">
        <v>86</v>
      </c>
      <c r="AE1216" s="38">
        <v>71.12</v>
      </c>
      <c r="AF1216" s="38">
        <f>(AD1216+AE1216*0.5)/(3.5*I1216*1000)*100</f>
        <v>0.10405796977388192</v>
      </c>
      <c r="AG1216" s="38">
        <f t="shared" si="150"/>
        <v>0.1</v>
      </c>
      <c r="AH1216" s="38">
        <v>0</v>
      </c>
      <c r="AI1216" s="38">
        <f>AH1216/(3.5*I1216*1000)*100</f>
        <v>0</v>
      </c>
      <c r="AJ1216" s="38">
        <v>20</v>
      </c>
      <c r="AK1216" s="38">
        <f>AJ1216/(3.5*I1216*1000)*100</f>
        <v>1.7120429380368861E-2</v>
      </c>
      <c r="AL1216" s="38">
        <v>0</v>
      </c>
      <c r="AM1216" s="38">
        <f>AL1216/(3.5*I1216*1000)*100</f>
        <v>0</v>
      </c>
      <c r="AN1216" s="25"/>
      <c r="AO1216" s="25">
        <f>AE1216*0.5</f>
        <v>35.56</v>
      </c>
      <c r="AP1216" s="25">
        <f>(AD1216+AH1216+AJ1216+AL1216+AO1216)*I1216</f>
        <v>4724.8481200000006</v>
      </c>
      <c r="AQ1216" s="25">
        <f>SUM(N1216:Q1216)</f>
        <v>34.39</v>
      </c>
      <c r="AR1216" s="25">
        <f>SUM(T1216:W1216)</f>
        <v>34.389999999999993</v>
      </c>
      <c r="AS1216" s="268">
        <v>34.377000000000002</v>
      </c>
      <c r="AT1216" s="41"/>
      <c r="AU1216" s="41">
        <f>SUM(N1216:Q1216)</f>
        <v>34.39</v>
      </c>
      <c r="AV1216" s="41">
        <f>SUM(T1216:W1216)</f>
        <v>34.389999999999993</v>
      </c>
      <c r="AW1216" s="41">
        <f>SUM(Z1216:AB1216)</f>
        <v>34.389999999999993</v>
      </c>
      <c r="AX1216" s="22"/>
      <c r="AY1216" s="22">
        <f>I1216/AU1216</f>
        <v>0.97054376272172149</v>
      </c>
      <c r="AZ1216" s="22">
        <f>I1216/AV1216</f>
        <v>0.97054376272172171</v>
      </c>
      <c r="BA1216" s="22">
        <f>I1216/AW1216</f>
        <v>0.97054376272172171</v>
      </c>
      <c r="BB1216" s="22"/>
      <c r="BC1216" s="22"/>
      <c r="BD1216" s="22"/>
      <c r="BE1216" s="22"/>
      <c r="BF1216" s="22"/>
      <c r="BG1216" s="22"/>
      <c r="BH1216" s="22"/>
      <c r="BI1216" s="22"/>
      <c r="BJ1216" s="22"/>
      <c r="BK1216" s="22"/>
      <c r="BL1216" s="22"/>
      <c r="BM1216" s="22"/>
      <c r="BN1216" s="22"/>
      <c r="BO1216" s="22"/>
      <c r="BP1216" s="22"/>
      <c r="BQ1216" s="22"/>
      <c r="BR1216" s="22"/>
      <c r="BS1216" s="22"/>
      <c r="BT1216" s="22"/>
      <c r="BU1216" s="22"/>
      <c r="BV1216" s="22"/>
      <c r="BW1216" s="22"/>
      <c r="BX1216" s="22"/>
      <c r="BY1216" s="22"/>
      <c r="BZ1216" s="22"/>
      <c r="CA1216" s="22"/>
      <c r="CB1216" s="22"/>
      <c r="CC1216" s="22"/>
      <c r="CD1216" s="22"/>
      <c r="CE1216" s="22"/>
      <c r="CF1216" s="22"/>
      <c r="CG1216" s="22"/>
      <c r="CH1216" s="22"/>
      <c r="CI1216" s="22"/>
      <c r="CJ1216" s="22"/>
    </row>
    <row r="1217" spans="1:88">
      <c r="A1217" s="1">
        <v>648</v>
      </c>
      <c r="B1217" s="34" t="s">
        <v>1050</v>
      </c>
      <c r="C1217" s="34">
        <v>621</v>
      </c>
      <c r="D1217" s="34">
        <v>2268</v>
      </c>
      <c r="E1217" s="34">
        <v>100</v>
      </c>
      <c r="F1217" s="34" t="s">
        <v>1056</v>
      </c>
      <c r="G1217" s="58">
        <v>33980</v>
      </c>
      <c r="H1217" s="58">
        <v>0</v>
      </c>
      <c r="I1217" s="35">
        <v>33.979999999999997</v>
      </c>
      <c r="J1217" s="127">
        <v>2</v>
      </c>
      <c r="K1217" s="34" t="s">
        <v>12</v>
      </c>
      <c r="L1217" s="10">
        <v>42172</v>
      </c>
      <c r="M1217" s="9" t="s">
        <v>191</v>
      </c>
      <c r="N1217" s="38">
        <v>30.375</v>
      </c>
      <c r="O1217" s="38">
        <v>2.8</v>
      </c>
      <c r="P1217" s="38">
        <v>0.52500000000000002</v>
      </c>
      <c r="Q1217" s="38">
        <v>0.125</v>
      </c>
      <c r="R1217" s="38">
        <v>1.81511</v>
      </c>
      <c r="S1217" s="38">
        <f t="shared" si="148"/>
        <v>2</v>
      </c>
      <c r="T1217" s="38">
        <v>33.6</v>
      </c>
      <c r="U1217" s="38">
        <v>0.125</v>
      </c>
      <c r="V1217" s="38">
        <v>2.5000000000000001E-2</v>
      </c>
      <c r="W1217" s="38">
        <v>7.4999999999999997E-2</v>
      </c>
      <c r="X1217" s="38">
        <v>3.0217100000000001</v>
      </c>
      <c r="Y1217" s="38">
        <f t="shared" si="149"/>
        <v>3</v>
      </c>
      <c r="Z1217" s="38">
        <v>0</v>
      </c>
      <c r="AA1217" s="38">
        <v>0</v>
      </c>
      <c r="AB1217" s="38">
        <f>T1217+U1217+V1217+W1217</f>
        <v>33.825000000000003</v>
      </c>
      <c r="AC1217" s="38">
        <v>1.17245</v>
      </c>
      <c r="AD1217" s="38">
        <v>123.16</v>
      </c>
      <c r="AE1217" s="38">
        <v>0</v>
      </c>
      <c r="AF1217" s="38">
        <v>0.10355671403346506</v>
      </c>
      <c r="AG1217" s="38">
        <f t="shared" si="150"/>
        <v>0.1</v>
      </c>
      <c r="AH1217" s="38">
        <v>0</v>
      </c>
      <c r="AI1217" s="38">
        <v>0</v>
      </c>
      <c r="AJ1217" s="38">
        <v>0</v>
      </c>
      <c r="AK1217" s="55">
        <v>0</v>
      </c>
      <c r="AL1217" s="55">
        <v>9.7200000000000006</v>
      </c>
      <c r="AM1217" s="55">
        <v>8.172874800302701E-3</v>
      </c>
      <c r="AN1217" s="25">
        <f>SUM(N1217:Q1217)</f>
        <v>33.824999999999996</v>
      </c>
      <c r="AO1217" s="25">
        <f>SUM(T1217:W1217)</f>
        <v>33.825000000000003</v>
      </c>
      <c r="AP1217" s="22"/>
      <c r="AQ1217" s="41"/>
      <c r="AR1217" s="41"/>
      <c r="AS1217" s="41"/>
      <c r="AT1217" s="41"/>
      <c r="AU1217" s="22"/>
      <c r="AV1217" s="22"/>
      <c r="AW1217" s="22"/>
      <c r="AX1217" s="22"/>
      <c r="AY1217" s="22"/>
      <c r="AZ1217" s="22"/>
      <c r="BA1217" s="22"/>
      <c r="BB1217" s="22"/>
      <c r="BC1217" s="22"/>
      <c r="BD1217" s="22"/>
      <c r="BE1217" s="22"/>
      <c r="BF1217" s="22"/>
      <c r="BG1217" s="22"/>
      <c r="BH1217" s="22"/>
      <c r="BI1217" s="22"/>
      <c r="BJ1217" s="22"/>
      <c r="BK1217" s="22"/>
      <c r="BL1217" s="22"/>
      <c r="BM1217" s="22"/>
      <c r="BN1217" s="22"/>
      <c r="BO1217" s="22"/>
      <c r="BP1217" s="22"/>
      <c r="BQ1217" s="22"/>
      <c r="BR1217" s="22"/>
      <c r="BS1217" s="22"/>
      <c r="BT1217" s="22"/>
      <c r="BU1217" s="22"/>
      <c r="BV1217" s="22"/>
      <c r="BW1217" s="22"/>
      <c r="BX1217" s="22"/>
      <c r="BY1217" s="22"/>
      <c r="BZ1217" s="22"/>
      <c r="CA1217" s="22"/>
      <c r="CB1217" s="22"/>
      <c r="CC1217" s="22"/>
      <c r="CD1217" s="22"/>
      <c r="CE1217" s="22"/>
      <c r="CF1217" s="22"/>
      <c r="CG1217" s="22"/>
      <c r="CH1217" s="22"/>
      <c r="CI1217" s="22"/>
      <c r="CJ1217" s="22"/>
    </row>
    <row r="1218" spans="1:88">
      <c r="A1218" s="1">
        <v>100</v>
      </c>
      <c r="B1218" s="4" t="s">
        <v>61</v>
      </c>
      <c r="C1218" s="14">
        <v>526</v>
      </c>
      <c r="D1218" s="19">
        <v>1337</v>
      </c>
      <c r="E1218" s="16">
        <v>100</v>
      </c>
      <c r="F1218" s="14" t="s">
        <v>74</v>
      </c>
      <c r="G1218" s="27" t="s">
        <v>92</v>
      </c>
      <c r="H1218" s="27" t="s">
        <v>163</v>
      </c>
      <c r="I1218" s="28">
        <v>17.465</v>
      </c>
      <c r="J1218" s="16">
        <v>2</v>
      </c>
      <c r="K1218" s="14" t="s">
        <v>238</v>
      </c>
      <c r="L1218" s="29">
        <v>42244</v>
      </c>
      <c r="M1218" s="14" t="s">
        <v>191</v>
      </c>
      <c r="N1218" s="30">
        <v>2.35</v>
      </c>
      <c r="O1218" s="30">
        <v>5.66</v>
      </c>
      <c r="P1218" s="30">
        <v>5.48</v>
      </c>
      <c r="Q1218" s="30">
        <v>3.97</v>
      </c>
      <c r="R1218" s="30">
        <v>4.07796</v>
      </c>
      <c r="S1218" s="38">
        <f t="shared" si="148"/>
        <v>4</v>
      </c>
      <c r="T1218" s="30">
        <v>16.350000000000001</v>
      </c>
      <c r="U1218" s="30">
        <v>0.66</v>
      </c>
      <c r="V1218" s="30">
        <v>0.15</v>
      </c>
      <c r="W1218" s="30">
        <v>0.3</v>
      </c>
      <c r="X1218" s="30">
        <v>5.1239600000000003</v>
      </c>
      <c r="Y1218" s="38">
        <f t="shared" si="149"/>
        <v>5</v>
      </c>
      <c r="Z1218" s="30">
        <v>0</v>
      </c>
      <c r="AA1218" s="30">
        <v>0</v>
      </c>
      <c r="AB1218" s="30">
        <v>17.47</v>
      </c>
      <c r="AC1218" s="30">
        <v>1.6175600000000001</v>
      </c>
      <c r="AD1218" s="30">
        <v>63.28</v>
      </c>
      <c r="AE1218" s="30">
        <v>0</v>
      </c>
      <c r="AF1218" s="30">
        <f>(AD1218+AE1218*0.5)/(3.5*I1218*1000)*100</f>
        <v>0.10352132837102779</v>
      </c>
      <c r="AG1218" s="38">
        <f t="shared" si="150"/>
        <v>0.1</v>
      </c>
      <c r="AH1218" s="30">
        <v>15.36</v>
      </c>
      <c r="AI1218" s="30">
        <f>AH1218/(3.5*I1218*1000)*100</f>
        <v>2.512780663367551E-2</v>
      </c>
      <c r="AJ1218" s="30">
        <v>0</v>
      </c>
      <c r="AK1218" s="30">
        <f>AJ1218/(3.5*I1218*1000)*100</f>
        <v>0</v>
      </c>
      <c r="AL1218" s="30">
        <v>0</v>
      </c>
      <c r="AM1218" s="30">
        <f>AL1218/(3.5*I1218*1000)*100</f>
        <v>0</v>
      </c>
      <c r="AN1218" s="22"/>
      <c r="AO1218" s="25"/>
      <c r="AP1218" s="25">
        <f>N1218+O1218+P1218+Q1218</f>
        <v>17.46</v>
      </c>
      <c r="AQ1218" s="25">
        <f>T1218+U1218+V1218+W1218</f>
        <v>17.46</v>
      </c>
      <c r="AR1218" s="25">
        <f>Z1218+AA1218+AB1218</f>
        <v>17.47</v>
      </c>
      <c r="AS1218" s="22"/>
      <c r="AT1218" s="22">
        <f>I1218/AP1218</f>
        <v>1.0002863688430699</v>
      </c>
      <c r="AU1218" s="22">
        <f>I1218/AQ1218</f>
        <v>1.0002863688430699</v>
      </c>
      <c r="AV1218" s="22">
        <f>I1218/AR1218</f>
        <v>0.99971379507727542</v>
      </c>
      <c r="AW1218" s="22"/>
      <c r="AX1218" s="22"/>
      <c r="AY1218" s="22"/>
      <c r="AZ1218" s="22"/>
      <c r="BA1218" s="22"/>
      <c r="BB1218" s="22"/>
      <c r="BC1218" s="22"/>
      <c r="BD1218" s="22"/>
      <c r="BE1218" s="22"/>
      <c r="BF1218" s="22"/>
      <c r="BG1218" s="22"/>
      <c r="BH1218" s="22"/>
      <c r="BI1218" s="22"/>
      <c r="BJ1218" s="22"/>
      <c r="BK1218" s="22"/>
      <c r="BL1218" s="22"/>
      <c r="BM1218" s="22"/>
      <c r="BN1218" s="22"/>
      <c r="BO1218" s="22"/>
      <c r="BP1218" s="22"/>
      <c r="BQ1218" s="22"/>
      <c r="BR1218" s="22"/>
      <c r="BS1218" s="22"/>
      <c r="BT1218" s="22"/>
      <c r="BU1218" s="22"/>
      <c r="BV1218" s="22"/>
      <c r="BW1218" s="22"/>
      <c r="BX1218" s="22"/>
      <c r="BY1218" s="22"/>
      <c r="BZ1218" s="22"/>
      <c r="CA1218" s="22"/>
      <c r="CB1218" s="22"/>
      <c r="CC1218" s="22"/>
      <c r="CD1218" s="22"/>
      <c r="CE1218" s="22"/>
      <c r="CF1218" s="22"/>
      <c r="CG1218" s="22"/>
      <c r="CH1218" s="22"/>
      <c r="CI1218" s="22"/>
      <c r="CJ1218" s="22"/>
    </row>
    <row r="1219" spans="1:88">
      <c r="A1219" s="1">
        <v>1275</v>
      </c>
      <c r="B1219" s="34" t="s">
        <v>1775</v>
      </c>
      <c r="C1219" s="88">
        <v>438</v>
      </c>
      <c r="D1219" s="88">
        <v>3600</v>
      </c>
      <c r="E1219" s="88">
        <v>100</v>
      </c>
      <c r="F1219" s="88" t="s">
        <v>1816</v>
      </c>
      <c r="G1219" s="88" t="s">
        <v>1818</v>
      </c>
      <c r="H1219" s="88" t="s">
        <v>1819</v>
      </c>
      <c r="I1219" s="115">
        <v>5.4909999999999997</v>
      </c>
      <c r="J1219" s="88">
        <v>2</v>
      </c>
      <c r="K1219" s="181" t="s">
        <v>238</v>
      </c>
      <c r="L1219" s="116">
        <v>42282</v>
      </c>
      <c r="M1219" s="9" t="s">
        <v>191</v>
      </c>
      <c r="N1219" s="117">
        <v>1.45</v>
      </c>
      <c r="O1219" s="117">
        <v>0.97499999999999998</v>
      </c>
      <c r="P1219" s="117">
        <v>1.375</v>
      </c>
      <c r="Q1219" s="117">
        <v>1.3</v>
      </c>
      <c r="R1219" s="117">
        <v>4.0315700000000003</v>
      </c>
      <c r="S1219" s="38">
        <f t="shared" ref="S1219:S1282" si="152">ROUND(R1219/5,1)*5</f>
        <v>4</v>
      </c>
      <c r="T1219" s="117">
        <v>4.7</v>
      </c>
      <c r="U1219" s="38">
        <v>0.27500000000000002</v>
      </c>
      <c r="V1219" s="38">
        <v>0.1</v>
      </c>
      <c r="W1219" s="38">
        <v>2.5000000000000001E-2</v>
      </c>
      <c r="X1219" s="38">
        <v>4.4352099999999997</v>
      </c>
      <c r="Y1219" s="38">
        <f t="shared" ref="Y1219:Y1282" si="153">ROUND(X1219/5,1)*5</f>
        <v>4.5</v>
      </c>
      <c r="Z1219" s="38">
        <v>0</v>
      </c>
      <c r="AA1219" s="38">
        <v>0</v>
      </c>
      <c r="AB1219" s="55">
        <v>5.4909999999999997</v>
      </c>
      <c r="AC1219" s="38">
        <v>1.44855</v>
      </c>
      <c r="AD1219" s="38">
        <v>19.22</v>
      </c>
      <c r="AE1219" s="38">
        <v>1.32</v>
      </c>
      <c r="AF1219" s="117">
        <f>(AD1219+AE1219*0.5)/(3.5*I1219*1000)*100</f>
        <v>0.10344199599344381</v>
      </c>
      <c r="AG1219" s="38">
        <f t="shared" ref="AG1219:AG1282" si="154">ROUND(AF1219,1)</f>
        <v>0.1</v>
      </c>
      <c r="AH1219" s="117">
        <v>150.31399999999999</v>
      </c>
      <c r="AI1219" s="117">
        <f>AH1219/(3.5*I1219*1000)*100</f>
        <v>0.7821318000884564</v>
      </c>
      <c r="AJ1219" s="117">
        <v>26.321000000000002</v>
      </c>
      <c r="AK1219" s="117">
        <v>0.136957</v>
      </c>
      <c r="AL1219" s="117">
        <v>2</v>
      </c>
      <c r="AM1219" s="117">
        <v>1.0407E-2</v>
      </c>
      <c r="AN1219" s="12"/>
    </row>
    <row r="1220" spans="1:88">
      <c r="A1220" s="1">
        <v>486</v>
      </c>
      <c r="B1220" s="34" t="s">
        <v>821</v>
      </c>
      <c r="C1220" s="34">
        <v>519</v>
      </c>
      <c r="D1220" s="34">
        <v>115</v>
      </c>
      <c r="E1220" s="34">
        <v>301</v>
      </c>
      <c r="F1220" s="34" t="s">
        <v>831</v>
      </c>
      <c r="G1220" s="34" t="s">
        <v>657</v>
      </c>
      <c r="H1220" s="34" t="s">
        <v>832</v>
      </c>
      <c r="I1220" s="55">
        <v>23.785</v>
      </c>
      <c r="J1220" s="34" t="s">
        <v>237</v>
      </c>
      <c r="K1220" s="34">
        <v>2</v>
      </c>
      <c r="L1220" s="10">
        <v>42275</v>
      </c>
      <c r="M1220" s="9" t="s">
        <v>191</v>
      </c>
      <c r="N1220" s="38">
        <v>13.95</v>
      </c>
      <c r="O1220" s="38">
        <v>5.01</v>
      </c>
      <c r="P1220" s="38">
        <v>2.71</v>
      </c>
      <c r="Q1220" s="38">
        <v>2.12</v>
      </c>
      <c r="R1220" s="38">
        <v>2.8023799999999999</v>
      </c>
      <c r="S1220" s="38">
        <f t="shared" si="152"/>
        <v>3</v>
      </c>
      <c r="T1220" s="38">
        <v>20.98</v>
      </c>
      <c r="U1220" s="38">
        <v>2.29</v>
      </c>
      <c r="V1220" s="38">
        <v>0.42</v>
      </c>
      <c r="W1220" s="38">
        <v>0.09</v>
      </c>
      <c r="X1220" s="38">
        <v>5.6421900000000003</v>
      </c>
      <c r="Y1220" s="38">
        <f t="shared" si="153"/>
        <v>5.5</v>
      </c>
      <c r="Z1220" s="117">
        <v>0</v>
      </c>
      <c r="AA1220" s="117">
        <v>0</v>
      </c>
      <c r="AB1220" s="38">
        <v>23.79</v>
      </c>
      <c r="AC1220" s="38">
        <v>1.2910200000000001</v>
      </c>
      <c r="AD1220" s="38">
        <v>77.260000000000005</v>
      </c>
      <c r="AE1220" s="38">
        <v>17.588999999999999</v>
      </c>
      <c r="AF1220" s="38">
        <v>0.10337200000000001</v>
      </c>
      <c r="AG1220" s="38">
        <f t="shared" si="154"/>
        <v>0.1</v>
      </c>
      <c r="AH1220" s="38">
        <v>93.466999999999999</v>
      </c>
      <c r="AI1220" s="38">
        <v>0.112276</v>
      </c>
      <c r="AJ1220" s="38">
        <v>0</v>
      </c>
      <c r="AK1220" s="38">
        <v>0</v>
      </c>
      <c r="AL1220" s="38">
        <v>0</v>
      </c>
      <c r="AM1220" s="38">
        <v>0</v>
      </c>
      <c r="AN1220" s="41"/>
      <c r="AO1220" s="41"/>
      <c r="AP1220" s="41"/>
      <c r="AQ1220" s="41">
        <f>SUM(N1220:Q1220)</f>
        <v>23.790000000000003</v>
      </c>
      <c r="AR1220" s="41">
        <f>SUM(T1220:W1220)</f>
        <v>23.78</v>
      </c>
      <c r="AS1220" s="41">
        <f>SUM(Z1220:AB1220)</f>
        <v>23.79</v>
      </c>
      <c r="AT1220" s="22"/>
      <c r="AU1220" s="22">
        <f>I1220/AQ1220</f>
        <v>0.99978982765867996</v>
      </c>
      <c r="AV1220" s="22">
        <f>I1220/AR1220</f>
        <v>1.0002102607232968</v>
      </c>
      <c r="AW1220" s="22">
        <f>I1220/AS1220</f>
        <v>0.99978982765868019</v>
      </c>
      <c r="AX1220" s="22"/>
      <c r="AY1220" s="22"/>
      <c r="AZ1220" s="22"/>
      <c r="BA1220" s="22"/>
      <c r="BB1220" s="22"/>
      <c r="BC1220" s="22"/>
      <c r="BD1220" s="22"/>
      <c r="BE1220" s="22"/>
      <c r="BF1220" s="22"/>
      <c r="BG1220" s="22"/>
      <c r="BH1220" s="22"/>
      <c r="BI1220" s="22"/>
      <c r="BJ1220" s="22"/>
      <c r="BK1220" s="22"/>
      <c r="BL1220" s="22"/>
      <c r="BM1220" s="22"/>
      <c r="BN1220" s="22"/>
      <c r="BO1220" s="22"/>
      <c r="BP1220" s="22"/>
      <c r="BQ1220" s="22"/>
      <c r="BR1220" s="22"/>
      <c r="BS1220" s="22"/>
      <c r="BT1220" s="22"/>
      <c r="BU1220" s="22"/>
      <c r="BV1220" s="22"/>
      <c r="BW1220" s="22"/>
      <c r="BX1220" s="22"/>
      <c r="BY1220" s="22"/>
      <c r="BZ1220" s="22"/>
      <c r="CA1220" s="22"/>
      <c r="CB1220" s="22"/>
      <c r="CC1220" s="22"/>
      <c r="CD1220" s="22"/>
      <c r="CE1220" s="22"/>
      <c r="CF1220" s="22"/>
      <c r="CG1220" s="22"/>
      <c r="CH1220" s="22"/>
      <c r="CI1220" s="22"/>
      <c r="CJ1220" s="22"/>
    </row>
    <row r="1221" spans="1:88">
      <c r="A1221" s="1">
        <v>2172</v>
      </c>
      <c r="B1221" s="42" t="s">
        <v>2798</v>
      </c>
      <c r="C1221" s="42">
        <v>311</v>
      </c>
      <c r="D1221" s="101">
        <v>414</v>
      </c>
      <c r="E1221" s="174">
        <v>102</v>
      </c>
      <c r="F1221" s="186" t="s">
        <v>2807</v>
      </c>
      <c r="G1221" s="43" t="s">
        <v>2813</v>
      </c>
      <c r="H1221" s="43" t="s">
        <v>2814</v>
      </c>
      <c r="I1221" s="104">
        <v>4.3540000000000001</v>
      </c>
      <c r="J1221" s="8">
        <v>2</v>
      </c>
      <c r="K1221" s="8" t="s">
        <v>238</v>
      </c>
      <c r="L1221" s="106">
        <v>42147</v>
      </c>
      <c r="M1221" s="9" t="s">
        <v>191</v>
      </c>
      <c r="N1221" s="46">
        <v>2.6749999999999998</v>
      </c>
      <c r="O1221" s="46">
        <v>1.1000000000000001</v>
      </c>
      <c r="P1221" s="46">
        <v>0.32500000000000001</v>
      </c>
      <c r="Q1221" s="46">
        <v>0.27500000000000002</v>
      </c>
      <c r="R1221" s="46">
        <v>2.65937</v>
      </c>
      <c r="S1221" s="38">
        <f t="shared" si="152"/>
        <v>2.5</v>
      </c>
      <c r="T1221" s="46">
        <v>4.2750000000000004</v>
      </c>
      <c r="U1221" s="46">
        <v>0.1</v>
      </c>
      <c r="V1221" s="46">
        <v>0</v>
      </c>
      <c r="W1221" s="46">
        <v>0</v>
      </c>
      <c r="X1221" s="46">
        <v>3.2266300000000001</v>
      </c>
      <c r="Y1221" s="38">
        <f t="shared" si="153"/>
        <v>3</v>
      </c>
      <c r="Z1221" s="38">
        <v>0</v>
      </c>
      <c r="AA1221" s="38">
        <v>0</v>
      </c>
      <c r="AB1221" s="46">
        <v>4.375</v>
      </c>
      <c r="AC1221" s="46">
        <v>0.98838899999999996</v>
      </c>
      <c r="AD1221" s="46">
        <v>0</v>
      </c>
      <c r="AE1221" s="46">
        <v>31.31</v>
      </c>
      <c r="AF1221" s="38">
        <f t="shared" ref="AF1221:AF1227" si="155">(AD1221+AE1221*0.5)/(3.5*I1221*1000)*100</f>
        <v>0.10272983791587374</v>
      </c>
      <c r="AG1221" s="38">
        <f t="shared" si="154"/>
        <v>0.1</v>
      </c>
      <c r="AH1221" s="46">
        <v>1.91</v>
      </c>
      <c r="AI1221" s="46">
        <f t="shared" ref="AI1221:AI1227" si="156">AH1221/(3.5*I1221*1000)*100</f>
        <v>1.2533630815670318E-2</v>
      </c>
      <c r="AJ1221" s="46">
        <v>0</v>
      </c>
      <c r="AK1221" s="46">
        <f>AJ1221/(3.5*I1221*1000)*100</f>
        <v>0</v>
      </c>
      <c r="AL1221" s="46">
        <v>0</v>
      </c>
      <c r="AM1221" s="46">
        <f t="shared" ref="AM1221:AM1227" si="157">AL1221/(3.5*I1221*1000)*100</f>
        <v>0</v>
      </c>
      <c r="AN1221" s="72"/>
      <c r="AO1221" s="41"/>
      <c r="AP1221" s="41"/>
      <c r="AQ1221" s="41">
        <f>SUM(N1221:Q1221)</f>
        <v>4.375</v>
      </c>
      <c r="AR1221" s="41">
        <f>SUM(T1221:W1221)</f>
        <v>4.375</v>
      </c>
      <c r="AS1221" s="12">
        <f>SUM(Z1221:AB1221)</f>
        <v>4.375</v>
      </c>
      <c r="AU1221" s="1">
        <f>I1221/AQ1221</f>
        <v>0.99519999999999997</v>
      </c>
      <c r="AV1221" s="1">
        <f>I1221/AR1221</f>
        <v>0.99519999999999997</v>
      </c>
      <c r="AW1221" s="1">
        <f>I1221/AS1221</f>
        <v>0.99519999999999997</v>
      </c>
      <c r="AX1221" s="22"/>
      <c r="AY1221" s="22"/>
      <c r="AZ1221" s="22"/>
      <c r="BA1221" s="22"/>
      <c r="BB1221" s="22"/>
      <c r="BC1221" s="22"/>
      <c r="BD1221" s="22"/>
      <c r="BE1221" s="22"/>
      <c r="BF1221" s="22"/>
      <c r="BG1221" s="22"/>
      <c r="BH1221" s="22"/>
      <c r="BI1221" s="22"/>
      <c r="BJ1221" s="22"/>
      <c r="BK1221" s="22"/>
      <c r="BL1221" s="22"/>
      <c r="BM1221" s="22"/>
      <c r="BN1221" s="22"/>
      <c r="BO1221" s="22"/>
      <c r="BP1221" s="22"/>
      <c r="BQ1221" s="22"/>
      <c r="BR1221" s="22"/>
      <c r="BS1221" s="22"/>
      <c r="BT1221" s="22"/>
      <c r="BU1221" s="22"/>
      <c r="BV1221" s="22"/>
      <c r="BW1221" s="22"/>
      <c r="BX1221" s="22"/>
      <c r="BY1221" s="22"/>
      <c r="BZ1221" s="22"/>
      <c r="CA1221" s="22"/>
      <c r="CB1221" s="22"/>
      <c r="CC1221" s="22"/>
      <c r="CD1221" s="22"/>
      <c r="CE1221" s="22"/>
      <c r="CF1221" s="22"/>
      <c r="CG1221" s="22"/>
      <c r="CH1221" s="22"/>
      <c r="CI1221" s="22"/>
      <c r="CJ1221" s="22"/>
    </row>
    <row r="1222" spans="1:88">
      <c r="A1222" s="1">
        <v>2193</v>
      </c>
      <c r="B1222" s="34" t="s">
        <v>2827</v>
      </c>
      <c r="C1222" s="34">
        <v>314</v>
      </c>
      <c r="D1222" s="75">
        <v>4049</v>
      </c>
      <c r="E1222" s="8">
        <v>100</v>
      </c>
      <c r="F1222" s="9" t="s">
        <v>2837</v>
      </c>
      <c r="G1222" s="20">
        <v>0</v>
      </c>
      <c r="H1222" s="20">
        <v>21942</v>
      </c>
      <c r="I1222" s="21">
        <v>21.942</v>
      </c>
      <c r="J1222" s="8">
        <v>2</v>
      </c>
      <c r="K1222" s="8" t="s">
        <v>238</v>
      </c>
      <c r="L1222" s="18">
        <v>42145</v>
      </c>
      <c r="M1222" s="9" t="s">
        <v>191</v>
      </c>
      <c r="N1222" s="38">
        <v>14.4</v>
      </c>
      <c r="O1222" s="38">
        <v>4.4000000000000004</v>
      </c>
      <c r="P1222" s="38">
        <v>1.75</v>
      </c>
      <c r="Q1222" s="38">
        <v>1.425</v>
      </c>
      <c r="R1222" s="38">
        <v>2.4730699999999999</v>
      </c>
      <c r="S1222" s="38">
        <f t="shared" si="152"/>
        <v>2.5</v>
      </c>
      <c r="T1222" s="38">
        <v>21.5</v>
      </c>
      <c r="U1222" s="38">
        <v>0.3</v>
      </c>
      <c r="V1222" s="38">
        <v>7.4999999999999997E-2</v>
      </c>
      <c r="W1222" s="38">
        <v>0.1</v>
      </c>
      <c r="X1222" s="38">
        <v>2.7851599999999999</v>
      </c>
      <c r="Y1222" s="38">
        <f t="shared" si="153"/>
        <v>3</v>
      </c>
      <c r="Z1222" s="38">
        <v>0</v>
      </c>
      <c r="AA1222" s="38">
        <v>0</v>
      </c>
      <c r="AB1222" s="38">
        <v>21.975000000000001</v>
      </c>
      <c r="AC1222" s="38">
        <v>1.0998300000000001</v>
      </c>
      <c r="AD1222" s="38">
        <v>1.62</v>
      </c>
      <c r="AE1222" s="38">
        <v>154.54</v>
      </c>
      <c r="AF1222" s="38">
        <f t="shared" si="155"/>
        <v>0.10272536687631027</v>
      </c>
      <c r="AG1222" s="38">
        <f t="shared" si="154"/>
        <v>0.1</v>
      </c>
      <c r="AH1222" s="38">
        <v>24.48</v>
      </c>
      <c r="AI1222" s="38">
        <f t="shared" si="156"/>
        <v>3.1876245165826794E-2</v>
      </c>
      <c r="AJ1222" s="38">
        <v>0</v>
      </c>
      <c r="AK1222" s="38">
        <v>0</v>
      </c>
      <c r="AL1222" s="38">
        <v>0</v>
      </c>
      <c r="AM1222" s="38">
        <f t="shared" si="157"/>
        <v>0</v>
      </c>
      <c r="AN1222" s="72"/>
      <c r="AO1222" s="41"/>
      <c r="AP1222" s="41"/>
      <c r="AQ1222" s="73"/>
      <c r="AR1222" s="73"/>
      <c r="AS1222" s="73"/>
      <c r="AT1222" s="73"/>
    </row>
    <row r="1223" spans="1:88">
      <c r="A1223" s="1">
        <v>190</v>
      </c>
      <c r="B1223" s="34" t="s">
        <v>332</v>
      </c>
      <c r="C1223" s="34">
        <v>533</v>
      </c>
      <c r="D1223" s="34">
        <v>1388</v>
      </c>
      <c r="E1223" s="34">
        <v>100</v>
      </c>
      <c r="F1223" s="34" t="s">
        <v>380</v>
      </c>
      <c r="G1223" s="20" t="s">
        <v>92</v>
      </c>
      <c r="H1223" s="20" t="s">
        <v>381</v>
      </c>
      <c r="I1223" s="35">
        <v>2.1139999999999999</v>
      </c>
      <c r="J1223" s="36">
        <v>2</v>
      </c>
      <c r="K1223" s="34" t="s">
        <v>238</v>
      </c>
      <c r="L1223" s="10">
        <v>42202</v>
      </c>
      <c r="M1223" s="9" t="s">
        <v>191</v>
      </c>
      <c r="N1223" s="38">
        <v>0.67</v>
      </c>
      <c r="O1223" s="38">
        <v>0.67</v>
      </c>
      <c r="P1223" s="38">
        <v>0.49</v>
      </c>
      <c r="Q1223" s="38">
        <v>0.28000000000000003</v>
      </c>
      <c r="R1223" s="38">
        <v>3.415</v>
      </c>
      <c r="S1223" s="38">
        <f t="shared" si="152"/>
        <v>3.5</v>
      </c>
      <c r="T1223" s="38">
        <v>2</v>
      </c>
      <c r="U1223" s="38">
        <v>0.08</v>
      </c>
      <c r="V1223" s="38">
        <v>0.03</v>
      </c>
      <c r="W1223" s="38">
        <v>0</v>
      </c>
      <c r="X1223" s="38">
        <v>3.4180000000000001</v>
      </c>
      <c r="Y1223" s="38">
        <f t="shared" si="153"/>
        <v>3.5</v>
      </c>
      <c r="Z1223" s="38">
        <v>0</v>
      </c>
      <c r="AA1223" s="38">
        <v>0.74</v>
      </c>
      <c r="AB1223" s="38">
        <v>1.37</v>
      </c>
      <c r="AC1223" s="38">
        <v>1.331</v>
      </c>
      <c r="AD1223" s="38">
        <v>0</v>
      </c>
      <c r="AE1223" s="38">
        <v>15.18</v>
      </c>
      <c r="AF1223" s="38">
        <f t="shared" si="155"/>
        <v>0.10258142992296258</v>
      </c>
      <c r="AG1223" s="38">
        <f t="shared" si="154"/>
        <v>0.1</v>
      </c>
      <c r="AH1223" s="38">
        <v>0</v>
      </c>
      <c r="AI1223" s="38">
        <f t="shared" si="156"/>
        <v>0</v>
      </c>
      <c r="AJ1223" s="38">
        <v>0</v>
      </c>
      <c r="AK1223" s="38">
        <f>AJ1223/(3.5*I1223*1000)*100</f>
        <v>0</v>
      </c>
      <c r="AL1223" s="38">
        <v>0</v>
      </c>
      <c r="AM1223" s="38">
        <f t="shared" si="157"/>
        <v>0</v>
      </c>
      <c r="AN1223" s="25"/>
      <c r="AO1223" s="25">
        <f>AE1223*0.5</f>
        <v>7.59</v>
      </c>
      <c r="AP1223" s="25">
        <f>(AD1223+AH1223+AJ1223+AL1223+AO1223)*I1223</f>
        <v>16.045259999999999</v>
      </c>
      <c r="AQ1223" s="25"/>
      <c r="AR1223" s="25">
        <f>SUM(N1223:Q1223)</f>
        <v>2.1100000000000003</v>
      </c>
      <c r="AS1223" s="25"/>
      <c r="AT1223" s="22"/>
      <c r="AU1223" s="41">
        <f>SUM(N1223:Q1223)</f>
        <v>2.1100000000000003</v>
      </c>
      <c r="AV1223" s="41">
        <f>SUM(T1223:W1223)</f>
        <v>2.11</v>
      </c>
      <c r="AW1223" s="41">
        <f>SUM(Z1223:AB1223)</f>
        <v>2.1100000000000003</v>
      </c>
      <c r="AX1223" s="41"/>
      <c r="AY1223" s="22">
        <f>I1223/AU1223</f>
        <v>1.0018957345971562</v>
      </c>
      <c r="AZ1223" s="22">
        <f>I1223/AV1223</f>
        <v>1.0018957345971564</v>
      </c>
      <c r="BA1223" s="22">
        <f>I1223/AW1223</f>
        <v>1.0018957345971562</v>
      </c>
      <c r="BB1223" s="22"/>
      <c r="BC1223" s="22"/>
      <c r="BD1223" s="22"/>
      <c r="BE1223" s="22"/>
      <c r="BF1223" s="22"/>
      <c r="BG1223" s="22"/>
      <c r="BH1223" s="22"/>
      <c r="BI1223" s="22"/>
      <c r="BJ1223" s="22"/>
      <c r="BK1223" s="22"/>
      <c r="BL1223" s="22"/>
      <c r="BM1223" s="22"/>
      <c r="BN1223" s="22"/>
      <c r="BO1223" s="22"/>
      <c r="BP1223" s="22"/>
      <c r="BQ1223" s="22"/>
      <c r="BR1223" s="22"/>
      <c r="BS1223" s="22"/>
      <c r="BT1223" s="22"/>
      <c r="BU1223" s="22"/>
      <c r="BV1223" s="22"/>
      <c r="BW1223" s="22"/>
      <c r="BX1223" s="22"/>
      <c r="BY1223" s="22"/>
      <c r="BZ1223" s="22"/>
      <c r="CA1223" s="22"/>
      <c r="CB1223" s="22"/>
      <c r="CC1223" s="22"/>
      <c r="CD1223" s="22"/>
      <c r="CE1223" s="22"/>
      <c r="CF1223" s="22"/>
      <c r="CG1223" s="22"/>
      <c r="CH1223" s="22"/>
      <c r="CI1223" s="22"/>
      <c r="CJ1223" s="22"/>
    </row>
    <row r="1224" spans="1:88" ht="26.25" customHeight="1">
      <c r="A1224" s="1">
        <v>465</v>
      </c>
      <c r="B1224" s="74" t="s">
        <v>780</v>
      </c>
      <c r="C1224" s="34">
        <v>515</v>
      </c>
      <c r="D1224" s="34">
        <v>1143</v>
      </c>
      <c r="E1224" s="34">
        <v>101</v>
      </c>
      <c r="F1224" s="34" t="s">
        <v>794</v>
      </c>
      <c r="G1224" s="34" t="s">
        <v>92</v>
      </c>
      <c r="H1224" s="34" t="s">
        <v>795</v>
      </c>
      <c r="I1224" s="55">
        <v>28.3</v>
      </c>
      <c r="J1224" s="5" t="s">
        <v>238</v>
      </c>
      <c r="K1224" s="34">
        <v>2</v>
      </c>
      <c r="L1224" s="10">
        <v>42268</v>
      </c>
      <c r="M1224" s="9" t="s">
        <v>191</v>
      </c>
      <c r="N1224" s="38">
        <v>17.78</v>
      </c>
      <c r="O1224" s="38">
        <v>6.85</v>
      </c>
      <c r="P1224" s="38">
        <v>3.05</v>
      </c>
      <c r="Q1224" s="38">
        <v>0.6</v>
      </c>
      <c r="R1224" s="38">
        <v>2.5345599999999999</v>
      </c>
      <c r="S1224" s="38">
        <f t="shared" si="152"/>
        <v>2.5</v>
      </c>
      <c r="T1224" s="38">
        <v>28.25</v>
      </c>
      <c r="U1224" s="38">
        <v>2.5000000000000001E-2</v>
      </c>
      <c r="V1224" s="38">
        <v>0</v>
      </c>
      <c r="W1224" s="38">
        <v>0</v>
      </c>
      <c r="X1224" s="38">
        <v>1.9851000000000001</v>
      </c>
      <c r="Y1224" s="38">
        <f t="shared" si="153"/>
        <v>2</v>
      </c>
      <c r="Z1224" s="38">
        <v>0</v>
      </c>
      <c r="AA1224" s="38">
        <v>0</v>
      </c>
      <c r="AB1224" s="38">
        <v>28.280000000000005</v>
      </c>
      <c r="AC1224" s="38">
        <v>1.2168000000000001</v>
      </c>
      <c r="AD1224" s="38">
        <v>95.25</v>
      </c>
      <c r="AE1224" s="38">
        <v>8.64</v>
      </c>
      <c r="AF1224" s="38">
        <f t="shared" si="155"/>
        <v>0.10052498738011104</v>
      </c>
      <c r="AG1224" s="38">
        <f t="shared" si="154"/>
        <v>0.1</v>
      </c>
      <c r="AH1224" s="38">
        <v>98.67</v>
      </c>
      <c r="AI1224" s="38">
        <f t="shared" si="156"/>
        <v>9.9616355376072691E-2</v>
      </c>
      <c r="AJ1224" s="38">
        <v>0</v>
      </c>
      <c r="AK1224" s="38">
        <f>AJ1224/(3.5*I1224*1000)*100</f>
        <v>0</v>
      </c>
      <c r="AL1224" s="38">
        <v>0</v>
      </c>
      <c r="AM1224" s="38">
        <f t="shared" si="157"/>
        <v>0</v>
      </c>
      <c r="AN1224" s="41"/>
      <c r="AO1224" s="41"/>
      <c r="AP1224" s="114"/>
      <c r="AQ1224" s="73"/>
      <c r="AR1224" s="73"/>
      <c r="AS1224" s="73"/>
      <c r="AT1224" s="22"/>
      <c r="AU1224" s="22"/>
      <c r="AV1224" s="22"/>
      <c r="AW1224" s="22"/>
      <c r="AX1224" s="22"/>
      <c r="AY1224" s="22"/>
      <c r="AZ1224" s="22"/>
      <c r="BA1224" s="22"/>
      <c r="BB1224" s="22"/>
      <c r="BC1224" s="22"/>
      <c r="BD1224" s="22"/>
      <c r="BE1224" s="22"/>
      <c r="BF1224" s="22"/>
      <c r="BG1224" s="22"/>
      <c r="BH1224" s="22"/>
      <c r="BI1224" s="22"/>
      <c r="BJ1224" s="22"/>
      <c r="BK1224" s="22"/>
      <c r="BL1224" s="22"/>
      <c r="BM1224" s="22"/>
      <c r="BN1224" s="22"/>
      <c r="BO1224" s="22"/>
      <c r="BP1224" s="22"/>
      <c r="BQ1224" s="22"/>
      <c r="BR1224" s="22"/>
      <c r="BS1224" s="22"/>
      <c r="BT1224" s="22"/>
      <c r="BU1224" s="22"/>
      <c r="BV1224" s="22"/>
      <c r="BW1224" s="22"/>
      <c r="BX1224" s="22"/>
      <c r="BY1224" s="22"/>
      <c r="BZ1224" s="22"/>
      <c r="CA1224" s="22"/>
      <c r="CB1224" s="22"/>
      <c r="CC1224" s="22"/>
      <c r="CD1224" s="22"/>
      <c r="CE1224" s="22"/>
      <c r="CF1224" s="22"/>
      <c r="CG1224" s="22"/>
      <c r="CH1224" s="22"/>
      <c r="CI1224" s="22"/>
      <c r="CJ1224" s="22"/>
    </row>
    <row r="1225" spans="1:88" ht="26.25" customHeight="1">
      <c r="A1225" s="1">
        <v>1460</v>
      </c>
      <c r="B1225" s="34" t="s">
        <v>1987</v>
      </c>
      <c r="C1225" s="34">
        <v>448</v>
      </c>
      <c r="D1225" s="75">
        <v>3372</v>
      </c>
      <c r="E1225" s="69">
        <v>101</v>
      </c>
      <c r="F1225" s="9" t="s">
        <v>2008</v>
      </c>
      <c r="G1225" s="20">
        <v>0</v>
      </c>
      <c r="H1225" s="20">
        <v>17951</v>
      </c>
      <c r="I1225" s="21">
        <v>17.951000000000001</v>
      </c>
      <c r="J1225" s="8">
        <v>2</v>
      </c>
      <c r="K1225" s="34" t="s">
        <v>238</v>
      </c>
      <c r="L1225" s="10">
        <v>42181</v>
      </c>
      <c r="M1225" s="9" t="s">
        <v>191</v>
      </c>
      <c r="N1225" s="38">
        <v>14.525</v>
      </c>
      <c r="O1225" s="38">
        <v>3.4249999999999998</v>
      </c>
      <c r="P1225" s="38">
        <v>0</v>
      </c>
      <c r="Q1225" s="38">
        <v>0</v>
      </c>
      <c r="R1225" s="38">
        <v>2.952</v>
      </c>
      <c r="S1225" s="38">
        <f t="shared" si="152"/>
        <v>3</v>
      </c>
      <c r="T1225" s="38">
        <v>17.95</v>
      </c>
      <c r="U1225" s="38">
        <v>0</v>
      </c>
      <c r="V1225" s="38">
        <v>0</v>
      </c>
      <c r="W1225" s="38">
        <v>0</v>
      </c>
      <c r="X1225" s="38">
        <v>3.125</v>
      </c>
      <c r="Y1225" s="38">
        <f t="shared" si="153"/>
        <v>3</v>
      </c>
      <c r="Z1225" s="38">
        <v>0</v>
      </c>
      <c r="AA1225" s="38">
        <v>0</v>
      </c>
      <c r="AB1225" s="38">
        <v>17.95</v>
      </c>
      <c r="AC1225" s="38">
        <v>1.125</v>
      </c>
      <c r="AD1225" s="38">
        <v>56.89</v>
      </c>
      <c r="AE1225" s="38">
        <v>12.2</v>
      </c>
      <c r="AF1225" s="38">
        <f t="shared" si="155"/>
        <v>0.10025704895071502</v>
      </c>
      <c r="AG1225" s="38">
        <f t="shared" si="154"/>
        <v>0.1</v>
      </c>
      <c r="AH1225" s="38">
        <v>0</v>
      </c>
      <c r="AI1225" s="38">
        <f t="shared" si="156"/>
        <v>0</v>
      </c>
      <c r="AJ1225" s="38">
        <v>0</v>
      </c>
      <c r="AK1225" s="38">
        <f>AJ1225/(3.5*I1225*1000)*100</f>
        <v>0</v>
      </c>
      <c r="AL1225" s="38">
        <v>0</v>
      </c>
      <c r="AM1225" s="38">
        <f t="shared" si="157"/>
        <v>0</v>
      </c>
      <c r="AN1225" s="72"/>
      <c r="AO1225" s="41"/>
      <c r="AP1225" s="41"/>
      <c r="AQ1225" s="73"/>
      <c r="AR1225" s="73"/>
      <c r="AS1225" s="73"/>
      <c r="AT1225" s="73"/>
      <c r="AU1225" s="73"/>
      <c r="AV1225" s="73"/>
      <c r="AW1225" s="22"/>
      <c r="AX1225" s="22"/>
      <c r="AY1225" s="22"/>
      <c r="AZ1225" s="22"/>
      <c r="BA1225" s="22"/>
      <c r="BB1225" s="22"/>
      <c r="BC1225" s="22"/>
      <c r="BD1225" s="22"/>
      <c r="BE1225" s="22"/>
      <c r="BF1225" s="22"/>
      <c r="BG1225" s="22"/>
      <c r="BH1225" s="22"/>
      <c r="BI1225" s="22"/>
      <c r="BJ1225" s="22"/>
      <c r="BK1225" s="22"/>
      <c r="BL1225" s="22"/>
      <c r="BM1225" s="22"/>
      <c r="BN1225" s="22"/>
      <c r="BO1225" s="22"/>
      <c r="BP1225" s="22"/>
      <c r="BQ1225" s="22"/>
      <c r="BR1225" s="22"/>
      <c r="BS1225" s="22"/>
      <c r="BT1225" s="22"/>
      <c r="BU1225" s="22"/>
      <c r="BV1225" s="22"/>
      <c r="BW1225" s="22"/>
      <c r="BX1225" s="22"/>
      <c r="BY1225" s="22"/>
      <c r="BZ1225" s="22"/>
      <c r="CA1225" s="22"/>
      <c r="CB1225" s="22"/>
      <c r="CC1225" s="22"/>
      <c r="CD1225" s="22"/>
      <c r="CE1225" s="22"/>
      <c r="CF1225" s="22"/>
      <c r="CG1225" s="22"/>
      <c r="CH1225" s="22"/>
      <c r="CI1225" s="22"/>
      <c r="CJ1225" s="22"/>
    </row>
    <row r="1226" spans="1:88" ht="26.25" customHeight="1">
      <c r="A1226" s="1">
        <v>433</v>
      </c>
      <c r="B1226" s="74" t="s">
        <v>699</v>
      </c>
      <c r="C1226" s="34">
        <v>513</v>
      </c>
      <c r="D1226" s="75">
        <v>1113</v>
      </c>
      <c r="E1226" s="69">
        <v>102</v>
      </c>
      <c r="F1226" s="76" t="s">
        <v>732</v>
      </c>
      <c r="G1226" s="58" t="s">
        <v>731</v>
      </c>
      <c r="H1226" s="58" t="s">
        <v>733</v>
      </c>
      <c r="I1226" s="55">
        <v>29.5</v>
      </c>
      <c r="J1226" s="5" t="s">
        <v>238</v>
      </c>
      <c r="K1226" s="34">
        <v>2</v>
      </c>
      <c r="L1226" s="18">
        <v>42263</v>
      </c>
      <c r="M1226" s="9" t="s">
        <v>191</v>
      </c>
      <c r="N1226" s="38">
        <v>21.76</v>
      </c>
      <c r="O1226" s="38">
        <v>5.87</v>
      </c>
      <c r="P1226" s="38">
        <v>1.62</v>
      </c>
      <c r="Q1226" s="38">
        <v>0.25</v>
      </c>
      <c r="R1226" s="38">
        <v>2.2652000000000001</v>
      </c>
      <c r="S1226" s="38">
        <f t="shared" si="152"/>
        <v>2.5</v>
      </c>
      <c r="T1226" s="38">
        <v>28.98</v>
      </c>
      <c r="U1226" s="38">
        <v>0.37</v>
      </c>
      <c r="V1226" s="38">
        <v>7.0000000000000007E-2</v>
      </c>
      <c r="W1226" s="38">
        <v>7.0000000000000007E-2</v>
      </c>
      <c r="X1226" s="38">
        <v>2.9096099999999998</v>
      </c>
      <c r="Y1226" s="38">
        <f t="shared" si="153"/>
        <v>3</v>
      </c>
      <c r="Z1226" s="38">
        <v>0</v>
      </c>
      <c r="AA1226" s="38">
        <v>0</v>
      </c>
      <c r="AB1226" s="38">
        <v>29.5</v>
      </c>
      <c r="AC1226" s="38">
        <v>1.0928800000000001</v>
      </c>
      <c r="AD1226" s="38">
        <v>95.653999999999996</v>
      </c>
      <c r="AE1226" s="38">
        <v>15.2</v>
      </c>
      <c r="AF1226" s="38">
        <f t="shared" si="155"/>
        <v>0.10000387409200967</v>
      </c>
      <c r="AG1226" s="38">
        <f t="shared" si="154"/>
        <v>0.1</v>
      </c>
      <c r="AH1226" s="38">
        <v>94.45</v>
      </c>
      <c r="AI1226" s="38">
        <f t="shared" si="156"/>
        <v>9.1476997578692501E-2</v>
      </c>
      <c r="AJ1226" s="38">
        <v>0</v>
      </c>
      <c r="AK1226" s="38">
        <f>AJ1226/(3.5*I1226*1000)*100</f>
        <v>0</v>
      </c>
      <c r="AL1226" s="38">
        <v>0</v>
      </c>
      <c r="AM1226" s="38">
        <f t="shared" si="157"/>
        <v>0</v>
      </c>
      <c r="AN1226" s="41"/>
      <c r="AO1226" s="41"/>
      <c r="AP1226" s="73"/>
      <c r="AQ1226" s="41">
        <f>SUM(N1226:Q1226)</f>
        <v>29.500000000000004</v>
      </c>
      <c r="AR1226" s="41">
        <f>SUM(T1226:W1226)</f>
        <v>29.490000000000002</v>
      </c>
      <c r="AS1226" s="41">
        <f>SUM(Z1226:AB1226)</f>
        <v>29.5</v>
      </c>
      <c r="AT1226" s="22"/>
      <c r="AU1226" s="22">
        <f>I1226/AQ1226</f>
        <v>0.99999999999999989</v>
      </c>
      <c r="AV1226" s="22">
        <f>I1226/AR1226</f>
        <v>1.0003390979993216</v>
      </c>
      <c r="AW1226" s="22">
        <f>I1226/AS1226</f>
        <v>1</v>
      </c>
      <c r="AX1226" s="73"/>
      <c r="AY1226" s="73"/>
      <c r="AZ1226" s="73"/>
      <c r="BA1226" s="73"/>
      <c r="BB1226" s="73"/>
      <c r="BC1226" s="73"/>
      <c r="BD1226" s="73"/>
      <c r="BE1226" s="73"/>
      <c r="BF1226" s="73"/>
      <c r="BG1226" s="73"/>
      <c r="BH1226" s="73"/>
      <c r="BI1226" s="73"/>
      <c r="BJ1226" s="73"/>
      <c r="BK1226" s="73"/>
      <c r="BL1226" s="73"/>
      <c r="BM1226" s="73"/>
      <c r="BN1226" s="73"/>
      <c r="BO1226" s="73"/>
      <c r="BP1226" s="73"/>
      <c r="BQ1226" s="73"/>
      <c r="BR1226" s="73"/>
      <c r="BS1226" s="73"/>
      <c r="BT1226" s="73"/>
      <c r="BU1226" s="73"/>
      <c r="BV1226" s="73"/>
      <c r="BW1226" s="73"/>
      <c r="BX1226" s="73"/>
      <c r="BY1226" s="73"/>
      <c r="BZ1226" s="73"/>
      <c r="CA1226" s="73"/>
      <c r="CB1226" s="73"/>
      <c r="CC1226" s="73"/>
      <c r="CD1226" s="73"/>
      <c r="CE1226" s="73"/>
      <c r="CF1226" s="73"/>
      <c r="CG1226" s="73"/>
      <c r="CH1226" s="73"/>
      <c r="CI1226" s="73"/>
      <c r="CJ1226" s="73"/>
    </row>
    <row r="1227" spans="1:88" ht="26.25" customHeight="1">
      <c r="A1227" s="1">
        <v>5</v>
      </c>
      <c r="B1227" s="13" t="s">
        <v>8</v>
      </c>
      <c r="C1227" s="14">
        <v>521</v>
      </c>
      <c r="D1227" s="15">
        <v>108</v>
      </c>
      <c r="E1227" s="16">
        <v>103</v>
      </c>
      <c r="F1227" s="17" t="s">
        <v>10</v>
      </c>
      <c r="G1227" s="6" t="s">
        <v>90</v>
      </c>
      <c r="H1227" s="6" t="s">
        <v>91</v>
      </c>
      <c r="I1227" s="7">
        <v>47.505000000000003</v>
      </c>
      <c r="J1227" s="8">
        <v>2</v>
      </c>
      <c r="K1227" s="9" t="s">
        <v>238</v>
      </c>
      <c r="L1227" s="18">
        <v>42230</v>
      </c>
      <c r="M1227" s="9" t="s">
        <v>191</v>
      </c>
      <c r="N1227" s="11">
        <v>25.7</v>
      </c>
      <c r="O1227" s="11">
        <v>10.95</v>
      </c>
      <c r="P1227" s="11">
        <v>7.7750000000000004</v>
      </c>
      <c r="Q1227" s="11">
        <v>3.2749999999999999</v>
      </c>
      <c r="R1227" s="11">
        <v>2.78661</v>
      </c>
      <c r="S1227" s="38">
        <f t="shared" si="152"/>
        <v>3</v>
      </c>
      <c r="T1227" s="11">
        <v>46.524999999999999</v>
      </c>
      <c r="U1227" s="11">
        <v>0.9</v>
      </c>
      <c r="V1227" s="11">
        <v>0.125</v>
      </c>
      <c r="W1227" s="11">
        <v>0.15</v>
      </c>
      <c r="X1227" s="11">
        <v>2.8079200000000002</v>
      </c>
      <c r="Y1227" s="38">
        <f t="shared" si="153"/>
        <v>3</v>
      </c>
      <c r="Z1227" s="11">
        <v>0</v>
      </c>
      <c r="AA1227" s="11">
        <v>0</v>
      </c>
      <c r="AB1227" s="11">
        <v>47.699999999999996</v>
      </c>
      <c r="AC1227" s="11">
        <v>1.1259699999999999</v>
      </c>
      <c r="AD1227" s="11">
        <v>166.14</v>
      </c>
      <c r="AE1227" s="11">
        <v>0</v>
      </c>
      <c r="AF1227" s="11">
        <f t="shared" si="155"/>
        <v>9.9923316342640608E-2</v>
      </c>
      <c r="AG1227" s="38">
        <f t="shared" si="154"/>
        <v>0.1</v>
      </c>
      <c r="AH1227" s="11">
        <v>0</v>
      </c>
      <c r="AI1227" s="11">
        <f t="shared" si="156"/>
        <v>0</v>
      </c>
      <c r="AJ1227" s="11">
        <v>0</v>
      </c>
      <c r="AK1227" s="11">
        <f>AJ1227/(3.5*I1227*1000)*100</f>
        <v>0</v>
      </c>
      <c r="AL1227" s="11">
        <v>0</v>
      </c>
      <c r="AM1227" s="11">
        <f t="shared" si="157"/>
        <v>0</v>
      </c>
      <c r="AQ1227" s="12">
        <f>N1227+O1227+P1227+Q1227</f>
        <v>47.699999999999996</v>
      </c>
      <c r="AR1227" s="12">
        <f>T1227+U1227+V1227+W1227</f>
        <v>47.699999999999996</v>
      </c>
      <c r="AS1227" s="12">
        <f>Z1227+AA1227+AB1227</f>
        <v>47.699999999999996</v>
      </c>
      <c r="AU1227" s="1">
        <v>1.0041048310704135</v>
      </c>
      <c r="AV1227" s="1">
        <v>1.0041048310704135</v>
      </c>
      <c r="AW1227" s="1">
        <v>1.0041048310704135</v>
      </c>
    </row>
    <row r="1228" spans="1:88" ht="26.25" customHeight="1">
      <c r="A1228" s="1">
        <v>1361</v>
      </c>
      <c r="B1228" s="74" t="s">
        <v>1905</v>
      </c>
      <c r="C1228" s="34">
        <v>445</v>
      </c>
      <c r="D1228" s="75">
        <v>3086</v>
      </c>
      <c r="E1228" s="69">
        <v>201</v>
      </c>
      <c r="F1228" s="184" t="s">
        <v>1912</v>
      </c>
      <c r="G1228" s="20">
        <v>11850</v>
      </c>
      <c r="H1228" s="20">
        <v>81557</v>
      </c>
      <c r="I1228" s="21">
        <v>69.706999999999994</v>
      </c>
      <c r="J1228" s="8">
        <v>2</v>
      </c>
      <c r="K1228" s="34" t="s">
        <v>238</v>
      </c>
      <c r="L1228" s="10">
        <v>42208</v>
      </c>
      <c r="M1228" s="9" t="s">
        <v>191</v>
      </c>
      <c r="N1228" s="38">
        <v>57.35</v>
      </c>
      <c r="O1228" s="38">
        <v>9.65</v>
      </c>
      <c r="P1228" s="38">
        <v>2.4500000000000002</v>
      </c>
      <c r="Q1228" s="38">
        <v>0.47499999999999998</v>
      </c>
      <c r="R1228" s="38">
        <v>1.9999</v>
      </c>
      <c r="S1228" s="38">
        <f t="shared" si="152"/>
        <v>2</v>
      </c>
      <c r="T1228" s="38">
        <v>69.575000000000003</v>
      </c>
      <c r="U1228" s="38">
        <v>0.32500000000000001</v>
      </c>
      <c r="V1228" s="38">
        <v>2.5000000000000001E-2</v>
      </c>
      <c r="W1228" s="38">
        <v>0</v>
      </c>
      <c r="X1228" s="38">
        <v>2.5684200000000001</v>
      </c>
      <c r="Y1228" s="38">
        <f t="shared" si="153"/>
        <v>2.5</v>
      </c>
      <c r="Z1228" s="38">
        <v>0</v>
      </c>
      <c r="AA1228" s="38">
        <v>0</v>
      </c>
      <c r="AB1228" s="38">
        <v>69.924999999999997</v>
      </c>
      <c r="AC1228" s="38">
        <v>1.2278800000000001</v>
      </c>
      <c r="AD1228" s="38">
        <v>91</v>
      </c>
      <c r="AE1228" s="38">
        <v>304</v>
      </c>
      <c r="AF1228" s="38">
        <v>9.9600573010704005E-2</v>
      </c>
      <c r="AG1228" s="38">
        <f t="shared" si="154"/>
        <v>0.1</v>
      </c>
      <c r="AH1228" s="38">
        <v>0</v>
      </c>
      <c r="AI1228" s="38">
        <v>0</v>
      </c>
      <c r="AJ1228" s="38">
        <v>83</v>
      </c>
      <c r="AK1228" s="38">
        <v>3.4019948806125237E-2</v>
      </c>
      <c r="AL1228" s="38">
        <v>0</v>
      </c>
      <c r="AM1228" s="38">
        <v>0</v>
      </c>
      <c r="AN1228" s="72"/>
      <c r="AO1228" s="41"/>
      <c r="AP1228" s="41"/>
      <c r="AQ1228" s="41"/>
      <c r="AR1228" s="41"/>
      <c r="AS1228" s="73"/>
      <c r="AT1228" s="73"/>
      <c r="AU1228" s="73"/>
      <c r="AV1228" s="73"/>
    </row>
    <row r="1229" spans="1:88" ht="26.25" customHeight="1">
      <c r="A1229" s="1">
        <v>839</v>
      </c>
      <c r="B1229" s="34" t="s">
        <v>1231</v>
      </c>
      <c r="C1229" s="34">
        <v>615</v>
      </c>
      <c r="D1229" s="34">
        <v>24</v>
      </c>
      <c r="E1229" s="34">
        <v>403</v>
      </c>
      <c r="F1229" s="34" t="s">
        <v>1234</v>
      </c>
      <c r="G1229" s="58">
        <v>240719</v>
      </c>
      <c r="H1229" s="58">
        <v>262609</v>
      </c>
      <c r="I1229" s="35">
        <v>21.89</v>
      </c>
      <c r="J1229" s="9">
        <v>4</v>
      </c>
      <c r="K1229" s="34" t="s">
        <v>238</v>
      </c>
      <c r="L1229" s="10">
        <v>42134</v>
      </c>
      <c r="M1229" s="9" t="s">
        <v>191</v>
      </c>
      <c r="N1229" s="38">
        <v>15.125</v>
      </c>
      <c r="O1229" s="38">
        <v>2.7250000000000001</v>
      </c>
      <c r="P1229" s="38">
        <v>2.6749999999999998</v>
      </c>
      <c r="Q1229" s="38">
        <v>1.3</v>
      </c>
      <c r="R1229" s="38">
        <v>2.2297099999999999</v>
      </c>
      <c r="S1229" s="38">
        <f t="shared" si="152"/>
        <v>2</v>
      </c>
      <c r="T1229" s="38">
        <v>17.774999999999999</v>
      </c>
      <c r="U1229" s="38">
        <v>2.5750000000000002</v>
      </c>
      <c r="V1229" s="38">
        <v>1.35</v>
      </c>
      <c r="W1229" s="38">
        <v>0.125</v>
      </c>
      <c r="X1229" s="38">
        <v>6.0471300000000001</v>
      </c>
      <c r="Y1229" s="38">
        <f t="shared" si="153"/>
        <v>6</v>
      </c>
      <c r="Z1229" s="38">
        <v>0</v>
      </c>
      <c r="AA1229" s="38">
        <v>0</v>
      </c>
      <c r="AB1229" s="38">
        <f>N1229+O1229+P1229+Q1229</f>
        <v>21.825000000000003</v>
      </c>
      <c r="AC1229" s="38">
        <v>1.0489299999999999</v>
      </c>
      <c r="AD1229" s="38">
        <v>60.95</v>
      </c>
      <c r="AE1229" s="38">
        <v>30.68</v>
      </c>
      <c r="AF1229" s="38">
        <v>9.9580000000000002E-2</v>
      </c>
      <c r="AG1229" s="38">
        <f t="shared" si="154"/>
        <v>0.1</v>
      </c>
      <c r="AH1229" s="38">
        <v>141.47</v>
      </c>
      <c r="AI1229" s="38">
        <v>0.18465000000000001</v>
      </c>
      <c r="AJ1229" s="38">
        <v>0</v>
      </c>
      <c r="AK1229" s="38">
        <v>0</v>
      </c>
      <c r="AL1229" s="38">
        <v>0.18</v>
      </c>
      <c r="AM1229" s="38">
        <v>2.3000000000000001E-4</v>
      </c>
      <c r="AN1229" s="25"/>
      <c r="AO1229" s="25">
        <f>AE1229*0.5</f>
        <v>15.34</v>
      </c>
      <c r="AP1229" s="25">
        <f>(AD1229+AH1229+AJ1229+AL1229+AO1229)*I1229</f>
        <v>4770.7066000000004</v>
      </c>
      <c r="AQ1229" s="25">
        <f>SUM(N1229:Q1229)</f>
        <v>21.825000000000003</v>
      </c>
      <c r="AR1229" s="25">
        <f>SUM(T1229:W1229)</f>
        <v>21.824999999999999</v>
      </c>
      <c r="AS1229" s="268">
        <v>21.89</v>
      </c>
      <c r="AT1229" s="41"/>
      <c r="AU1229" s="41"/>
      <c r="AV1229" s="41"/>
      <c r="AW1229" s="41"/>
      <c r="AX1229" s="22"/>
      <c r="AY1229" s="22"/>
      <c r="AZ1229" s="22"/>
      <c r="BA1229" s="22"/>
      <c r="BB1229" s="22"/>
      <c r="BC1229" s="22"/>
      <c r="BD1229" s="22"/>
      <c r="BE1229" s="22"/>
      <c r="BF1229" s="22"/>
      <c r="BG1229" s="22"/>
      <c r="BH1229" s="22"/>
      <c r="BI1229" s="22"/>
      <c r="BJ1229" s="22"/>
      <c r="BK1229" s="22"/>
      <c r="BL1229" s="22"/>
      <c r="BM1229" s="22"/>
      <c r="BN1229" s="22"/>
      <c r="BO1229" s="22"/>
      <c r="BP1229" s="22"/>
      <c r="BQ1229" s="22"/>
      <c r="BR1229" s="22"/>
      <c r="BS1229" s="22"/>
      <c r="BT1229" s="22"/>
      <c r="BU1229" s="22"/>
      <c r="BV1229" s="22"/>
      <c r="BW1229" s="22"/>
      <c r="BX1229" s="22"/>
      <c r="BY1229" s="22"/>
      <c r="BZ1229" s="22"/>
      <c r="CA1229" s="22"/>
      <c r="CB1229" s="22"/>
      <c r="CC1229" s="22"/>
      <c r="CD1229" s="22"/>
      <c r="CE1229" s="22"/>
      <c r="CF1229" s="22"/>
      <c r="CG1229" s="22"/>
      <c r="CH1229" s="22"/>
      <c r="CI1229" s="22"/>
      <c r="CJ1229" s="22"/>
    </row>
    <row r="1230" spans="1:88" ht="26.25" customHeight="1">
      <c r="A1230" s="1">
        <v>541</v>
      </c>
      <c r="B1230" s="34" t="s">
        <v>915</v>
      </c>
      <c r="C1230" s="34">
        <v>558</v>
      </c>
      <c r="D1230" s="34">
        <v>1243</v>
      </c>
      <c r="E1230" s="34">
        <v>100</v>
      </c>
      <c r="F1230" s="34" t="s">
        <v>934</v>
      </c>
      <c r="G1230" s="34" t="s">
        <v>92</v>
      </c>
      <c r="H1230" s="34" t="s">
        <v>935</v>
      </c>
      <c r="I1230" s="34">
        <v>34.036000000000001</v>
      </c>
      <c r="J1230" s="34" t="s">
        <v>238</v>
      </c>
      <c r="K1230" s="34">
        <v>2</v>
      </c>
      <c r="L1230" s="10">
        <v>42273</v>
      </c>
      <c r="M1230" s="9" t="s">
        <v>191</v>
      </c>
      <c r="N1230" s="38">
        <v>2.8</v>
      </c>
      <c r="O1230" s="38">
        <v>10.33</v>
      </c>
      <c r="P1230" s="38">
        <v>14.2</v>
      </c>
      <c r="Q1230" s="38">
        <v>6.3</v>
      </c>
      <c r="R1230" s="38">
        <v>4.14757</v>
      </c>
      <c r="S1230" s="38">
        <f t="shared" si="152"/>
        <v>4</v>
      </c>
      <c r="T1230" s="38">
        <v>30.95</v>
      </c>
      <c r="U1230" s="38">
        <v>1.875</v>
      </c>
      <c r="V1230" s="38">
        <v>0.52500000000000002</v>
      </c>
      <c r="W1230" s="38">
        <v>0.27500000000000002</v>
      </c>
      <c r="X1230" s="38">
        <v>5.22776</v>
      </c>
      <c r="Y1230" s="38">
        <f t="shared" si="153"/>
        <v>5</v>
      </c>
      <c r="Z1230" s="38">
        <v>0</v>
      </c>
      <c r="AA1230" s="38">
        <v>0</v>
      </c>
      <c r="AB1230" s="38">
        <v>33.629999999999995</v>
      </c>
      <c r="AC1230" s="38">
        <v>1.4984599999999999</v>
      </c>
      <c r="AD1230" s="38">
        <v>113.8</v>
      </c>
      <c r="AE1230" s="38">
        <v>8.4600000000000009</v>
      </c>
      <c r="AF1230" s="38">
        <v>9.9080000000000001E-2</v>
      </c>
      <c r="AG1230" s="38">
        <f t="shared" si="154"/>
        <v>0.1</v>
      </c>
      <c r="AH1230" s="38">
        <v>380.54</v>
      </c>
      <c r="AI1230" s="38">
        <v>0.31944299999999998</v>
      </c>
      <c r="AJ1230" s="38">
        <v>0</v>
      </c>
      <c r="AK1230" s="38">
        <v>0</v>
      </c>
      <c r="AL1230" s="38">
        <v>0</v>
      </c>
      <c r="AM1230" s="38">
        <v>0</v>
      </c>
      <c r="AN1230" s="41"/>
      <c r="AO1230" s="41"/>
      <c r="AP1230" s="73"/>
      <c r="AQ1230" s="73"/>
      <c r="AR1230" s="22"/>
      <c r="AS1230" s="22"/>
      <c r="AT1230" s="22"/>
      <c r="AU1230" s="22"/>
      <c r="AV1230" s="22"/>
      <c r="AW1230" s="22"/>
      <c r="AX1230" s="22"/>
      <c r="AY1230" s="22"/>
      <c r="AZ1230" s="22"/>
      <c r="BA1230" s="22"/>
      <c r="BB1230" s="22"/>
      <c r="BC1230" s="22"/>
      <c r="BD1230" s="22"/>
      <c r="BE1230" s="22"/>
      <c r="BF1230" s="22"/>
      <c r="BG1230" s="22"/>
      <c r="BH1230" s="22"/>
      <c r="BI1230" s="22"/>
      <c r="BJ1230" s="22"/>
      <c r="BK1230" s="22"/>
      <c r="BL1230" s="22"/>
      <c r="BM1230" s="22"/>
      <c r="BN1230" s="22"/>
      <c r="BO1230" s="22"/>
      <c r="BP1230" s="22"/>
      <c r="BQ1230" s="22"/>
      <c r="BR1230" s="22"/>
      <c r="BS1230" s="22"/>
      <c r="BT1230" s="22"/>
      <c r="BU1230" s="22"/>
      <c r="BV1230" s="22"/>
      <c r="BW1230" s="22"/>
      <c r="BX1230" s="22"/>
      <c r="BY1230" s="22"/>
      <c r="BZ1230" s="22"/>
      <c r="CA1230" s="22"/>
      <c r="CB1230" s="22"/>
      <c r="CC1230" s="22"/>
      <c r="CD1230" s="22"/>
      <c r="CE1230" s="22"/>
      <c r="CF1230" s="22"/>
      <c r="CG1230" s="22"/>
      <c r="CH1230" s="22"/>
      <c r="CI1230" s="22"/>
      <c r="CJ1230" s="22"/>
    </row>
    <row r="1231" spans="1:88" ht="26.25" customHeight="1">
      <c r="A1231" s="1">
        <v>408</v>
      </c>
      <c r="B1231" s="74" t="s">
        <v>655</v>
      </c>
      <c r="C1231" s="34">
        <v>511</v>
      </c>
      <c r="D1231" s="75">
        <v>1275</v>
      </c>
      <c r="E1231" s="69">
        <v>100</v>
      </c>
      <c r="F1231" s="34" t="s">
        <v>683</v>
      </c>
      <c r="G1231" s="20" t="s">
        <v>92</v>
      </c>
      <c r="H1231" s="20" t="s">
        <v>684</v>
      </c>
      <c r="I1231" s="21">
        <v>38.981000000000002</v>
      </c>
      <c r="J1231" s="8" t="s">
        <v>238</v>
      </c>
      <c r="K1231" s="34">
        <v>2</v>
      </c>
      <c r="L1231" s="18">
        <v>42266</v>
      </c>
      <c r="M1231" s="9" t="s">
        <v>191</v>
      </c>
      <c r="N1231" s="38">
        <v>31.86</v>
      </c>
      <c r="O1231" s="38">
        <v>4.41</v>
      </c>
      <c r="P1231" s="38">
        <v>2.0099999999999998</v>
      </c>
      <c r="Q1231" s="38">
        <v>0.7</v>
      </c>
      <c r="R1231" s="38">
        <v>2.1051500000000001</v>
      </c>
      <c r="S1231" s="38">
        <f t="shared" si="152"/>
        <v>2</v>
      </c>
      <c r="T1231" s="38">
        <v>38.68</v>
      </c>
      <c r="U1231" s="38">
        <v>0.28000000000000003</v>
      </c>
      <c r="V1231" s="38">
        <v>0</v>
      </c>
      <c r="W1231" s="38">
        <v>0.03</v>
      </c>
      <c r="X1231" s="38">
        <v>3.0575399999999999</v>
      </c>
      <c r="Y1231" s="38">
        <f t="shared" si="153"/>
        <v>3</v>
      </c>
      <c r="Z1231" s="38">
        <v>0</v>
      </c>
      <c r="AA1231" s="38">
        <v>0</v>
      </c>
      <c r="AB1231" s="38">
        <v>38.979999999999997</v>
      </c>
      <c r="AC1231" s="38">
        <v>1.1530800000000001</v>
      </c>
      <c r="AD1231" s="38">
        <v>123.68</v>
      </c>
      <c r="AE1231" s="38">
        <v>22.3</v>
      </c>
      <c r="AF1231" s="38">
        <v>9.8824999999999996E-2</v>
      </c>
      <c r="AG1231" s="38">
        <f t="shared" si="154"/>
        <v>0.1</v>
      </c>
      <c r="AH1231" s="38">
        <v>98.56</v>
      </c>
      <c r="AI1231" s="38">
        <v>7.2239999999999999E-2</v>
      </c>
      <c r="AJ1231" s="38">
        <v>0</v>
      </c>
      <c r="AK1231" s="38">
        <v>0</v>
      </c>
      <c r="AL1231" s="38">
        <v>0</v>
      </c>
      <c r="AM1231" s="38">
        <v>0</v>
      </c>
      <c r="AN1231" s="72"/>
      <c r="AO1231" s="41"/>
      <c r="AP1231" s="41"/>
      <c r="AQ1231" s="41">
        <f>SUM(N1231:Q1231)</f>
        <v>38.979999999999997</v>
      </c>
      <c r="AR1231" s="41">
        <f>SUM(T1231:W1231)</f>
        <v>38.99</v>
      </c>
      <c r="AS1231" s="41">
        <f>SUM(Z1231:AB1231)</f>
        <v>38.979999999999997</v>
      </c>
      <c r="AT1231" s="22"/>
      <c r="AU1231" s="22">
        <f>I1231/AQ1231</f>
        <v>1.0000256541816317</v>
      </c>
      <c r="AV1231" s="22">
        <f>I1231/AR1231</f>
        <v>0.99976917158245704</v>
      </c>
      <c r="AW1231" s="22">
        <f>I1231/AS1231</f>
        <v>1.0000256541816317</v>
      </c>
      <c r="AX1231" s="22"/>
      <c r="AY1231" s="22"/>
      <c r="AZ1231" s="22"/>
      <c r="BA1231" s="22"/>
      <c r="BB1231" s="22"/>
      <c r="BC1231" s="22"/>
      <c r="BD1231" s="22"/>
      <c r="BE1231" s="22"/>
      <c r="BF1231" s="22"/>
      <c r="BG1231" s="22"/>
      <c r="BH1231" s="22"/>
      <c r="BI1231" s="22"/>
      <c r="BJ1231" s="22"/>
      <c r="BK1231" s="22"/>
      <c r="BL1231" s="22"/>
      <c r="BM1231" s="22"/>
      <c r="BN1231" s="22"/>
      <c r="BO1231" s="22"/>
      <c r="BP1231" s="22"/>
      <c r="BQ1231" s="22"/>
      <c r="BR1231" s="22"/>
      <c r="BS1231" s="22"/>
      <c r="BT1231" s="22"/>
      <c r="BU1231" s="22"/>
      <c r="BV1231" s="22"/>
      <c r="BW1231" s="22"/>
      <c r="BX1231" s="22"/>
      <c r="BY1231" s="22"/>
      <c r="BZ1231" s="22"/>
      <c r="CA1231" s="22"/>
      <c r="CB1231" s="22"/>
      <c r="CC1231" s="22"/>
      <c r="CD1231" s="22"/>
      <c r="CE1231" s="22"/>
      <c r="CF1231" s="22"/>
      <c r="CG1231" s="22"/>
      <c r="CH1231" s="22"/>
      <c r="CI1231" s="22"/>
      <c r="CJ1231" s="22"/>
    </row>
    <row r="1232" spans="1:88" ht="26.25" customHeight="1">
      <c r="A1232" s="1">
        <v>1955</v>
      </c>
      <c r="B1232" s="34" t="s">
        <v>2586</v>
      </c>
      <c r="C1232" s="34">
        <v>321</v>
      </c>
      <c r="D1232" s="75">
        <v>4094</v>
      </c>
      <c r="E1232" s="8">
        <v>102</v>
      </c>
      <c r="F1232" s="34" t="s">
        <v>2600</v>
      </c>
      <c r="G1232" s="58">
        <v>9426</v>
      </c>
      <c r="H1232" s="58">
        <v>30341</v>
      </c>
      <c r="I1232" s="21">
        <v>20.914999999999999</v>
      </c>
      <c r="J1232" s="8">
        <v>2</v>
      </c>
      <c r="K1232" s="8" t="s">
        <v>238</v>
      </c>
      <c r="L1232" s="18">
        <v>42123</v>
      </c>
      <c r="M1232" s="9" t="s">
        <v>191</v>
      </c>
      <c r="N1232" s="38">
        <v>10.675000000000001</v>
      </c>
      <c r="O1232" s="38">
        <v>6.0750000000000002</v>
      </c>
      <c r="P1232" s="38">
        <v>2.95</v>
      </c>
      <c r="Q1232" s="38">
        <v>1.1000000000000001</v>
      </c>
      <c r="R1232" s="38">
        <v>2.77712</v>
      </c>
      <c r="S1232" s="38">
        <f t="shared" si="152"/>
        <v>3</v>
      </c>
      <c r="T1232" s="38">
        <v>19.350000000000001</v>
      </c>
      <c r="U1232" s="38">
        <v>1.1000000000000001</v>
      </c>
      <c r="V1232" s="38">
        <v>0.32500000000000001</v>
      </c>
      <c r="W1232" s="38">
        <v>2.5000000000000001E-2</v>
      </c>
      <c r="X1232" s="38">
        <v>4.7076700000000002</v>
      </c>
      <c r="Y1232" s="38">
        <f t="shared" si="153"/>
        <v>4.5</v>
      </c>
      <c r="Z1232" s="38">
        <v>0</v>
      </c>
      <c r="AA1232" s="38">
        <v>0</v>
      </c>
      <c r="AB1232" s="38">
        <v>20.8</v>
      </c>
      <c r="AC1232" s="38">
        <v>1.3424700000000001</v>
      </c>
      <c r="AD1232" s="38">
        <v>34.78</v>
      </c>
      <c r="AE1232" s="38">
        <v>75</v>
      </c>
      <c r="AF1232" s="38">
        <f>(AD1232+AE1232*0.5)/(3.5*I1232*1000)*100</f>
        <v>9.8739797138075888E-2</v>
      </c>
      <c r="AG1232" s="38">
        <f t="shared" si="154"/>
        <v>0.1</v>
      </c>
      <c r="AH1232" s="38">
        <v>5</v>
      </c>
      <c r="AI1232" s="38">
        <f>AH1232/(3.5*I1232*1000)*100</f>
        <v>6.8303678153068545E-3</v>
      </c>
      <c r="AJ1232" s="38">
        <v>207</v>
      </c>
      <c r="AK1232" s="38">
        <v>0.28277722755370377</v>
      </c>
      <c r="AL1232" s="38">
        <v>0</v>
      </c>
      <c r="AM1232" s="38">
        <f>AL1232/(3.5*I1232*1000)*100</f>
        <v>0</v>
      </c>
      <c r="AN1232" s="73"/>
      <c r="AO1232" s="72"/>
      <c r="AP1232" s="41"/>
      <c r="AQ1232" s="41"/>
      <c r="AR1232" s="73"/>
      <c r="AS1232" s="73"/>
      <c r="AT1232" s="73"/>
      <c r="AU1232" s="73"/>
      <c r="AV1232" s="73"/>
      <c r="AW1232" s="73"/>
      <c r="AX1232" s="73"/>
      <c r="AY1232" s="73"/>
    </row>
    <row r="1233" spans="1:88" ht="26.25" customHeight="1">
      <c r="A1233" s="1">
        <v>1467</v>
      </c>
      <c r="B1233" s="34" t="s">
        <v>1987</v>
      </c>
      <c r="C1233" s="34">
        <v>448</v>
      </c>
      <c r="D1233" s="75">
        <v>3501</v>
      </c>
      <c r="E1233" s="69">
        <v>100</v>
      </c>
      <c r="F1233" s="34" t="s">
        <v>2015</v>
      </c>
      <c r="G1233" s="20">
        <v>0</v>
      </c>
      <c r="H1233" s="20">
        <v>23519</v>
      </c>
      <c r="I1233" s="21">
        <v>23.518999999999998</v>
      </c>
      <c r="J1233" s="8">
        <v>2</v>
      </c>
      <c r="K1233" s="34" t="s">
        <v>238</v>
      </c>
      <c r="L1233" s="10">
        <v>42181</v>
      </c>
      <c r="M1233" s="9" t="s">
        <v>191</v>
      </c>
      <c r="N1233" s="38">
        <v>20.25</v>
      </c>
      <c r="O1233" s="38">
        <v>3.05</v>
      </c>
      <c r="P1233" s="38">
        <v>0.2</v>
      </c>
      <c r="Q1233" s="38">
        <v>0</v>
      </c>
      <c r="R1233" s="38">
        <v>2.698</v>
      </c>
      <c r="S1233" s="38">
        <f t="shared" si="152"/>
        <v>2.5</v>
      </c>
      <c r="T1233" s="38">
        <v>23.4</v>
      </c>
      <c r="U1233" s="38">
        <v>0.1</v>
      </c>
      <c r="V1233" s="38">
        <v>0</v>
      </c>
      <c r="W1233" s="38">
        <v>0</v>
      </c>
      <c r="X1233" s="38">
        <v>2.5979999999999999</v>
      </c>
      <c r="Y1233" s="38">
        <f t="shared" si="153"/>
        <v>2.5</v>
      </c>
      <c r="Z1233" s="38">
        <v>0</v>
      </c>
      <c r="AA1233" s="38">
        <v>0</v>
      </c>
      <c r="AB1233" s="38">
        <v>23.5</v>
      </c>
      <c r="AC1233" s="38">
        <v>1.125</v>
      </c>
      <c r="AD1233" s="38">
        <v>68</v>
      </c>
      <c r="AE1233" s="38">
        <v>26</v>
      </c>
      <c r="AF1233" s="38">
        <f>(AD1233+AE1233*0.5)/(3.5*I1233*1000)*100</f>
        <v>9.8400685160326309E-2</v>
      </c>
      <c r="AG1233" s="38">
        <f t="shared" si="154"/>
        <v>0.1</v>
      </c>
      <c r="AH1233" s="38">
        <v>0</v>
      </c>
      <c r="AI1233" s="38">
        <f>AH1233/(3.5*I1233*1000)*100</f>
        <v>0</v>
      </c>
      <c r="AJ1233" s="38">
        <v>0</v>
      </c>
      <c r="AK1233" s="38">
        <f>AJ1233/(3.5*I1233*1000)*100</f>
        <v>0</v>
      </c>
      <c r="AL1233" s="38">
        <v>0</v>
      </c>
      <c r="AM1233" s="38">
        <f>AL1233/(3.5*I1233*1000)*100</f>
        <v>0</v>
      </c>
      <c r="AN1233" s="72"/>
      <c r="AO1233" s="41"/>
      <c r="AP1233" s="41"/>
      <c r="AQ1233" s="73"/>
      <c r="AR1233" s="73"/>
      <c r="AS1233" s="73"/>
      <c r="AT1233" s="73"/>
      <c r="AU1233" s="73"/>
      <c r="AV1233" s="73"/>
      <c r="AW1233" s="22"/>
      <c r="AX1233" s="22"/>
      <c r="AY1233" s="22"/>
      <c r="AZ1233" s="22"/>
      <c r="BA1233" s="22"/>
      <c r="BB1233" s="22"/>
      <c r="BC1233" s="22"/>
      <c r="BD1233" s="22"/>
      <c r="BE1233" s="22"/>
      <c r="BF1233" s="22"/>
      <c r="BG1233" s="22"/>
      <c r="BH1233" s="22"/>
      <c r="BI1233" s="22"/>
      <c r="BJ1233" s="22"/>
      <c r="BK1233" s="22"/>
      <c r="BL1233" s="22"/>
      <c r="BM1233" s="22"/>
      <c r="BN1233" s="22"/>
      <c r="BO1233" s="22"/>
      <c r="BP1233" s="22"/>
      <c r="BQ1233" s="22"/>
      <c r="BR1233" s="22"/>
      <c r="BS1233" s="22"/>
      <c r="BT1233" s="22"/>
      <c r="BU1233" s="22"/>
      <c r="BV1233" s="22"/>
      <c r="BW1233" s="22"/>
      <c r="BX1233" s="22"/>
      <c r="BY1233" s="22"/>
      <c r="BZ1233" s="22"/>
      <c r="CA1233" s="22"/>
      <c r="CB1233" s="22"/>
      <c r="CC1233" s="22"/>
      <c r="CD1233" s="22"/>
      <c r="CE1233" s="22"/>
      <c r="CF1233" s="22"/>
      <c r="CG1233" s="22"/>
      <c r="CH1233" s="22"/>
      <c r="CI1233" s="22"/>
      <c r="CJ1233" s="22"/>
    </row>
    <row r="1234" spans="1:88" ht="26.25" customHeight="1">
      <c r="A1234" s="1">
        <v>331</v>
      </c>
      <c r="B1234" s="34" t="s">
        <v>557</v>
      </c>
      <c r="C1234" s="34">
        <v>646</v>
      </c>
      <c r="D1234" s="34">
        <v>212</v>
      </c>
      <c r="E1234" s="34">
        <v>103</v>
      </c>
      <c r="F1234" s="34" t="s">
        <v>564</v>
      </c>
      <c r="G1234" s="58">
        <v>61485</v>
      </c>
      <c r="H1234" s="58">
        <v>97075</v>
      </c>
      <c r="I1234" s="35">
        <v>35.590000000000003</v>
      </c>
      <c r="J1234" s="62">
        <v>2</v>
      </c>
      <c r="K1234" s="34" t="s">
        <v>96</v>
      </c>
      <c r="L1234" s="10">
        <v>42164</v>
      </c>
      <c r="M1234" s="9" t="s">
        <v>191</v>
      </c>
      <c r="N1234" s="38">
        <v>22.5</v>
      </c>
      <c r="O1234" s="38">
        <v>7.9</v>
      </c>
      <c r="P1234" s="38">
        <v>3.0249999999999999</v>
      </c>
      <c r="Q1234" s="38">
        <v>2.1749999999999998</v>
      </c>
      <c r="R1234" s="38">
        <v>3.3580000000000001</v>
      </c>
      <c r="S1234" s="38">
        <f t="shared" si="152"/>
        <v>3.5</v>
      </c>
      <c r="T1234" s="38">
        <v>33.625</v>
      </c>
      <c r="U1234" s="38">
        <v>1.85</v>
      </c>
      <c r="V1234" s="38">
        <v>7.4999999999999997E-2</v>
      </c>
      <c r="W1234" s="38">
        <v>0.05</v>
      </c>
      <c r="X1234" s="38">
        <v>5.1219999999999999</v>
      </c>
      <c r="Y1234" s="38">
        <f t="shared" si="153"/>
        <v>5</v>
      </c>
      <c r="Z1234" s="38">
        <v>0</v>
      </c>
      <c r="AA1234" s="38">
        <v>0</v>
      </c>
      <c r="AB1234" s="38">
        <f>T1234+U1234+V1234+W1234</f>
        <v>35.6</v>
      </c>
      <c r="AC1234" s="38">
        <v>1.1160000000000001</v>
      </c>
      <c r="AD1234" s="38">
        <v>103.74</v>
      </c>
      <c r="AE1234" s="38">
        <v>36.479999999999997</v>
      </c>
      <c r="AF1234" s="38">
        <f>(AD1234+AE1234*0.5)/(3.5*I1234*1000)*100</f>
        <v>9.7924778228234241E-2</v>
      </c>
      <c r="AG1234" s="38">
        <f t="shared" si="154"/>
        <v>0.1</v>
      </c>
      <c r="AH1234" s="38">
        <v>0</v>
      </c>
      <c r="AI1234" s="38">
        <f>AH1234/(3.5*I1234*1000)*100</f>
        <v>0</v>
      </c>
      <c r="AJ1234" s="38">
        <v>97.15</v>
      </c>
      <c r="AK1234" s="38">
        <f>AJ1234/(3.5*I1234*1000)*100</f>
        <v>7.7991410107172962E-2</v>
      </c>
      <c r="AL1234" s="38">
        <v>0</v>
      </c>
      <c r="AM1234" s="38">
        <f>AL1234/(3.5*I1234*1000)*100</f>
        <v>0</v>
      </c>
      <c r="AN1234" s="25"/>
      <c r="AO1234" s="25">
        <f>AE1234*0.5</f>
        <v>18.239999999999998</v>
      </c>
      <c r="AP1234" s="25">
        <f>(AD1234+AH1234+AJ1234+AL1234+AO1234)*I1234</f>
        <v>7798.8367000000007</v>
      </c>
      <c r="AQ1234" s="25">
        <f>SUM(N1234:Q1234)</f>
        <v>35.599999999999994</v>
      </c>
      <c r="AR1234" s="25">
        <f>SUM(T1234:W1234)</f>
        <v>35.6</v>
      </c>
      <c r="AS1234" s="22"/>
      <c r="AT1234" s="41"/>
      <c r="AU1234" s="41">
        <f>SUM(N1234:Q1234)</f>
        <v>35.599999999999994</v>
      </c>
      <c r="AV1234" s="41">
        <f>SUM(T1234:W1234)</f>
        <v>35.6</v>
      </c>
      <c r="AW1234" s="41">
        <f>SUM(Z1234:AB1234)</f>
        <v>35.6</v>
      </c>
      <c r="AX1234" s="22"/>
      <c r="AY1234" s="22">
        <f>I1234/AU1234</f>
        <v>0.99971910112359574</v>
      </c>
      <c r="AZ1234" s="22">
        <f>I1234/AV1234</f>
        <v>0.99971910112359552</v>
      </c>
      <c r="BA1234" s="22">
        <f>I1234/AW1234</f>
        <v>0.99971910112359552</v>
      </c>
      <c r="BB1234" s="22"/>
      <c r="BC1234" s="22"/>
      <c r="BD1234" s="22"/>
      <c r="BE1234" s="22"/>
      <c r="BF1234" s="22"/>
      <c r="BG1234" s="22"/>
      <c r="BH1234" s="22"/>
      <c r="BI1234" s="22"/>
      <c r="BJ1234" s="22"/>
      <c r="BK1234" s="22"/>
      <c r="BL1234" s="22"/>
      <c r="BM1234" s="22"/>
      <c r="BN1234" s="22"/>
      <c r="BO1234" s="22"/>
      <c r="BP1234" s="22"/>
      <c r="BQ1234" s="22"/>
      <c r="BR1234" s="22"/>
      <c r="BS1234" s="22"/>
      <c r="BT1234" s="22"/>
      <c r="BU1234" s="22"/>
      <c r="BV1234" s="22"/>
      <c r="BW1234" s="22"/>
      <c r="BX1234" s="22"/>
      <c r="BY1234" s="22"/>
      <c r="BZ1234" s="22"/>
      <c r="CA1234" s="22"/>
      <c r="CB1234" s="22"/>
      <c r="CC1234" s="22"/>
      <c r="CD1234" s="22"/>
      <c r="CE1234" s="22"/>
      <c r="CF1234" s="22"/>
      <c r="CG1234" s="22"/>
      <c r="CH1234" s="22"/>
      <c r="CI1234" s="22"/>
      <c r="CJ1234" s="22"/>
    </row>
    <row r="1235" spans="1:88" ht="26.25" customHeight="1">
      <c r="A1235" s="1">
        <v>715</v>
      </c>
      <c r="B1235" s="34" t="s">
        <v>1123</v>
      </c>
      <c r="C1235" s="34">
        <v>627</v>
      </c>
      <c r="D1235" s="34">
        <v>201</v>
      </c>
      <c r="E1235" s="34">
        <v>301</v>
      </c>
      <c r="F1235" s="34" t="s">
        <v>1124</v>
      </c>
      <c r="G1235" s="58">
        <v>162051</v>
      </c>
      <c r="H1235" s="58">
        <v>200955</v>
      </c>
      <c r="I1235" s="51">
        <v>38.904000000000003</v>
      </c>
      <c r="J1235" s="127">
        <v>4</v>
      </c>
      <c r="K1235" s="34" t="s">
        <v>238</v>
      </c>
      <c r="L1235" s="10">
        <v>42178</v>
      </c>
      <c r="M1235" s="9" t="s">
        <v>191</v>
      </c>
      <c r="N1235" s="38">
        <f>42.8*0.495</f>
        <v>21.186</v>
      </c>
      <c r="O1235" s="38">
        <f>21.9*0.495</f>
        <v>10.840499999999999</v>
      </c>
      <c r="P1235" s="38">
        <f>9.95*0.495</f>
        <v>4.9252499999999992</v>
      </c>
      <c r="Q1235" s="38">
        <f>3.9*0.495</f>
        <v>1.9304999999999999</v>
      </c>
      <c r="R1235" s="38">
        <v>2.56934</v>
      </c>
      <c r="S1235" s="38">
        <f t="shared" si="152"/>
        <v>2.5</v>
      </c>
      <c r="T1235" s="38">
        <f>71.15*0.495</f>
        <v>35.219250000000002</v>
      </c>
      <c r="U1235" s="38">
        <f>3.95*0.495</f>
        <v>1.9552500000000002</v>
      </c>
      <c r="V1235" s="38">
        <f>1.85*0.495</f>
        <v>0.91575000000000006</v>
      </c>
      <c r="W1235" s="38">
        <f>1.6*0.495</f>
        <v>0.79200000000000004</v>
      </c>
      <c r="X1235" s="38">
        <v>5.2871300000000003</v>
      </c>
      <c r="Y1235" s="38">
        <f t="shared" si="153"/>
        <v>5.5</v>
      </c>
      <c r="Z1235" s="38">
        <v>0</v>
      </c>
      <c r="AA1235" s="38">
        <v>0</v>
      </c>
      <c r="AB1235" s="38">
        <v>38.904000000000003</v>
      </c>
      <c r="AC1235" s="38">
        <v>1.0748599999999999</v>
      </c>
      <c r="AD1235" s="38">
        <v>121.46</v>
      </c>
      <c r="AE1235" s="38">
        <v>23.56</v>
      </c>
      <c r="AF1235" s="38">
        <v>9.7852589524397016E-2</v>
      </c>
      <c r="AG1235" s="38">
        <f t="shared" si="154"/>
        <v>0.1</v>
      </c>
      <c r="AH1235" s="38">
        <v>12.09</v>
      </c>
      <c r="AI1235" s="38">
        <v>8.8789988543227262E-3</v>
      </c>
      <c r="AJ1235" s="38">
        <v>51.87</v>
      </c>
      <c r="AK1235" s="38">
        <v>3.8093769278223305E-2</v>
      </c>
      <c r="AL1235" s="38">
        <v>0.8</v>
      </c>
      <c r="AM1235" s="147">
        <f>AL1235/(3.5*I1235*1000)*100</f>
        <v>5.8752680591051963E-4</v>
      </c>
      <c r="AN1235" s="25"/>
      <c r="AO1235" s="25">
        <f>AE1235*0.5</f>
        <v>11.78</v>
      </c>
      <c r="AP1235" s="25">
        <f>(AD1235+AH1235+AJ1235+AL1235+AO1235)*I1235</f>
        <v>7702.9920000000011</v>
      </c>
      <c r="AQ1235" s="25">
        <f>SUM(N1235:Q1235)</f>
        <v>38.882249999999999</v>
      </c>
      <c r="AR1235" s="25">
        <f>SUM(T1235:W1235)</f>
        <v>38.882250000000006</v>
      </c>
      <c r="AS1235" s="268">
        <v>38.904000000000003</v>
      </c>
      <c r="AT1235" s="41"/>
      <c r="AU1235" s="41">
        <f>AS1235/AR1235</f>
        <v>1.0005593812086491</v>
      </c>
      <c r="AV1235" s="41"/>
      <c r="AW1235" s="41"/>
      <c r="AX1235" s="22"/>
      <c r="AY1235" s="22"/>
      <c r="AZ1235" s="22"/>
      <c r="BA1235" s="22"/>
      <c r="BB1235" s="22"/>
      <c r="BC1235" s="22"/>
      <c r="BD1235" s="22"/>
      <c r="BE1235" s="22"/>
      <c r="BF1235" s="22"/>
      <c r="BG1235" s="22"/>
      <c r="BH1235" s="22"/>
      <c r="BI1235" s="22"/>
      <c r="BJ1235" s="22"/>
      <c r="BK1235" s="22"/>
      <c r="BL1235" s="22"/>
      <c r="BM1235" s="22"/>
      <c r="BN1235" s="22"/>
      <c r="BO1235" s="22"/>
      <c r="BP1235" s="22"/>
      <c r="BQ1235" s="22"/>
      <c r="BR1235" s="22"/>
      <c r="BS1235" s="22"/>
      <c r="BT1235" s="22"/>
      <c r="BU1235" s="22"/>
      <c r="BV1235" s="22"/>
      <c r="BW1235" s="22"/>
      <c r="BX1235" s="22"/>
      <c r="BY1235" s="22"/>
      <c r="BZ1235" s="22"/>
      <c r="CA1235" s="22"/>
      <c r="CB1235" s="22"/>
      <c r="CC1235" s="22"/>
      <c r="CD1235" s="22"/>
      <c r="CE1235" s="22"/>
      <c r="CF1235" s="22"/>
      <c r="CG1235" s="22"/>
      <c r="CH1235" s="22"/>
      <c r="CI1235" s="22"/>
      <c r="CJ1235" s="22"/>
    </row>
    <row r="1236" spans="1:88" ht="26.25" customHeight="1">
      <c r="A1236" s="1">
        <v>498</v>
      </c>
      <c r="B1236" s="88" t="s">
        <v>821</v>
      </c>
      <c r="C1236" s="88">
        <v>519</v>
      </c>
      <c r="D1236" s="88">
        <v>1070</v>
      </c>
      <c r="E1236" s="88">
        <v>101</v>
      </c>
      <c r="F1236" s="88" t="s">
        <v>850</v>
      </c>
      <c r="G1236" s="88" t="s">
        <v>92</v>
      </c>
      <c r="H1236" s="88" t="s">
        <v>192</v>
      </c>
      <c r="I1236" s="115">
        <v>20</v>
      </c>
      <c r="J1236" s="88" t="s">
        <v>238</v>
      </c>
      <c r="K1236" s="34">
        <v>2</v>
      </c>
      <c r="L1236" s="116">
        <v>42276</v>
      </c>
      <c r="M1236" s="9" t="s">
        <v>191</v>
      </c>
      <c r="N1236" s="117">
        <v>14.57</v>
      </c>
      <c r="O1236" s="117">
        <v>2.9</v>
      </c>
      <c r="P1236" s="117">
        <v>1.6</v>
      </c>
      <c r="Q1236" s="117">
        <v>0.93</v>
      </c>
      <c r="R1236" s="117">
        <v>2.3808699999999998</v>
      </c>
      <c r="S1236" s="38">
        <f t="shared" si="152"/>
        <v>2.5</v>
      </c>
      <c r="T1236" s="117">
        <v>19.28</v>
      </c>
      <c r="U1236" s="117">
        <v>0.47</v>
      </c>
      <c r="V1236" s="117">
        <v>0.17</v>
      </c>
      <c r="W1236" s="117">
        <v>7.0000000000000007E-2</v>
      </c>
      <c r="X1236" s="117">
        <v>3.1926999999999999</v>
      </c>
      <c r="Y1236" s="38">
        <f t="shared" si="153"/>
        <v>3</v>
      </c>
      <c r="Z1236" s="117">
        <v>0</v>
      </c>
      <c r="AA1236" s="117">
        <v>0</v>
      </c>
      <c r="AB1236" s="117">
        <v>20</v>
      </c>
      <c r="AC1236" s="117">
        <v>1.21235</v>
      </c>
      <c r="AD1236" s="117">
        <v>65.400000000000006</v>
      </c>
      <c r="AE1236" s="117">
        <v>6.12</v>
      </c>
      <c r="AF1236" s="117">
        <v>9.7799999999999998E-2</v>
      </c>
      <c r="AG1236" s="38">
        <f t="shared" si="154"/>
        <v>0.1</v>
      </c>
      <c r="AH1236" s="117">
        <v>97.45</v>
      </c>
      <c r="AI1236" s="117">
        <v>0.139214</v>
      </c>
      <c r="AJ1236" s="117">
        <v>0</v>
      </c>
      <c r="AK1236" s="117">
        <v>0</v>
      </c>
      <c r="AL1236" s="117">
        <v>0</v>
      </c>
      <c r="AM1236" s="117">
        <v>0</v>
      </c>
      <c r="AN1236" s="41"/>
      <c r="AO1236" s="41"/>
      <c r="AP1236" s="41"/>
      <c r="AQ1236" s="41">
        <f>SUM(N1236:Q1236)</f>
        <v>20</v>
      </c>
      <c r="AR1236" s="41">
        <f>SUM(T1236:W1236)</f>
        <v>19.990000000000002</v>
      </c>
      <c r="AS1236" s="41">
        <f>SUM(Z1236:AB1236)</f>
        <v>20</v>
      </c>
      <c r="AT1236" s="22"/>
      <c r="AU1236" s="22">
        <f>I1236/AQ1236</f>
        <v>1</v>
      </c>
      <c r="AV1236" s="22">
        <f>I1236/AR1236</f>
        <v>1.0005002501250624</v>
      </c>
      <c r="AW1236" s="22">
        <f>I1236/AS1236</f>
        <v>1</v>
      </c>
    </row>
    <row r="1237" spans="1:88" ht="26.25" customHeight="1">
      <c r="A1237" s="1">
        <v>92</v>
      </c>
      <c r="B1237" s="4" t="s">
        <v>61</v>
      </c>
      <c r="C1237" s="14">
        <v>526</v>
      </c>
      <c r="D1237" s="19">
        <v>1095</v>
      </c>
      <c r="E1237" s="16">
        <v>201</v>
      </c>
      <c r="F1237" s="14" t="s">
        <v>68</v>
      </c>
      <c r="G1237" s="27">
        <v>64684</v>
      </c>
      <c r="H1237" s="27">
        <v>107384</v>
      </c>
      <c r="I1237" s="28">
        <v>42.7</v>
      </c>
      <c r="J1237" s="16">
        <v>2</v>
      </c>
      <c r="K1237" s="14" t="s">
        <v>238</v>
      </c>
      <c r="L1237" s="29">
        <v>42243</v>
      </c>
      <c r="M1237" s="14" t="s">
        <v>191</v>
      </c>
      <c r="N1237" s="30">
        <v>5.05</v>
      </c>
      <c r="O1237" s="30">
        <v>14.13</v>
      </c>
      <c r="P1237" s="30">
        <v>13.98</v>
      </c>
      <c r="Q1237" s="30">
        <v>9.5500000000000007</v>
      </c>
      <c r="R1237" s="30">
        <v>4.09</v>
      </c>
      <c r="S1237" s="38">
        <f t="shared" si="152"/>
        <v>4</v>
      </c>
      <c r="T1237" s="30">
        <v>36.979999999999997</v>
      </c>
      <c r="U1237" s="30">
        <v>3.95</v>
      </c>
      <c r="V1237" s="30">
        <v>0.93</v>
      </c>
      <c r="W1237" s="30">
        <v>0.85</v>
      </c>
      <c r="X1237" s="30">
        <v>5.7210000000000001</v>
      </c>
      <c r="Y1237" s="38">
        <f t="shared" si="153"/>
        <v>5.5</v>
      </c>
      <c r="Z1237" s="30">
        <v>0</v>
      </c>
      <c r="AA1237" s="30">
        <v>0</v>
      </c>
      <c r="AB1237" s="30">
        <v>42.7</v>
      </c>
      <c r="AC1237" s="30">
        <v>1.284</v>
      </c>
      <c r="AD1237" s="30">
        <v>118</v>
      </c>
      <c r="AE1237" s="30">
        <v>56</v>
      </c>
      <c r="AF1237" s="30">
        <f t="shared" ref="AF1237:AF1242" si="158">(AD1237+AE1237*0.5)/(3.5*I1237*1000)*100</f>
        <v>9.7691535630645684E-2</v>
      </c>
      <c r="AG1237" s="38">
        <f t="shared" si="154"/>
        <v>0.1</v>
      </c>
      <c r="AH1237" s="30">
        <v>2.3199999999999998</v>
      </c>
      <c r="AI1237" s="30">
        <f t="shared" ref="AI1237:AI1242" si="159">AH1237/(3.5*I1237*1000)*100</f>
        <v>1.5523586483773832E-3</v>
      </c>
      <c r="AJ1237" s="30">
        <v>1.36</v>
      </c>
      <c r="AK1237" s="30">
        <f>AJ1237/(3.5*I1237*1000)*100</f>
        <v>9.1000334560053522E-4</v>
      </c>
      <c r="AL1237" s="30">
        <v>0</v>
      </c>
      <c r="AM1237" s="30">
        <f t="shared" ref="AM1237:AM1242" si="160">AL1237/(3.5*I1237*1000)*100</f>
        <v>0</v>
      </c>
      <c r="AN1237" s="22"/>
      <c r="AO1237" s="25"/>
      <c r="AP1237" s="25">
        <f>N1237+O1237+P1237+Q1237</f>
        <v>42.709999999999994</v>
      </c>
      <c r="AQ1237" s="25">
        <f>T1237+U1237+V1237+W1237</f>
        <v>42.71</v>
      </c>
      <c r="AR1237" s="25">
        <f>Z1237+AA1237+AB1237</f>
        <v>42.7</v>
      </c>
      <c r="AS1237" s="22"/>
      <c r="AT1237" s="22">
        <f>I1237/AP1237</f>
        <v>0.99976586279559843</v>
      </c>
      <c r="AU1237" s="22">
        <f>I1237/AQ1237</f>
        <v>0.99976586279559831</v>
      </c>
      <c r="AV1237" s="22">
        <f>I1237/AR1237</f>
        <v>1</v>
      </c>
      <c r="AW1237" s="22"/>
      <c r="AX1237" s="22"/>
      <c r="AY1237" s="22"/>
      <c r="AZ1237" s="22"/>
      <c r="BA1237" s="22"/>
      <c r="BB1237" s="22"/>
      <c r="BC1237" s="22"/>
      <c r="BD1237" s="22"/>
      <c r="BE1237" s="22"/>
      <c r="BF1237" s="22"/>
      <c r="BG1237" s="22"/>
      <c r="BH1237" s="22"/>
      <c r="BI1237" s="22"/>
      <c r="BJ1237" s="22"/>
      <c r="BK1237" s="22"/>
      <c r="BL1237" s="22"/>
      <c r="BM1237" s="22"/>
      <c r="BN1237" s="22"/>
      <c r="BO1237" s="22"/>
      <c r="BP1237" s="22"/>
      <c r="BQ1237" s="22"/>
      <c r="BR1237" s="22"/>
      <c r="BS1237" s="22"/>
      <c r="BT1237" s="22"/>
      <c r="BU1237" s="22"/>
      <c r="BV1237" s="22"/>
      <c r="BW1237" s="22"/>
      <c r="BX1237" s="22"/>
      <c r="BY1237" s="22"/>
      <c r="BZ1237" s="22"/>
      <c r="CA1237" s="22"/>
      <c r="CB1237" s="22"/>
      <c r="CC1237" s="22"/>
      <c r="CD1237" s="22"/>
      <c r="CE1237" s="22"/>
      <c r="CF1237" s="22"/>
      <c r="CG1237" s="22"/>
      <c r="CH1237" s="22"/>
      <c r="CI1237" s="22"/>
      <c r="CJ1237" s="22"/>
    </row>
    <row r="1238" spans="1:88" ht="26.25" customHeight="1">
      <c r="A1238" s="1">
        <v>419</v>
      </c>
      <c r="B1238" s="74" t="s">
        <v>699</v>
      </c>
      <c r="C1238" s="34">
        <v>513</v>
      </c>
      <c r="D1238" s="75">
        <v>101</v>
      </c>
      <c r="E1238" s="69">
        <v>305</v>
      </c>
      <c r="F1238" s="76" t="s">
        <v>708</v>
      </c>
      <c r="G1238" s="20" t="s">
        <v>707</v>
      </c>
      <c r="H1238" s="20" t="s">
        <v>709</v>
      </c>
      <c r="I1238" s="21">
        <v>41.427999999999997</v>
      </c>
      <c r="J1238" s="5" t="s">
        <v>238</v>
      </c>
      <c r="K1238" s="34">
        <v>2</v>
      </c>
      <c r="L1238" s="18">
        <v>42264</v>
      </c>
      <c r="M1238" s="9" t="s">
        <v>191</v>
      </c>
      <c r="N1238" s="38">
        <v>27.2</v>
      </c>
      <c r="O1238" s="38">
        <v>9.92</v>
      </c>
      <c r="P1238" s="38">
        <v>3.4</v>
      </c>
      <c r="Q1238" s="38">
        <v>0.91</v>
      </c>
      <c r="R1238" s="38">
        <v>2.3889999999999998</v>
      </c>
      <c r="S1238" s="38">
        <f t="shared" si="152"/>
        <v>2.5</v>
      </c>
      <c r="T1238" s="38">
        <v>41.13</v>
      </c>
      <c r="U1238" s="38">
        <v>0.28000000000000003</v>
      </c>
      <c r="V1238" s="38">
        <v>0</v>
      </c>
      <c r="W1238" s="38">
        <v>0.03</v>
      </c>
      <c r="X1238" s="38">
        <v>3.3010000000000002</v>
      </c>
      <c r="Y1238" s="38">
        <f t="shared" si="153"/>
        <v>3.5</v>
      </c>
      <c r="Z1238" s="38">
        <v>0</v>
      </c>
      <c r="AA1238" s="38">
        <v>0</v>
      </c>
      <c r="AB1238" s="38">
        <v>41.43</v>
      </c>
      <c r="AC1238" s="38">
        <v>1.4770000000000001</v>
      </c>
      <c r="AD1238" s="38">
        <v>127.3</v>
      </c>
      <c r="AE1238" s="38">
        <v>27.922999999999998</v>
      </c>
      <c r="AF1238" s="38">
        <f t="shared" si="158"/>
        <v>9.7423067904384875E-2</v>
      </c>
      <c r="AG1238" s="38">
        <f t="shared" si="154"/>
        <v>0.1</v>
      </c>
      <c r="AH1238" s="38">
        <v>36.33</v>
      </c>
      <c r="AI1238" s="38">
        <f t="shared" si="159"/>
        <v>2.5055518007144926E-2</v>
      </c>
      <c r="AJ1238" s="38">
        <v>0</v>
      </c>
      <c r="AK1238" s="38">
        <f>AJ1238/(3.5*I1238*1000)*100</f>
        <v>0</v>
      </c>
      <c r="AL1238" s="38">
        <v>0</v>
      </c>
      <c r="AM1238" s="38">
        <f t="shared" si="160"/>
        <v>0</v>
      </c>
      <c r="AN1238" s="41"/>
      <c r="AO1238" s="41"/>
      <c r="AP1238" s="73"/>
      <c r="AQ1238" s="41">
        <f>SUM(N1238:Q1238)</f>
        <v>41.429999999999993</v>
      </c>
      <c r="AR1238" s="41">
        <f>SUM(T1238:W1238)</f>
        <v>41.440000000000005</v>
      </c>
      <c r="AS1238" s="41">
        <f>SUM(Z1238:AB1238)</f>
        <v>41.43</v>
      </c>
      <c r="AT1238" s="22"/>
      <c r="AU1238" s="22">
        <f>I1238/AQ1238</f>
        <v>0.99995172580255864</v>
      </c>
      <c r="AV1238" s="22">
        <f>I1238/AR1238</f>
        <v>0.99971042471042448</v>
      </c>
      <c r="AW1238" s="22">
        <f>I1238/AS1238</f>
        <v>0.99995172580255842</v>
      </c>
      <c r="AX1238" s="73"/>
      <c r="AY1238" s="73"/>
      <c r="AZ1238" s="73"/>
      <c r="BA1238" s="73"/>
      <c r="BB1238" s="73"/>
      <c r="BC1238" s="73"/>
      <c r="BD1238" s="73"/>
      <c r="BE1238" s="73"/>
      <c r="BF1238" s="73"/>
      <c r="BG1238" s="73"/>
      <c r="BH1238" s="73"/>
      <c r="BI1238" s="73"/>
      <c r="BJ1238" s="73"/>
      <c r="BK1238" s="73"/>
      <c r="BL1238" s="73"/>
      <c r="BM1238" s="73"/>
      <c r="BN1238" s="73"/>
      <c r="BO1238" s="73"/>
      <c r="BP1238" s="73"/>
      <c r="BQ1238" s="73"/>
      <c r="BR1238" s="73"/>
      <c r="BS1238" s="73"/>
      <c r="BT1238" s="73"/>
      <c r="BU1238" s="73"/>
      <c r="BV1238" s="73"/>
      <c r="BW1238" s="73"/>
      <c r="BX1238" s="73"/>
      <c r="BY1238" s="73"/>
      <c r="BZ1238" s="73"/>
      <c r="CA1238" s="73"/>
      <c r="CB1238" s="73"/>
      <c r="CC1238" s="73"/>
      <c r="CD1238" s="73"/>
      <c r="CE1238" s="73"/>
      <c r="CF1238" s="73"/>
      <c r="CG1238" s="73"/>
      <c r="CH1238" s="73"/>
      <c r="CI1238" s="73"/>
      <c r="CJ1238" s="73"/>
    </row>
    <row r="1239" spans="1:88" ht="26.25" customHeight="1">
      <c r="A1239" s="1">
        <v>703</v>
      </c>
      <c r="B1239" s="34" t="s">
        <v>1106</v>
      </c>
      <c r="C1239" s="34">
        <v>626</v>
      </c>
      <c r="D1239" s="34">
        <v>2051</v>
      </c>
      <c r="E1239" s="34">
        <v>100</v>
      </c>
      <c r="F1239" s="34" t="s">
        <v>1112</v>
      </c>
      <c r="G1239" s="58">
        <v>3175</v>
      </c>
      <c r="H1239" s="58">
        <v>16000</v>
      </c>
      <c r="I1239" s="35">
        <v>12.824999999999999</v>
      </c>
      <c r="J1239" s="127">
        <v>2</v>
      </c>
      <c r="K1239" s="34" t="s">
        <v>238</v>
      </c>
      <c r="L1239" s="10">
        <v>42177</v>
      </c>
      <c r="M1239" s="9" t="s">
        <v>191</v>
      </c>
      <c r="N1239" s="38">
        <v>6.3</v>
      </c>
      <c r="O1239" s="38">
        <v>4.55</v>
      </c>
      <c r="P1239" s="38">
        <v>1.175</v>
      </c>
      <c r="Q1239" s="38">
        <v>0.77500000000000002</v>
      </c>
      <c r="R1239" s="38">
        <v>2.7525400000000002</v>
      </c>
      <c r="S1239" s="38">
        <f t="shared" si="152"/>
        <v>3</v>
      </c>
      <c r="T1239" s="38">
        <v>12.725</v>
      </c>
      <c r="U1239" s="38">
        <v>0.05</v>
      </c>
      <c r="V1239" s="38">
        <v>2.5000000000000001E-2</v>
      </c>
      <c r="W1239" s="38">
        <v>0</v>
      </c>
      <c r="X1239" s="38">
        <v>3.6453000000000002</v>
      </c>
      <c r="Y1239" s="38">
        <f t="shared" si="153"/>
        <v>3.5</v>
      </c>
      <c r="Z1239" s="38">
        <v>0</v>
      </c>
      <c r="AA1239" s="38">
        <v>0</v>
      </c>
      <c r="AB1239" s="38">
        <f>N1239+O1239+P1239+Q1239</f>
        <v>12.8</v>
      </c>
      <c r="AC1239" s="38">
        <v>1.1285400000000001</v>
      </c>
      <c r="AD1239" s="38">
        <v>34.72</v>
      </c>
      <c r="AE1239" s="38">
        <v>17.43</v>
      </c>
      <c r="AF1239" s="38">
        <f t="shared" si="158"/>
        <v>9.6764132553606261E-2</v>
      </c>
      <c r="AG1239" s="38">
        <f t="shared" si="154"/>
        <v>0.1</v>
      </c>
      <c r="AH1239" s="38">
        <v>0</v>
      </c>
      <c r="AI1239" s="38">
        <f t="shared" si="159"/>
        <v>0</v>
      </c>
      <c r="AJ1239" s="38">
        <v>0</v>
      </c>
      <c r="AK1239" s="38">
        <f>AJ1239/(3.5*I1239*1000)*100</f>
        <v>0</v>
      </c>
      <c r="AL1239" s="38">
        <v>0</v>
      </c>
      <c r="AM1239" s="38">
        <f t="shared" si="160"/>
        <v>0</v>
      </c>
      <c r="AN1239" s="25"/>
      <c r="AO1239" s="25">
        <f>AE1239*0.5</f>
        <v>8.7149999999999999</v>
      </c>
      <c r="AP1239" s="25">
        <f>(AD1239+AH1239+AJ1239+AL1239+AO1239)*I1239</f>
        <v>557.05387499999995</v>
      </c>
      <c r="AQ1239" s="25">
        <f>SUM(N1239:Q1239)</f>
        <v>12.8</v>
      </c>
      <c r="AR1239" s="25">
        <f>SUM(T1239:W1239)</f>
        <v>12.8</v>
      </c>
      <c r="AS1239" s="268">
        <v>12.824999999999999</v>
      </c>
      <c r="AT1239" s="41"/>
      <c r="AU1239" s="41"/>
      <c r="AV1239" s="41"/>
      <c r="AW1239" s="41"/>
      <c r="AX1239" s="22"/>
      <c r="AY1239" s="22"/>
      <c r="AZ1239" s="22"/>
      <c r="BA1239" s="22"/>
      <c r="BB1239" s="22"/>
      <c r="BC1239" s="22"/>
      <c r="BD1239" s="22"/>
      <c r="BE1239" s="22"/>
      <c r="BF1239" s="22"/>
      <c r="BG1239" s="22"/>
      <c r="BH1239" s="22"/>
      <c r="BI1239" s="22"/>
      <c r="BJ1239" s="22"/>
      <c r="BK1239" s="22"/>
      <c r="BL1239" s="22"/>
      <c r="BM1239" s="22"/>
      <c r="BN1239" s="22"/>
      <c r="BO1239" s="22"/>
      <c r="BP1239" s="22"/>
      <c r="BQ1239" s="22"/>
      <c r="BR1239" s="22"/>
      <c r="BS1239" s="22"/>
      <c r="BT1239" s="22"/>
      <c r="BU1239" s="22"/>
      <c r="BV1239" s="22"/>
      <c r="BW1239" s="22"/>
      <c r="BX1239" s="22"/>
      <c r="BY1239" s="22"/>
      <c r="BZ1239" s="22"/>
      <c r="CA1239" s="22"/>
      <c r="CB1239" s="22"/>
      <c r="CC1239" s="22"/>
      <c r="CD1239" s="22"/>
      <c r="CE1239" s="22"/>
      <c r="CF1239" s="22"/>
      <c r="CG1239" s="22"/>
      <c r="CH1239" s="22"/>
      <c r="CI1239" s="22"/>
      <c r="CJ1239" s="22"/>
    </row>
    <row r="1240" spans="1:88" ht="26.25" customHeight="1">
      <c r="A1240" s="1">
        <v>751</v>
      </c>
      <c r="B1240" s="34" t="s">
        <v>1106</v>
      </c>
      <c r="C1240" s="34">
        <v>626</v>
      </c>
      <c r="D1240" s="34">
        <v>2051</v>
      </c>
      <c r="E1240" s="34">
        <v>100</v>
      </c>
      <c r="F1240" s="34" t="s">
        <v>1112</v>
      </c>
      <c r="G1240" s="58">
        <v>3175</v>
      </c>
      <c r="H1240" s="58">
        <v>16000</v>
      </c>
      <c r="I1240" s="35">
        <v>12.824999999999999</v>
      </c>
      <c r="J1240" s="127">
        <v>2</v>
      </c>
      <c r="K1240" s="34" t="s">
        <v>238</v>
      </c>
      <c r="L1240" s="10">
        <v>42177</v>
      </c>
      <c r="M1240" s="9" t="s">
        <v>191</v>
      </c>
      <c r="N1240" s="38">
        <v>6.3</v>
      </c>
      <c r="O1240" s="38">
        <v>4.55</v>
      </c>
      <c r="P1240" s="38">
        <v>1.175</v>
      </c>
      <c r="Q1240" s="38">
        <v>0.77500000000000002</v>
      </c>
      <c r="R1240" s="38">
        <v>2.7525400000000002</v>
      </c>
      <c r="S1240" s="38">
        <f t="shared" si="152"/>
        <v>3</v>
      </c>
      <c r="T1240" s="38">
        <v>12.725</v>
      </c>
      <c r="U1240" s="38">
        <v>0.05</v>
      </c>
      <c r="V1240" s="38">
        <v>2.5000000000000001E-2</v>
      </c>
      <c r="W1240" s="38">
        <v>0</v>
      </c>
      <c r="X1240" s="38">
        <v>3.6453000000000002</v>
      </c>
      <c r="Y1240" s="38">
        <f t="shared" si="153"/>
        <v>3.5</v>
      </c>
      <c r="Z1240" s="38">
        <v>0</v>
      </c>
      <c r="AA1240" s="38">
        <v>0</v>
      </c>
      <c r="AB1240" s="38">
        <f>N1240+O1240+P1240+Q1240</f>
        <v>12.8</v>
      </c>
      <c r="AC1240" s="38">
        <v>1.1285400000000001</v>
      </c>
      <c r="AD1240" s="38">
        <v>34.72</v>
      </c>
      <c r="AE1240" s="38">
        <v>17.43</v>
      </c>
      <c r="AF1240" s="38">
        <f t="shared" si="158"/>
        <v>9.6764132553606261E-2</v>
      </c>
      <c r="AG1240" s="38">
        <f t="shared" si="154"/>
        <v>0.1</v>
      </c>
      <c r="AH1240" s="38">
        <v>0</v>
      </c>
      <c r="AI1240" s="38">
        <f t="shared" si="159"/>
        <v>0</v>
      </c>
      <c r="AJ1240" s="38">
        <v>0</v>
      </c>
      <c r="AK1240" s="38">
        <f>AJ1240/(3.5*I1240*1000)*100</f>
        <v>0</v>
      </c>
      <c r="AL1240" s="38">
        <v>0</v>
      </c>
      <c r="AM1240" s="38">
        <f t="shared" si="160"/>
        <v>0</v>
      </c>
      <c r="AN1240" s="25"/>
      <c r="AO1240" s="25">
        <f>AE1240*0.5</f>
        <v>8.7149999999999999</v>
      </c>
      <c r="AP1240" s="25">
        <f>(AD1240+AH1240+AJ1240+AL1240+AO1240)*I1240</f>
        <v>557.05387499999995</v>
      </c>
      <c r="AQ1240" s="25">
        <f>SUM(N1240:Q1240)</f>
        <v>12.8</v>
      </c>
      <c r="AR1240" s="25">
        <f>SUM(T1240:W1240)</f>
        <v>12.8</v>
      </c>
      <c r="AS1240" s="268">
        <v>12.824999999999999</v>
      </c>
      <c r="AT1240" s="41"/>
      <c r="AU1240" s="41"/>
      <c r="AV1240" s="41"/>
      <c r="AW1240" s="41"/>
      <c r="AX1240" s="22"/>
      <c r="AY1240" s="22"/>
      <c r="AZ1240" s="22"/>
      <c r="BA1240" s="22"/>
      <c r="BB1240" s="22"/>
      <c r="BC1240" s="22"/>
      <c r="BD1240" s="22"/>
      <c r="BE1240" s="22"/>
      <c r="BF1240" s="22"/>
      <c r="BG1240" s="22"/>
      <c r="BH1240" s="22"/>
      <c r="BI1240" s="22"/>
      <c r="BJ1240" s="22"/>
      <c r="BK1240" s="22"/>
      <c r="BL1240" s="22"/>
      <c r="BM1240" s="22"/>
      <c r="BN1240" s="22"/>
      <c r="BO1240" s="22"/>
      <c r="BP1240" s="22"/>
      <c r="BQ1240" s="22"/>
      <c r="BR1240" s="22"/>
      <c r="BS1240" s="22"/>
      <c r="BT1240" s="22"/>
      <c r="BU1240" s="22"/>
      <c r="BV1240" s="22"/>
      <c r="BW1240" s="22"/>
      <c r="BX1240" s="22"/>
      <c r="BY1240" s="22"/>
      <c r="BZ1240" s="22"/>
      <c r="CA1240" s="22"/>
      <c r="CB1240" s="22"/>
      <c r="CC1240" s="22"/>
      <c r="CD1240" s="22"/>
      <c r="CE1240" s="22"/>
      <c r="CF1240" s="22"/>
      <c r="CG1240" s="22"/>
      <c r="CH1240" s="22"/>
      <c r="CI1240" s="22"/>
      <c r="CJ1240" s="22"/>
    </row>
    <row r="1241" spans="1:88" ht="26.25" customHeight="1">
      <c r="A1241" s="1">
        <v>2202</v>
      </c>
      <c r="B1241" s="34" t="s">
        <v>2827</v>
      </c>
      <c r="C1241" s="34">
        <v>314</v>
      </c>
      <c r="D1241" s="75">
        <v>4181</v>
      </c>
      <c r="E1241" s="8">
        <v>100</v>
      </c>
      <c r="F1241" s="9" t="s">
        <v>2847</v>
      </c>
      <c r="G1241" s="20">
        <v>0</v>
      </c>
      <c r="H1241" s="20">
        <v>28037</v>
      </c>
      <c r="I1241" s="21">
        <v>28.036999999999999</v>
      </c>
      <c r="J1241" s="8">
        <v>2</v>
      </c>
      <c r="K1241" s="8" t="s">
        <v>12</v>
      </c>
      <c r="L1241" s="18">
        <v>42145</v>
      </c>
      <c r="M1241" s="9" t="s">
        <v>191</v>
      </c>
      <c r="N1241" s="38">
        <v>13.324999999999999</v>
      </c>
      <c r="O1241" s="38">
        <v>9.0500000000000007</v>
      </c>
      <c r="P1241" s="38">
        <v>3.9249999999999998</v>
      </c>
      <c r="Q1241" s="38">
        <v>1.7250000000000001</v>
      </c>
      <c r="R1241" s="38">
        <v>2.8348200000000001</v>
      </c>
      <c r="S1241" s="38">
        <f t="shared" si="152"/>
        <v>3</v>
      </c>
      <c r="T1241" s="38">
        <v>25.4</v>
      </c>
      <c r="U1241" s="38">
        <v>1.7250000000000001</v>
      </c>
      <c r="V1241" s="38">
        <v>0.65</v>
      </c>
      <c r="W1241" s="38">
        <v>0.25</v>
      </c>
      <c r="X1241" s="38">
        <v>4.3867200000000004</v>
      </c>
      <c r="Y1241" s="38">
        <f t="shared" si="153"/>
        <v>4.5</v>
      </c>
      <c r="Z1241" s="38">
        <v>0</v>
      </c>
      <c r="AA1241" s="38">
        <v>0</v>
      </c>
      <c r="AB1241" s="38">
        <v>28.025000000000002</v>
      </c>
      <c r="AC1241" s="38">
        <v>1.2546299999999999</v>
      </c>
      <c r="AD1241" s="38">
        <v>78.599999999999994</v>
      </c>
      <c r="AE1241" s="38">
        <v>32.700000000000003</v>
      </c>
      <c r="AF1241" s="38">
        <f t="shared" si="158"/>
        <v>9.6759893813786871E-2</v>
      </c>
      <c r="AG1241" s="38">
        <f t="shared" si="154"/>
        <v>0.1</v>
      </c>
      <c r="AH1241" s="38">
        <v>4706.8599999999997</v>
      </c>
      <c r="AI1241" s="38">
        <f t="shared" si="159"/>
        <v>4.7965800294508778</v>
      </c>
      <c r="AJ1241" s="38">
        <v>196.63</v>
      </c>
      <c r="AK1241" s="38">
        <v>0.20037807183364836</v>
      </c>
      <c r="AL1241" s="38">
        <v>0</v>
      </c>
      <c r="AM1241" s="38">
        <f t="shared" si="160"/>
        <v>0</v>
      </c>
      <c r="AN1241" s="72"/>
      <c r="AO1241" s="41"/>
      <c r="AP1241" s="41"/>
      <c r="AQ1241" s="73"/>
      <c r="AR1241" s="73"/>
      <c r="AS1241" s="73"/>
      <c r="AT1241" s="73"/>
    </row>
    <row r="1242" spans="1:88" ht="26.25" customHeight="1">
      <c r="A1242" s="1">
        <v>388</v>
      </c>
      <c r="B1242" s="67" t="s">
        <v>626</v>
      </c>
      <c r="C1242" s="34">
        <v>517</v>
      </c>
      <c r="D1242" s="68">
        <v>1116</v>
      </c>
      <c r="E1242" s="69">
        <v>101</v>
      </c>
      <c r="F1242" s="88" t="s">
        <v>645</v>
      </c>
      <c r="G1242" s="6" t="s">
        <v>92</v>
      </c>
      <c r="H1242" s="6" t="s">
        <v>192</v>
      </c>
      <c r="I1242" s="7">
        <v>20</v>
      </c>
      <c r="J1242" s="89">
        <v>2</v>
      </c>
      <c r="K1242" s="34" t="s">
        <v>238</v>
      </c>
      <c r="L1242" s="18">
        <v>42261</v>
      </c>
      <c r="M1242" s="71" t="s">
        <v>191</v>
      </c>
      <c r="N1242" s="38">
        <v>9.82</v>
      </c>
      <c r="O1242" s="38">
        <v>4.96</v>
      </c>
      <c r="P1242" s="38">
        <v>4.01</v>
      </c>
      <c r="Q1242" s="38">
        <v>1.2</v>
      </c>
      <c r="R1242" s="38">
        <v>2.9726400000000002</v>
      </c>
      <c r="S1242" s="38">
        <f t="shared" si="152"/>
        <v>3</v>
      </c>
      <c r="T1242" s="38">
        <v>18.87</v>
      </c>
      <c r="U1242" s="38">
        <v>0.98</v>
      </c>
      <c r="V1242" s="38">
        <v>0.1</v>
      </c>
      <c r="W1242" s="38">
        <v>0.05</v>
      </c>
      <c r="X1242" s="38">
        <v>4.1911100000000001</v>
      </c>
      <c r="Y1242" s="38">
        <f t="shared" si="153"/>
        <v>4</v>
      </c>
      <c r="Z1242" s="38">
        <v>0</v>
      </c>
      <c r="AA1242" s="38">
        <v>0</v>
      </c>
      <c r="AB1242" s="38">
        <v>20</v>
      </c>
      <c r="AC1242" s="38">
        <v>1.0211300000000001</v>
      </c>
      <c r="AD1242" s="38">
        <v>51.57</v>
      </c>
      <c r="AE1242" s="38">
        <v>32.200000000000003</v>
      </c>
      <c r="AF1242" s="38">
        <f t="shared" si="158"/>
        <v>9.6671428571428575E-2</v>
      </c>
      <c r="AG1242" s="38">
        <f t="shared" si="154"/>
        <v>0.1</v>
      </c>
      <c r="AH1242" s="38">
        <v>135.29</v>
      </c>
      <c r="AI1242" s="38">
        <f t="shared" si="159"/>
        <v>0.19327142857142857</v>
      </c>
      <c r="AJ1242" s="38">
        <v>0</v>
      </c>
      <c r="AK1242" s="38">
        <f>AJ1242/(3.5*I1242*1000)*100</f>
        <v>0</v>
      </c>
      <c r="AL1242" s="38">
        <v>0</v>
      </c>
      <c r="AM1242" s="38">
        <f t="shared" si="160"/>
        <v>0</v>
      </c>
      <c r="AN1242" s="22"/>
      <c r="AO1242" s="22"/>
      <c r="AP1242" s="22"/>
      <c r="AQ1242" s="25">
        <f>SUM(N1242:Q1242)</f>
        <v>19.989999999999998</v>
      </c>
      <c r="AR1242" s="25">
        <f>SUM(T1242:W1242)</f>
        <v>20.000000000000004</v>
      </c>
      <c r="AS1242" s="25">
        <f>SUM(Z1242:AB1242)</f>
        <v>20</v>
      </c>
      <c r="AT1242" s="22"/>
      <c r="AU1242" s="1">
        <f>I1242/AQ1242</f>
        <v>1.0005002501250626</v>
      </c>
      <c r="AV1242" s="1">
        <f>I1242/AR1242</f>
        <v>0.99999999999999978</v>
      </c>
      <c r="AW1242" s="1">
        <f>I1242/AS1242</f>
        <v>1</v>
      </c>
    </row>
    <row r="1243" spans="1:88" ht="26.25" customHeight="1">
      <c r="A1243" s="1">
        <v>290</v>
      </c>
      <c r="B1243" s="34" t="s">
        <v>509</v>
      </c>
      <c r="C1243" s="34">
        <v>642</v>
      </c>
      <c r="D1243" s="34">
        <v>2094</v>
      </c>
      <c r="E1243" s="34">
        <v>102</v>
      </c>
      <c r="F1243" s="34" t="s">
        <v>518</v>
      </c>
      <c r="G1243" s="58">
        <v>17000</v>
      </c>
      <c r="H1243" s="58">
        <v>57644</v>
      </c>
      <c r="I1243" s="35">
        <v>40.643999999999998</v>
      </c>
      <c r="J1243" s="62">
        <v>2</v>
      </c>
      <c r="K1243" s="34" t="s">
        <v>238</v>
      </c>
      <c r="L1243" s="10">
        <v>42161</v>
      </c>
      <c r="M1243" s="9" t="s">
        <v>191</v>
      </c>
      <c r="N1243" s="38">
        <v>26.34</v>
      </c>
      <c r="O1243" s="38">
        <v>9.14</v>
      </c>
      <c r="P1243" s="38">
        <v>3.42</v>
      </c>
      <c r="Q1243" s="38">
        <v>1.57</v>
      </c>
      <c r="R1243" s="38">
        <v>2.78146</v>
      </c>
      <c r="S1243" s="38">
        <f t="shared" si="152"/>
        <v>3</v>
      </c>
      <c r="T1243" s="38">
        <v>38.72</v>
      </c>
      <c r="U1243" s="38">
        <v>1.26</v>
      </c>
      <c r="V1243" s="38">
        <v>0.46</v>
      </c>
      <c r="W1243" s="38">
        <v>0.03</v>
      </c>
      <c r="X1243" s="38">
        <v>4.5438299999999998</v>
      </c>
      <c r="Y1243" s="38">
        <f t="shared" si="153"/>
        <v>4.5</v>
      </c>
      <c r="Z1243" s="38">
        <v>0</v>
      </c>
      <c r="AA1243" s="38">
        <v>0</v>
      </c>
      <c r="AB1243" s="38">
        <f>T1243+U1243+V1243+W1243</f>
        <v>40.47</v>
      </c>
      <c r="AC1243" s="38">
        <v>1.37418</v>
      </c>
      <c r="AD1243" s="38">
        <v>152</v>
      </c>
      <c r="AE1243" s="38">
        <v>11</v>
      </c>
      <c r="AF1243" s="38">
        <v>9.6475430923591454E-2</v>
      </c>
      <c r="AG1243" s="38">
        <f t="shared" si="154"/>
        <v>0.1</v>
      </c>
      <c r="AH1243" s="38">
        <v>21.44</v>
      </c>
      <c r="AI1243" s="38">
        <v>1.3132909453979687E-2</v>
      </c>
      <c r="AJ1243" s="38">
        <v>0</v>
      </c>
      <c r="AK1243" s="38">
        <v>0</v>
      </c>
      <c r="AL1243" s="38">
        <v>0</v>
      </c>
      <c r="AM1243" s="38">
        <v>0</v>
      </c>
      <c r="AN1243" s="60"/>
      <c r="AO1243" s="60"/>
      <c r="AP1243" s="60">
        <f>AE1243*0.5</f>
        <v>5.5</v>
      </c>
      <c r="AQ1243" s="64">
        <f>(AD1243+AH1243+AJ1243+AL1243+AP1243)*I1243</f>
        <v>7272.8373599999995</v>
      </c>
      <c r="AR1243" s="60"/>
      <c r="AS1243" s="25">
        <f>SUM(N1243:Q1243)</f>
        <v>40.470000000000006</v>
      </c>
      <c r="AT1243" s="25"/>
      <c r="AU1243" s="41">
        <f>SUM(N1243:Q1243)</f>
        <v>40.470000000000006</v>
      </c>
      <c r="AV1243" s="41">
        <f>SUM(T1243:W1243)</f>
        <v>40.47</v>
      </c>
      <c r="AW1243" s="41">
        <f>SUM(Z1243:AB1243)</f>
        <v>40.47</v>
      </c>
      <c r="AX1243" s="22"/>
      <c r="AY1243" s="22">
        <f>I1243/AU1243</f>
        <v>1.0042994810971089</v>
      </c>
      <c r="AZ1243" s="22">
        <f>I1243/AV1243</f>
        <v>1.0042994810971089</v>
      </c>
      <c r="BA1243" s="22">
        <f>I1243/AW1243</f>
        <v>1.0042994810971089</v>
      </c>
      <c r="BB1243" s="61"/>
      <c r="BC1243" s="61"/>
      <c r="BD1243" s="61"/>
      <c r="BE1243" s="61"/>
      <c r="BF1243" s="61"/>
      <c r="BG1243" s="61"/>
      <c r="BH1243" s="61"/>
      <c r="BI1243" s="61"/>
      <c r="BJ1243" s="61"/>
      <c r="BK1243" s="61"/>
      <c r="BL1243" s="61"/>
      <c r="BM1243" s="61"/>
      <c r="BN1243" s="61"/>
      <c r="BO1243" s="61"/>
      <c r="BP1243" s="61"/>
      <c r="BQ1243" s="61"/>
      <c r="BR1243" s="61"/>
      <c r="BS1243" s="61"/>
      <c r="BT1243" s="61"/>
      <c r="BU1243" s="61"/>
      <c r="BV1243" s="61"/>
      <c r="BW1243" s="61"/>
      <c r="BX1243" s="61"/>
      <c r="BY1243" s="61"/>
      <c r="BZ1243" s="61"/>
      <c r="CA1243" s="61"/>
      <c r="CB1243" s="61"/>
      <c r="CC1243" s="61"/>
      <c r="CD1243" s="61"/>
      <c r="CE1243" s="61"/>
      <c r="CF1243" s="61"/>
      <c r="CG1243" s="61"/>
      <c r="CH1243" s="61"/>
      <c r="CI1243" s="61"/>
      <c r="CJ1243" s="61"/>
    </row>
    <row r="1244" spans="1:88" ht="26.25" customHeight="1">
      <c r="A1244" s="1">
        <v>1016</v>
      </c>
      <c r="B1244" s="9" t="s">
        <v>1394</v>
      </c>
      <c r="C1244" s="9">
        <v>617</v>
      </c>
      <c r="D1244" s="8">
        <v>348</v>
      </c>
      <c r="E1244" s="9">
        <v>202</v>
      </c>
      <c r="F1244" s="9" t="s">
        <v>1414</v>
      </c>
      <c r="G1244" s="20" t="s">
        <v>1415</v>
      </c>
      <c r="H1244" s="20" t="s">
        <v>1416</v>
      </c>
      <c r="I1244" s="35">
        <v>10.914999999999999</v>
      </c>
      <c r="J1244" s="9">
        <v>2</v>
      </c>
      <c r="K1244" s="9" t="s">
        <v>238</v>
      </c>
      <c r="L1244" s="18">
        <v>42130</v>
      </c>
      <c r="M1244" s="9" t="s">
        <v>191</v>
      </c>
      <c r="N1244" s="11">
        <v>6.85</v>
      </c>
      <c r="O1244" s="11">
        <v>2.65</v>
      </c>
      <c r="P1244" s="11">
        <v>1.1499999999999999</v>
      </c>
      <c r="Q1244" s="11">
        <v>0.375</v>
      </c>
      <c r="R1244" s="11">
        <v>2.5099999999999998</v>
      </c>
      <c r="S1244" s="38">
        <f t="shared" si="152"/>
        <v>2.5</v>
      </c>
      <c r="T1244" s="11">
        <v>10.8</v>
      </c>
      <c r="U1244" s="11">
        <v>0.15</v>
      </c>
      <c r="V1244" s="11">
        <v>7.4999999999999997E-2</v>
      </c>
      <c r="W1244" s="11">
        <v>0</v>
      </c>
      <c r="X1244" s="11">
        <v>4.8353200000000003</v>
      </c>
      <c r="Y1244" s="38">
        <f t="shared" si="153"/>
        <v>5</v>
      </c>
      <c r="Z1244" s="11">
        <v>0</v>
      </c>
      <c r="AA1244" s="11">
        <v>0</v>
      </c>
      <c r="AB1244" s="11">
        <f>SUM(N1244:Q1244)</f>
        <v>11.025</v>
      </c>
      <c r="AC1244" s="11">
        <v>1.43222</v>
      </c>
      <c r="AD1244" s="11">
        <v>36.81</v>
      </c>
      <c r="AE1244" s="11">
        <v>0</v>
      </c>
      <c r="AF1244" s="11">
        <f>(AD1244+AE1244*0.5)/(3.5*I1244*1000)*100</f>
        <v>9.6354950592238739E-2</v>
      </c>
      <c r="AG1244" s="38">
        <f t="shared" si="154"/>
        <v>0.1</v>
      </c>
      <c r="AH1244" s="11">
        <v>74.89</v>
      </c>
      <c r="AI1244" s="38">
        <f>AH1244/(3.5*I1244*1000)*100</f>
        <v>0.19603429094954519</v>
      </c>
      <c r="AJ1244" s="11">
        <v>46.29</v>
      </c>
      <c r="AK1244" s="38">
        <f>AJ1244/(3.5*I1244*1000)*100</f>
        <v>0.12117008049211439</v>
      </c>
      <c r="AL1244" s="11">
        <v>0</v>
      </c>
      <c r="AM1244" s="38">
        <f>AL1244/(3.5*I1244*1000)*100</f>
        <v>0</v>
      </c>
      <c r="AN1244" s="25"/>
      <c r="AO1244" s="25">
        <f>AE1244*0.5</f>
        <v>0</v>
      </c>
      <c r="AP1244" s="25">
        <f>(AD1244+AH1244+AJ1244+AL1244+AO1244)*I1244</f>
        <v>1724.4608499999999</v>
      </c>
      <c r="AQ1244" s="25"/>
      <c r="AR1244" s="25"/>
      <c r="AS1244" s="25">
        <f>SUM(N1244:Q1244)</f>
        <v>11.025</v>
      </c>
      <c r="AT1244" s="25">
        <f>SUM(T1244:W1244)</f>
        <v>11.025</v>
      </c>
      <c r="AU1244" s="41"/>
      <c r="AV1244" s="41"/>
      <c r="AW1244" s="41"/>
      <c r="AX1244" s="22"/>
      <c r="AY1244" s="22"/>
      <c r="AZ1244" s="22"/>
      <c r="BA1244" s="22"/>
      <c r="BB1244" s="22"/>
      <c r="BC1244" s="22"/>
      <c r="BD1244" s="22"/>
      <c r="BE1244" s="22"/>
      <c r="BF1244" s="22"/>
      <c r="BG1244" s="22"/>
      <c r="BH1244" s="22"/>
      <c r="BI1244" s="22"/>
      <c r="BJ1244" s="22"/>
      <c r="BK1244" s="22"/>
      <c r="BL1244" s="22"/>
      <c r="BM1244" s="22"/>
      <c r="BN1244" s="22"/>
      <c r="BO1244" s="22"/>
      <c r="BP1244" s="22"/>
      <c r="BQ1244" s="22"/>
      <c r="BR1244" s="22"/>
      <c r="BS1244" s="22"/>
      <c r="BT1244" s="22"/>
      <c r="BU1244" s="22"/>
      <c r="BV1244" s="22"/>
      <c r="BW1244" s="22"/>
      <c r="BX1244" s="22"/>
      <c r="BY1244" s="22"/>
      <c r="BZ1244" s="22"/>
      <c r="CA1244" s="22"/>
      <c r="CB1244" s="22"/>
      <c r="CC1244" s="22"/>
      <c r="CD1244" s="22"/>
      <c r="CE1244" s="22"/>
      <c r="CF1244" s="22"/>
      <c r="CG1244" s="22"/>
      <c r="CH1244" s="22"/>
      <c r="CI1244" s="22"/>
      <c r="CJ1244" s="22"/>
    </row>
    <row r="1245" spans="1:88" ht="26.25" customHeight="1">
      <c r="A1245" s="1">
        <v>2072</v>
      </c>
      <c r="B1245" s="34" t="s">
        <v>2715</v>
      </c>
      <c r="C1245" s="34">
        <v>329</v>
      </c>
      <c r="D1245" s="75">
        <v>4015</v>
      </c>
      <c r="E1245" s="8">
        <v>300</v>
      </c>
      <c r="F1245" s="34" t="s">
        <v>2718</v>
      </c>
      <c r="G1245" s="58">
        <v>94787</v>
      </c>
      <c r="H1245" s="58">
        <v>80896</v>
      </c>
      <c r="I1245" s="21">
        <v>13.891</v>
      </c>
      <c r="J1245" s="8">
        <v>2</v>
      </c>
      <c r="K1245" s="8" t="s">
        <v>12</v>
      </c>
      <c r="L1245" s="18">
        <v>42122</v>
      </c>
      <c r="M1245" s="9" t="s">
        <v>191</v>
      </c>
      <c r="N1245" s="38">
        <v>9.8249999999999993</v>
      </c>
      <c r="O1245" s="38">
        <v>2.4</v>
      </c>
      <c r="P1245" s="38">
        <v>1</v>
      </c>
      <c r="Q1245" s="38">
        <v>0.57499999999999996</v>
      </c>
      <c r="R1245" s="38">
        <v>2.3517399999999999</v>
      </c>
      <c r="S1245" s="38">
        <f t="shared" si="152"/>
        <v>2.5</v>
      </c>
      <c r="T1245" s="38">
        <v>13.475</v>
      </c>
      <c r="U1245" s="38">
        <v>0.3</v>
      </c>
      <c r="V1245" s="38">
        <v>2.5000000000000001E-2</v>
      </c>
      <c r="W1245" s="38">
        <v>0</v>
      </c>
      <c r="X1245" s="38">
        <v>3.6095299999999999</v>
      </c>
      <c r="Y1245" s="38">
        <f t="shared" si="153"/>
        <v>3.5</v>
      </c>
      <c r="Z1245" s="38">
        <v>0</v>
      </c>
      <c r="AA1245" s="38">
        <v>0</v>
      </c>
      <c r="AB1245" s="38">
        <v>13.799999999999999</v>
      </c>
      <c r="AC1245" s="38">
        <v>1.31955</v>
      </c>
      <c r="AD1245" s="38">
        <v>29.87</v>
      </c>
      <c r="AE1245" s="38">
        <v>33.729999999999997</v>
      </c>
      <c r="AF1245" s="38">
        <v>9.6125960282608475E-2</v>
      </c>
      <c r="AG1245" s="38">
        <f t="shared" si="154"/>
        <v>0.1</v>
      </c>
      <c r="AH1245" s="38">
        <v>130.53</v>
      </c>
      <c r="AI1245" s="38">
        <v>0.26847804847948825</v>
      </c>
      <c r="AJ1245" s="38">
        <v>4.57</v>
      </c>
      <c r="AK1245" s="38">
        <v>9.3997141005995669E-3</v>
      </c>
      <c r="AL1245" s="38">
        <v>0</v>
      </c>
      <c r="AM1245" s="38">
        <f>AL1245/(3.5*I1245*1000)*100</f>
        <v>0</v>
      </c>
      <c r="AN1245" s="12"/>
      <c r="AO1245" s="12"/>
    </row>
    <row r="1246" spans="1:88" ht="26.25" customHeight="1">
      <c r="A1246" s="1">
        <v>172</v>
      </c>
      <c r="B1246" s="34" t="s">
        <v>332</v>
      </c>
      <c r="C1246" s="34">
        <v>533</v>
      </c>
      <c r="D1246" s="34">
        <v>1016</v>
      </c>
      <c r="E1246" s="34">
        <v>100</v>
      </c>
      <c r="F1246" s="34" t="s">
        <v>349</v>
      </c>
      <c r="G1246" s="20" t="s">
        <v>279</v>
      </c>
      <c r="H1246" s="20">
        <v>100</v>
      </c>
      <c r="I1246" s="35">
        <v>9.9</v>
      </c>
      <c r="J1246" s="33">
        <v>4</v>
      </c>
      <c r="K1246" s="34" t="s">
        <v>96</v>
      </c>
      <c r="L1246" s="10">
        <v>42201</v>
      </c>
      <c r="M1246" s="9" t="s">
        <v>191</v>
      </c>
      <c r="N1246" s="38">
        <v>7.41</v>
      </c>
      <c r="O1246" s="38">
        <v>1.97</v>
      </c>
      <c r="P1246" s="38">
        <v>0.49</v>
      </c>
      <c r="Q1246" s="38">
        <v>0.03</v>
      </c>
      <c r="R1246" s="38">
        <v>1.90008</v>
      </c>
      <c r="S1246" s="38">
        <f t="shared" si="152"/>
        <v>2</v>
      </c>
      <c r="T1246" s="38">
        <v>7.26</v>
      </c>
      <c r="U1246" s="38">
        <v>1.9</v>
      </c>
      <c r="V1246" s="38">
        <v>0.6</v>
      </c>
      <c r="W1246" s="38">
        <v>0.14000000000000001</v>
      </c>
      <c r="X1246" s="38">
        <v>7.0019099999999996</v>
      </c>
      <c r="Y1246" s="38">
        <f t="shared" si="153"/>
        <v>7</v>
      </c>
      <c r="Z1246" s="38">
        <v>0</v>
      </c>
      <c r="AA1246" s="38">
        <v>0.03</v>
      </c>
      <c r="AB1246" s="38">
        <v>9.8699999999999992</v>
      </c>
      <c r="AC1246" s="38">
        <v>1.14245</v>
      </c>
      <c r="AD1246" s="38">
        <v>33</v>
      </c>
      <c r="AE1246" s="38">
        <v>0</v>
      </c>
      <c r="AF1246" s="38">
        <f>(AD1246+AE1246*0.5)/(3.5*I1246*1000)*100</f>
        <v>9.5238095238095233E-2</v>
      </c>
      <c r="AG1246" s="38">
        <f t="shared" si="154"/>
        <v>0.1</v>
      </c>
      <c r="AH1246" s="38">
        <v>0</v>
      </c>
      <c r="AI1246" s="38">
        <f>AH1246/(3.5*I1246*1000)*100</f>
        <v>0</v>
      </c>
      <c r="AJ1246" s="38">
        <v>24</v>
      </c>
      <c r="AK1246" s="38">
        <f>AJ1246/(3.5*I1246*1000)*100</f>
        <v>6.9264069264069264E-2</v>
      </c>
      <c r="AL1246" s="38">
        <v>24</v>
      </c>
      <c r="AM1246" s="38">
        <f>AL1246/(3.5*I1246*1000)*100</f>
        <v>6.9264069264069264E-2</v>
      </c>
      <c r="AN1246" s="25"/>
      <c r="AO1246" s="25">
        <f>AE1246*0.5</f>
        <v>0</v>
      </c>
      <c r="AP1246" s="25">
        <f>(AD1246+AH1246+AJ1246+AL1246+AO1246)*I1246</f>
        <v>801.9</v>
      </c>
      <c r="AQ1246" s="25"/>
      <c r="AR1246" s="25">
        <f>SUM(N1246:Q1246)</f>
        <v>9.9</v>
      </c>
      <c r="AS1246" s="25">
        <f>SUM(T1246:W1246)</f>
        <v>9.9</v>
      </c>
      <c r="AT1246" s="22"/>
      <c r="AU1246" s="41">
        <f>SUM(N1246:Q1246)</f>
        <v>9.9</v>
      </c>
      <c r="AV1246" s="41">
        <f>SUM(T1246:W1246)</f>
        <v>9.9</v>
      </c>
      <c r="AW1246" s="41">
        <f>SUM(Z1246:AB1246)</f>
        <v>9.8999999999999986</v>
      </c>
      <c r="AX1246" s="41"/>
      <c r="AY1246" s="22">
        <f>I1246/AU1246</f>
        <v>1</v>
      </c>
      <c r="AZ1246" s="22">
        <f>I1246/AV1246</f>
        <v>1</v>
      </c>
      <c r="BA1246" s="22">
        <f>I1246/AW1246</f>
        <v>1.0000000000000002</v>
      </c>
      <c r="BB1246" s="22"/>
      <c r="BC1246" s="22"/>
      <c r="BD1246" s="22"/>
      <c r="BE1246" s="22"/>
      <c r="BF1246" s="22"/>
      <c r="BG1246" s="22"/>
      <c r="BH1246" s="22"/>
      <c r="BI1246" s="22"/>
      <c r="BJ1246" s="22"/>
      <c r="BK1246" s="22"/>
      <c r="BL1246" s="22"/>
      <c r="BM1246" s="22"/>
      <c r="BN1246" s="22"/>
      <c r="BO1246" s="22"/>
      <c r="BP1246" s="22"/>
      <c r="BQ1246" s="22"/>
      <c r="BR1246" s="22"/>
      <c r="BS1246" s="22"/>
      <c r="BT1246" s="22"/>
      <c r="BU1246" s="22"/>
      <c r="BV1246" s="22"/>
      <c r="BW1246" s="22"/>
      <c r="BX1246" s="22"/>
      <c r="BY1246" s="22"/>
      <c r="BZ1246" s="22"/>
      <c r="CA1246" s="22"/>
      <c r="CB1246" s="22"/>
      <c r="CC1246" s="22"/>
      <c r="CD1246" s="22"/>
      <c r="CE1246" s="22"/>
      <c r="CF1246" s="22"/>
      <c r="CG1246" s="22"/>
      <c r="CH1246" s="22"/>
      <c r="CI1246" s="22"/>
      <c r="CJ1246" s="22"/>
    </row>
    <row r="1247" spans="1:88" ht="26.25" customHeight="1">
      <c r="A1247" s="1">
        <v>1387</v>
      </c>
      <c r="B1247" s="34" t="s">
        <v>1940</v>
      </c>
      <c r="C1247" s="34">
        <v>446</v>
      </c>
      <c r="D1247" s="75">
        <v>3010</v>
      </c>
      <c r="E1247" s="69">
        <v>100</v>
      </c>
      <c r="F1247" s="34" t="s">
        <v>1941</v>
      </c>
      <c r="G1247" s="20">
        <v>13489</v>
      </c>
      <c r="H1247" s="20">
        <v>0</v>
      </c>
      <c r="I1247" s="21">
        <v>13.489000000000001</v>
      </c>
      <c r="J1247" s="8">
        <v>2</v>
      </c>
      <c r="K1247" s="34" t="s">
        <v>12</v>
      </c>
      <c r="L1247" s="10">
        <v>42219</v>
      </c>
      <c r="M1247" s="9" t="s">
        <v>191</v>
      </c>
      <c r="N1247" s="38">
        <v>9.23</v>
      </c>
      <c r="O1247" s="38">
        <v>2.83</v>
      </c>
      <c r="P1247" s="38">
        <v>1.04</v>
      </c>
      <c r="Q1247" s="38">
        <v>0.39</v>
      </c>
      <c r="R1247" s="38">
        <v>2.3034500000000002</v>
      </c>
      <c r="S1247" s="38">
        <f t="shared" si="152"/>
        <v>2.5</v>
      </c>
      <c r="T1247" s="38">
        <v>13.1</v>
      </c>
      <c r="U1247" s="38">
        <v>0.36</v>
      </c>
      <c r="V1247" s="38">
        <v>0</v>
      </c>
      <c r="W1247" s="38">
        <v>0.03</v>
      </c>
      <c r="X1247" s="38">
        <v>4.0111400000000001</v>
      </c>
      <c r="Y1247" s="38">
        <f t="shared" si="153"/>
        <v>4</v>
      </c>
      <c r="Z1247" s="38">
        <v>0</v>
      </c>
      <c r="AA1247" s="38">
        <v>0</v>
      </c>
      <c r="AB1247" s="11">
        <v>13.49</v>
      </c>
      <c r="AC1247" s="38">
        <v>1.0988800000000001</v>
      </c>
      <c r="AD1247" s="38">
        <v>42.5</v>
      </c>
      <c r="AE1247" s="38">
        <v>4.6609999999999996</v>
      </c>
      <c r="AF1247" s="38">
        <v>9.4956737235631153E-2</v>
      </c>
      <c r="AG1247" s="38">
        <f t="shared" si="154"/>
        <v>0.1</v>
      </c>
      <c r="AH1247" s="38">
        <v>12.5</v>
      </c>
      <c r="AI1247" s="38">
        <v>2.6476599980936846E-2</v>
      </c>
      <c r="AJ1247" s="38">
        <v>0</v>
      </c>
      <c r="AK1247" s="38">
        <v>0</v>
      </c>
      <c r="AL1247" s="38">
        <v>0</v>
      </c>
      <c r="AM1247" s="38">
        <v>0</v>
      </c>
      <c r="AN1247" s="12"/>
      <c r="AP1247" s="12">
        <f>SUM(N1247:Q1247)</f>
        <v>13.490000000000002</v>
      </c>
      <c r="AQ1247" s="12">
        <f>SUM(T1247:W1247)</f>
        <v>13.489999999999998</v>
      </c>
      <c r="AR1247" s="12">
        <f>SUM(Z1247:AB1247)</f>
        <v>13.49</v>
      </c>
      <c r="AT1247" s="1">
        <f>I1247/AP1247</f>
        <v>0.99992587101556696</v>
      </c>
      <c r="AU1247" s="1">
        <f>I1247/AQ1247</f>
        <v>0.99992587101556729</v>
      </c>
      <c r="AV1247" s="1">
        <f>I1247/AR1247</f>
        <v>0.99992587101556718</v>
      </c>
    </row>
    <row r="1248" spans="1:88" ht="26.25" customHeight="1">
      <c r="A1248" s="1">
        <v>2234</v>
      </c>
      <c r="B1248" s="34" t="s">
        <v>2876</v>
      </c>
      <c r="C1248" s="34">
        <v>319</v>
      </c>
      <c r="D1248" s="68">
        <v>408</v>
      </c>
      <c r="E1248" s="89">
        <v>301</v>
      </c>
      <c r="F1248" s="170" t="s">
        <v>2879</v>
      </c>
      <c r="G1248" s="6">
        <v>190317</v>
      </c>
      <c r="H1248" s="6">
        <v>182261</v>
      </c>
      <c r="I1248" s="7">
        <v>8.0559999999999992</v>
      </c>
      <c r="J1248" s="89">
        <v>2</v>
      </c>
      <c r="K1248" s="89" t="s">
        <v>12</v>
      </c>
      <c r="L1248" s="172">
        <v>42149</v>
      </c>
      <c r="M1248" s="9" t="s">
        <v>191</v>
      </c>
      <c r="N1248" s="38">
        <v>4.5</v>
      </c>
      <c r="O1248" s="38">
        <v>2.5</v>
      </c>
      <c r="P1248" s="38">
        <v>0.72499999999999998</v>
      </c>
      <c r="Q1248" s="38">
        <v>0.4</v>
      </c>
      <c r="R1248" s="38">
        <v>2.6167400000000001</v>
      </c>
      <c r="S1248" s="38">
        <f t="shared" si="152"/>
        <v>2.5</v>
      </c>
      <c r="T1248" s="38">
        <v>7.7249999999999996</v>
      </c>
      <c r="U1248" s="38">
        <v>0.3</v>
      </c>
      <c r="V1248" s="38">
        <v>7.4999999999999997E-2</v>
      </c>
      <c r="W1248" s="38">
        <v>2.5000000000000001E-2</v>
      </c>
      <c r="X1248" s="38">
        <v>5.0251099999999997</v>
      </c>
      <c r="Y1248" s="38">
        <f t="shared" si="153"/>
        <v>5</v>
      </c>
      <c r="Z1248" s="38">
        <v>0</v>
      </c>
      <c r="AA1248" s="38">
        <v>0</v>
      </c>
      <c r="AB1248" s="38">
        <v>8.125</v>
      </c>
      <c r="AC1248" s="38">
        <v>1.3503099999999999</v>
      </c>
      <c r="AD1248" s="38">
        <v>26.76</v>
      </c>
      <c r="AE1248" s="38">
        <v>0</v>
      </c>
      <c r="AF1248" s="38">
        <v>9.4907079018300491E-2</v>
      </c>
      <c r="AG1248" s="38">
        <f t="shared" si="154"/>
        <v>0.1</v>
      </c>
      <c r="AH1248" s="38">
        <v>0</v>
      </c>
      <c r="AI1248" s="38">
        <v>0</v>
      </c>
      <c r="AJ1248" s="38">
        <v>0</v>
      </c>
      <c r="AK1248" s="38">
        <v>0</v>
      </c>
      <c r="AL1248" s="38">
        <v>0</v>
      </c>
      <c r="AM1248" s="38">
        <f>AL1248/(3.5*I1248*1000)*100</f>
        <v>0</v>
      </c>
      <c r="AN1248" s="12"/>
      <c r="AO1248" s="12"/>
    </row>
    <row r="1249" spans="1:88" ht="26.25" customHeight="1">
      <c r="A1249" s="1">
        <v>414</v>
      </c>
      <c r="B1249" s="74" t="s">
        <v>655</v>
      </c>
      <c r="C1249" s="34">
        <v>511</v>
      </c>
      <c r="D1249" s="75">
        <v>1372</v>
      </c>
      <c r="E1249" s="69">
        <v>100</v>
      </c>
      <c r="F1249" s="34" t="s">
        <v>697</v>
      </c>
      <c r="G1249" s="20" t="s">
        <v>92</v>
      </c>
      <c r="H1249" s="20" t="s">
        <v>698</v>
      </c>
      <c r="I1249" s="21">
        <v>6.3810000000000002</v>
      </c>
      <c r="J1249" s="8" t="s">
        <v>238</v>
      </c>
      <c r="K1249" s="34">
        <v>2</v>
      </c>
      <c r="L1249" s="18">
        <v>42265</v>
      </c>
      <c r="M1249" s="9" t="s">
        <v>191</v>
      </c>
      <c r="N1249" s="38">
        <v>5.1100000000000003</v>
      </c>
      <c r="O1249" s="38">
        <v>1.02</v>
      </c>
      <c r="P1249" s="38">
        <v>0.17</v>
      </c>
      <c r="Q1249" s="38">
        <v>0.08</v>
      </c>
      <c r="R1249" s="38">
        <v>2.0074999999999998</v>
      </c>
      <c r="S1249" s="38">
        <f t="shared" si="152"/>
        <v>2</v>
      </c>
      <c r="T1249" s="38">
        <v>6.38</v>
      </c>
      <c r="U1249" s="38">
        <v>0</v>
      </c>
      <c r="V1249" s="38">
        <v>0</v>
      </c>
      <c r="W1249" s="38">
        <v>0</v>
      </c>
      <c r="X1249" s="38">
        <v>1.42388</v>
      </c>
      <c r="Y1249" s="38">
        <f t="shared" si="153"/>
        <v>1.5</v>
      </c>
      <c r="Z1249" s="38">
        <v>0</v>
      </c>
      <c r="AA1249" s="38">
        <v>0</v>
      </c>
      <c r="AB1249" s="38">
        <v>6.38</v>
      </c>
      <c r="AC1249" s="38">
        <v>1.06403</v>
      </c>
      <c r="AD1249" s="38">
        <v>20.350000000000001</v>
      </c>
      <c r="AE1249" s="38">
        <v>1.62</v>
      </c>
      <c r="AF1249" s="38">
        <v>9.4745999999999997E-2</v>
      </c>
      <c r="AG1249" s="38">
        <f t="shared" si="154"/>
        <v>0.1</v>
      </c>
      <c r="AH1249" s="38">
        <v>135.25</v>
      </c>
      <c r="AI1249" s="38">
        <v>0.60559200000000002</v>
      </c>
      <c r="AJ1249" s="38">
        <v>0</v>
      </c>
      <c r="AK1249" s="38">
        <v>0</v>
      </c>
      <c r="AL1249" s="38">
        <v>0.69</v>
      </c>
      <c r="AM1249" s="38">
        <v>3.0899999999999999E-3</v>
      </c>
      <c r="AN1249" s="72"/>
      <c r="AO1249" s="41"/>
      <c r="AP1249" s="41"/>
      <c r="AQ1249" s="41">
        <f>SUM(N1249:Q1249)</f>
        <v>6.3800000000000008</v>
      </c>
      <c r="AR1249" s="41">
        <f>SUM(T1249:W1249)</f>
        <v>6.38</v>
      </c>
      <c r="AS1249" s="41">
        <f>SUM(Z1249:AB1249)</f>
        <v>6.38</v>
      </c>
      <c r="AT1249" s="22"/>
      <c r="AU1249" s="22">
        <f>I1249/AQ1249</f>
        <v>1.0001567398119122</v>
      </c>
      <c r="AV1249" s="22">
        <f>I1249/AR1249</f>
        <v>1.0001567398119122</v>
      </c>
      <c r="AW1249" s="22">
        <f>I1249/AS1249</f>
        <v>1.0001567398119122</v>
      </c>
      <c r="AX1249" s="22"/>
      <c r="AY1249" s="22"/>
      <c r="AZ1249" s="22"/>
      <c r="BA1249" s="22"/>
      <c r="BB1249" s="22"/>
      <c r="BC1249" s="22"/>
      <c r="BD1249" s="22"/>
      <c r="BE1249" s="22"/>
      <c r="BF1249" s="22"/>
      <c r="BG1249" s="22"/>
      <c r="BH1249" s="22"/>
      <c r="BI1249" s="22"/>
      <c r="BJ1249" s="22"/>
      <c r="BK1249" s="22"/>
      <c r="BL1249" s="22"/>
      <c r="BM1249" s="22"/>
      <c r="BN1249" s="22"/>
      <c r="BO1249" s="22"/>
      <c r="BP1249" s="22"/>
      <c r="BQ1249" s="22"/>
      <c r="BR1249" s="22"/>
      <c r="BS1249" s="22"/>
      <c r="BT1249" s="22"/>
      <c r="BU1249" s="22"/>
      <c r="BV1249" s="22"/>
      <c r="BW1249" s="22"/>
      <c r="BX1249" s="22"/>
      <c r="BY1249" s="22"/>
      <c r="BZ1249" s="22"/>
      <c r="CA1249" s="22"/>
      <c r="CB1249" s="22"/>
      <c r="CC1249" s="22"/>
      <c r="CD1249" s="22"/>
      <c r="CE1249" s="22"/>
      <c r="CF1249" s="22"/>
      <c r="CG1249" s="22"/>
      <c r="CH1249" s="22"/>
      <c r="CI1249" s="22"/>
      <c r="CJ1249" s="22"/>
    </row>
    <row r="1250" spans="1:88" ht="26.25" customHeight="1">
      <c r="A1250" s="1">
        <v>1405</v>
      </c>
      <c r="B1250" s="34" t="s">
        <v>1957</v>
      </c>
      <c r="C1250" s="34">
        <v>447</v>
      </c>
      <c r="D1250" s="75">
        <v>333</v>
      </c>
      <c r="E1250" s="69">
        <v>303</v>
      </c>
      <c r="F1250" s="184" t="s">
        <v>1960</v>
      </c>
      <c r="G1250" s="20">
        <v>182227</v>
      </c>
      <c r="H1250" s="77">
        <v>166073</v>
      </c>
      <c r="I1250" s="21">
        <v>16.154</v>
      </c>
      <c r="J1250" s="8">
        <v>6</v>
      </c>
      <c r="K1250" s="34" t="s">
        <v>96</v>
      </c>
      <c r="L1250" s="10">
        <v>42217</v>
      </c>
      <c r="M1250" s="9" t="s">
        <v>191</v>
      </c>
      <c r="N1250" s="38">
        <v>9.85</v>
      </c>
      <c r="O1250" s="38">
        <v>4.9000000000000004</v>
      </c>
      <c r="P1250" s="38">
        <v>1.375</v>
      </c>
      <c r="Q1250" s="38">
        <v>0.375</v>
      </c>
      <c r="R1250" s="38">
        <v>2.55552</v>
      </c>
      <c r="S1250" s="38">
        <f t="shared" si="152"/>
        <v>2.5</v>
      </c>
      <c r="T1250" s="38">
        <v>15.175000000000001</v>
      </c>
      <c r="U1250" s="38">
        <v>1.2</v>
      </c>
      <c r="V1250" s="38">
        <v>0.1</v>
      </c>
      <c r="W1250" s="38">
        <v>2.5000000000000001E-2</v>
      </c>
      <c r="X1250" s="38">
        <v>5.4604799999999996</v>
      </c>
      <c r="Y1250" s="38">
        <f t="shared" si="153"/>
        <v>5.5</v>
      </c>
      <c r="Z1250" s="38">
        <v>0</v>
      </c>
      <c r="AA1250" s="38">
        <v>0</v>
      </c>
      <c r="AB1250" s="38">
        <v>16.5</v>
      </c>
      <c r="AC1250" s="38">
        <v>1.5421</v>
      </c>
      <c r="AD1250" s="38">
        <v>15</v>
      </c>
      <c r="AE1250" s="38">
        <v>77</v>
      </c>
      <c r="AF1250" s="38">
        <v>9.4624949150144147E-2</v>
      </c>
      <c r="AG1250" s="38">
        <f t="shared" si="154"/>
        <v>0.1</v>
      </c>
      <c r="AH1250" s="38">
        <v>0</v>
      </c>
      <c r="AI1250" s="38">
        <f>AH1250/(3.5*I1250*1000)*100</f>
        <v>0</v>
      </c>
      <c r="AJ1250" s="38">
        <v>0</v>
      </c>
      <c r="AK1250" s="38">
        <f>AJ1250/(3.5*I1250*1000)*100</f>
        <v>0</v>
      </c>
      <c r="AL1250" s="38">
        <v>0</v>
      </c>
      <c r="AM1250" s="38">
        <f>AL1250/(3.5*I1250*1000)*100</f>
        <v>0</v>
      </c>
      <c r="AN1250" s="41"/>
      <c r="AO1250" s="22"/>
      <c r="AP1250" s="22"/>
      <c r="AQ1250" s="22"/>
      <c r="AR1250" s="22"/>
      <c r="AS1250" s="22"/>
      <c r="AT1250" s="22"/>
      <c r="AU1250" s="22"/>
      <c r="AV1250" s="22"/>
      <c r="AW1250" s="22"/>
      <c r="AX1250" s="22"/>
      <c r="AY1250" s="22"/>
      <c r="AZ1250" s="22"/>
      <c r="BA1250" s="22"/>
      <c r="BB1250" s="22"/>
      <c r="BC1250" s="22"/>
      <c r="BD1250" s="22"/>
      <c r="BE1250" s="22"/>
      <c r="BF1250" s="22"/>
      <c r="BG1250" s="22"/>
      <c r="BH1250" s="22"/>
      <c r="BI1250" s="22"/>
      <c r="BJ1250" s="22"/>
      <c r="BK1250" s="22"/>
      <c r="BL1250" s="22"/>
      <c r="BM1250" s="22"/>
      <c r="BN1250" s="22"/>
      <c r="BO1250" s="22"/>
      <c r="BP1250" s="22"/>
      <c r="BQ1250" s="22"/>
      <c r="BR1250" s="22"/>
      <c r="BS1250" s="22"/>
      <c r="BT1250" s="22"/>
      <c r="BU1250" s="22"/>
      <c r="BV1250" s="22"/>
      <c r="BW1250" s="22"/>
      <c r="BX1250" s="22"/>
      <c r="BY1250" s="22"/>
      <c r="BZ1250" s="22"/>
      <c r="CA1250" s="22"/>
      <c r="CB1250" s="22"/>
      <c r="CC1250" s="22"/>
      <c r="CD1250" s="22"/>
      <c r="CE1250" s="22"/>
      <c r="CF1250" s="22"/>
      <c r="CG1250" s="22"/>
      <c r="CH1250" s="22"/>
      <c r="CI1250" s="22"/>
      <c r="CJ1250" s="22"/>
    </row>
    <row r="1251" spans="1:88" ht="26.25" customHeight="1">
      <c r="A1251" s="1">
        <v>624</v>
      </c>
      <c r="B1251" s="34" t="s">
        <v>1017</v>
      </c>
      <c r="C1251" s="34">
        <v>555</v>
      </c>
      <c r="D1251" s="34">
        <v>2195</v>
      </c>
      <c r="E1251" s="34">
        <v>103</v>
      </c>
      <c r="F1251" s="9" t="s">
        <v>1027</v>
      </c>
      <c r="G1251" s="118">
        <v>59257</v>
      </c>
      <c r="H1251" s="118">
        <v>114102</v>
      </c>
      <c r="I1251" s="35">
        <v>54.844999999999999</v>
      </c>
      <c r="J1251" s="78">
        <v>2</v>
      </c>
      <c r="K1251" s="34" t="s">
        <v>238</v>
      </c>
      <c r="L1251" s="10">
        <v>42188</v>
      </c>
      <c r="M1251" s="9" t="s">
        <v>191</v>
      </c>
      <c r="N1251" s="38">
        <v>31.35</v>
      </c>
      <c r="O1251" s="38">
        <v>13.5</v>
      </c>
      <c r="P1251" s="38">
        <v>5.625</v>
      </c>
      <c r="Q1251" s="38">
        <v>3.7250000000000001</v>
      </c>
      <c r="R1251" s="38">
        <v>2.8902299999999999</v>
      </c>
      <c r="S1251" s="38">
        <f t="shared" si="152"/>
        <v>3</v>
      </c>
      <c r="T1251" s="38">
        <v>51.3</v>
      </c>
      <c r="U1251" s="38">
        <v>2.125</v>
      </c>
      <c r="V1251" s="38">
        <v>0.4</v>
      </c>
      <c r="W1251" s="38">
        <v>0.375</v>
      </c>
      <c r="X1251" s="38">
        <v>4.5974500000000003</v>
      </c>
      <c r="Y1251" s="38">
        <f t="shared" si="153"/>
        <v>4.5</v>
      </c>
      <c r="Z1251" s="38">
        <v>2.5000000000000001E-2</v>
      </c>
      <c r="AA1251" s="38">
        <v>0</v>
      </c>
      <c r="AB1251" s="38">
        <f>N1251+O1251+P1251+Q1251</f>
        <v>54.2</v>
      </c>
      <c r="AC1251" s="38">
        <v>1.2901400000000001</v>
      </c>
      <c r="AD1251" s="38">
        <v>143</v>
      </c>
      <c r="AE1251" s="38">
        <v>77.23</v>
      </c>
      <c r="AF1251" s="38">
        <f>(AD1251+AE1251*0.5)/(3.5*I1251*1000)*100</f>
        <v>9.4612088613364953E-2</v>
      </c>
      <c r="AG1251" s="38">
        <f t="shared" si="154"/>
        <v>0.1</v>
      </c>
      <c r="AH1251" s="38">
        <v>0</v>
      </c>
      <c r="AI1251" s="38">
        <f>AH1251/(3.5*I1251*1000)*100</f>
        <v>0</v>
      </c>
      <c r="AJ1251" s="38">
        <v>591</v>
      </c>
      <c r="AK1251" s="38">
        <f>AJ1251/(3.5*I1251*1000)*100</f>
        <v>0.30788065066486076</v>
      </c>
      <c r="AL1251" s="38">
        <v>0</v>
      </c>
      <c r="AM1251" s="38">
        <f>AL1251/(3.5*I1251*1000)*100</f>
        <v>0</v>
      </c>
      <c r="AN1251" s="25"/>
      <c r="AO1251" s="25">
        <f>AE1251*0.5</f>
        <v>38.615000000000002</v>
      </c>
      <c r="AP1251" s="25">
        <f>(AD1251+AH1251+AJ1251+AL1251+AO1251)*I1251</f>
        <v>42374.069674999999</v>
      </c>
      <c r="AQ1251" s="25">
        <f>SUM(N1251:Q1251)</f>
        <v>54.2</v>
      </c>
      <c r="AR1251" s="25">
        <f>SUM(T1251:W1251)</f>
        <v>54.199999999999996</v>
      </c>
      <c r="AS1251" s="22"/>
      <c r="AT1251" s="41"/>
      <c r="AU1251" s="41"/>
      <c r="AV1251" s="41"/>
      <c r="AW1251" s="41"/>
      <c r="AX1251" s="22"/>
      <c r="AY1251" s="22"/>
      <c r="AZ1251" s="22"/>
      <c r="BA1251" s="22"/>
      <c r="BB1251" s="22"/>
      <c r="BC1251" s="22"/>
      <c r="BD1251" s="22"/>
      <c r="BE1251" s="22"/>
      <c r="BF1251" s="22"/>
      <c r="BG1251" s="22"/>
      <c r="BH1251" s="22"/>
      <c r="BI1251" s="22"/>
      <c r="BJ1251" s="22"/>
      <c r="BK1251" s="22"/>
      <c r="BL1251" s="22"/>
      <c r="BM1251" s="22"/>
      <c r="BN1251" s="22"/>
      <c r="BO1251" s="22"/>
      <c r="BP1251" s="22"/>
      <c r="BQ1251" s="22"/>
      <c r="BR1251" s="22"/>
      <c r="BS1251" s="22"/>
      <c r="BT1251" s="22"/>
      <c r="BU1251" s="22"/>
      <c r="BV1251" s="22"/>
      <c r="BW1251" s="22"/>
      <c r="BX1251" s="22"/>
      <c r="BY1251" s="22"/>
      <c r="BZ1251" s="22"/>
      <c r="CA1251" s="22"/>
      <c r="CB1251" s="22"/>
      <c r="CC1251" s="22"/>
      <c r="CD1251" s="22"/>
      <c r="CE1251" s="22"/>
      <c r="CF1251" s="22"/>
      <c r="CG1251" s="22"/>
      <c r="CH1251" s="22"/>
      <c r="CI1251" s="22"/>
      <c r="CJ1251" s="22"/>
    </row>
    <row r="1252" spans="1:88" ht="26.25" customHeight="1">
      <c r="A1252" s="1">
        <v>66</v>
      </c>
      <c r="B1252" s="4" t="s">
        <v>44</v>
      </c>
      <c r="C1252" s="14">
        <v>524</v>
      </c>
      <c r="D1252" s="19">
        <v>106</v>
      </c>
      <c r="E1252" s="16">
        <v>203</v>
      </c>
      <c r="F1252" s="14" t="s">
        <v>47</v>
      </c>
      <c r="G1252" s="20" t="s">
        <v>130</v>
      </c>
      <c r="H1252" s="20" t="s">
        <v>131</v>
      </c>
      <c r="I1252" s="21">
        <v>31.023</v>
      </c>
      <c r="J1252" s="8">
        <v>2</v>
      </c>
      <c r="K1252" s="9" t="s">
        <v>238</v>
      </c>
      <c r="L1252" s="18">
        <v>42228</v>
      </c>
      <c r="M1252" s="9" t="s">
        <v>191</v>
      </c>
      <c r="N1252" s="11">
        <v>15.475</v>
      </c>
      <c r="O1252" s="11">
        <v>8.4499999999999993</v>
      </c>
      <c r="P1252" s="11">
        <v>4.3</v>
      </c>
      <c r="Q1252" s="11">
        <v>3</v>
      </c>
      <c r="R1252" s="11">
        <v>2.9252699999999998</v>
      </c>
      <c r="S1252" s="38">
        <f t="shared" si="152"/>
        <v>3</v>
      </c>
      <c r="T1252" s="11">
        <v>30.55</v>
      </c>
      <c r="U1252" s="11">
        <v>0.55000000000000004</v>
      </c>
      <c r="V1252" s="11">
        <v>0.1</v>
      </c>
      <c r="W1252" s="11">
        <v>2.5000000000000001E-2</v>
      </c>
      <c r="X1252" s="11">
        <v>2.8704999999999998</v>
      </c>
      <c r="Y1252" s="38">
        <f t="shared" si="153"/>
        <v>3</v>
      </c>
      <c r="Z1252" s="11">
        <v>0</v>
      </c>
      <c r="AA1252" s="11">
        <v>0</v>
      </c>
      <c r="AB1252" s="11">
        <v>31.224999999999998</v>
      </c>
      <c r="AC1252" s="11">
        <v>1.07942</v>
      </c>
      <c r="AD1252" s="11">
        <v>102.33499999999999</v>
      </c>
      <c r="AE1252" s="11">
        <v>0</v>
      </c>
      <c r="AF1252" s="11">
        <f>(AD1252+AE1252*0.5)/(3.5*I1252*1000)*100</f>
        <v>9.4248046380335321E-2</v>
      </c>
      <c r="AG1252" s="38">
        <f t="shared" si="154"/>
        <v>0.1</v>
      </c>
      <c r="AH1252" s="11">
        <v>142.36000000000001</v>
      </c>
      <c r="AI1252" s="11">
        <f>AH1252/(3.5*I1252*1000)*100</f>
        <v>0.13111009803786133</v>
      </c>
      <c r="AJ1252" s="11">
        <v>3.21</v>
      </c>
      <c r="AK1252" s="11">
        <f>AJ1252/(3.5*I1252*1000)*100</f>
        <v>2.9563319380551756E-3</v>
      </c>
      <c r="AL1252" s="11">
        <v>0</v>
      </c>
      <c r="AM1252" s="11">
        <f>AL1252/(3.5*I1252*1000)*100</f>
        <v>0</v>
      </c>
      <c r="AN1252" s="25"/>
      <c r="AO1252" s="25"/>
      <c r="AP1252" s="22"/>
      <c r="AQ1252" s="22"/>
      <c r="AR1252" s="22"/>
      <c r="AS1252" s="22"/>
      <c r="AT1252" s="22"/>
      <c r="AU1252" s="22"/>
      <c r="AV1252" s="22"/>
      <c r="AW1252" s="22"/>
      <c r="AX1252" s="22"/>
      <c r="AY1252" s="22"/>
      <c r="AZ1252" s="22"/>
      <c r="BA1252" s="22"/>
      <c r="BB1252" s="22"/>
      <c r="BC1252" s="22"/>
      <c r="BD1252" s="22"/>
      <c r="BE1252" s="22"/>
      <c r="BF1252" s="22"/>
      <c r="BG1252" s="22"/>
      <c r="BH1252" s="22"/>
      <c r="BI1252" s="22"/>
      <c r="BJ1252" s="22"/>
      <c r="BK1252" s="22"/>
      <c r="BL1252" s="22"/>
      <c r="BM1252" s="22"/>
      <c r="BN1252" s="22"/>
      <c r="BO1252" s="22"/>
      <c r="BP1252" s="22"/>
      <c r="BQ1252" s="22"/>
      <c r="BR1252" s="22"/>
      <c r="BS1252" s="22"/>
      <c r="BT1252" s="22"/>
      <c r="BU1252" s="22"/>
      <c r="BV1252" s="22"/>
      <c r="BW1252" s="22"/>
      <c r="BX1252" s="22"/>
      <c r="BY1252" s="22"/>
      <c r="BZ1252" s="22"/>
      <c r="CA1252" s="22"/>
      <c r="CB1252" s="22"/>
      <c r="CC1252" s="22"/>
      <c r="CD1252" s="22"/>
      <c r="CE1252" s="22"/>
      <c r="CF1252" s="22"/>
      <c r="CG1252" s="22"/>
      <c r="CH1252" s="22"/>
      <c r="CI1252" s="22"/>
      <c r="CJ1252" s="22"/>
    </row>
    <row r="1253" spans="1:88" ht="26.25" customHeight="1">
      <c r="A1253" s="1">
        <v>353</v>
      </c>
      <c r="B1253" s="74" t="s">
        <v>571</v>
      </c>
      <c r="C1253" s="34">
        <v>512</v>
      </c>
      <c r="D1253" s="75">
        <v>1111</v>
      </c>
      <c r="E1253" s="69">
        <v>100</v>
      </c>
      <c r="F1253" s="76" t="s">
        <v>585</v>
      </c>
      <c r="G1253" s="20" t="s">
        <v>92</v>
      </c>
      <c r="H1253" s="20" t="s">
        <v>586</v>
      </c>
      <c r="I1253" s="21">
        <v>17.363</v>
      </c>
      <c r="J1253" s="8">
        <v>2</v>
      </c>
      <c r="K1253" s="34" t="s">
        <v>238</v>
      </c>
      <c r="L1253" s="18">
        <v>42259</v>
      </c>
      <c r="M1253" s="71" t="s">
        <v>191</v>
      </c>
      <c r="N1253" s="38">
        <v>10.28</v>
      </c>
      <c r="O1253" s="38">
        <v>3.85</v>
      </c>
      <c r="P1253" s="38">
        <v>2.125</v>
      </c>
      <c r="Q1253" s="38">
        <v>1.28</v>
      </c>
      <c r="R1253" s="38">
        <v>2.6447500000000002</v>
      </c>
      <c r="S1253" s="38">
        <f t="shared" si="152"/>
        <v>2.5</v>
      </c>
      <c r="T1253" s="38">
        <v>15.025</v>
      </c>
      <c r="U1253" s="38">
        <v>2.25</v>
      </c>
      <c r="V1253" s="38">
        <v>0.22500000000000001</v>
      </c>
      <c r="W1253" s="38">
        <v>2.5000000000000001E-2</v>
      </c>
      <c r="X1253" s="38">
        <v>6.4912200000000002</v>
      </c>
      <c r="Y1253" s="38">
        <f t="shared" si="153"/>
        <v>6.5</v>
      </c>
      <c r="Z1253" s="38">
        <v>0</v>
      </c>
      <c r="AA1253" s="38">
        <v>0</v>
      </c>
      <c r="AB1253" s="38">
        <v>17.535</v>
      </c>
      <c r="AC1253" s="38">
        <v>2.3506100000000001</v>
      </c>
      <c r="AD1253" s="38">
        <v>57.14</v>
      </c>
      <c r="AE1253" s="38">
        <v>0</v>
      </c>
      <c r="AF1253" s="38">
        <f>(AD1253+AE1253*0.5)/(3.5*I1253*1000)*100</f>
        <v>9.4025884269505769E-2</v>
      </c>
      <c r="AG1253" s="38">
        <f t="shared" si="154"/>
        <v>0.1</v>
      </c>
      <c r="AH1253" s="38">
        <v>65.319999999999993</v>
      </c>
      <c r="AI1253" s="38">
        <f>AH1253/(3.5*I1253*1000)*100</f>
        <v>0.10748636262660335</v>
      </c>
      <c r="AJ1253" s="38">
        <v>0.68</v>
      </c>
      <c r="AK1253" s="38">
        <f>AJ1253/(3.5*I1253*1000)*100</f>
        <v>1.118963971005669E-3</v>
      </c>
      <c r="AL1253" s="38">
        <v>0</v>
      </c>
      <c r="AM1253" s="38">
        <f>AL1253/(3.5*I1253*1000)*100</f>
        <v>0</v>
      </c>
      <c r="AN1253" s="72"/>
      <c r="AO1253" s="41"/>
      <c r="AP1253" s="41"/>
      <c r="AQ1253" s="73"/>
      <c r="AR1253" s="73"/>
      <c r="AS1253" s="73"/>
      <c r="AT1253" s="73"/>
      <c r="AU1253" s="22"/>
      <c r="AV1253" s="22"/>
      <c r="AW1253" s="22"/>
      <c r="AX1253" s="22"/>
      <c r="AY1253" s="22"/>
      <c r="AZ1253" s="22"/>
      <c r="BA1253" s="22"/>
      <c r="BB1253" s="22"/>
      <c r="BC1253" s="22"/>
      <c r="BD1253" s="22"/>
      <c r="BE1253" s="22"/>
      <c r="BF1253" s="22"/>
      <c r="BG1253" s="22"/>
      <c r="BH1253" s="22"/>
      <c r="BI1253" s="22"/>
      <c r="BJ1253" s="22"/>
      <c r="BK1253" s="22"/>
      <c r="BL1253" s="22"/>
      <c r="BM1253" s="22"/>
      <c r="BN1253" s="22"/>
      <c r="BO1253" s="22"/>
      <c r="BP1253" s="22"/>
      <c r="BQ1253" s="22"/>
      <c r="BR1253" s="22"/>
      <c r="BS1253" s="22"/>
      <c r="BT1253" s="22"/>
      <c r="BU1253" s="22"/>
      <c r="BV1253" s="22"/>
      <c r="BW1253" s="22"/>
      <c r="BX1253" s="22"/>
      <c r="BY1253" s="22"/>
      <c r="BZ1253" s="22"/>
      <c r="CA1253" s="22"/>
      <c r="CB1253" s="22"/>
      <c r="CC1253" s="22"/>
      <c r="CD1253" s="22"/>
      <c r="CE1253" s="22"/>
      <c r="CF1253" s="22"/>
      <c r="CG1253" s="22"/>
      <c r="CH1253" s="22"/>
      <c r="CI1253" s="22"/>
      <c r="CJ1253" s="22"/>
    </row>
    <row r="1254" spans="1:88">
      <c r="A1254" s="1">
        <v>1450</v>
      </c>
      <c r="B1254" s="34" t="s">
        <v>1987</v>
      </c>
      <c r="C1254" s="34">
        <v>448</v>
      </c>
      <c r="D1254" s="75">
        <v>368</v>
      </c>
      <c r="E1254" s="69">
        <v>100</v>
      </c>
      <c r="F1254" s="34" t="s">
        <v>2001</v>
      </c>
      <c r="G1254" s="20">
        <v>0</v>
      </c>
      <c r="H1254" s="20">
        <v>4865</v>
      </c>
      <c r="I1254" s="21">
        <v>4.8650000000000002</v>
      </c>
      <c r="J1254" s="8">
        <v>4</v>
      </c>
      <c r="K1254" s="34" t="s">
        <v>237</v>
      </c>
      <c r="L1254" s="10">
        <v>42181</v>
      </c>
      <c r="M1254" s="9" t="s">
        <v>191</v>
      </c>
      <c r="N1254" s="38">
        <v>3.2</v>
      </c>
      <c r="O1254" s="38">
        <v>0.82499999999999996</v>
      </c>
      <c r="P1254" s="38">
        <v>0.65</v>
      </c>
      <c r="Q1254" s="38">
        <v>0.35</v>
      </c>
      <c r="R1254" s="38">
        <v>2.6911900000000002</v>
      </c>
      <c r="S1254" s="38">
        <f t="shared" si="152"/>
        <v>2.5</v>
      </c>
      <c r="T1254" s="38">
        <v>4.8250000000000002</v>
      </c>
      <c r="U1254" s="38">
        <v>0.1</v>
      </c>
      <c r="V1254" s="38">
        <v>0.05</v>
      </c>
      <c r="W1254" s="38">
        <v>0.05</v>
      </c>
      <c r="X1254" s="38">
        <v>4.1965000000000003</v>
      </c>
      <c r="Y1254" s="38">
        <f t="shared" si="153"/>
        <v>4</v>
      </c>
      <c r="Z1254" s="38">
        <v>0</v>
      </c>
      <c r="AA1254" s="38">
        <v>0</v>
      </c>
      <c r="AB1254" s="38">
        <v>5.0250000000000004</v>
      </c>
      <c r="AC1254" s="38">
        <v>1.0022800000000001</v>
      </c>
      <c r="AD1254" s="38">
        <v>0</v>
      </c>
      <c r="AE1254" s="38">
        <v>32</v>
      </c>
      <c r="AF1254" s="38">
        <f>(AD1254+AE1254*0.5)/(3.5*I1254*1000)*100</f>
        <v>9.3965643811481425E-2</v>
      </c>
      <c r="AG1254" s="38">
        <f t="shared" si="154"/>
        <v>0.1</v>
      </c>
      <c r="AH1254" s="38">
        <v>3</v>
      </c>
      <c r="AI1254" s="38">
        <f>AH1254/(3.5*I1254*1000)*100</f>
        <v>1.7618558214652767E-2</v>
      </c>
      <c r="AJ1254" s="38">
        <v>10</v>
      </c>
      <c r="AK1254" s="38">
        <f>AJ1254/(3.5*I1254*1000)*100</f>
        <v>5.8728527382175891E-2</v>
      </c>
      <c r="AL1254" s="38">
        <v>0</v>
      </c>
      <c r="AM1254" s="38">
        <f>AL1254/(3.5*I1254*1000)*100</f>
        <v>0</v>
      </c>
      <c r="AN1254" s="72"/>
      <c r="AO1254" s="41"/>
      <c r="AP1254" s="41"/>
      <c r="AQ1254" s="73"/>
      <c r="AR1254" s="73"/>
      <c r="AS1254" s="73"/>
      <c r="AT1254" s="73"/>
      <c r="AU1254" s="73"/>
      <c r="AV1254" s="73"/>
      <c r="AW1254" s="22"/>
      <c r="AX1254" s="22"/>
      <c r="AY1254" s="22"/>
      <c r="AZ1254" s="22"/>
      <c r="BA1254" s="22"/>
      <c r="BB1254" s="22"/>
      <c r="BC1254" s="22"/>
      <c r="BD1254" s="22"/>
      <c r="BE1254" s="22"/>
      <c r="BF1254" s="22"/>
      <c r="BG1254" s="22"/>
      <c r="BH1254" s="22"/>
      <c r="BI1254" s="22"/>
      <c r="BJ1254" s="22"/>
      <c r="BK1254" s="22"/>
      <c r="BL1254" s="22"/>
      <c r="BM1254" s="22"/>
      <c r="BN1254" s="22"/>
      <c r="BO1254" s="22"/>
      <c r="BP1254" s="22"/>
      <c r="BQ1254" s="22"/>
      <c r="BR1254" s="22"/>
      <c r="BS1254" s="22"/>
      <c r="BT1254" s="22"/>
      <c r="BU1254" s="22"/>
      <c r="BV1254" s="22"/>
      <c r="BW1254" s="22"/>
      <c r="BX1254" s="22"/>
      <c r="BY1254" s="22"/>
      <c r="BZ1254" s="22"/>
      <c r="CA1254" s="22"/>
      <c r="CB1254" s="22"/>
      <c r="CC1254" s="22"/>
      <c r="CD1254" s="22"/>
      <c r="CE1254" s="22"/>
      <c r="CF1254" s="22"/>
      <c r="CG1254" s="22"/>
      <c r="CH1254" s="22"/>
      <c r="CI1254" s="22"/>
      <c r="CJ1254" s="22"/>
    </row>
    <row r="1255" spans="1:88">
      <c r="A1255" s="1">
        <v>526</v>
      </c>
      <c r="B1255" s="88" t="s">
        <v>871</v>
      </c>
      <c r="C1255" s="88">
        <v>557</v>
      </c>
      <c r="D1255" s="88">
        <v>1246</v>
      </c>
      <c r="E1255" s="88">
        <v>100</v>
      </c>
      <c r="F1255" s="88" t="s">
        <v>904</v>
      </c>
      <c r="G1255" s="88" t="s">
        <v>92</v>
      </c>
      <c r="H1255" s="88" t="s">
        <v>905</v>
      </c>
      <c r="I1255" s="115">
        <v>17.881</v>
      </c>
      <c r="J1255" s="88" t="s">
        <v>238</v>
      </c>
      <c r="K1255" s="88">
        <v>2</v>
      </c>
      <c r="L1255" s="116">
        <v>42269</v>
      </c>
      <c r="M1255" s="9" t="s">
        <v>191</v>
      </c>
      <c r="N1255" s="38">
        <v>14.93</v>
      </c>
      <c r="O1255" s="38">
        <v>2</v>
      </c>
      <c r="P1255" s="38">
        <v>0.55000000000000004</v>
      </c>
      <c r="Q1255" s="38">
        <v>0.35</v>
      </c>
      <c r="R1255" s="38">
        <v>1.9628300000000001</v>
      </c>
      <c r="S1255" s="38">
        <f t="shared" si="152"/>
        <v>2</v>
      </c>
      <c r="T1255" s="38">
        <v>17.8</v>
      </c>
      <c r="U1255" s="38">
        <v>2.5000000000000001E-2</v>
      </c>
      <c r="V1255" s="38">
        <v>0</v>
      </c>
      <c r="W1255" s="38">
        <v>0</v>
      </c>
      <c r="X1255" s="38">
        <v>2.7952900000000001</v>
      </c>
      <c r="Y1255" s="38">
        <f t="shared" si="153"/>
        <v>3</v>
      </c>
      <c r="Z1255" s="117">
        <v>0</v>
      </c>
      <c r="AA1255" s="117">
        <v>0</v>
      </c>
      <c r="AB1255" s="117">
        <v>17.830000000000002</v>
      </c>
      <c r="AC1255" s="117">
        <v>1.1913100000000001</v>
      </c>
      <c r="AD1255" s="117">
        <v>58.73</v>
      </c>
      <c r="AE1255" s="117">
        <v>0</v>
      </c>
      <c r="AF1255" s="117">
        <v>9.3842999999999996E-2</v>
      </c>
      <c r="AG1255" s="38">
        <f t="shared" si="154"/>
        <v>0.1</v>
      </c>
      <c r="AH1255" s="117">
        <v>67.484999999999999</v>
      </c>
      <c r="AI1255" s="117">
        <v>0.107832</v>
      </c>
      <c r="AJ1255" s="117">
        <v>0</v>
      </c>
      <c r="AK1255" s="117">
        <v>0</v>
      </c>
      <c r="AL1255" s="117">
        <v>0</v>
      </c>
      <c r="AM1255" s="117">
        <v>0</v>
      </c>
      <c r="AN1255" s="25"/>
      <c r="AO1255" s="25"/>
      <c r="AP1255" s="22"/>
      <c r="AQ1255" s="22"/>
    </row>
    <row r="1256" spans="1:88">
      <c r="A1256" s="1">
        <v>395</v>
      </c>
      <c r="B1256" s="74" t="s">
        <v>655</v>
      </c>
      <c r="C1256" s="34">
        <v>511</v>
      </c>
      <c r="D1256" s="75">
        <v>117</v>
      </c>
      <c r="E1256" s="69">
        <v>302</v>
      </c>
      <c r="F1256" s="34" t="s">
        <v>658</v>
      </c>
      <c r="G1256" s="20" t="s">
        <v>659</v>
      </c>
      <c r="H1256" s="20" t="s">
        <v>660</v>
      </c>
      <c r="I1256" s="21">
        <v>36.179000000000002</v>
      </c>
      <c r="J1256" s="8" t="s">
        <v>12</v>
      </c>
      <c r="K1256" s="34">
        <v>2</v>
      </c>
      <c r="L1256" s="18">
        <v>42266</v>
      </c>
      <c r="M1256" s="9" t="s">
        <v>191</v>
      </c>
      <c r="N1256" s="38">
        <v>28.72</v>
      </c>
      <c r="O1256" s="38">
        <v>5.58</v>
      </c>
      <c r="P1256" s="38">
        <v>1.33</v>
      </c>
      <c r="Q1256" s="38">
        <v>0.55000000000000004</v>
      </c>
      <c r="R1256" s="38">
        <v>2.0634899999999998</v>
      </c>
      <c r="S1256" s="38">
        <f t="shared" si="152"/>
        <v>2</v>
      </c>
      <c r="T1256" s="38">
        <v>35.68</v>
      </c>
      <c r="U1256" s="38">
        <v>0.43</v>
      </c>
      <c r="V1256" s="38">
        <v>0.08</v>
      </c>
      <c r="W1256" s="38">
        <v>0</v>
      </c>
      <c r="X1256" s="38">
        <v>3.45729</v>
      </c>
      <c r="Y1256" s="38">
        <f t="shared" si="153"/>
        <v>3.5</v>
      </c>
      <c r="Z1256" s="38">
        <v>0</v>
      </c>
      <c r="AA1256" s="38">
        <v>0</v>
      </c>
      <c r="AB1256" s="38">
        <v>36.18</v>
      </c>
      <c r="AC1256" s="38">
        <v>1.22001</v>
      </c>
      <c r="AD1256" s="38">
        <v>112.36</v>
      </c>
      <c r="AE1256" s="38">
        <v>11.85</v>
      </c>
      <c r="AF1256" s="38">
        <v>9.3412999999999996E-2</v>
      </c>
      <c r="AG1256" s="38">
        <f t="shared" si="154"/>
        <v>0.1</v>
      </c>
      <c r="AH1256" s="38">
        <v>1.2</v>
      </c>
      <c r="AI1256" s="38">
        <v>9.4799999999999995E-4</v>
      </c>
      <c r="AJ1256" s="38">
        <v>1.95</v>
      </c>
      <c r="AK1256" s="38">
        <v>1.5399999999999999E-3</v>
      </c>
      <c r="AL1256" s="38">
        <v>0</v>
      </c>
      <c r="AM1256" s="38">
        <v>0</v>
      </c>
      <c r="AN1256" s="72"/>
      <c r="AO1256" s="41"/>
      <c r="AP1256" s="41"/>
      <c r="AQ1256" s="41">
        <f>SUM(N1256:Q1256)</f>
        <v>36.179999999999993</v>
      </c>
      <c r="AR1256" s="41">
        <f>SUM(T1256:W1256)</f>
        <v>36.19</v>
      </c>
      <c r="AS1256" s="41">
        <f>SUM(Z1256:AB1256)</f>
        <v>36.18</v>
      </c>
      <c r="AT1256" s="22"/>
      <c r="AU1256" s="22">
        <f>I1256/AQ1256</f>
        <v>0.99997236042012183</v>
      </c>
      <c r="AV1256" s="22">
        <f>I1256/AR1256</f>
        <v>0.99969604863221895</v>
      </c>
      <c r="AW1256" s="22">
        <f>I1256/AS1256</f>
        <v>0.99997236042012172</v>
      </c>
      <c r="AX1256" s="22"/>
      <c r="AY1256" s="22"/>
      <c r="AZ1256" s="22"/>
      <c r="BA1256" s="22"/>
      <c r="BB1256" s="22"/>
      <c r="BC1256" s="22"/>
      <c r="BD1256" s="22"/>
      <c r="BE1256" s="22"/>
      <c r="BF1256" s="22"/>
      <c r="BG1256" s="22"/>
      <c r="BH1256" s="22"/>
      <c r="BI1256" s="22"/>
      <c r="BJ1256" s="22"/>
      <c r="BK1256" s="22"/>
      <c r="BL1256" s="22"/>
      <c r="BM1256" s="22"/>
      <c r="BN1256" s="22"/>
      <c r="BO1256" s="22"/>
      <c r="BP1256" s="22"/>
      <c r="BQ1256" s="22"/>
      <c r="BR1256" s="22"/>
      <c r="BS1256" s="22"/>
      <c r="BT1256" s="22"/>
      <c r="BU1256" s="22"/>
      <c r="BV1256" s="22"/>
      <c r="BW1256" s="22"/>
      <c r="BX1256" s="22"/>
      <c r="BY1256" s="22"/>
      <c r="BZ1256" s="22"/>
      <c r="CA1256" s="22"/>
      <c r="CB1256" s="22"/>
      <c r="CC1256" s="22"/>
      <c r="CD1256" s="22"/>
      <c r="CE1256" s="22"/>
      <c r="CF1256" s="22"/>
      <c r="CG1256" s="22"/>
      <c r="CH1256" s="22"/>
      <c r="CI1256" s="22"/>
      <c r="CJ1256" s="22"/>
    </row>
    <row r="1257" spans="1:88">
      <c r="A1257" s="1">
        <v>1220</v>
      </c>
      <c r="B1257" s="34" t="s">
        <v>1674</v>
      </c>
      <c r="C1257" s="34">
        <v>435</v>
      </c>
      <c r="D1257" s="34">
        <v>2357</v>
      </c>
      <c r="E1257" s="34">
        <v>100</v>
      </c>
      <c r="F1257" s="34" t="s">
        <v>1720</v>
      </c>
      <c r="G1257" s="34" t="s">
        <v>92</v>
      </c>
      <c r="H1257" s="34" t="s">
        <v>1721</v>
      </c>
      <c r="I1257" s="55">
        <v>16.678999999999998</v>
      </c>
      <c r="J1257" s="34">
        <v>2</v>
      </c>
      <c r="K1257" s="181" t="s">
        <v>238</v>
      </c>
      <c r="L1257" s="10">
        <v>42282</v>
      </c>
      <c r="M1257" s="9" t="s">
        <v>191</v>
      </c>
      <c r="N1257" s="38">
        <v>7.8</v>
      </c>
      <c r="O1257" s="38">
        <v>4.8250000000000002</v>
      </c>
      <c r="P1257" s="38">
        <v>2.7250000000000001</v>
      </c>
      <c r="Q1257" s="38">
        <v>1.375</v>
      </c>
      <c r="R1257" s="38">
        <v>2.9895999999999998</v>
      </c>
      <c r="S1257" s="38">
        <f t="shared" si="152"/>
        <v>3</v>
      </c>
      <c r="T1257" s="38">
        <v>15.475</v>
      </c>
      <c r="U1257" s="38">
        <v>0.9</v>
      </c>
      <c r="V1257" s="38">
        <v>0.15</v>
      </c>
      <c r="W1257" s="38">
        <v>0.2</v>
      </c>
      <c r="X1257" s="38">
        <v>3.9025799999999999</v>
      </c>
      <c r="Y1257" s="38">
        <f t="shared" si="153"/>
        <v>4</v>
      </c>
      <c r="Z1257" s="38">
        <v>0</v>
      </c>
      <c r="AA1257" s="38">
        <v>0</v>
      </c>
      <c r="AB1257" s="55">
        <v>16.678999999999998</v>
      </c>
      <c r="AC1257" s="38">
        <v>1.5147299999999999</v>
      </c>
      <c r="AD1257" s="38">
        <v>49.64</v>
      </c>
      <c r="AE1257" s="38">
        <v>9.48</v>
      </c>
      <c r="AF1257" s="38">
        <f>(AD1257+AE1257*0.5)/(3.5*I1257*1000)*100</f>
        <v>9.3153923239659805E-2</v>
      </c>
      <c r="AG1257" s="38">
        <f t="shared" si="154"/>
        <v>0.1</v>
      </c>
      <c r="AH1257" s="38">
        <v>18.36</v>
      </c>
      <c r="AI1257" s="38">
        <v>3.1451E-2</v>
      </c>
      <c r="AJ1257" s="38">
        <v>0</v>
      </c>
      <c r="AK1257" s="38">
        <v>0</v>
      </c>
      <c r="AL1257" s="38">
        <v>0</v>
      </c>
      <c r="AM1257" s="38">
        <v>0</v>
      </c>
      <c r="AN1257" s="12"/>
    </row>
    <row r="1258" spans="1:88">
      <c r="A1258" s="1">
        <v>1329</v>
      </c>
      <c r="B1258" s="74" t="s">
        <v>1851</v>
      </c>
      <c r="C1258" s="34">
        <v>444</v>
      </c>
      <c r="D1258" s="75">
        <v>3229</v>
      </c>
      <c r="E1258" s="69">
        <v>101</v>
      </c>
      <c r="F1258" s="34" t="s">
        <v>1875</v>
      </c>
      <c r="G1258" s="20">
        <v>0</v>
      </c>
      <c r="H1258" s="20">
        <v>18572</v>
      </c>
      <c r="I1258" s="21">
        <v>18.571999999999999</v>
      </c>
      <c r="J1258" s="8">
        <v>2</v>
      </c>
      <c r="K1258" s="34" t="s">
        <v>12</v>
      </c>
      <c r="L1258" s="10">
        <v>42213</v>
      </c>
      <c r="M1258" s="9" t="s">
        <v>191</v>
      </c>
      <c r="N1258" s="38">
        <v>12.9</v>
      </c>
      <c r="O1258" s="38">
        <v>3.7250000000000001</v>
      </c>
      <c r="P1258" s="38">
        <v>1.125</v>
      </c>
      <c r="Q1258" s="38">
        <v>0.5</v>
      </c>
      <c r="R1258" s="38">
        <v>2.2872499999999998</v>
      </c>
      <c r="S1258" s="38">
        <f t="shared" si="152"/>
        <v>2.5</v>
      </c>
      <c r="T1258" s="38">
        <v>18.125</v>
      </c>
      <c r="U1258" s="38">
        <v>0.05</v>
      </c>
      <c r="V1258" s="38">
        <v>2.5000000000000001E-2</v>
      </c>
      <c r="W1258" s="38">
        <v>0.05</v>
      </c>
      <c r="X1258" s="38">
        <v>1.8633500000000001</v>
      </c>
      <c r="Y1258" s="38">
        <f t="shared" si="153"/>
        <v>2</v>
      </c>
      <c r="Z1258" s="38">
        <v>0</v>
      </c>
      <c r="AA1258" s="38">
        <v>0</v>
      </c>
      <c r="AB1258" s="38">
        <v>18.25</v>
      </c>
      <c r="AC1258" s="38">
        <v>1.2467699999999999</v>
      </c>
      <c r="AD1258" s="38">
        <v>57</v>
      </c>
      <c r="AE1258" s="38">
        <v>7</v>
      </c>
      <c r="AF1258" s="38">
        <v>9.3074059259715097E-2</v>
      </c>
      <c r="AG1258" s="38">
        <f t="shared" si="154"/>
        <v>0.1</v>
      </c>
      <c r="AH1258" s="38">
        <v>0</v>
      </c>
      <c r="AI1258" s="38">
        <v>0</v>
      </c>
      <c r="AJ1258" s="38">
        <v>14</v>
      </c>
      <c r="AK1258" s="38">
        <v>2.1537798836958864E-2</v>
      </c>
      <c r="AL1258" s="38">
        <v>0</v>
      </c>
      <c r="AM1258" s="38">
        <v>0</v>
      </c>
    </row>
    <row r="1259" spans="1:88">
      <c r="A1259" s="1">
        <v>697</v>
      </c>
      <c r="B1259" s="34" t="s">
        <v>1106</v>
      </c>
      <c r="C1259" s="34">
        <v>626</v>
      </c>
      <c r="D1259" s="34">
        <v>205</v>
      </c>
      <c r="E1259" s="34">
        <v>301</v>
      </c>
      <c r="F1259" s="34" t="s">
        <v>1108</v>
      </c>
      <c r="G1259" s="58">
        <v>111572</v>
      </c>
      <c r="H1259" s="58">
        <v>151084</v>
      </c>
      <c r="I1259" s="35">
        <v>39.512</v>
      </c>
      <c r="J1259" s="127">
        <v>2</v>
      </c>
      <c r="K1259" s="34" t="s">
        <v>238</v>
      </c>
      <c r="L1259" s="10">
        <v>42175</v>
      </c>
      <c r="M1259" s="9" t="s">
        <v>191</v>
      </c>
      <c r="N1259" s="38">
        <v>16.675000000000001</v>
      </c>
      <c r="O1259" s="38">
        <v>11.3</v>
      </c>
      <c r="P1259" s="38">
        <v>6.25</v>
      </c>
      <c r="Q1259" s="38">
        <v>4.9000000000000004</v>
      </c>
      <c r="R1259" s="38">
        <v>3.0037600000000002</v>
      </c>
      <c r="S1259" s="38">
        <f t="shared" si="152"/>
        <v>3</v>
      </c>
      <c r="T1259" s="38">
        <v>35.25</v>
      </c>
      <c r="U1259" s="38">
        <v>3</v>
      </c>
      <c r="V1259" s="38">
        <v>0.75</v>
      </c>
      <c r="W1259" s="38">
        <v>0.125</v>
      </c>
      <c r="X1259" s="38">
        <v>5.0343900000000001</v>
      </c>
      <c r="Y1259" s="38">
        <f t="shared" si="153"/>
        <v>5</v>
      </c>
      <c r="Z1259" s="38">
        <v>0</v>
      </c>
      <c r="AA1259" s="38">
        <v>0</v>
      </c>
      <c r="AB1259" s="38">
        <f>N1259+O1259+P1259+Q1259</f>
        <v>39.125</v>
      </c>
      <c r="AC1259" s="38">
        <v>1.43483</v>
      </c>
      <c r="AD1259" s="38">
        <v>118.19</v>
      </c>
      <c r="AE1259" s="38">
        <v>20.67</v>
      </c>
      <c r="AF1259" s="38">
        <f t="shared" ref="AF1259:AF1265" si="161">(AD1259+AE1259*0.5)/(3.5*I1259*1000)*100</f>
        <v>9.2937407803777516E-2</v>
      </c>
      <c r="AG1259" s="38">
        <f t="shared" si="154"/>
        <v>0.1</v>
      </c>
      <c r="AH1259" s="38">
        <v>0</v>
      </c>
      <c r="AI1259" s="38">
        <f t="shared" ref="AI1259:AI1265" si="162">AH1259/(3.5*I1259*1000)*100</f>
        <v>0</v>
      </c>
      <c r="AJ1259" s="38">
        <v>0</v>
      </c>
      <c r="AK1259" s="38">
        <f t="shared" ref="AK1259:AK1265" si="163">AJ1259/(3.5*I1259*1000)*100</f>
        <v>0</v>
      </c>
      <c r="AL1259" s="38">
        <v>0</v>
      </c>
      <c r="AM1259" s="38">
        <f t="shared" ref="AM1259:AM1265" si="164">AL1259/(3.5*I1259*1000)*100</f>
        <v>0</v>
      </c>
      <c r="AN1259" s="25"/>
      <c r="AO1259" s="25">
        <f>AE1259*0.5</f>
        <v>10.335000000000001</v>
      </c>
      <c r="AP1259" s="25">
        <f>(AD1259+AH1259+AJ1259+AL1259+AO1259)*I1259</f>
        <v>5078.2798000000003</v>
      </c>
      <c r="AQ1259" s="25">
        <f>SUM(N1259:Q1259)</f>
        <v>39.125</v>
      </c>
      <c r="AR1259" s="25">
        <f>SUM(T1259:W1259)</f>
        <v>39.125</v>
      </c>
      <c r="AS1259" s="268">
        <v>39.512</v>
      </c>
      <c r="AT1259" s="41"/>
      <c r="AU1259" s="41"/>
      <c r="AV1259" s="41"/>
      <c r="AW1259" s="41"/>
      <c r="AX1259" s="22"/>
      <c r="AY1259" s="22"/>
      <c r="AZ1259" s="137"/>
      <c r="BA1259" s="137"/>
      <c r="BB1259" s="137"/>
      <c r="BC1259" s="137"/>
      <c r="BD1259" s="137"/>
      <c r="BE1259" s="137"/>
      <c r="BF1259" s="137"/>
      <c r="BG1259" s="137"/>
      <c r="BH1259" s="137"/>
      <c r="BI1259" s="137"/>
      <c r="BJ1259" s="137"/>
      <c r="BK1259" s="137"/>
      <c r="BL1259" s="137"/>
      <c r="BM1259" s="137"/>
      <c r="BN1259" s="137"/>
      <c r="BO1259" s="137"/>
      <c r="BP1259" s="137"/>
      <c r="BQ1259" s="137"/>
      <c r="BR1259" s="137"/>
      <c r="BS1259" s="137"/>
      <c r="BT1259" s="137"/>
      <c r="BU1259" s="137"/>
      <c r="BV1259" s="137"/>
      <c r="BW1259" s="137"/>
      <c r="BX1259" s="137"/>
      <c r="BY1259" s="137"/>
      <c r="BZ1259" s="137"/>
      <c r="CA1259" s="137"/>
      <c r="CB1259" s="137"/>
      <c r="CC1259" s="137"/>
      <c r="CD1259" s="137"/>
      <c r="CE1259" s="137"/>
      <c r="CF1259" s="137"/>
      <c r="CG1259" s="137"/>
      <c r="CH1259" s="137"/>
      <c r="CI1259" s="137"/>
      <c r="CJ1259" s="137"/>
    </row>
    <row r="1260" spans="1:88">
      <c r="A1260" s="1">
        <v>745</v>
      </c>
      <c r="B1260" s="34" t="s">
        <v>1106</v>
      </c>
      <c r="C1260" s="34">
        <v>626</v>
      </c>
      <c r="D1260" s="34">
        <v>205</v>
      </c>
      <c r="E1260" s="34">
        <v>301</v>
      </c>
      <c r="F1260" s="34" t="s">
        <v>1108</v>
      </c>
      <c r="G1260" s="58">
        <v>111572</v>
      </c>
      <c r="H1260" s="58">
        <v>151084</v>
      </c>
      <c r="I1260" s="35">
        <v>39.512</v>
      </c>
      <c r="J1260" s="127">
        <v>2</v>
      </c>
      <c r="K1260" s="34" t="s">
        <v>238</v>
      </c>
      <c r="L1260" s="10">
        <v>42175</v>
      </c>
      <c r="M1260" s="9" t="s">
        <v>191</v>
      </c>
      <c r="N1260" s="38">
        <v>16.675000000000001</v>
      </c>
      <c r="O1260" s="38">
        <v>11.3</v>
      </c>
      <c r="P1260" s="38">
        <v>6.25</v>
      </c>
      <c r="Q1260" s="38">
        <v>4.9000000000000004</v>
      </c>
      <c r="R1260" s="38">
        <v>3.0037600000000002</v>
      </c>
      <c r="S1260" s="38">
        <f t="shared" si="152"/>
        <v>3</v>
      </c>
      <c r="T1260" s="38">
        <v>35.25</v>
      </c>
      <c r="U1260" s="38">
        <v>3</v>
      </c>
      <c r="V1260" s="38">
        <v>0.75</v>
      </c>
      <c r="W1260" s="38">
        <v>0.125</v>
      </c>
      <c r="X1260" s="38">
        <v>5.0343900000000001</v>
      </c>
      <c r="Y1260" s="38">
        <f t="shared" si="153"/>
        <v>5</v>
      </c>
      <c r="Z1260" s="38">
        <v>0</v>
      </c>
      <c r="AA1260" s="38">
        <v>0</v>
      </c>
      <c r="AB1260" s="38">
        <f>N1260+O1260+P1260+Q1260</f>
        <v>39.125</v>
      </c>
      <c r="AC1260" s="38">
        <v>1.43483</v>
      </c>
      <c r="AD1260" s="38">
        <v>118.19</v>
      </c>
      <c r="AE1260" s="38">
        <v>20.67</v>
      </c>
      <c r="AF1260" s="38">
        <f t="shared" si="161"/>
        <v>9.2937407803777516E-2</v>
      </c>
      <c r="AG1260" s="38">
        <f t="shared" si="154"/>
        <v>0.1</v>
      </c>
      <c r="AH1260" s="38">
        <v>0</v>
      </c>
      <c r="AI1260" s="38">
        <f t="shared" si="162"/>
        <v>0</v>
      </c>
      <c r="AJ1260" s="38">
        <v>0</v>
      </c>
      <c r="AK1260" s="38">
        <f t="shared" si="163"/>
        <v>0</v>
      </c>
      <c r="AL1260" s="38">
        <v>0</v>
      </c>
      <c r="AM1260" s="38">
        <f t="shared" si="164"/>
        <v>0</v>
      </c>
      <c r="AN1260" s="25"/>
      <c r="AO1260" s="25">
        <f>AE1260*0.5</f>
        <v>10.335000000000001</v>
      </c>
      <c r="AP1260" s="25">
        <f>(AD1260+AH1260+AJ1260+AL1260+AO1260)*I1260</f>
        <v>5078.2798000000003</v>
      </c>
      <c r="AQ1260" s="25">
        <f>SUM(N1260:Q1260)</f>
        <v>39.125</v>
      </c>
      <c r="AR1260" s="25">
        <f>SUM(T1260:W1260)</f>
        <v>39.125</v>
      </c>
      <c r="AS1260" s="268">
        <v>39.512</v>
      </c>
      <c r="AT1260" s="41"/>
      <c r="AU1260" s="41"/>
      <c r="AV1260" s="41"/>
      <c r="AW1260" s="41"/>
      <c r="AX1260" s="22"/>
      <c r="AY1260" s="22"/>
      <c r="AZ1260" s="137"/>
      <c r="BA1260" s="137"/>
      <c r="BB1260" s="137"/>
      <c r="BC1260" s="137"/>
      <c r="BD1260" s="137"/>
      <c r="BE1260" s="137"/>
      <c r="BF1260" s="137"/>
      <c r="BG1260" s="137"/>
      <c r="BH1260" s="137"/>
      <c r="BI1260" s="137"/>
      <c r="BJ1260" s="137"/>
      <c r="BK1260" s="137"/>
      <c r="BL1260" s="137"/>
      <c r="BM1260" s="137"/>
      <c r="BN1260" s="137"/>
      <c r="BO1260" s="137"/>
      <c r="BP1260" s="137"/>
      <c r="BQ1260" s="137"/>
      <c r="BR1260" s="137"/>
      <c r="BS1260" s="137"/>
      <c r="BT1260" s="137"/>
      <c r="BU1260" s="137"/>
      <c r="BV1260" s="137"/>
      <c r="BW1260" s="137"/>
      <c r="BX1260" s="137"/>
      <c r="BY1260" s="137"/>
      <c r="BZ1260" s="137"/>
      <c r="CA1260" s="137"/>
      <c r="CB1260" s="137"/>
      <c r="CC1260" s="137"/>
      <c r="CD1260" s="137"/>
      <c r="CE1260" s="137"/>
      <c r="CF1260" s="137"/>
      <c r="CG1260" s="137"/>
      <c r="CH1260" s="137"/>
      <c r="CI1260" s="137"/>
      <c r="CJ1260" s="137"/>
    </row>
    <row r="1261" spans="1:88">
      <c r="A1261" s="1">
        <v>109</v>
      </c>
      <c r="B1261" s="4" t="s">
        <v>78</v>
      </c>
      <c r="C1261" s="14">
        <v>527</v>
      </c>
      <c r="D1261" s="32">
        <v>109</v>
      </c>
      <c r="E1261" s="16">
        <v>200</v>
      </c>
      <c r="F1261" s="31" t="s">
        <v>80</v>
      </c>
      <c r="G1261" s="20">
        <v>61133</v>
      </c>
      <c r="H1261" s="20">
        <v>31425</v>
      </c>
      <c r="I1261" s="21">
        <v>29.707999999999998</v>
      </c>
      <c r="J1261" s="8">
        <v>2</v>
      </c>
      <c r="K1261" s="9" t="s">
        <v>12</v>
      </c>
      <c r="L1261" s="18">
        <v>42240</v>
      </c>
      <c r="M1261" s="9" t="s">
        <v>191</v>
      </c>
      <c r="N1261" s="11">
        <v>5.73</v>
      </c>
      <c r="O1261" s="11">
        <v>11.56</v>
      </c>
      <c r="P1261" s="11">
        <v>8.9600000000000009</v>
      </c>
      <c r="Q1261" s="11">
        <v>3.45</v>
      </c>
      <c r="R1261" s="11">
        <v>3.5786899999999999</v>
      </c>
      <c r="S1261" s="38">
        <f t="shared" si="152"/>
        <v>3.5</v>
      </c>
      <c r="T1261" s="11">
        <v>26.75</v>
      </c>
      <c r="U1261" s="11">
        <v>2.63</v>
      </c>
      <c r="V1261" s="11">
        <v>0.3</v>
      </c>
      <c r="W1261" s="11">
        <v>0.03</v>
      </c>
      <c r="X1261" s="11">
        <v>5.7625299999999999</v>
      </c>
      <c r="Y1261" s="38">
        <f t="shared" si="153"/>
        <v>6</v>
      </c>
      <c r="Z1261" s="11">
        <v>0</v>
      </c>
      <c r="AA1261" s="11">
        <v>0</v>
      </c>
      <c r="AB1261" s="11">
        <v>29.71</v>
      </c>
      <c r="AC1261" s="11">
        <v>1.63147</v>
      </c>
      <c r="AD1261" s="11">
        <v>96.32</v>
      </c>
      <c r="AE1261" s="11">
        <v>0</v>
      </c>
      <c r="AF1261" s="11">
        <f t="shared" si="161"/>
        <v>9.2634980476639275E-2</v>
      </c>
      <c r="AG1261" s="38">
        <f t="shared" si="154"/>
        <v>0.1</v>
      </c>
      <c r="AH1261" s="11">
        <v>85.63</v>
      </c>
      <c r="AI1261" s="11">
        <f t="shared" si="162"/>
        <v>8.2353959491430873E-2</v>
      </c>
      <c r="AJ1261" s="11">
        <v>0</v>
      </c>
      <c r="AK1261" s="11">
        <f t="shared" si="163"/>
        <v>0</v>
      </c>
      <c r="AL1261" s="11">
        <v>0</v>
      </c>
      <c r="AM1261" s="11">
        <f t="shared" si="164"/>
        <v>0</v>
      </c>
      <c r="AN1261" s="22"/>
      <c r="AO1261" s="25"/>
      <c r="AP1261" s="25">
        <f>SUM(N1261:Q1261)</f>
        <v>29.7</v>
      </c>
      <c r="AQ1261" s="25">
        <f>SUM(T1261:W1261)</f>
        <v>29.71</v>
      </c>
      <c r="AR1261" s="25">
        <f>SUM(Z1261:AB1261)</f>
        <v>29.71</v>
      </c>
      <c r="AS1261" s="22"/>
      <c r="AT1261" s="22">
        <f>I1261/AP1261</f>
        <v>1.0002693602693602</v>
      </c>
      <c r="AU1261" s="22">
        <f>I1261/AQ1261</f>
        <v>0.99993268259845158</v>
      </c>
      <c r="AV1261" s="22">
        <f>I1261/AR1261</f>
        <v>0.99993268259845158</v>
      </c>
      <c r="AW1261" s="22"/>
      <c r="AX1261" s="22"/>
      <c r="AY1261" s="22"/>
      <c r="AZ1261" s="22"/>
      <c r="BA1261" s="22"/>
      <c r="BB1261" s="22"/>
      <c r="BC1261" s="22"/>
      <c r="BD1261" s="22"/>
      <c r="BE1261" s="22"/>
      <c r="BF1261" s="22"/>
      <c r="BG1261" s="22"/>
      <c r="BH1261" s="22"/>
      <c r="BI1261" s="22"/>
      <c r="BJ1261" s="22"/>
      <c r="BK1261" s="22"/>
      <c r="BL1261" s="22"/>
      <c r="BM1261" s="22"/>
      <c r="BN1261" s="22"/>
      <c r="BO1261" s="22"/>
      <c r="BP1261" s="22"/>
      <c r="BQ1261" s="22"/>
      <c r="BR1261" s="22"/>
      <c r="BS1261" s="22"/>
      <c r="BT1261" s="22"/>
      <c r="BU1261" s="22"/>
      <c r="BV1261" s="22"/>
      <c r="BW1261" s="22"/>
      <c r="BX1261" s="22"/>
      <c r="BY1261" s="22"/>
      <c r="BZ1261" s="22"/>
      <c r="CA1261" s="22"/>
      <c r="CB1261" s="22"/>
      <c r="CC1261" s="22"/>
      <c r="CD1261" s="22"/>
      <c r="CE1261" s="22"/>
      <c r="CF1261" s="22"/>
      <c r="CG1261" s="22"/>
      <c r="CH1261" s="22"/>
      <c r="CI1261" s="22"/>
      <c r="CJ1261" s="22"/>
    </row>
    <row r="1262" spans="1:88">
      <c r="A1262" s="1">
        <v>1018</v>
      </c>
      <c r="B1262" s="9" t="s">
        <v>1394</v>
      </c>
      <c r="C1262" s="9">
        <v>617</v>
      </c>
      <c r="D1262" s="8">
        <v>2061</v>
      </c>
      <c r="E1262" s="9">
        <v>200</v>
      </c>
      <c r="F1262" s="9" t="s">
        <v>1418</v>
      </c>
      <c r="G1262" s="20">
        <v>1400</v>
      </c>
      <c r="H1262" s="20">
        <v>18802</v>
      </c>
      <c r="I1262" s="35">
        <v>17.402000000000001</v>
      </c>
      <c r="J1262" s="9">
        <v>2</v>
      </c>
      <c r="K1262" s="9" t="s">
        <v>238</v>
      </c>
      <c r="L1262" s="18">
        <v>42128</v>
      </c>
      <c r="M1262" s="9" t="s">
        <v>191</v>
      </c>
      <c r="N1262" s="11">
        <v>10.029999999999999</v>
      </c>
      <c r="O1262" s="11">
        <v>5.6749999999999998</v>
      </c>
      <c r="P1262" s="11">
        <v>1.5</v>
      </c>
      <c r="Q1262" s="11">
        <v>0.32500000000000001</v>
      </c>
      <c r="R1262" s="11">
        <v>2.3013699999999999</v>
      </c>
      <c r="S1262" s="38">
        <f t="shared" si="152"/>
        <v>2.5</v>
      </c>
      <c r="T1262" s="11">
        <v>13.95</v>
      </c>
      <c r="U1262" s="11">
        <v>2.6</v>
      </c>
      <c r="V1262" s="11">
        <v>0.85</v>
      </c>
      <c r="W1262" s="11">
        <v>0.125</v>
      </c>
      <c r="X1262" s="11">
        <v>3.05585</v>
      </c>
      <c r="Y1262" s="38">
        <f t="shared" si="153"/>
        <v>3</v>
      </c>
      <c r="Z1262" s="11">
        <v>0</v>
      </c>
      <c r="AA1262" s="11">
        <v>0</v>
      </c>
      <c r="AB1262" s="11">
        <f>SUM(N1262:Q1262)</f>
        <v>17.529999999999998</v>
      </c>
      <c r="AC1262" s="11">
        <v>1.2087300000000001</v>
      </c>
      <c r="AD1262" s="11">
        <v>8.8699999999999992</v>
      </c>
      <c r="AE1262" s="11">
        <v>94.56</v>
      </c>
      <c r="AF1262" s="11">
        <f t="shared" si="161"/>
        <v>9.2189731886318488E-2</v>
      </c>
      <c r="AG1262" s="38">
        <f t="shared" si="154"/>
        <v>0.1</v>
      </c>
      <c r="AH1262" s="11">
        <v>76.650000000000006</v>
      </c>
      <c r="AI1262" s="38">
        <f t="shared" si="162"/>
        <v>0.12584760372370993</v>
      </c>
      <c r="AJ1262" s="11">
        <v>35.65</v>
      </c>
      <c r="AK1262" s="38">
        <f t="shared" si="163"/>
        <v>5.8531860048927055E-2</v>
      </c>
      <c r="AL1262" s="11">
        <v>0</v>
      </c>
      <c r="AM1262" s="38">
        <f t="shared" si="164"/>
        <v>0</v>
      </c>
      <c r="AN1262" s="25"/>
      <c r="AO1262" s="25">
        <f>AE1262*0.5</f>
        <v>47.28</v>
      </c>
      <c r="AP1262" s="25">
        <f>(AD1262+AH1262+AJ1262+AL1262+AO1262)*I1262</f>
        <v>2931.3669000000004</v>
      </c>
      <c r="AQ1262" s="25"/>
      <c r="AR1262" s="25"/>
      <c r="AS1262" s="25">
        <f>SUM(N1262:Q1262)</f>
        <v>17.529999999999998</v>
      </c>
      <c r="AT1262" s="25">
        <f>SUM(T1262:W1262)</f>
        <v>17.525000000000002</v>
      </c>
      <c r="AU1262" s="41"/>
      <c r="AV1262" s="41"/>
      <c r="AW1262" s="41"/>
      <c r="AX1262" s="22"/>
      <c r="AY1262" s="22"/>
      <c r="AZ1262" s="22"/>
      <c r="BA1262" s="22"/>
      <c r="BB1262" s="22"/>
      <c r="BC1262" s="22"/>
      <c r="BD1262" s="22"/>
      <c r="BE1262" s="22"/>
      <c r="BF1262" s="22"/>
      <c r="BG1262" s="22"/>
      <c r="BH1262" s="22"/>
      <c r="BI1262" s="22"/>
      <c r="BJ1262" s="22"/>
      <c r="BK1262" s="22"/>
      <c r="BL1262" s="22"/>
      <c r="BM1262" s="22"/>
      <c r="BN1262" s="22"/>
      <c r="BO1262" s="22"/>
      <c r="BP1262" s="22"/>
      <c r="BQ1262" s="22"/>
      <c r="BR1262" s="22"/>
      <c r="BS1262" s="22"/>
      <c r="BT1262" s="22"/>
      <c r="BU1262" s="22"/>
      <c r="BV1262" s="22"/>
      <c r="BW1262" s="22"/>
      <c r="BX1262" s="22"/>
      <c r="BY1262" s="22"/>
      <c r="BZ1262" s="22"/>
      <c r="CA1262" s="22"/>
      <c r="CB1262" s="22"/>
      <c r="CC1262" s="22"/>
      <c r="CD1262" s="22"/>
      <c r="CE1262" s="22"/>
      <c r="CF1262" s="22"/>
      <c r="CG1262" s="22"/>
      <c r="CH1262" s="22"/>
      <c r="CI1262" s="22"/>
      <c r="CJ1262" s="22"/>
    </row>
    <row r="1263" spans="1:88">
      <c r="A1263" s="1">
        <v>1436</v>
      </c>
      <c r="B1263" s="34" t="s">
        <v>1987</v>
      </c>
      <c r="C1263" s="34">
        <v>448</v>
      </c>
      <c r="D1263" s="75">
        <v>32</v>
      </c>
      <c r="E1263" s="69">
        <v>202</v>
      </c>
      <c r="F1263" s="34" t="s">
        <v>1989</v>
      </c>
      <c r="G1263" s="20">
        <v>49087</v>
      </c>
      <c r="H1263" s="20">
        <v>66800</v>
      </c>
      <c r="I1263" s="21">
        <v>17.713000000000001</v>
      </c>
      <c r="J1263" s="8">
        <v>8</v>
      </c>
      <c r="K1263" s="34" t="s">
        <v>671</v>
      </c>
      <c r="L1263" s="10">
        <v>42182</v>
      </c>
      <c r="M1263" s="9" t="s">
        <v>191</v>
      </c>
      <c r="N1263" s="38">
        <v>12.75</v>
      </c>
      <c r="O1263" s="38">
        <v>2.75</v>
      </c>
      <c r="P1263" s="38">
        <v>1.7</v>
      </c>
      <c r="Q1263" s="38">
        <v>0.375</v>
      </c>
      <c r="R1263" s="38">
        <v>2.2240000000000002</v>
      </c>
      <c r="S1263" s="38">
        <f t="shared" si="152"/>
        <v>2</v>
      </c>
      <c r="T1263" s="38">
        <v>16.600000000000001</v>
      </c>
      <c r="U1263" s="38">
        <v>0.77500000000000002</v>
      </c>
      <c r="V1263" s="38">
        <v>0.2</v>
      </c>
      <c r="W1263" s="38">
        <v>0</v>
      </c>
      <c r="X1263" s="38">
        <v>4.1529999999999996</v>
      </c>
      <c r="Y1263" s="38">
        <f t="shared" si="153"/>
        <v>4</v>
      </c>
      <c r="Z1263" s="38">
        <v>0</v>
      </c>
      <c r="AA1263" s="38">
        <v>0</v>
      </c>
      <c r="AB1263" s="38">
        <v>17.574999999999999</v>
      </c>
      <c r="AC1263" s="38">
        <v>1.268</v>
      </c>
      <c r="AD1263" s="38">
        <v>32.82</v>
      </c>
      <c r="AE1263" s="38">
        <v>48.15</v>
      </c>
      <c r="AF1263" s="38">
        <f t="shared" si="161"/>
        <v>9.1772789960561638E-2</v>
      </c>
      <c r="AG1263" s="38">
        <f t="shared" si="154"/>
        <v>0.1</v>
      </c>
      <c r="AH1263" s="38">
        <v>124.12</v>
      </c>
      <c r="AI1263" s="38">
        <f t="shared" si="162"/>
        <v>0.20020807961868198</v>
      </c>
      <c r="AJ1263" s="38">
        <v>0</v>
      </c>
      <c r="AK1263" s="38">
        <f t="shared" si="163"/>
        <v>0</v>
      </c>
      <c r="AL1263" s="38">
        <v>0</v>
      </c>
      <c r="AM1263" s="38">
        <f t="shared" si="164"/>
        <v>0</v>
      </c>
      <c r="AN1263" s="72"/>
      <c r="AO1263" s="41"/>
      <c r="AP1263" s="41"/>
      <c r="AQ1263" s="73"/>
      <c r="AR1263" s="73"/>
      <c r="AS1263" s="73"/>
      <c r="AT1263" s="73"/>
      <c r="AU1263" s="73"/>
      <c r="AV1263" s="73"/>
      <c r="AW1263" s="22"/>
      <c r="AX1263" s="22"/>
      <c r="AY1263" s="22"/>
      <c r="AZ1263" s="22"/>
      <c r="BA1263" s="22"/>
      <c r="BB1263" s="22"/>
      <c r="BC1263" s="22"/>
      <c r="BD1263" s="22"/>
      <c r="BE1263" s="22"/>
      <c r="BF1263" s="22"/>
      <c r="BG1263" s="22"/>
      <c r="BH1263" s="22"/>
      <c r="BI1263" s="22"/>
      <c r="BJ1263" s="22"/>
      <c r="BK1263" s="22"/>
      <c r="BL1263" s="22"/>
      <c r="BM1263" s="22"/>
      <c r="BN1263" s="22"/>
      <c r="BO1263" s="22"/>
      <c r="BP1263" s="22"/>
      <c r="BQ1263" s="22"/>
      <c r="BR1263" s="22"/>
      <c r="BS1263" s="22"/>
      <c r="BT1263" s="22"/>
      <c r="BU1263" s="22"/>
      <c r="BV1263" s="22"/>
      <c r="BW1263" s="22"/>
      <c r="BX1263" s="22"/>
      <c r="BY1263" s="22"/>
      <c r="BZ1263" s="22"/>
      <c r="CA1263" s="22"/>
      <c r="CB1263" s="22"/>
      <c r="CC1263" s="22"/>
      <c r="CD1263" s="22"/>
      <c r="CE1263" s="22"/>
      <c r="CF1263" s="22"/>
      <c r="CG1263" s="22"/>
      <c r="CH1263" s="22"/>
      <c r="CI1263" s="22"/>
      <c r="CJ1263" s="22"/>
    </row>
    <row r="1264" spans="1:88">
      <c r="A1264" s="1">
        <v>1523</v>
      </c>
      <c r="B1264" s="34" t="s">
        <v>2069</v>
      </c>
      <c r="C1264" s="34">
        <v>413</v>
      </c>
      <c r="D1264" s="69">
        <v>3470</v>
      </c>
      <c r="E1264" s="34">
        <v>100</v>
      </c>
      <c r="F1264" s="34" t="s">
        <v>2096</v>
      </c>
      <c r="G1264" s="58" t="s">
        <v>92</v>
      </c>
      <c r="H1264" s="58">
        <v>15380</v>
      </c>
      <c r="I1264" s="35">
        <v>15.369</v>
      </c>
      <c r="J1264" s="34">
        <v>2</v>
      </c>
      <c r="K1264" s="34" t="s">
        <v>238</v>
      </c>
      <c r="L1264" s="10">
        <v>42265</v>
      </c>
      <c r="M1264" s="9" t="s">
        <v>191</v>
      </c>
      <c r="N1264" s="38">
        <v>11.03</v>
      </c>
      <c r="O1264" s="38">
        <v>2.7</v>
      </c>
      <c r="P1264" s="38">
        <v>1.2250000000000001</v>
      </c>
      <c r="Q1264" s="38">
        <v>0.4</v>
      </c>
      <c r="R1264" s="38">
        <v>2.3980899999999998</v>
      </c>
      <c r="S1264" s="38">
        <f t="shared" si="152"/>
        <v>2.5</v>
      </c>
      <c r="T1264" s="38">
        <v>13.625</v>
      </c>
      <c r="U1264" s="38">
        <v>1.45</v>
      </c>
      <c r="V1264" s="38">
        <v>0.2</v>
      </c>
      <c r="W1264" s="38">
        <v>7.4999999999999997E-2</v>
      </c>
      <c r="X1264" s="38">
        <v>6.1167100000000003</v>
      </c>
      <c r="Y1264" s="38">
        <f t="shared" si="153"/>
        <v>6</v>
      </c>
      <c r="Z1264" s="38">
        <v>0</v>
      </c>
      <c r="AA1264" s="38">
        <v>0</v>
      </c>
      <c r="AB1264" s="196">
        <v>15.369</v>
      </c>
      <c r="AC1264" s="38">
        <v>1.30298</v>
      </c>
      <c r="AD1264" s="38">
        <v>32</v>
      </c>
      <c r="AE1264" s="38">
        <v>34.630000000000003</v>
      </c>
      <c r="AF1264" s="38">
        <f t="shared" si="161"/>
        <v>9.1678053224022379E-2</v>
      </c>
      <c r="AG1264" s="38">
        <f t="shared" si="154"/>
        <v>0.1</v>
      </c>
      <c r="AH1264" s="38">
        <v>0</v>
      </c>
      <c r="AI1264" s="38">
        <f t="shared" si="162"/>
        <v>0</v>
      </c>
      <c r="AJ1264" s="38">
        <v>0</v>
      </c>
      <c r="AK1264" s="38">
        <f t="shared" si="163"/>
        <v>0</v>
      </c>
      <c r="AL1264" s="38">
        <v>2</v>
      </c>
      <c r="AM1264" s="38">
        <f t="shared" si="164"/>
        <v>3.7180595447236088E-3</v>
      </c>
      <c r="AN1264" s="25"/>
      <c r="AO1264" s="25">
        <f>AE1264*0.5</f>
        <v>17.315000000000001</v>
      </c>
      <c r="AP1264" s="25">
        <f>(AD1264+AH1264+AJ1264+AL1264+AO1264)*I1264</f>
        <v>788.66023499999994</v>
      </c>
      <c r="AQ1264" s="25">
        <f>(AD1264+AH1264+AJ1264+AL1264)*I1264</f>
        <v>522.54600000000005</v>
      </c>
      <c r="AR1264" s="25">
        <f>SUM(N1264:Q1264)</f>
        <v>15.355</v>
      </c>
      <c r="AS1264" s="25">
        <f>SUM(T1264:W1264)</f>
        <v>15.349999999999998</v>
      </c>
      <c r="AT1264" s="22"/>
      <c r="AU1264" s="275">
        <v>15.38</v>
      </c>
      <c r="AV1264" s="41">
        <f>SUM(N1264:Q1264)</f>
        <v>15.355</v>
      </c>
      <c r="AW1264" s="41">
        <f>SUM(T1264:W1264)</f>
        <v>15.349999999999998</v>
      </c>
      <c r="AX1264" s="41">
        <f>SUM(Z1264:AB1264)</f>
        <v>15.369</v>
      </c>
      <c r="AY1264" s="22"/>
      <c r="AZ1264" s="22">
        <f>I1264/AV1264</f>
        <v>1.0009117551286226</v>
      </c>
      <c r="BA1264" s="22">
        <f>I1264/AW1264</f>
        <v>1.0012377850162868</v>
      </c>
      <c r="BB1264" s="22">
        <f>I1264/AX1264</f>
        <v>1</v>
      </c>
      <c r="BC1264" s="22"/>
      <c r="BD1264" s="22"/>
      <c r="BE1264" s="22"/>
      <c r="BF1264" s="22"/>
      <c r="BG1264" s="22"/>
      <c r="BH1264" s="22"/>
      <c r="BI1264" s="22"/>
      <c r="BJ1264" s="22"/>
      <c r="BK1264" s="22"/>
      <c r="BL1264" s="22"/>
      <c r="BM1264" s="22"/>
      <c r="BN1264" s="22"/>
      <c r="BO1264" s="22"/>
      <c r="BP1264" s="22"/>
      <c r="BQ1264" s="22"/>
      <c r="BR1264" s="22"/>
      <c r="BS1264" s="22"/>
      <c r="BT1264" s="22"/>
      <c r="BU1264" s="22"/>
      <c r="BV1264" s="22"/>
      <c r="BW1264" s="22"/>
      <c r="BX1264" s="22"/>
      <c r="BY1264" s="22"/>
      <c r="BZ1264" s="22"/>
      <c r="CA1264" s="22"/>
      <c r="CB1264" s="22"/>
      <c r="CC1264" s="22"/>
      <c r="CD1264" s="22"/>
      <c r="CE1264" s="22"/>
      <c r="CF1264" s="22"/>
      <c r="CG1264" s="22"/>
      <c r="CH1264" s="22"/>
      <c r="CI1264" s="22"/>
      <c r="CJ1264" s="22"/>
    </row>
    <row r="1265" spans="1:88">
      <c r="A1265" s="1">
        <v>182</v>
      </c>
      <c r="B1265" s="34" t="s">
        <v>332</v>
      </c>
      <c r="C1265" s="34">
        <v>533</v>
      </c>
      <c r="D1265" s="34">
        <v>1233</v>
      </c>
      <c r="E1265" s="34">
        <v>100</v>
      </c>
      <c r="F1265" s="34" t="s">
        <v>368</v>
      </c>
      <c r="G1265" s="20">
        <v>0</v>
      </c>
      <c r="H1265" s="20">
        <v>6300</v>
      </c>
      <c r="I1265" s="35">
        <v>6.3</v>
      </c>
      <c r="J1265" s="51">
        <v>2</v>
      </c>
      <c r="K1265" s="34" t="s">
        <v>12</v>
      </c>
      <c r="L1265" s="10">
        <v>42203</v>
      </c>
      <c r="M1265" s="9" t="s">
        <v>191</v>
      </c>
      <c r="N1265" s="38">
        <v>3.88</v>
      </c>
      <c r="O1265" s="38">
        <v>1.29</v>
      </c>
      <c r="P1265" s="38">
        <v>0.59</v>
      </c>
      <c r="Q1265" s="38">
        <v>0.54</v>
      </c>
      <c r="R1265" s="38">
        <v>2.69936</v>
      </c>
      <c r="S1265" s="38">
        <f t="shared" si="152"/>
        <v>2.5</v>
      </c>
      <c r="T1265" s="38">
        <v>5.44</v>
      </c>
      <c r="U1265" s="38">
        <v>0.81</v>
      </c>
      <c r="V1265" s="38">
        <v>0.05</v>
      </c>
      <c r="W1265" s="38">
        <v>0</v>
      </c>
      <c r="X1265" s="38">
        <v>6.7106500000000002</v>
      </c>
      <c r="Y1265" s="38">
        <f t="shared" si="153"/>
        <v>6.5</v>
      </c>
      <c r="Z1265" s="38">
        <v>0</v>
      </c>
      <c r="AA1265" s="38">
        <v>0</v>
      </c>
      <c r="AB1265" s="38">
        <v>6.3</v>
      </c>
      <c r="AC1265" s="38">
        <v>1.1345700000000001</v>
      </c>
      <c r="AD1265" s="38">
        <v>3</v>
      </c>
      <c r="AE1265" s="38">
        <v>34.42</v>
      </c>
      <c r="AF1265" s="38">
        <f t="shared" si="161"/>
        <v>9.1655328798185942E-2</v>
      </c>
      <c r="AG1265" s="38">
        <f t="shared" si="154"/>
        <v>0.1</v>
      </c>
      <c r="AH1265" s="38">
        <v>0</v>
      </c>
      <c r="AI1265" s="38">
        <f t="shared" si="162"/>
        <v>0</v>
      </c>
      <c r="AJ1265" s="38">
        <v>0</v>
      </c>
      <c r="AK1265" s="38">
        <f t="shared" si="163"/>
        <v>0</v>
      </c>
      <c r="AL1265" s="38">
        <v>0</v>
      </c>
      <c r="AM1265" s="38">
        <f t="shared" si="164"/>
        <v>0</v>
      </c>
      <c r="AN1265" s="25"/>
      <c r="AO1265" s="25">
        <f>AE1265*0.5</f>
        <v>17.21</v>
      </c>
      <c r="AP1265" s="25">
        <f>(AD1265+AH1265+AJ1265+AL1265+AO1265)*I1265</f>
        <v>127.32300000000001</v>
      </c>
      <c r="AQ1265" s="25"/>
      <c r="AR1265" s="25">
        <f>SUM(N1265:Q1265)</f>
        <v>6.3</v>
      </c>
      <c r="AS1265" s="25">
        <f>SUM(T1265:W1265)</f>
        <v>6.3</v>
      </c>
      <c r="AT1265" s="22"/>
      <c r="AU1265" s="41">
        <f>SUM(N1265:Q1265)</f>
        <v>6.3</v>
      </c>
      <c r="AV1265" s="41">
        <f>SUM(T1265:W1265)</f>
        <v>6.3</v>
      </c>
      <c r="AW1265" s="41">
        <f>SUM(Z1265:AB1265)</f>
        <v>6.3</v>
      </c>
      <c r="AX1265" s="41"/>
      <c r="AY1265" s="22">
        <f>I1265/AU1265</f>
        <v>1</v>
      </c>
      <c r="AZ1265" s="22">
        <f>I1265/AV1265</f>
        <v>1</v>
      </c>
      <c r="BA1265" s="22">
        <f>I1265/AW1265</f>
        <v>1</v>
      </c>
      <c r="BB1265" s="22"/>
      <c r="BC1265" s="22"/>
      <c r="BD1265" s="22"/>
      <c r="BE1265" s="22"/>
      <c r="BF1265" s="22"/>
      <c r="BG1265" s="22"/>
      <c r="BH1265" s="22"/>
      <c r="BI1265" s="22"/>
      <c r="BJ1265" s="22"/>
      <c r="BK1265" s="22"/>
      <c r="BL1265" s="22"/>
      <c r="BM1265" s="22"/>
      <c r="BN1265" s="22"/>
      <c r="BO1265" s="22"/>
      <c r="BP1265" s="22"/>
      <c r="BQ1265" s="22"/>
      <c r="BR1265" s="22"/>
      <c r="BS1265" s="22"/>
      <c r="BT1265" s="22"/>
      <c r="BU1265" s="22"/>
      <c r="BV1265" s="22"/>
      <c r="BW1265" s="22"/>
      <c r="BX1265" s="22"/>
      <c r="BY1265" s="22"/>
      <c r="BZ1265" s="22"/>
      <c r="CA1265" s="22"/>
      <c r="CB1265" s="22"/>
      <c r="CC1265" s="22"/>
      <c r="CD1265" s="22"/>
      <c r="CE1265" s="22"/>
      <c r="CF1265" s="22"/>
      <c r="CG1265" s="22"/>
      <c r="CH1265" s="22"/>
      <c r="CI1265" s="22"/>
      <c r="CJ1265" s="22"/>
    </row>
    <row r="1266" spans="1:88">
      <c r="A1266" s="1">
        <v>860</v>
      </c>
      <c r="B1266" s="34" t="s">
        <v>1231</v>
      </c>
      <c r="C1266" s="34">
        <v>615</v>
      </c>
      <c r="D1266" s="34">
        <v>2333</v>
      </c>
      <c r="E1266" s="34">
        <v>102</v>
      </c>
      <c r="F1266" s="34" t="s">
        <v>1254</v>
      </c>
      <c r="G1266" s="58">
        <v>19525</v>
      </c>
      <c r="H1266" s="58">
        <v>25848</v>
      </c>
      <c r="I1266" s="35">
        <v>6.3230000000000004</v>
      </c>
      <c r="J1266" s="9">
        <v>2</v>
      </c>
      <c r="K1266" s="34" t="s">
        <v>238</v>
      </c>
      <c r="L1266" s="10">
        <v>42136</v>
      </c>
      <c r="M1266" s="9" t="s">
        <v>191</v>
      </c>
      <c r="N1266" s="38">
        <v>2.35</v>
      </c>
      <c r="O1266" s="38">
        <v>3.0249999999999999</v>
      </c>
      <c r="P1266" s="38">
        <v>0.7</v>
      </c>
      <c r="Q1266" s="38">
        <v>0.22500000000000001</v>
      </c>
      <c r="R1266" s="38">
        <v>2.84179</v>
      </c>
      <c r="S1266" s="38">
        <f t="shared" si="152"/>
        <v>3</v>
      </c>
      <c r="T1266" s="38">
        <v>5.35</v>
      </c>
      <c r="U1266" s="38">
        <v>0.8</v>
      </c>
      <c r="V1266" s="38">
        <v>0.125</v>
      </c>
      <c r="W1266" s="38">
        <v>2.5000000000000001E-2</v>
      </c>
      <c r="X1266" s="38">
        <v>5.8098799999999997</v>
      </c>
      <c r="Y1266" s="38">
        <f t="shared" si="153"/>
        <v>6</v>
      </c>
      <c r="Z1266" s="38">
        <v>0</v>
      </c>
      <c r="AA1266" s="38">
        <v>0</v>
      </c>
      <c r="AB1266" s="38">
        <f>N1266+O1266+P1266+Q1266</f>
        <v>6.3</v>
      </c>
      <c r="AC1266" s="38">
        <v>1.6046499999999999</v>
      </c>
      <c r="AD1266" s="38">
        <v>20.25</v>
      </c>
      <c r="AE1266" s="38">
        <v>0</v>
      </c>
      <c r="AF1266" s="38">
        <v>9.1503000000000001E-2</v>
      </c>
      <c r="AG1266" s="38">
        <f t="shared" si="154"/>
        <v>0.1</v>
      </c>
      <c r="AH1266" s="38">
        <v>0</v>
      </c>
      <c r="AI1266" s="38">
        <v>0</v>
      </c>
      <c r="AJ1266" s="38">
        <v>0</v>
      </c>
      <c r="AK1266" s="38">
        <v>0</v>
      </c>
      <c r="AL1266" s="38">
        <v>0</v>
      </c>
      <c r="AM1266" s="38">
        <v>0</v>
      </c>
      <c r="AN1266" s="25"/>
      <c r="AO1266" s="25">
        <f>AE1266*0.5</f>
        <v>0</v>
      </c>
      <c r="AP1266" s="25">
        <f>(AD1266+AH1266+AJ1266+AL1266+AO1266)*I1266</f>
        <v>128.04075</v>
      </c>
      <c r="AQ1266" s="25">
        <f>SUM(N1266:Q1266)</f>
        <v>6.3</v>
      </c>
      <c r="AR1266" s="25">
        <f>SUM(T1266:W1266)</f>
        <v>6.3</v>
      </c>
      <c r="AS1266" s="268">
        <v>6.3230000000000004</v>
      </c>
      <c r="AT1266" s="41"/>
      <c r="AU1266" s="41"/>
      <c r="AV1266" s="41"/>
      <c r="AW1266" s="41"/>
      <c r="AX1266" s="22"/>
      <c r="AY1266" s="22"/>
      <c r="AZ1266" s="22"/>
      <c r="BA1266" s="22"/>
      <c r="BB1266" s="22"/>
      <c r="BC1266" s="22"/>
      <c r="BD1266" s="22"/>
      <c r="BE1266" s="22"/>
      <c r="BF1266" s="22"/>
      <c r="BG1266" s="22"/>
      <c r="BH1266" s="22"/>
      <c r="BI1266" s="22"/>
      <c r="BJ1266" s="22"/>
      <c r="BK1266" s="22"/>
      <c r="BL1266" s="22"/>
      <c r="BM1266" s="22"/>
      <c r="BN1266" s="22"/>
      <c r="BO1266" s="22"/>
      <c r="BP1266" s="22"/>
      <c r="BQ1266" s="22"/>
      <c r="BR1266" s="22"/>
      <c r="BS1266" s="22"/>
      <c r="BT1266" s="22"/>
      <c r="BU1266" s="22"/>
      <c r="BV1266" s="22"/>
      <c r="BW1266" s="22"/>
      <c r="BX1266" s="22"/>
      <c r="BY1266" s="22"/>
      <c r="BZ1266" s="22"/>
      <c r="CA1266" s="22"/>
      <c r="CB1266" s="22"/>
      <c r="CC1266" s="22"/>
      <c r="CD1266" s="22"/>
      <c r="CE1266" s="22"/>
      <c r="CF1266" s="22"/>
      <c r="CG1266" s="22"/>
      <c r="CH1266" s="22"/>
      <c r="CI1266" s="22"/>
      <c r="CJ1266" s="22"/>
    </row>
    <row r="1267" spans="1:88">
      <c r="A1267" s="1">
        <v>2004</v>
      </c>
      <c r="B1267" s="34" t="s">
        <v>2646</v>
      </c>
      <c r="C1267" s="34">
        <v>325</v>
      </c>
      <c r="D1267" s="75">
        <v>420</v>
      </c>
      <c r="E1267" s="8">
        <v>101</v>
      </c>
      <c r="F1267" s="34" t="s">
        <v>2647</v>
      </c>
      <c r="G1267" s="58" t="s">
        <v>92</v>
      </c>
      <c r="H1267" s="58" t="s">
        <v>2536</v>
      </c>
      <c r="I1267" s="21">
        <v>28.629000000000001</v>
      </c>
      <c r="J1267" s="8">
        <v>4</v>
      </c>
      <c r="K1267" s="8" t="s">
        <v>238</v>
      </c>
      <c r="L1267" s="18">
        <v>42117</v>
      </c>
      <c r="M1267" s="9" t="s">
        <v>191</v>
      </c>
      <c r="N1267" s="38">
        <v>11.95</v>
      </c>
      <c r="O1267" s="38">
        <v>9.32</v>
      </c>
      <c r="P1267" s="38">
        <v>4.76</v>
      </c>
      <c r="Q1267" s="38">
        <v>2.61</v>
      </c>
      <c r="R1267" s="38">
        <v>3.0722100000000001</v>
      </c>
      <c r="S1267" s="38">
        <f t="shared" si="152"/>
        <v>3</v>
      </c>
      <c r="T1267" s="38">
        <v>26.76</v>
      </c>
      <c r="U1267" s="38">
        <v>1.72</v>
      </c>
      <c r="V1267" s="38">
        <v>0.13</v>
      </c>
      <c r="W1267" s="38">
        <v>0.03</v>
      </c>
      <c r="X1267" s="38">
        <v>4.9994500000000004</v>
      </c>
      <c r="Y1267" s="38">
        <f t="shared" si="153"/>
        <v>5</v>
      </c>
      <c r="Z1267" s="38">
        <v>0</v>
      </c>
      <c r="AA1267" s="38">
        <v>0</v>
      </c>
      <c r="AB1267" s="38">
        <v>28.63</v>
      </c>
      <c r="AC1267" s="38">
        <v>1.2413700000000001</v>
      </c>
      <c r="AD1267" s="38">
        <v>57.53</v>
      </c>
      <c r="AE1267" s="38">
        <v>68.25</v>
      </c>
      <c r="AF1267" s="38">
        <f>(AD1267+AE1267*0.5)/(3.5*I1267*1000)*100</f>
        <v>9.1470686566568343E-2</v>
      </c>
      <c r="AG1267" s="38">
        <f t="shared" si="154"/>
        <v>0.1</v>
      </c>
      <c r="AH1267" s="38">
        <v>8.6300000000000008</v>
      </c>
      <c r="AI1267" s="38">
        <f>AH1267/(3.5*I1267*1000)*100</f>
        <v>8.6126455192786534E-3</v>
      </c>
      <c r="AJ1267" s="38">
        <v>0</v>
      </c>
      <c r="AK1267" s="38">
        <f>AJ1267/(3.5*I1267*1000)*100</f>
        <v>0</v>
      </c>
      <c r="AL1267" s="38">
        <v>1</v>
      </c>
      <c r="AM1267" s="38">
        <f>AL1267/(3.5*I1267*1000)*100</f>
        <v>9.9798905206009876E-4</v>
      </c>
      <c r="AN1267" s="12"/>
      <c r="AO1267" s="12"/>
      <c r="AQ1267" s="41">
        <f>SUM(N1267:Q1267)</f>
        <v>28.64</v>
      </c>
      <c r="AR1267" s="41">
        <f>SUM(T1267:W1267)</f>
        <v>28.64</v>
      </c>
      <c r="AS1267" s="12">
        <f>SUM(Z1267:AB1267)</f>
        <v>28.63</v>
      </c>
      <c r="AU1267" s="1">
        <f>I1267/AQ1267</f>
        <v>0.99961592178770953</v>
      </c>
      <c r="AV1267" s="1">
        <f>I1267/AR1267</f>
        <v>0.99961592178770953</v>
      </c>
      <c r="AW1267" s="1">
        <f>I1267/AS1267</f>
        <v>0.99996507160321346</v>
      </c>
    </row>
    <row r="1268" spans="1:88">
      <c r="A1268" s="1">
        <v>699</v>
      </c>
      <c r="B1268" s="34" t="s">
        <v>1106</v>
      </c>
      <c r="C1268" s="34">
        <v>626</v>
      </c>
      <c r="D1268" s="34">
        <v>205</v>
      </c>
      <c r="E1268" s="34">
        <v>302</v>
      </c>
      <c r="F1268" s="34" t="s">
        <v>1109</v>
      </c>
      <c r="G1268" s="58">
        <v>151084</v>
      </c>
      <c r="H1268" s="58">
        <v>169172</v>
      </c>
      <c r="I1268" s="35">
        <v>18.088000000000001</v>
      </c>
      <c r="J1268" s="127">
        <v>4</v>
      </c>
      <c r="K1268" s="34" t="s">
        <v>238</v>
      </c>
      <c r="L1268" s="10">
        <v>42175</v>
      </c>
      <c r="M1268" s="9" t="s">
        <v>191</v>
      </c>
      <c r="N1268" s="38">
        <v>5.625</v>
      </c>
      <c r="O1268" s="38">
        <v>5.65</v>
      </c>
      <c r="P1268" s="38">
        <v>4.125</v>
      </c>
      <c r="Q1268" s="38">
        <v>2.9</v>
      </c>
      <c r="R1268" s="38">
        <v>3.4682200000000001</v>
      </c>
      <c r="S1268" s="38">
        <f t="shared" si="152"/>
        <v>3.5</v>
      </c>
      <c r="T1268" s="38">
        <v>17.074999999999999</v>
      </c>
      <c r="U1268" s="38">
        <v>0.97499999999999998</v>
      </c>
      <c r="V1268" s="38">
        <v>0.2</v>
      </c>
      <c r="W1268" s="38">
        <v>0.05</v>
      </c>
      <c r="X1268" s="38">
        <v>4.92394</v>
      </c>
      <c r="Y1268" s="38">
        <f t="shared" si="153"/>
        <v>5</v>
      </c>
      <c r="Z1268" s="38">
        <v>0</v>
      </c>
      <c r="AA1268" s="38">
        <v>0</v>
      </c>
      <c r="AB1268" s="38">
        <f>N1268+O1268+P1268+Q1268</f>
        <v>18.3</v>
      </c>
      <c r="AC1268" s="38">
        <v>1.3412900000000001</v>
      </c>
      <c r="AD1268" s="38">
        <v>53.24</v>
      </c>
      <c r="AE1268" s="38">
        <v>9.31</v>
      </c>
      <c r="AF1268" s="38">
        <f>(AD1268+AE1268*0.5)/(3.5*I1268*1000)*100</f>
        <v>9.1449737789852784E-2</v>
      </c>
      <c r="AG1268" s="38">
        <f t="shared" si="154"/>
        <v>0.1</v>
      </c>
      <c r="AH1268" s="38">
        <v>5.7</v>
      </c>
      <c r="AI1268" s="38">
        <f>AH1268/(3.5*I1268*1000)*100</f>
        <v>9.00360144057623E-3</v>
      </c>
      <c r="AJ1268" s="38">
        <v>0</v>
      </c>
      <c r="AK1268" s="38">
        <f>AJ1268/(3.5*I1268*1000)*100</f>
        <v>0</v>
      </c>
      <c r="AL1268" s="38">
        <v>0</v>
      </c>
      <c r="AM1268" s="38">
        <f>AL1268/(3.5*I1268*1000)*100</f>
        <v>0</v>
      </c>
      <c r="AN1268" s="25"/>
      <c r="AO1268" s="25">
        <f>AE1268*0.5</f>
        <v>4.6550000000000002</v>
      </c>
      <c r="AP1268" s="25">
        <f>(AD1268+AH1268+AJ1268+AL1268+AO1268)*I1268</f>
        <v>1150.3063600000003</v>
      </c>
      <c r="AQ1268" s="25">
        <f>SUM(N1268:Q1268)</f>
        <v>18.3</v>
      </c>
      <c r="AR1268" s="25">
        <f>SUM(T1268:W1268)</f>
        <v>18.3</v>
      </c>
      <c r="AS1268" s="268">
        <v>18.088000000000001</v>
      </c>
      <c r="AT1268" s="41"/>
      <c r="AU1268" s="41"/>
      <c r="AV1268" s="41"/>
      <c r="AW1268" s="41"/>
      <c r="AX1268" s="22"/>
      <c r="AY1268" s="22"/>
      <c r="AZ1268" s="22"/>
      <c r="BA1268" s="22"/>
      <c r="BB1268" s="22"/>
      <c r="BC1268" s="22"/>
      <c r="BD1268" s="22"/>
      <c r="BE1268" s="22"/>
      <c r="BF1268" s="22"/>
      <c r="BG1268" s="22"/>
      <c r="BH1268" s="22"/>
      <c r="BI1268" s="22"/>
      <c r="BJ1268" s="22"/>
      <c r="BK1268" s="22"/>
      <c r="BL1268" s="22"/>
      <c r="BM1268" s="22"/>
      <c r="BN1268" s="22"/>
      <c r="BO1268" s="22"/>
      <c r="BP1268" s="22"/>
      <c r="BQ1268" s="22"/>
      <c r="BR1268" s="22"/>
      <c r="BS1268" s="22"/>
      <c r="BT1268" s="22"/>
      <c r="BU1268" s="22"/>
      <c r="BV1268" s="22"/>
      <c r="BW1268" s="22"/>
      <c r="BX1268" s="22"/>
      <c r="BY1268" s="22"/>
      <c r="BZ1268" s="22"/>
      <c r="CA1268" s="22"/>
      <c r="CB1268" s="22"/>
      <c r="CC1268" s="22"/>
      <c r="CD1268" s="22"/>
      <c r="CE1268" s="22"/>
      <c r="CF1268" s="22"/>
      <c r="CG1268" s="22"/>
      <c r="CH1268" s="22"/>
      <c r="CI1268" s="22"/>
      <c r="CJ1268" s="22"/>
    </row>
    <row r="1269" spans="1:88">
      <c r="A1269" s="1">
        <v>747</v>
      </c>
      <c r="B1269" s="34" t="s">
        <v>1106</v>
      </c>
      <c r="C1269" s="34">
        <v>626</v>
      </c>
      <c r="D1269" s="34">
        <v>205</v>
      </c>
      <c r="E1269" s="34">
        <v>302</v>
      </c>
      <c r="F1269" s="34" t="s">
        <v>1109</v>
      </c>
      <c r="G1269" s="58">
        <v>151084</v>
      </c>
      <c r="H1269" s="58">
        <v>169172</v>
      </c>
      <c r="I1269" s="35">
        <v>18.088000000000001</v>
      </c>
      <c r="J1269" s="127">
        <v>4</v>
      </c>
      <c r="K1269" s="34" t="s">
        <v>238</v>
      </c>
      <c r="L1269" s="10">
        <v>42175</v>
      </c>
      <c r="M1269" s="9" t="s">
        <v>191</v>
      </c>
      <c r="N1269" s="38">
        <v>5.625</v>
      </c>
      <c r="O1269" s="38">
        <v>5.65</v>
      </c>
      <c r="P1269" s="38">
        <v>4.125</v>
      </c>
      <c r="Q1269" s="38">
        <v>2.9</v>
      </c>
      <c r="R1269" s="38">
        <v>3.4682200000000001</v>
      </c>
      <c r="S1269" s="38">
        <f t="shared" si="152"/>
        <v>3.5</v>
      </c>
      <c r="T1269" s="38">
        <v>17.074999999999999</v>
      </c>
      <c r="U1269" s="38">
        <v>0.97499999999999998</v>
      </c>
      <c r="V1269" s="38">
        <v>0.2</v>
      </c>
      <c r="W1269" s="38">
        <v>0.05</v>
      </c>
      <c r="X1269" s="38">
        <v>4.92394</v>
      </c>
      <c r="Y1269" s="38">
        <f t="shared" si="153"/>
        <v>5</v>
      </c>
      <c r="Z1269" s="38">
        <v>0</v>
      </c>
      <c r="AA1269" s="38">
        <v>0</v>
      </c>
      <c r="AB1269" s="38">
        <f>N1269+O1269+P1269+Q1269</f>
        <v>18.3</v>
      </c>
      <c r="AC1269" s="38">
        <v>1.3412900000000001</v>
      </c>
      <c r="AD1269" s="38">
        <v>53.24</v>
      </c>
      <c r="AE1269" s="38">
        <v>9.31</v>
      </c>
      <c r="AF1269" s="38">
        <f>(AD1269+AE1269*0.5)/(3.5*I1269*1000)*100</f>
        <v>9.1449737789852784E-2</v>
      </c>
      <c r="AG1269" s="38">
        <f t="shared" si="154"/>
        <v>0.1</v>
      </c>
      <c r="AH1269" s="38">
        <v>5.7</v>
      </c>
      <c r="AI1269" s="38">
        <f>AH1269/(3.5*I1269*1000)*100</f>
        <v>9.00360144057623E-3</v>
      </c>
      <c r="AJ1269" s="38">
        <v>0</v>
      </c>
      <c r="AK1269" s="38">
        <f>AJ1269/(3.5*I1269*1000)*100</f>
        <v>0</v>
      </c>
      <c r="AL1269" s="38">
        <v>0</v>
      </c>
      <c r="AM1269" s="38">
        <f>AL1269/(3.5*I1269*1000)*100</f>
        <v>0</v>
      </c>
      <c r="AN1269" s="25"/>
      <c r="AO1269" s="25">
        <f>AE1269*0.5</f>
        <v>4.6550000000000002</v>
      </c>
      <c r="AP1269" s="25">
        <f>(AD1269+AH1269+AJ1269+AL1269+AO1269)*I1269</f>
        <v>1150.3063600000003</v>
      </c>
      <c r="AQ1269" s="25">
        <f>SUM(N1269:Q1269)</f>
        <v>18.3</v>
      </c>
      <c r="AR1269" s="25">
        <f>SUM(T1269:W1269)</f>
        <v>18.3</v>
      </c>
      <c r="AS1269" s="268">
        <v>18.088000000000001</v>
      </c>
      <c r="AT1269" s="41"/>
      <c r="AU1269" s="41"/>
      <c r="AV1269" s="41"/>
      <c r="AW1269" s="41"/>
      <c r="AX1269" s="22"/>
      <c r="AY1269" s="22"/>
      <c r="AZ1269" s="22"/>
      <c r="BA1269" s="22"/>
      <c r="BB1269" s="22"/>
      <c r="BC1269" s="22"/>
      <c r="BD1269" s="22"/>
      <c r="BE1269" s="22"/>
      <c r="BF1269" s="22"/>
      <c r="BG1269" s="22"/>
      <c r="BH1269" s="22"/>
      <c r="BI1269" s="22"/>
      <c r="BJ1269" s="22"/>
      <c r="BK1269" s="22"/>
      <c r="BL1269" s="22"/>
      <c r="BM1269" s="22"/>
      <c r="BN1269" s="22"/>
      <c r="BO1269" s="22"/>
      <c r="BP1269" s="22"/>
      <c r="BQ1269" s="22"/>
      <c r="BR1269" s="22"/>
      <c r="BS1269" s="22"/>
      <c r="BT1269" s="22"/>
      <c r="BU1269" s="22"/>
      <c r="BV1269" s="22"/>
      <c r="BW1269" s="22"/>
      <c r="BX1269" s="22"/>
      <c r="BY1269" s="22"/>
      <c r="BZ1269" s="22"/>
      <c r="CA1269" s="22"/>
      <c r="CB1269" s="22"/>
      <c r="CC1269" s="22"/>
      <c r="CD1269" s="22"/>
      <c r="CE1269" s="22"/>
      <c r="CF1269" s="22"/>
      <c r="CG1269" s="22"/>
      <c r="CH1269" s="22"/>
      <c r="CI1269" s="22"/>
      <c r="CJ1269" s="22"/>
    </row>
    <row r="1270" spans="1:88">
      <c r="A1270" s="1">
        <v>537</v>
      </c>
      <c r="B1270" s="34" t="s">
        <v>915</v>
      </c>
      <c r="C1270" s="34">
        <v>558</v>
      </c>
      <c r="D1270" s="34">
        <v>1106</v>
      </c>
      <c r="E1270" s="34">
        <v>100</v>
      </c>
      <c r="F1270" s="34" t="s">
        <v>926</v>
      </c>
      <c r="G1270" s="34" t="s">
        <v>92</v>
      </c>
      <c r="H1270" s="34" t="s">
        <v>927</v>
      </c>
      <c r="I1270" s="34">
        <v>27.036999999999999</v>
      </c>
      <c r="J1270" s="88" t="s">
        <v>238</v>
      </c>
      <c r="K1270" s="34">
        <v>2</v>
      </c>
      <c r="L1270" s="10">
        <v>42271</v>
      </c>
      <c r="M1270" s="9" t="s">
        <v>191</v>
      </c>
      <c r="N1270" s="38">
        <v>18</v>
      </c>
      <c r="O1270" s="38">
        <v>6.4249999999999998</v>
      </c>
      <c r="P1270" s="38">
        <v>1.7749999999999999</v>
      </c>
      <c r="Q1270" s="38">
        <v>0.85</v>
      </c>
      <c r="R1270" s="38">
        <v>2.4855700000000001</v>
      </c>
      <c r="S1270" s="38">
        <f t="shared" si="152"/>
        <v>2.5</v>
      </c>
      <c r="T1270" s="38">
        <v>26.725000000000001</v>
      </c>
      <c r="U1270" s="38">
        <v>0.25</v>
      </c>
      <c r="V1270" s="38">
        <v>2.5000000000000001E-2</v>
      </c>
      <c r="W1270" s="38">
        <v>0.05</v>
      </c>
      <c r="X1270" s="38">
        <v>2.79542</v>
      </c>
      <c r="Y1270" s="38">
        <f t="shared" si="153"/>
        <v>3</v>
      </c>
      <c r="Z1270" s="38">
        <v>0</v>
      </c>
      <c r="AA1270" s="38">
        <v>0</v>
      </c>
      <c r="AB1270" s="38">
        <v>27.05</v>
      </c>
      <c r="AC1270" s="38">
        <v>1.169</v>
      </c>
      <c r="AD1270" s="38">
        <v>85.69</v>
      </c>
      <c r="AE1270" s="38">
        <v>0</v>
      </c>
      <c r="AF1270" s="38">
        <v>9.0552999999999995E-2</v>
      </c>
      <c r="AG1270" s="38">
        <f t="shared" si="154"/>
        <v>0.1</v>
      </c>
      <c r="AH1270" s="38">
        <v>57.48</v>
      </c>
      <c r="AI1270" s="38">
        <v>6.0741999999999997E-2</v>
      </c>
      <c r="AJ1270" s="38">
        <v>0</v>
      </c>
      <c r="AK1270" s="38">
        <v>0</v>
      </c>
      <c r="AL1270" s="38">
        <v>0</v>
      </c>
      <c r="AM1270" s="38">
        <v>0</v>
      </c>
      <c r="AN1270" s="41"/>
      <c r="AO1270" s="41"/>
      <c r="AP1270" s="73"/>
      <c r="AQ1270" s="73"/>
      <c r="AR1270" s="22"/>
      <c r="AS1270" s="22"/>
      <c r="AT1270" s="22"/>
      <c r="AU1270" s="22"/>
      <c r="AV1270" s="22"/>
      <c r="AW1270" s="22"/>
      <c r="AX1270" s="22"/>
      <c r="AY1270" s="22"/>
      <c r="AZ1270" s="22"/>
      <c r="BA1270" s="22"/>
      <c r="BB1270" s="22"/>
      <c r="BC1270" s="22"/>
      <c r="BD1270" s="22"/>
      <c r="BE1270" s="22"/>
      <c r="BF1270" s="22"/>
      <c r="BG1270" s="22"/>
      <c r="BH1270" s="22"/>
      <c r="BI1270" s="22"/>
      <c r="BJ1270" s="22"/>
      <c r="BK1270" s="22"/>
      <c r="BL1270" s="22"/>
      <c r="BM1270" s="22"/>
      <c r="BN1270" s="22"/>
      <c r="BO1270" s="22"/>
      <c r="BP1270" s="22"/>
      <c r="BQ1270" s="22"/>
      <c r="BR1270" s="22"/>
      <c r="BS1270" s="22"/>
      <c r="BT1270" s="22"/>
      <c r="BU1270" s="22"/>
      <c r="BV1270" s="22"/>
      <c r="BW1270" s="22"/>
      <c r="BX1270" s="22"/>
      <c r="BY1270" s="22"/>
      <c r="BZ1270" s="22"/>
      <c r="CA1270" s="22"/>
      <c r="CB1270" s="22"/>
      <c r="CC1270" s="22"/>
      <c r="CD1270" s="22"/>
      <c r="CE1270" s="22"/>
      <c r="CF1270" s="22"/>
      <c r="CG1270" s="22"/>
      <c r="CH1270" s="22"/>
      <c r="CI1270" s="22"/>
      <c r="CJ1270" s="22"/>
    </row>
    <row r="1271" spans="1:88">
      <c r="A1271" s="1">
        <v>1183</v>
      </c>
      <c r="B1271" s="34" t="s">
        <v>1639</v>
      </c>
      <c r="C1271" s="34">
        <v>433</v>
      </c>
      <c r="D1271" s="34">
        <v>3030</v>
      </c>
      <c r="E1271" s="34">
        <v>100</v>
      </c>
      <c r="F1271" s="34" t="s">
        <v>1659</v>
      </c>
      <c r="G1271" s="58">
        <v>0</v>
      </c>
      <c r="H1271" s="58" t="s">
        <v>1660</v>
      </c>
      <c r="I1271" s="55">
        <v>9.6449999999999996</v>
      </c>
      <c r="J1271" s="34">
        <v>2</v>
      </c>
      <c r="K1271" s="181" t="s">
        <v>238</v>
      </c>
      <c r="L1271" s="10">
        <v>42282</v>
      </c>
      <c r="M1271" s="9" t="s">
        <v>191</v>
      </c>
      <c r="N1271" s="38">
        <v>8.25</v>
      </c>
      <c r="O1271" s="38">
        <v>1.125</v>
      </c>
      <c r="P1271" s="38">
        <v>0.27500000000000002</v>
      </c>
      <c r="Q1271" s="38">
        <v>0</v>
      </c>
      <c r="R1271" s="38">
        <v>2.9830000000000001</v>
      </c>
      <c r="S1271" s="38">
        <f t="shared" si="152"/>
        <v>3</v>
      </c>
      <c r="T1271" s="38">
        <v>9.6</v>
      </c>
      <c r="U1271" s="38">
        <v>0.05</v>
      </c>
      <c r="V1271" s="38">
        <v>0</v>
      </c>
      <c r="W1271" s="38">
        <v>0</v>
      </c>
      <c r="X1271" s="38">
        <v>3.2149999999999999</v>
      </c>
      <c r="Y1271" s="38">
        <f t="shared" si="153"/>
        <v>3</v>
      </c>
      <c r="Z1271" s="38">
        <v>0</v>
      </c>
      <c r="AA1271" s="38">
        <v>0</v>
      </c>
      <c r="AB1271" s="38">
        <v>9.6449999999999996</v>
      </c>
      <c r="AC1271" s="38">
        <v>1.298</v>
      </c>
      <c r="AD1271" s="38">
        <v>12.62</v>
      </c>
      <c r="AE1271" s="38">
        <v>35.68</v>
      </c>
      <c r="AF1271" s="38">
        <f>(AD1271+AE1271*0.5)/(3.5*I1271*1000)*100</f>
        <v>9.0231800340665039E-2</v>
      </c>
      <c r="AG1271" s="38">
        <f t="shared" si="154"/>
        <v>0.1</v>
      </c>
      <c r="AH1271" s="38">
        <v>0</v>
      </c>
      <c r="AI1271" s="38">
        <f>AH1271/(3.5*I1271*1000)*100</f>
        <v>0</v>
      </c>
      <c r="AJ1271" s="38">
        <v>0</v>
      </c>
      <c r="AK1271" s="38">
        <f>AJ1271/(3.5*I1271*1000)*100</f>
        <v>0</v>
      </c>
      <c r="AL1271" s="38">
        <v>0</v>
      </c>
      <c r="AM1271" s="38">
        <f>AJ1271/(3.5*I1271*1000)*100</f>
        <v>0</v>
      </c>
      <c r="AN1271" s="25"/>
      <c r="AO1271" s="22"/>
      <c r="AP1271" s="22"/>
      <c r="AQ1271" s="22"/>
      <c r="AR1271" s="22"/>
      <c r="AS1271" s="22"/>
      <c r="AT1271" s="22"/>
      <c r="AU1271" s="22"/>
      <c r="AV1271" s="22"/>
      <c r="AW1271" s="22"/>
      <c r="AX1271" s="22"/>
      <c r="AY1271" s="22"/>
      <c r="AZ1271" s="22"/>
      <c r="BA1271" s="22"/>
      <c r="BB1271" s="22"/>
      <c r="BC1271" s="22"/>
      <c r="BD1271" s="22"/>
      <c r="BE1271" s="22"/>
      <c r="BF1271" s="22"/>
      <c r="BG1271" s="22"/>
      <c r="BH1271" s="182"/>
      <c r="BI1271" s="182"/>
      <c r="BJ1271" s="182"/>
      <c r="BK1271" s="182"/>
      <c r="BL1271" s="182"/>
      <c r="BM1271" s="182"/>
      <c r="BN1271" s="182"/>
      <c r="BO1271" s="182"/>
      <c r="BP1271" s="182"/>
      <c r="BQ1271" s="182"/>
      <c r="BR1271" s="182"/>
      <c r="BS1271" s="182"/>
      <c r="BT1271" s="182"/>
      <c r="BU1271" s="182"/>
      <c r="BV1271" s="182"/>
      <c r="BW1271" s="182"/>
      <c r="BX1271" s="182"/>
      <c r="BY1271" s="182"/>
      <c r="BZ1271" s="182"/>
      <c r="CA1271" s="182"/>
      <c r="CB1271" s="182"/>
      <c r="CC1271" s="182"/>
      <c r="CD1271" s="182"/>
      <c r="CE1271" s="182"/>
      <c r="CF1271" s="182"/>
      <c r="CG1271" s="182"/>
      <c r="CH1271" s="182"/>
      <c r="CI1271" s="182"/>
      <c r="CJ1271" s="182"/>
    </row>
    <row r="1272" spans="1:88">
      <c r="A1272" s="1">
        <v>1291</v>
      </c>
      <c r="B1272" s="74" t="s">
        <v>1820</v>
      </c>
      <c r="C1272" s="34">
        <v>441</v>
      </c>
      <c r="D1272" s="75">
        <v>3451</v>
      </c>
      <c r="E1272" s="69">
        <v>100</v>
      </c>
      <c r="F1272" s="34" t="s">
        <v>1837</v>
      </c>
      <c r="G1272" s="58">
        <v>10976</v>
      </c>
      <c r="H1272" s="58">
        <v>0</v>
      </c>
      <c r="I1272" s="55">
        <v>10.976000000000001</v>
      </c>
      <c r="J1272" s="34">
        <v>2</v>
      </c>
      <c r="K1272" s="34" t="s">
        <v>12</v>
      </c>
      <c r="L1272" s="10">
        <v>42186</v>
      </c>
      <c r="M1272" s="9" t="s">
        <v>191</v>
      </c>
      <c r="N1272" s="38">
        <v>8.5</v>
      </c>
      <c r="O1272" s="38">
        <v>1.925</v>
      </c>
      <c r="P1272" s="38">
        <v>0.5</v>
      </c>
      <c r="Q1272" s="38">
        <v>2.5000000000000001E-2</v>
      </c>
      <c r="R1272" s="38">
        <v>2.05436</v>
      </c>
      <c r="S1272" s="38">
        <f t="shared" si="152"/>
        <v>2</v>
      </c>
      <c r="T1272" s="38">
        <v>10.775</v>
      </c>
      <c r="U1272" s="38">
        <v>0.17499999999999999</v>
      </c>
      <c r="V1272" s="38">
        <v>0</v>
      </c>
      <c r="W1272" s="38">
        <v>0</v>
      </c>
      <c r="X1272" s="38">
        <v>3.2213599999999998</v>
      </c>
      <c r="Y1272" s="38">
        <f t="shared" si="153"/>
        <v>3</v>
      </c>
      <c r="Z1272" s="38">
        <v>0</v>
      </c>
      <c r="AA1272" s="38">
        <v>0</v>
      </c>
      <c r="AB1272" s="38">
        <v>10.950000000000001</v>
      </c>
      <c r="AC1272" s="38">
        <v>1.3964300000000001</v>
      </c>
      <c r="AD1272" s="38">
        <v>33</v>
      </c>
      <c r="AE1272" s="38">
        <v>3</v>
      </c>
      <c r="AF1272" s="38">
        <v>8.9806330695543501E-2</v>
      </c>
      <c r="AG1272" s="38">
        <f t="shared" si="154"/>
        <v>0.1</v>
      </c>
      <c r="AH1272" s="38">
        <v>0</v>
      </c>
      <c r="AI1272" s="38">
        <v>0</v>
      </c>
      <c r="AJ1272" s="38">
        <v>0</v>
      </c>
      <c r="AK1272" s="38">
        <v>0</v>
      </c>
      <c r="AL1272" s="38">
        <v>0</v>
      </c>
      <c r="AM1272" s="38">
        <v>0</v>
      </c>
      <c r="AN1272" s="40"/>
      <c r="AO1272" s="12"/>
    </row>
    <row r="1273" spans="1:88">
      <c r="A1273" s="1">
        <v>120</v>
      </c>
      <c r="B1273" s="4" t="s">
        <v>78</v>
      </c>
      <c r="C1273" s="14">
        <v>527</v>
      </c>
      <c r="D1273" s="19">
        <v>1322</v>
      </c>
      <c r="E1273" s="16">
        <v>100</v>
      </c>
      <c r="F1273" s="31" t="s">
        <v>235</v>
      </c>
      <c r="G1273" s="20">
        <v>0</v>
      </c>
      <c r="H1273" s="20">
        <v>68550</v>
      </c>
      <c r="I1273" s="21">
        <v>68.55</v>
      </c>
      <c r="J1273" s="8">
        <v>2</v>
      </c>
      <c r="K1273" s="9" t="s">
        <v>238</v>
      </c>
      <c r="L1273" s="18">
        <v>42242</v>
      </c>
      <c r="M1273" s="9" t="s">
        <v>191</v>
      </c>
      <c r="N1273" s="11">
        <v>42.72</v>
      </c>
      <c r="O1273" s="11">
        <v>15.18</v>
      </c>
      <c r="P1273" s="11">
        <v>8.14</v>
      </c>
      <c r="Q1273" s="11">
        <v>2.5099999999999998</v>
      </c>
      <c r="R1273" s="11">
        <v>3.5139999999999998</v>
      </c>
      <c r="S1273" s="38">
        <f t="shared" si="152"/>
        <v>3.5</v>
      </c>
      <c r="T1273" s="11">
        <v>57.67</v>
      </c>
      <c r="U1273" s="11">
        <v>8.5399999999999991</v>
      </c>
      <c r="V1273" s="11">
        <v>2.34</v>
      </c>
      <c r="W1273" s="11">
        <v>0</v>
      </c>
      <c r="X1273" s="11">
        <v>4.6980000000000004</v>
      </c>
      <c r="Y1273" s="38">
        <f t="shared" si="153"/>
        <v>4.5</v>
      </c>
      <c r="Z1273" s="11">
        <v>0</v>
      </c>
      <c r="AA1273" s="11">
        <v>0</v>
      </c>
      <c r="AB1273" s="11">
        <v>68.55</v>
      </c>
      <c r="AC1273" s="11">
        <v>1.218</v>
      </c>
      <c r="AD1273" s="11">
        <v>159.62</v>
      </c>
      <c r="AE1273" s="11">
        <v>110.3</v>
      </c>
      <c r="AF1273" s="11">
        <f>(AD1273+AE1273*0.5)/(3.5*I1273*1000)*100</f>
        <v>8.9515473585495484E-2</v>
      </c>
      <c r="AG1273" s="38">
        <f t="shared" si="154"/>
        <v>0.1</v>
      </c>
      <c r="AH1273" s="11">
        <v>56.69</v>
      </c>
      <c r="AI1273" s="11">
        <f>AH1273/(3.5*I1273*1000)*100</f>
        <v>2.3628217151193082E-2</v>
      </c>
      <c r="AJ1273" s="11">
        <v>0</v>
      </c>
      <c r="AK1273" s="11">
        <f>AJ1273/(3.5*I1273*1000)*100</f>
        <v>0</v>
      </c>
      <c r="AL1273" s="11">
        <v>0</v>
      </c>
      <c r="AM1273" s="11">
        <f>AL1273/(3.5*I1273*1000)*100</f>
        <v>0</v>
      </c>
      <c r="AN1273" s="22"/>
      <c r="AO1273" s="25"/>
      <c r="AP1273" s="25">
        <f>SUM(N1273:Q1273)</f>
        <v>68.55</v>
      </c>
      <c r="AQ1273" s="25">
        <f>SUM(T1273:W1273)</f>
        <v>68.550000000000011</v>
      </c>
      <c r="AR1273" s="25">
        <f>SUM(Z1273:AB1273)</f>
        <v>68.55</v>
      </c>
      <c r="AS1273" s="22"/>
      <c r="AT1273" s="22">
        <f>I1273/AP1273</f>
        <v>1</v>
      </c>
      <c r="AU1273" s="22">
        <f>I1273/AQ1273</f>
        <v>0.99999999999999978</v>
      </c>
      <c r="AV1273" s="22">
        <f>I1273/AR1273</f>
        <v>1</v>
      </c>
      <c r="AW1273" s="22"/>
      <c r="AX1273" s="22"/>
      <c r="AY1273" s="22"/>
      <c r="AZ1273" s="22"/>
      <c r="BA1273" s="22"/>
      <c r="BB1273" s="22"/>
      <c r="BC1273" s="22"/>
      <c r="BD1273" s="22"/>
      <c r="BE1273" s="22"/>
      <c r="BF1273" s="22"/>
      <c r="BG1273" s="22"/>
      <c r="BH1273" s="22"/>
      <c r="BI1273" s="22"/>
      <c r="BJ1273" s="22"/>
      <c r="BK1273" s="22"/>
      <c r="BL1273" s="22"/>
      <c r="BM1273" s="22"/>
      <c r="BN1273" s="22"/>
      <c r="BO1273" s="22"/>
      <c r="BP1273" s="22"/>
      <c r="BQ1273" s="22"/>
      <c r="BR1273" s="22"/>
      <c r="BS1273" s="22"/>
      <c r="BT1273" s="22"/>
      <c r="BU1273" s="22"/>
      <c r="BV1273" s="22"/>
      <c r="BW1273" s="22"/>
      <c r="BX1273" s="22"/>
      <c r="BY1273" s="22"/>
      <c r="BZ1273" s="22"/>
      <c r="CA1273" s="22"/>
      <c r="CB1273" s="22"/>
      <c r="CC1273" s="22"/>
      <c r="CD1273" s="22"/>
      <c r="CE1273" s="22"/>
      <c r="CF1273" s="22"/>
      <c r="CG1273" s="22"/>
      <c r="CH1273" s="22"/>
      <c r="CI1273" s="22"/>
      <c r="CJ1273" s="22"/>
    </row>
    <row r="1274" spans="1:88">
      <c r="A1274" s="1">
        <v>1244</v>
      </c>
      <c r="B1274" s="34" t="s">
        <v>1725</v>
      </c>
      <c r="C1274" s="88">
        <v>437</v>
      </c>
      <c r="D1274" s="88">
        <v>3473</v>
      </c>
      <c r="E1274" s="88">
        <v>100</v>
      </c>
      <c r="F1274" s="88" t="s">
        <v>1761</v>
      </c>
      <c r="G1274" s="88" t="s">
        <v>1762</v>
      </c>
      <c r="H1274" s="88" t="s">
        <v>92</v>
      </c>
      <c r="I1274" s="115">
        <v>48.375</v>
      </c>
      <c r="J1274" s="88">
        <v>2</v>
      </c>
      <c r="K1274" s="88" t="s">
        <v>12</v>
      </c>
      <c r="L1274" s="116">
        <v>42282</v>
      </c>
      <c r="M1274" s="9" t="s">
        <v>191</v>
      </c>
      <c r="N1274" s="38">
        <v>30.85</v>
      </c>
      <c r="O1274" s="38">
        <v>10</v>
      </c>
      <c r="P1274" s="38">
        <v>5.25</v>
      </c>
      <c r="Q1274" s="38">
        <v>2.2749999999999999</v>
      </c>
      <c r="R1274" s="38">
        <v>2.45966</v>
      </c>
      <c r="S1274" s="38">
        <f t="shared" si="152"/>
        <v>2.5</v>
      </c>
      <c r="T1274" s="38">
        <v>44.575000000000003</v>
      </c>
      <c r="U1274" s="38">
        <v>3.1</v>
      </c>
      <c r="V1274" s="38">
        <v>0.52500000000000002</v>
      </c>
      <c r="W1274" s="38">
        <v>0.17499999999999999</v>
      </c>
      <c r="X1274" s="38">
        <v>4.3729399999999998</v>
      </c>
      <c r="Y1274" s="38">
        <f t="shared" si="153"/>
        <v>4.5</v>
      </c>
      <c r="Z1274" s="38">
        <v>0</v>
      </c>
      <c r="AA1274" s="117">
        <v>0</v>
      </c>
      <c r="AB1274" s="117">
        <v>48.375</v>
      </c>
      <c r="AC1274" s="117">
        <v>1.2355799999999999</v>
      </c>
      <c r="AD1274" s="117">
        <v>148.36000000000001</v>
      </c>
      <c r="AE1274" s="117">
        <v>6.2160000000000002</v>
      </c>
      <c r="AF1274" s="117">
        <f>(AD1274+AE1274*0.5)/(3.5*I1274*1000)*100</f>
        <v>8.9460612772240697E-2</v>
      </c>
      <c r="AG1274" s="38">
        <f t="shared" si="154"/>
        <v>0.1</v>
      </c>
      <c r="AH1274" s="117">
        <v>87.65</v>
      </c>
      <c r="AI1274" s="117">
        <f>AH1274/(3.5*I1274*1000)*100</f>
        <v>5.1768180140273172E-2</v>
      </c>
      <c r="AJ1274" s="117">
        <v>0</v>
      </c>
      <c r="AK1274" s="117">
        <f>AJ1274/(3.5*I1274*1000)*100</f>
        <v>0</v>
      </c>
      <c r="AL1274" s="117">
        <v>0</v>
      </c>
      <c r="AM1274" s="117">
        <f>AJ1274/(3.5*I1274*1000)*100</f>
        <v>0</v>
      </c>
      <c r="AN1274" s="12"/>
    </row>
    <row r="1275" spans="1:88">
      <c r="A1275" s="1">
        <v>492</v>
      </c>
      <c r="B1275" s="34" t="s">
        <v>821</v>
      </c>
      <c r="C1275" s="34">
        <v>519</v>
      </c>
      <c r="D1275" s="34">
        <v>117</v>
      </c>
      <c r="E1275" s="34">
        <v>202</v>
      </c>
      <c r="F1275" s="34" t="s">
        <v>840</v>
      </c>
      <c r="G1275" s="34" t="s">
        <v>839</v>
      </c>
      <c r="H1275" s="34" t="s">
        <v>841</v>
      </c>
      <c r="I1275" s="55">
        <v>18.899999999999999</v>
      </c>
      <c r="J1275" s="34" t="s">
        <v>237</v>
      </c>
      <c r="K1275" s="34">
        <v>4</v>
      </c>
      <c r="L1275" s="10">
        <v>42275</v>
      </c>
      <c r="M1275" s="9" t="s">
        <v>191</v>
      </c>
      <c r="N1275" s="38">
        <v>15</v>
      </c>
      <c r="O1275" s="38">
        <v>3.3</v>
      </c>
      <c r="P1275" s="38">
        <v>0.6</v>
      </c>
      <c r="Q1275" s="38">
        <v>0</v>
      </c>
      <c r="R1275" s="38">
        <v>2.7326299999999999</v>
      </c>
      <c r="S1275" s="38">
        <f t="shared" si="152"/>
        <v>2.5</v>
      </c>
      <c r="T1275" s="38">
        <v>18.899999999999999</v>
      </c>
      <c r="U1275" s="38">
        <v>0</v>
      </c>
      <c r="V1275" s="38">
        <v>0</v>
      </c>
      <c r="W1275" s="38">
        <v>0</v>
      </c>
      <c r="X1275" s="38">
        <v>3.0701499999999999</v>
      </c>
      <c r="Y1275" s="38">
        <f t="shared" si="153"/>
        <v>3</v>
      </c>
      <c r="Z1275" s="117">
        <v>0</v>
      </c>
      <c r="AA1275" s="117">
        <v>0</v>
      </c>
      <c r="AB1275" s="38">
        <v>18.899999999999999</v>
      </c>
      <c r="AC1275" s="38">
        <v>1.2751999999999999</v>
      </c>
      <c r="AD1275" s="38">
        <v>85.24</v>
      </c>
      <c r="AE1275" s="38">
        <v>26.67</v>
      </c>
      <c r="AF1275" s="38">
        <v>8.9269000000000001E-2</v>
      </c>
      <c r="AG1275" s="38">
        <f t="shared" si="154"/>
        <v>0.1</v>
      </c>
      <c r="AH1275" s="38">
        <v>153.12</v>
      </c>
      <c r="AI1275" s="38">
        <v>0.13866400000000001</v>
      </c>
      <c r="AJ1275" s="38">
        <v>0</v>
      </c>
      <c r="AK1275" s="38">
        <v>0</v>
      </c>
      <c r="AL1275" s="38">
        <v>0</v>
      </c>
      <c r="AM1275" s="38">
        <v>0</v>
      </c>
      <c r="AN1275" s="41"/>
      <c r="AO1275" s="41"/>
      <c r="AP1275" s="41"/>
      <c r="AQ1275" s="41">
        <f>SUM(N1275:Q1275)</f>
        <v>18.900000000000002</v>
      </c>
      <c r="AR1275" s="41">
        <f>SUM(T1275:W1275)</f>
        <v>18.899999999999999</v>
      </c>
      <c r="AS1275" s="41">
        <f>SUM(Z1275:AB1275)</f>
        <v>18.899999999999999</v>
      </c>
      <c r="AT1275" s="22"/>
      <c r="AU1275" s="22">
        <f>I1275/AQ1275</f>
        <v>0.99999999999999978</v>
      </c>
      <c r="AV1275" s="22">
        <f>I1275/AR1275</f>
        <v>1</v>
      </c>
      <c r="AW1275" s="22">
        <f>I1275/AS1275</f>
        <v>1</v>
      </c>
      <c r="AX1275" s="22"/>
      <c r="AY1275" s="22"/>
      <c r="AZ1275" s="22"/>
      <c r="BA1275" s="22"/>
      <c r="BB1275" s="22"/>
      <c r="BC1275" s="22"/>
      <c r="BD1275" s="22"/>
      <c r="BE1275" s="22"/>
      <c r="BF1275" s="22"/>
      <c r="BG1275" s="22"/>
      <c r="BH1275" s="22"/>
      <c r="BI1275" s="22"/>
      <c r="BJ1275" s="22"/>
      <c r="BK1275" s="22"/>
      <c r="BL1275" s="22"/>
      <c r="BM1275" s="22"/>
      <c r="BN1275" s="22"/>
      <c r="BO1275" s="22"/>
      <c r="BP1275" s="22"/>
      <c r="BQ1275" s="22"/>
      <c r="BR1275" s="22"/>
      <c r="BS1275" s="22"/>
      <c r="BT1275" s="22"/>
      <c r="BU1275" s="22"/>
      <c r="BV1275" s="22"/>
      <c r="BW1275" s="22"/>
      <c r="BX1275" s="22"/>
      <c r="BY1275" s="22"/>
      <c r="BZ1275" s="22"/>
      <c r="CA1275" s="22"/>
      <c r="CB1275" s="22"/>
      <c r="CC1275" s="22"/>
      <c r="CD1275" s="22"/>
      <c r="CE1275" s="22"/>
      <c r="CF1275" s="22"/>
      <c r="CG1275" s="22"/>
      <c r="CH1275" s="22"/>
      <c r="CI1275" s="22"/>
      <c r="CJ1275" s="22"/>
    </row>
    <row r="1276" spans="1:88">
      <c r="A1276" s="1">
        <v>716</v>
      </c>
      <c r="B1276" s="34" t="s">
        <v>1123</v>
      </c>
      <c r="C1276" s="34">
        <v>627</v>
      </c>
      <c r="D1276" s="34">
        <v>201</v>
      </c>
      <c r="E1276" s="34">
        <v>302</v>
      </c>
      <c r="F1276" s="34" t="s">
        <v>1125</v>
      </c>
      <c r="G1276" s="58">
        <v>221081</v>
      </c>
      <c r="H1276" s="58">
        <v>200955</v>
      </c>
      <c r="I1276" s="51">
        <v>20.126000000000001</v>
      </c>
      <c r="J1276" s="127">
        <v>4</v>
      </c>
      <c r="K1276" s="34" t="s">
        <v>12</v>
      </c>
      <c r="L1276" s="10">
        <v>42178</v>
      </c>
      <c r="M1276" s="9" t="s">
        <v>191</v>
      </c>
      <c r="N1276" s="38">
        <f>18.2*0.503</f>
        <v>9.1546000000000003</v>
      </c>
      <c r="O1276" s="38">
        <f>12.95*0.503</f>
        <v>6.5138499999999997</v>
      </c>
      <c r="P1276" s="38">
        <f>6.15*0.503</f>
        <v>3.0934500000000003</v>
      </c>
      <c r="Q1276" s="38">
        <f>2.725*0.503</f>
        <v>1.3706750000000001</v>
      </c>
      <c r="R1276" s="38">
        <v>2.9012799999999999</v>
      </c>
      <c r="S1276" s="38">
        <f t="shared" si="152"/>
        <v>3</v>
      </c>
      <c r="T1276" s="38">
        <v>14.67</v>
      </c>
      <c r="U1276" s="38">
        <v>2.62</v>
      </c>
      <c r="V1276" s="38">
        <v>1.45</v>
      </c>
      <c r="W1276" s="38">
        <v>1.42</v>
      </c>
      <c r="X1276" s="38">
        <v>8.3998500000000007</v>
      </c>
      <c r="Y1276" s="38">
        <f t="shared" si="153"/>
        <v>8.5</v>
      </c>
      <c r="Z1276" s="38">
        <v>0</v>
      </c>
      <c r="AA1276" s="38">
        <v>0</v>
      </c>
      <c r="AB1276" s="38">
        <v>20.126000000000001</v>
      </c>
      <c r="AC1276" s="38">
        <v>1.0155799999999999</v>
      </c>
      <c r="AD1276" s="38">
        <v>59.52</v>
      </c>
      <c r="AE1276" s="38">
        <v>6.62</v>
      </c>
      <c r="AF1276" s="38">
        <v>8.9190000000000005E-2</v>
      </c>
      <c r="AG1276" s="38">
        <f t="shared" si="154"/>
        <v>0.1</v>
      </c>
      <c r="AH1276" s="38">
        <v>5.92</v>
      </c>
      <c r="AI1276" s="38">
        <v>8.4100000000000008E-3</v>
      </c>
      <c r="AJ1276" s="38">
        <v>25.42</v>
      </c>
      <c r="AK1276" s="38">
        <v>3.6080000000000001E-2</v>
      </c>
      <c r="AL1276" s="38">
        <v>0.39</v>
      </c>
      <c r="AM1276" s="147">
        <f>AL1276/(3.5*I1276*1000)*100</f>
        <v>5.5365483170312737E-4</v>
      </c>
      <c r="AN1276" s="25"/>
      <c r="AO1276" s="25">
        <f>AE1276*0.5</f>
        <v>3.31</v>
      </c>
      <c r="AP1276" s="25">
        <f>(AD1276+AH1276+AJ1276+AL1276+AO1276)*I1276</f>
        <v>1903.1145600000002</v>
      </c>
      <c r="AQ1276" s="25">
        <f>SUM(N1276:Q1276)</f>
        <v>20.132574999999999</v>
      </c>
      <c r="AR1276" s="25">
        <f>SUM(T1276:W1276)</f>
        <v>20.159999999999997</v>
      </c>
      <c r="AS1276" s="268">
        <v>20.126000000000001</v>
      </c>
      <c r="AT1276" s="41">
        <f>AS1276/AQ1276</f>
        <v>0.99967341485130456</v>
      </c>
      <c r="AU1276" s="41"/>
      <c r="AV1276" s="41"/>
      <c r="AW1276" s="41"/>
      <c r="AX1276" s="22"/>
      <c r="AY1276" s="22"/>
      <c r="AZ1276" s="22"/>
      <c r="BA1276" s="22"/>
      <c r="BB1276" s="22"/>
      <c r="BC1276" s="22"/>
      <c r="BD1276" s="22"/>
      <c r="BE1276" s="22"/>
      <c r="BF1276" s="22"/>
      <c r="BG1276" s="22"/>
      <c r="BH1276" s="22"/>
      <c r="BI1276" s="22"/>
      <c r="BJ1276" s="22"/>
      <c r="BK1276" s="22"/>
      <c r="BL1276" s="22"/>
      <c r="BM1276" s="22"/>
      <c r="BN1276" s="22"/>
      <c r="BO1276" s="22"/>
      <c r="BP1276" s="22"/>
      <c r="BQ1276" s="22"/>
      <c r="BR1276" s="22"/>
      <c r="BS1276" s="22"/>
      <c r="BT1276" s="22"/>
      <c r="BU1276" s="22"/>
      <c r="BV1276" s="22"/>
      <c r="BW1276" s="22"/>
      <c r="BX1276" s="22"/>
      <c r="BY1276" s="22"/>
      <c r="BZ1276" s="22"/>
      <c r="CA1276" s="22"/>
      <c r="CB1276" s="22"/>
      <c r="CC1276" s="22"/>
      <c r="CD1276" s="22"/>
      <c r="CE1276" s="22"/>
      <c r="CF1276" s="22"/>
      <c r="CG1276" s="22"/>
      <c r="CH1276" s="22"/>
      <c r="CI1276" s="22"/>
      <c r="CJ1276" s="22"/>
    </row>
    <row r="1277" spans="1:88" s="22" customFormat="1">
      <c r="A1277" s="1">
        <v>430</v>
      </c>
      <c r="B1277" s="74" t="s">
        <v>699</v>
      </c>
      <c r="C1277" s="34">
        <v>513</v>
      </c>
      <c r="D1277" s="75">
        <v>1056</v>
      </c>
      <c r="E1277" s="69">
        <v>101</v>
      </c>
      <c r="F1277" s="76" t="s">
        <v>726</v>
      </c>
      <c r="G1277" s="20" t="s">
        <v>727</v>
      </c>
      <c r="H1277" s="20" t="s">
        <v>192</v>
      </c>
      <c r="I1277" s="21">
        <v>19.597000000000001</v>
      </c>
      <c r="J1277" s="5" t="s">
        <v>238</v>
      </c>
      <c r="K1277" s="34">
        <v>2</v>
      </c>
      <c r="L1277" s="18">
        <v>42264</v>
      </c>
      <c r="M1277" s="9" t="s">
        <v>191</v>
      </c>
      <c r="N1277" s="38">
        <v>13.5</v>
      </c>
      <c r="O1277" s="38">
        <v>3.24</v>
      </c>
      <c r="P1277" s="38">
        <v>1.88</v>
      </c>
      <c r="Q1277" s="38">
        <v>0.98</v>
      </c>
      <c r="R1277" s="38">
        <v>2.4502899999999999</v>
      </c>
      <c r="S1277" s="38">
        <f t="shared" si="152"/>
        <v>2.5</v>
      </c>
      <c r="T1277" s="38">
        <v>18.89</v>
      </c>
      <c r="U1277" s="38">
        <v>0.33</v>
      </c>
      <c r="V1277" s="38">
        <v>0.2</v>
      </c>
      <c r="W1277" s="38">
        <v>0.18</v>
      </c>
      <c r="X1277" s="38">
        <v>3.0412300000000001</v>
      </c>
      <c r="Y1277" s="38">
        <f t="shared" si="153"/>
        <v>3</v>
      </c>
      <c r="Z1277" s="38">
        <v>0</v>
      </c>
      <c r="AA1277" s="38">
        <v>0</v>
      </c>
      <c r="AB1277" s="38">
        <v>19.600000000000001</v>
      </c>
      <c r="AC1277" s="38">
        <v>1.1119300000000001</v>
      </c>
      <c r="AD1277" s="38">
        <v>53.253999999999998</v>
      </c>
      <c r="AE1277" s="38">
        <v>15.647</v>
      </c>
      <c r="AF1277" s="38">
        <f>(AD1277+AE1277*0.5)/(3.5*I1277*1000)*100</f>
        <v>8.9047886338287932E-2</v>
      </c>
      <c r="AG1277" s="38">
        <f t="shared" si="154"/>
        <v>0.1</v>
      </c>
      <c r="AH1277" s="38">
        <v>77.569999999999993</v>
      </c>
      <c r="AI1277" s="38">
        <f>AH1277/(3.5*I1277*1000)*100</f>
        <v>0.11309311191946288</v>
      </c>
      <c r="AJ1277" s="38">
        <v>0</v>
      </c>
      <c r="AK1277" s="38">
        <f>AJ1277/(3.5*I1277*1000)*100</f>
        <v>0</v>
      </c>
      <c r="AL1277" s="38">
        <v>0</v>
      </c>
      <c r="AM1277" s="38">
        <f>AL1277/(3.5*I1277*1000)*100</f>
        <v>0</v>
      </c>
      <c r="AN1277" s="41"/>
      <c r="AO1277" s="41"/>
      <c r="AP1277" s="73"/>
      <c r="AQ1277" s="41">
        <f>SUM(N1277:Q1277)</f>
        <v>19.600000000000001</v>
      </c>
      <c r="AR1277" s="41">
        <f>SUM(T1277:W1277)</f>
        <v>19.599999999999998</v>
      </c>
      <c r="AS1277" s="41">
        <f>SUM(Z1277:AB1277)</f>
        <v>19.600000000000001</v>
      </c>
      <c r="AU1277" s="22">
        <f>I1277/AQ1277</f>
        <v>0.99984693877551023</v>
      </c>
      <c r="AV1277" s="22">
        <f>I1277/AR1277</f>
        <v>0.99984693877551034</v>
      </c>
      <c r="AW1277" s="22">
        <f>I1277/AS1277</f>
        <v>0.99984693877551023</v>
      </c>
      <c r="AX1277" s="73"/>
      <c r="AY1277" s="73"/>
      <c r="AZ1277" s="73"/>
      <c r="BA1277" s="73"/>
      <c r="BB1277" s="73"/>
      <c r="BC1277" s="73"/>
      <c r="BD1277" s="73"/>
      <c r="BE1277" s="73"/>
      <c r="BF1277" s="73"/>
      <c r="BG1277" s="73"/>
      <c r="BH1277" s="73"/>
      <c r="BI1277" s="73"/>
      <c r="BJ1277" s="73"/>
      <c r="BK1277" s="73"/>
      <c r="BL1277" s="73"/>
      <c r="BM1277" s="73"/>
      <c r="BN1277" s="73"/>
      <c r="BO1277" s="73"/>
      <c r="BP1277" s="73"/>
      <c r="BQ1277" s="73"/>
      <c r="BR1277" s="73"/>
      <c r="BS1277" s="73"/>
      <c r="BT1277" s="73"/>
      <c r="BU1277" s="73"/>
      <c r="BV1277" s="73"/>
      <c r="BW1277" s="73"/>
      <c r="BX1277" s="73"/>
      <c r="BY1277" s="73"/>
      <c r="BZ1277" s="73"/>
      <c r="CA1277" s="73"/>
      <c r="CB1277" s="73"/>
      <c r="CC1277" s="73"/>
      <c r="CD1277" s="73"/>
      <c r="CE1277" s="73"/>
      <c r="CF1277" s="73"/>
      <c r="CG1277" s="73"/>
      <c r="CH1277" s="73"/>
      <c r="CI1277" s="73"/>
      <c r="CJ1277" s="73"/>
    </row>
    <row r="1278" spans="1:88" s="22" customFormat="1">
      <c r="A1278" s="1">
        <v>155</v>
      </c>
      <c r="B1278" s="34" t="s">
        <v>294</v>
      </c>
      <c r="C1278" s="34">
        <v>531</v>
      </c>
      <c r="D1278" s="34">
        <v>1217</v>
      </c>
      <c r="E1278" s="34">
        <v>100</v>
      </c>
      <c r="F1278" s="34" t="s">
        <v>325</v>
      </c>
      <c r="G1278" s="20">
        <v>0</v>
      </c>
      <c r="H1278" s="20">
        <v>17081</v>
      </c>
      <c r="I1278" s="35">
        <v>17.081</v>
      </c>
      <c r="J1278" s="36">
        <v>2</v>
      </c>
      <c r="K1278" s="34" t="s">
        <v>238</v>
      </c>
      <c r="L1278" s="10">
        <v>42221</v>
      </c>
      <c r="M1278" s="9" t="s">
        <v>191</v>
      </c>
      <c r="N1278" s="38">
        <v>7.41</v>
      </c>
      <c r="O1278" s="38">
        <v>5.17</v>
      </c>
      <c r="P1278" s="38">
        <v>3.51</v>
      </c>
      <c r="Q1278" s="38">
        <v>1.01</v>
      </c>
      <c r="R1278" s="38">
        <v>2.7488800000000002</v>
      </c>
      <c r="S1278" s="38">
        <f t="shared" si="152"/>
        <v>2.5</v>
      </c>
      <c r="T1278" s="38">
        <v>8.8000000000000007</v>
      </c>
      <c r="U1278" s="38">
        <v>2.4700000000000002</v>
      </c>
      <c r="V1278" s="38">
        <v>1.79</v>
      </c>
      <c r="W1278" s="38">
        <v>4.03</v>
      </c>
      <c r="X1278" s="38">
        <v>18.678699999999999</v>
      </c>
      <c r="Y1278" s="38">
        <f t="shared" si="153"/>
        <v>18.5</v>
      </c>
      <c r="Z1278" s="38">
        <v>0</v>
      </c>
      <c r="AA1278" s="38">
        <v>0</v>
      </c>
      <c r="AB1278" s="38">
        <v>17.079999999999998</v>
      </c>
      <c r="AC1278" s="38">
        <v>1.2828599999999999</v>
      </c>
      <c r="AD1278" s="38">
        <v>46</v>
      </c>
      <c r="AE1278" s="38">
        <v>14.11</v>
      </c>
      <c r="AF1278" s="38">
        <f>(AD1278+AE1278*0.5)/(3.5*I1278*1000)*100</f>
        <v>8.8745222343957778E-2</v>
      </c>
      <c r="AG1278" s="38">
        <f t="shared" si="154"/>
        <v>0.1</v>
      </c>
      <c r="AH1278" s="38">
        <v>2</v>
      </c>
      <c r="AI1278" s="38">
        <f>AH1278/(3.5*I1278*1000)*100</f>
        <v>3.3454046685122145E-3</v>
      </c>
      <c r="AJ1278" s="38">
        <v>0</v>
      </c>
      <c r="AK1278" s="38">
        <f>AJ1278/(3.5*I1278*1000)*100</f>
        <v>0</v>
      </c>
      <c r="AL1278" s="38">
        <v>2</v>
      </c>
      <c r="AM1278" s="38">
        <f>AL1278/(3.5*I1278*1000)*100</f>
        <v>3.3454046685122145E-3</v>
      </c>
      <c r="AN1278" s="40"/>
      <c r="AO1278" s="40">
        <f>AE1278*0.5</f>
        <v>7.0549999999999997</v>
      </c>
      <c r="AP1278" s="40">
        <f>(AD1278+AH1278+AJ1278+AL1278+AO1278)*I1278</f>
        <v>974.55645499999991</v>
      </c>
      <c r="AQ1278" s="25">
        <f>SUM(N1278:Q1278)</f>
        <v>17.100000000000001</v>
      </c>
      <c r="AR1278" s="25">
        <f>SUM(T1278:W1278)</f>
        <v>17.090000000000003</v>
      </c>
      <c r="AT1278" s="41"/>
      <c r="AU1278" s="41">
        <f>SUM(N1278:Q1278)</f>
        <v>17.100000000000001</v>
      </c>
      <c r="AV1278" s="41">
        <f>SUM(T1278:W1278)</f>
        <v>17.090000000000003</v>
      </c>
      <c r="AW1278" s="41">
        <f>SUM(Z1278:AB1278)</f>
        <v>17.079999999999998</v>
      </c>
      <c r="AY1278" s="22">
        <f>I1278/AU1278</f>
        <v>0.99888888888888883</v>
      </c>
      <c r="AZ1278" s="22">
        <f>I1278/AV1278</f>
        <v>0.99947337624341692</v>
      </c>
      <c r="BA1278" s="22">
        <f>I1278/AW1278</f>
        <v>1.0000585480093678</v>
      </c>
    </row>
    <row r="1279" spans="1:88" s="22" customFormat="1">
      <c r="A1279" s="1">
        <v>1479</v>
      </c>
      <c r="B1279" s="34" t="s">
        <v>2016</v>
      </c>
      <c r="C1279" s="34">
        <v>411</v>
      </c>
      <c r="D1279" s="69">
        <v>3119</v>
      </c>
      <c r="E1279" s="34">
        <v>102</v>
      </c>
      <c r="F1279" s="34" t="s">
        <v>2031</v>
      </c>
      <c r="G1279" s="20" t="s">
        <v>2033</v>
      </c>
      <c r="H1279" s="20" t="s">
        <v>2032</v>
      </c>
      <c r="I1279" s="188">
        <v>5.694</v>
      </c>
      <c r="J1279" s="34">
        <v>2</v>
      </c>
      <c r="K1279" s="34" t="s">
        <v>237</v>
      </c>
      <c r="L1279" s="10">
        <v>42246</v>
      </c>
      <c r="M1279" s="9" t="s">
        <v>191</v>
      </c>
      <c r="N1279" s="38">
        <v>1.2</v>
      </c>
      <c r="O1279" s="38">
        <v>1.875</v>
      </c>
      <c r="P1279" s="38">
        <v>1.85</v>
      </c>
      <c r="Q1279" s="38">
        <v>0.67500000000000004</v>
      </c>
      <c r="R1279" s="38">
        <v>3.5939999999999999</v>
      </c>
      <c r="S1279" s="38">
        <f t="shared" si="152"/>
        <v>3.5</v>
      </c>
      <c r="T1279" s="38">
        <v>5.4</v>
      </c>
      <c r="U1279" s="38">
        <v>0.05</v>
      </c>
      <c r="V1279" s="38">
        <v>0.1</v>
      </c>
      <c r="W1279" s="38">
        <v>0.05</v>
      </c>
      <c r="X1279" s="38">
        <v>3.6179999999999999</v>
      </c>
      <c r="Y1279" s="38">
        <f t="shared" si="153"/>
        <v>3.5</v>
      </c>
      <c r="Z1279" s="38">
        <v>0</v>
      </c>
      <c r="AA1279" s="38">
        <v>0</v>
      </c>
      <c r="AB1279" s="38">
        <f>SUM(T1279:W1279)</f>
        <v>5.6</v>
      </c>
      <c r="AC1279" s="38">
        <v>0.94499999999999995</v>
      </c>
      <c r="AD1279" s="38">
        <v>0</v>
      </c>
      <c r="AE1279" s="38">
        <v>35.28</v>
      </c>
      <c r="AF1279" s="38">
        <f>(AD1279+AE1279*0.5)/(3.5*I1279*1000)*100</f>
        <v>8.8514225500526872E-2</v>
      </c>
      <c r="AG1279" s="38">
        <f t="shared" si="154"/>
        <v>0.1</v>
      </c>
      <c r="AH1279" s="38">
        <v>1</v>
      </c>
      <c r="AI1279" s="38">
        <f>AH1279/(3.5*I1279*1000)*100</f>
        <v>5.0178132369913192E-3</v>
      </c>
      <c r="AJ1279" s="38">
        <v>12.72</v>
      </c>
      <c r="AK1279" s="38">
        <f>AJ1279/(3.5*I1279*1000)*100</f>
        <v>6.382658437452958E-2</v>
      </c>
      <c r="AL1279" s="38">
        <v>0</v>
      </c>
      <c r="AM1279" s="38">
        <f>AL1279/(3.5*I1279*1000)*100</f>
        <v>0</v>
      </c>
      <c r="AN1279" s="60"/>
      <c r="AO1279" s="60">
        <f>AE1279*0.5</f>
        <v>17.64</v>
      </c>
      <c r="AP1279" s="60">
        <f>(AD1279+AH1279+AJ1279+AL1279+AO1279)*I1279</f>
        <v>178.56384</v>
      </c>
      <c r="AQ1279" s="60"/>
      <c r="AR1279" s="60"/>
      <c r="AS1279" s="60"/>
      <c r="AT1279" s="60"/>
      <c r="AU1279" s="61"/>
      <c r="AV1279" s="40"/>
      <c r="AW1279" s="40"/>
      <c r="AX1279" s="40"/>
      <c r="AY1279" s="40"/>
      <c r="AZ1279" s="61"/>
      <c r="BA1279" s="61"/>
      <c r="BB1279" s="61"/>
      <c r="BC1279" s="61"/>
      <c r="BD1279" s="61"/>
      <c r="BE1279" s="61"/>
      <c r="BF1279" s="61"/>
      <c r="BG1279" s="61"/>
      <c r="BH1279" s="61"/>
      <c r="BI1279" s="61"/>
      <c r="BJ1279" s="61"/>
      <c r="BK1279" s="61"/>
      <c r="BL1279" s="61"/>
      <c r="BM1279" s="61"/>
      <c r="BN1279" s="61"/>
      <c r="BO1279" s="61"/>
      <c r="BP1279" s="61"/>
      <c r="BQ1279" s="61"/>
      <c r="BR1279" s="61"/>
      <c r="BS1279" s="61"/>
      <c r="BT1279" s="61"/>
      <c r="BU1279" s="61"/>
      <c r="BV1279" s="61"/>
      <c r="BW1279" s="61"/>
      <c r="BX1279" s="61"/>
      <c r="BY1279" s="61"/>
      <c r="BZ1279" s="61"/>
      <c r="CA1279" s="61"/>
      <c r="CB1279" s="61"/>
      <c r="CC1279" s="61"/>
      <c r="CD1279" s="61"/>
      <c r="CE1279" s="61"/>
      <c r="CF1279" s="61"/>
      <c r="CG1279" s="61"/>
      <c r="CH1279" s="61"/>
      <c r="CI1279" s="61"/>
      <c r="CJ1279" s="61"/>
    </row>
    <row r="1280" spans="1:88" s="22" customFormat="1">
      <c r="A1280" s="1">
        <v>947</v>
      </c>
      <c r="B1280" s="34" t="s">
        <v>1329</v>
      </c>
      <c r="C1280" s="34">
        <v>611</v>
      </c>
      <c r="D1280" s="161">
        <v>2150</v>
      </c>
      <c r="E1280" s="34">
        <v>101</v>
      </c>
      <c r="F1280" s="34" t="s">
        <v>1346</v>
      </c>
      <c r="G1280" s="58">
        <v>0</v>
      </c>
      <c r="H1280" s="58">
        <v>18804</v>
      </c>
      <c r="I1280" s="35">
        <v>18.803999999999998</v>
      </c>
      <c r="J1280" s="71">
        <v>2</v>
      </c>
      <c r="K1280" s="34" t="s">
        <v>12</v>
      </c>
      <c r="L1280" s="10">
        <v>42117</v>
      </c>
      <c r="M1280" s="9" t="s">
        <v>191</v>
      </c>
      <c r="N1280" s="38">
        <v>13.2</v>
      </c>
      <c r="O1280" s="38">
        <v>4.0750000000000002</v>
      </c>
      <c r="P1280" s="38">
        <v>0.8</v>
      </c>
      <c r="Q1280" s="38">
        <v>0.67500000000000004</v>
      </c>
      <c r="R1280" s="38">
        <v>3.1760199999999998</v>
      </c>
      <c r="S1280" s="38">
        <f t="shared" si="152"/>
        <v>3</v>
      </c>
      <c r="T1280" s="38">
        <v>17.100000000000001</v>
      </c>
      <c r="U1280" s="38">
        <v>1.1000000000000001</v>
      </c>
      <c r="V1280" s="38">
        <v>0.4</v>
      </c>
      <c r="W1280" s="38">
        <v>0.15</v>
      </c>
      <c r="X1280" s="38">
        <v>5.1719799999999996</v>
      </c>
      <c r="Y1280" s="38">
        <f t="shared" si="153"/>
        <v>5</v>
      </c>
      <c r="Z1280" s="38">
        <v>0</v>
      </c>
      <c r="AA1280" s="38">
        <v>0</v>
      </c>
      <c r="AB1280" s="38">
        <v>18.803999999999998</v>
      </c>
      <c r="AC1280" s="38">
        <v>1.41848</v>
      </c>
      <c r="AD1280" s="38">
        <v>58.23</v>
      </c>
      <c r="AE1280" s="38">
        <v>0</v>
      </c>
      <c r="AF1280" s="38">
        <f>(AD1280+AE1280*0.5)/(3.5*I1280*1000)*100</f>
        <v>8.8476615917585918E-2</v>
      </c>
      <c r="AG1280" s="38">
        <f t="shared" si="154"/>
        <v>0.1</v>
      </c>
      <c r="AH1280" s="38">
        <v>0</v>
      </c>
      <c r="AI1280" s="38">
        <f>AH1280/(3.5*I1280*1000)*100</f>
        <v>0</v>
      </c>
      <c r="AJ1280" s="38">
        <v>0</v>
      </c>
      <c r="AK1280" s="38">
        <f>AJ1280/(3.5*I1280*1000)*100</f>
        <v>0</v>
      </c>
      <c r="AL1280" s="38">
        <v>0</v>
      </c>
      <c r="AM1280" s="38">
        <f>AL1280/(3.5*I1280*1000)*100</f>
        <v>0</v>
      </c>
      <c r="AN1280" s="25"/>
      <c r="AO1280" s="25">
        <f>AE1280*0.5</f>
        <v>0</v>
      </c>
      <c r="AP1280" s="25">
        <f>(AD1280+AH1280+AJ1280+AL1280+AO1280)*I1280</f>
        <v>1094.9569199999999</v>
      </c>
      <c r="AQ1280" s="25"/>
      <c r="AR1280" s="25">
        <f>SUM(N1280:Q1280)</f>
        <v>18.75</v>
      </c>
      <c r="AS1280" s="25">
        <f>SUM(T1280:W1280)</f>
        <v>18.75</v>
      </c>
      <c r="AT1280" s="268">
        <v>18.803999999999998</v>
      </c>
      <c r="AU1280" s="41"/>
      <c r="AV1280" s="41"/>
      <c r="AW1280" s="41"/>
    </row>
    <row r="1281" spans="1:88">
      <c r="A1281" s="1">
        <v>803</v>
      </c>
      <c r="B1281" s="34" t="s">
        <v>1186</v>
      </c>
      <c r="C1281" s="34">
        <v>635</v>
      </c>
      <c r="D1281" s="8">
        <v>2046</v>
      </c>
      <c r="E1281" s="34">
        <v>101</v>
      </c>
      <c r="F1281" s="34" t="s">
        <v>1195</v>
      </c>
      <c r="G1281" s="58">
        <v>0</v>
      </c>
      <c r="H1281" s="58">
        <v>16100</v>
      </c>
      <c r="I1281" s="35">
        <v>16.100000000000001</v>
      </c>
      <c r="J1281" s="9">
        <v>2</v>
      </c>
      <c r="K1281" s="34" t="s">
        <v>238</v>
      </c>
      <c r="L1281" s="10">
        <v>42151</v>
      </c>
      <c r="M1281" s="9" t="s">
        <v>191</v>
      </c>
      <c r="N1281" s="38">
        <v>12.174999999999999</v>
      </c>
      <c r="O1281" s="38">
        <v>2.875</v>
      </c>
      <c r="P1281" s="38">
        <v>0.875</v>
      </c>
      <c r="Q1281" s="38">
        <v>0.17499999999999999</v>
      </c>
      <c r="R1281" s="38">
        <v>2.70058</v>
      </c>
      <c r="S1281" s="38">
        <f t="shared" si="152"/>
        <v>2.5</v>
      </c>
      <c r="T1281" s="38">
        <v>15.725</v>
      </c>
      <c r="U1281" s="38">
        <v>0.32500000000000001</v>
      </c>
      <c r="V1281" s="38">
        <v>2.5000000000000001E-2</v>
      </c>
      <c r="W1281" s="38">
        <v>2.5000000000000001E-2</v>
      </c>
      <c r="X1281" s="38">
        <v>4.13</v>
      </c>
      <c r="Y1281" s="38">
        <f t="shared" si="153"/>
        <v>4</v>
      </c>
      <c r="Z1281" s="38">
        <v>0</v>
      </c>
      <c r="AA1281" s="38">
        <v>0</v>
      </c>
      <c r="AB1281" s="35">
        <v>16.100000000000001</v>
      </c>
      <c r="AC1281" s="38">
        <v>1.226</v>
      </c>
      <c r="AD1281" s="38">
        <v>39.74</v>
      </c>
      <c r="AE1281" s="38">
        <v>20.23</v>
      </c>
      <c r="AF1281" s="38">
        <v>8.8469999999999993E-2</v>
      </c>
      <c r="AG1281" s="38">
        <f t="shared" si="154"/>
        <v>0.1</v>
      </c>
      <c r="AH1281" s="38">
        <v>0</v>
      </c>
      <c r="AI1281" s="38">
        <v>0</v>
      </c>
      <c r="AJ1281" s="38">
        <v>0</v>
      </c>
      <c r="AK1281" s="38">
        <v>0</v>
      </c>
      <c r="AL1281" s="38">
        <v>0</v>
      </c>
      <c r="AM1281" s="38">
        <v>0</v>
      </c>
      <c r="AN1281" s="25"/>
      <c r="AO1281" s="25">
        <f>AE1281*0.5</f>
        <v>10.115</v>
      </c>
      <c r="AP1281" s="25">
        <f>(AD1281+AH1281+AJ1281+AL1281+AO1281)*I1281</f>
        <v>802.66550000000018</v>
      </c>
      <c r="AQ1281" s="25">
        <f>SUM(N1281:Q1281)</f>
        <v>16.099999999999998</v>
      </c>
      <c r="AR1281" s="25">
        <f>SUM(T1281:W1281)</f>
        <v>16.099999999999998</v>
      </c>
      <c r="AS1281" s="22"/>
      <c r="AT1281" s="41"/>
      <c r="AU1281" s="41"/>
      <c r="AV1281" s="41"/>
      <c r="AW1281" s="41"/>
      <c r="AX1281" s="22"/>
      <c r="AY1281" s="22"/>
      <c r="AZ1281" s="22"/>
      <c r="BA1281" s="22"/>
      <c r="BB1281" s="22"/>
      <c r="BC1281" s="22"/>
      <c r="BD1281" s="22"/>
      <c r="BE1281" s="22"/>
      <c r="BF1281" s="22"/>
      <c r="BG1281" s="22"/>
      <c r="BH1281" s="22"/>
      <c r="BI1281" s="22"/>
      <c r="BJ1281" s="22"/>
      <c r="BK1281" s="22"/>
      <c r="BL1281" s="22"/>
      <c r="BM1281" s="22"/>
      <c r="BN1281" s="22"/>
      <c r="BO1281" s="22"/>
      <c r="BP1281" s="22"/>
      <c r="BQ1281" s="22"/>
      <c r="BR1281" s="22"/>
      <c r="BS1281" s="22"/>
      <c r="BT1281" s="22"/>
      <c r="BU1281" s="22"/>
      <c r="BV1281" s="22"/>
      <c r="BW1281" s="22"/>
      <c r="BX1281" s="22"/>
      <c r="BY1281" s="22"/>
      <c r="BZ1281" s="22"/>
      <c r="CA1281" s="22"/>
      <c r="CB1281" s="22"/>
      <c r="CC1281" s="22"/>
      <c r="CD1281" s="22"/>
      <c r="CE1281" s="22"/>
      <c r="CF1281" s="22"/>
      <c r="CG1281" s="22"/>
      <c r="CH1281" s="22"/>
      <c r="CI1281" s="22"/>
      <c r="CJ1281" s="22"/>
    </row>
    <row r="1282" spans="1:88">
      <c r="A1282" s="1">
        <v>1223</v>
      </c>
      <c r="B1282" s="34" t="s">
        <v>1725</v>
      </c>
      <c r="C1282" s="88">
        <v>437</v>
      </c>
      <c r="D1282" s="88">
        <v>117</v>
      </c>
      <c r="E1282" s="88">
        <v>100</v>
      </c>
      <c r="F1282" s="88" t="s">
        <v>1726</v>
      </c>
      <c r="G1282" s="88" t="s">
        <v>92</v>
      </c>
      <c r="H1282" s="88" t="s">
        <v>838</v>
      </c>
      <c r="I1282" s="115">
        <v>38.628</v>
      </c>
      <c r="J1282" s="88">
        <v>4</v>
      </c>
      <c r="K1282" s="88" t="s">
        <v>237</v>
      </c>
      <c r="L1282" s="116">
        <v>42282</v>
      </c>
      <c r="M1282" s="9" t="s">
        <v>191</v>
      </c>
      <c r="N1282" s="38">
        <v>26.672000000000001</v>
      </c>
      <c r="O1282" s="38">
        <v>5.6970000000000001</v>
      </c>
      <c r="P1282" s="38">
        <v>3.6230000000000002</v>
      </c>
      <c r="Q1282" s="38">
        <v>2.6360000000000001</v>
      </c>
      <c r="R1282" s="38">
        <v>2.43133</v>
      </c>
      <c r="S1282" s="38">
        <f t="shared" si="152"/>
        <v>2.5</v>
      </c>
      <c r="T1282" s="147">
        <v>35.425238649592544</v>
      </c>
      <c r="U1282" s="147">
        <v>2.4732712456344581</v>
      </c>
      <c r="V1282" s="147">
        <v>0.51464027939464485</v>
      </c>
      <c r="W1282" s="147">
        <v>0.21484982537834685</v>
      </c>
      <c r="X1282" s="38">
        <v>4.3863399999999997</v>
      </c>
      <c r="Y1282" s="38">
        <f t="shared" si="153"/>
        <v>4.5</v>
      </c>
      <c r="Z1282" s="38">
        <v>0</v>
      </c>
      <c r="AA1282" s="117">
        <v>0</v>
      </c>
      <c r="AB1282" s="117">
        <v>38.628</v>
      </c>
      <c r="AC1282" s="117">
        <v>1.3644400000000001</v>
      </c>
      <c r="AD1282" s="117">
        <v>116.2</v>
      </c>
      <c r="AE1282" s="117">
        <v>6.4</v>
      </c>
      <c r="AF1282" s="117">
        <f>(AD1282+AE1282*0.5)/(3.5*I1282*1000)*100</f>
        <v>8.8314915901122795E-2</v>
      </c>
      <c r="AG1282" s="38">
        <f t="shared" si="154"/>
        <v>0.1</v>
      </c>
      <c r="AH1282" s="117">
        <v>89.63</v>
      </c>
      <c r="AI1282" s="117">
        <f>AH1282/(3.5*I1282*1000)*100</f>
        <v>6.6295359398807666E-2</v>
      </c>
      <c r="AJ1282" s="117">
        <v>0.3</v>
      </c>
      <c r="AK1282" s="117">
        <f>AJ1282/(3.5*I1282*1000)*100</f>
        <v>2.2189677362091157E-4</v>
      </c>
      <c r="AL1282" s="117">
        <v>0</v>
      </c>
      <c r="AM1282" s="117">
        <f>AJ1282/(3.5*I1282*1000)*100</f>
        <v>2.2189677362091157E-4</v>
      </c>
      <c r="AN1282" s="12"/>
    </row>
    <row r="1283" spans="1:88" s="22" customFormat="1">
      <c r="A1283" s="1">
        <v>791</v>
      </c>
      <c r="B1283" s="34" t="s">
        <v>1171</v>
      </c>
      <c r="C1283" s="34">
        <v>633</v>
      </c>
      <c r="D1283" s="8">
        <v>2351</v>
      </c>
      <c r="E1283" s="34">
        <v>100</v>
      </c>
      <c r="F1283" s="34" t="s">
        <v>1184</v>
      </c>
      <c r="G1283" s="58">
        <v>0</v>
      </c>
      <c r="H1283" s="58">
        <v>35200</v>
      </c>
      <c r="I1283" s="35">
        <v>35.200000000000003</v>
      </c>
      <c r="J1283" s="9">
        <v>2</v>
      </c>
      <c r="K1283" s="34" t="s">
        <v>238</v>
      </c>
      <c r="L1283" s="10">
        <v>42149</v>
      </c>
      <c r="M1283" s="9" t="s">
        <v>191</v>
      </c>
      <c r="N1283" s="38">
        <v>22.95</v>
      </c>
      <c r="O1283" s="38">
        <v>8.8249999999999993</v>
      </c>
      <c r="P1283" s="38">
        <v>2.5500000000000003</v>
      </c>
      <c r="Q1283" s="38">
        <v>0.75</v>
      </c>
      <c r="R1283" s="38">
        <v>2.459635</v>
      </c>
      <c r="S1283" s="38">
        <f t="shared" ref="S1283:S1346" si="165">ROUND(R1283/5,1)*5</f>
        <v>2.5</v>
      </c>
      <c r="T1283" s="38">
        <v>34.975000000000001</v>
      </c>
      <c r="U1283" s="38">
        <v>7.4999999999999997E-2</v>
      </c>
      <c r="V1283" s="38">
        <v>2.5000000000000001E-2</v>
      </c>
      <c r="W1283" s="38">
        <v>0</v>
      </c>
      <c r="X1283" s="38">
        <v>3.0446249999999999</v>
      </c>
      <c r="Y1283" s="38">
        <f t="shared" ref="Y1283:Y1346" si="166">ROUND(X1283/5,1)*5</f>
        <v>3</v>
      </c>
      <c r="Z1283" s="38">
        <v>0</v>
      </c>
      <c r="AA1283" s="38">
        <v>0</v>
      </c>
      <c r="AB1283" s="38">
        <f>N1283+O1283+P1283+Q1283</f>
        <v>35.074999999999996</v>
      </c>
      <c r="AC1283" s="38">
        <v>1.4192049999999998</v>
      </c>
      <c r="AD1283" s="38">
        <v>17</v>
      </c>
      <c r="AE1283" s="38">
        <v>183</v>
      </c>
      <c r="AF1283" s="38">
        <v>8.8069999999999996E-2</v>
      </c>
      <c r="AG1283" s="38">
        <f t="shared" ref="AG1283:AG1346" si="167">ROUND(AF1283,1)</f>
        <v>0.1</v>
      </c>
      <c r="AH1283" s="38">
        <v>0</v>
      </c>
      <c r="AI1283" s="38">
        <v>0</v>
      </c>
      <c r="AJ1283" s="38">
        <v>129</v>
      </c>
      <c r="AK1283" s="38">
        <v>0.104708</v>
      </c>
      <c r="AL1283" s="38">
        <v>0</v>
      </c>
      <c r="AM1283" s="38">
        <v>0</v>
      </c>
      <c r="AN1283" s="25"/>
      <c r="AO1283" s="25">
        <f>AE1283*0.5</f>
        <v>91.5</v>
      </c>
      <c r="AP1283" s="25">
        <f>(AD1283+AH1283+AJ1283+AL1283+AO1283)*I1283</f>
        <v>8360</v>
      </c>
      <c r="AQ1283" s="25">
        <f>SUM(N1283:Q1283)</f>
        <v>35.074999999999996</v>
      </c>
      <c r="AR1283" s="25">
        <f>SUM(T1283:W1283)</f>
        <v>35.075000000000003</v>
      </c>
      <c r="AT1283" s="41"/>
      <c r="AU1283" s="41"/>
      <c r="AV1283" s="41"/>
      <c r="AW1283" s="41"/>
    </row>
    <row r="1284" spans="1:88">
      <c r="A1284" s="1">
        <v>9</v>
      </c>
      <c r="B1284" s="4" t="s">
        <v>8</v>
      </c>
      <c r="C1284" s="14">
        <v>521</v>
      </c>
      <c r="D1284" s="19">
        <v>1009</v>
      </c>
      <c r="E1284" s="16">
        <v>100</v>
      </c>
      <c r="F1284" s="14" t="s">
        <v>11</v>
      </c>
      <c r="G1284" s="20" t="s">
        <v>92</v>
      </c>
      <c r="H1284" s="20" t="s">
        <v>197</v>
      </c>
      <c r="I1284" s="21">
        <v>46.7</v>
      </c>
      <c r="J1284" s="8">
        <v>2</v>
      </c>
      <c r="K1284" s="9" t="s">
        <v>238</v>
      </c>
      <c r="L1284" s="18">
        <v>42233</v>
      </c>
      <c r="M1284" s="9" t="s">
        <v>191</v>
      </c>
      <c r="N1284" s="11">
        <v>17.024999999999999</v>
      </c>
      <c r="O1284" s="11">
        <v>12.95</v>
      </c>
      <c r="P1284" s="11">
        <v>10.65</v>
      </c>
      <c r="Q1284" s="11">
        <v>6.2750000000000004</v>
      </c>
      <c r="R1284" s="11">
        <v>3.2965399999999998</v>
      </c>
      <c r="S1284" s="38">
        <f t="shared" si="165"/>
        <v>3.5</v>
      </c>
      <c r="T1284" s="11">
        <v>45.45</v>
      </c>
      <c r="U1284" s="11">
        <v>1.175</v>
      </c>
      <c r="V1284" s="11">
        <v>0.2</v>
      </c>
      <c r="W1284" s="11">
        <v>7.4999999999999997E-2</v>
      </c>
      <c r="X1284" s="11">
        <v>3.09287</v>
      </c>
      <c r="Y1284" s="38">
        <f t="shared" si="166"/>
        <v>3</v>
      </c>
      <c r="Z1284" s="11">
        <v>0</v>
      </c>
      <c r="AA1284" s="11">
        <v>0</v>
      </c>
      <c r="AB1284" s="11">
        <v>46.9</v>
      </c>
      <c r="AC1284" s="11">
        <v>1.51085</v>
      </c>
      <c r="AD1284" s="11">
        <v>35.57</v>
      </c>
      <c r="AE1284" s="11">
        <v>216.21</v>
      </c>
      <c r="AF1284" s="11">
        <f>(AD1284+AE1284*0.5)/(3.5*I1284*1000)*100</f>
        <v>8.7901498929336172E-2</v>
      </c>
      <c r="AG1284" s="38">
        <f t="shared" si="167"/>
        <v>0.1</v>
      </c>
      <c r="AH1284" s="11">
        <v>269.32100000000003</v>
      </c>
      <c r="AI1284" s="11">
        <f>AH1284/(3.5*I1284*1000)*100</f>
        <v>0.16477271336800245</v>
      </c>
      <c r="AJ1284" s="11">
        <v>0</v>
      </c>
      <c r="AK1284" s="11">
        <f>AJ1284/(3.5*I1284*1000)*100</f>
        <v>0</v>
      </c>
      <c r="AL1284" s="11">
        <v>0</v>
      </c>
      <c r="AM1284" s="11">
        <f>AL1284/(3.5*I1284*1000)*100</f>
        <v>0</v>
      </c>
      <c r="AN1284" s="22"/>
      <c r="AO1284" s="22"/>
      <c r="AP1284" s="22"/>
      <c r="AQ1284" s="12">
        <f>N1284+O1284+P1284+Q1284</f>
        <v>46.9</v>
      </c>
      <c r="AR1284" s="12">
        <f>T1284+U1284+V1284+W1284</f>
        <v>46.900000000000006</v>
      </c>
      <c r="AS1284" s="12">
        <f>Z1284+AA1284+AB1284</f>
        <v>46.9</v>
      </c>
      <c r="AT1284" s="22"/>
      <c r="AU1284" s="22">
        <v>1.0042826552462525</v>
      </c>
      <c r="AV1284" s="22">
        <v>1.0042826552462527</v>
      </c>
      <c r="AW1284" s="22">
        <v>1.0042826552462525</v>
      </c>
      <c r="AX1284" s="22"/>
      <c r="AY1284" s="22"/>
      <c r="AZ1284" s="22"/>
      <c r="BA1284" s="22"/>
      <c r="BB1284" s="22"/>
      <c r="BC1284" s="22"/>
      <c r="BD1284" s="22"/>
      <c r="BE1284" s="22"/>
      <c r="BF1284" s="22"/>
      <c r="BG1284" s="22"/>
      <c r="BH1284" s="22"/>
      <c r="BI1284" s="22"/>
      <c r="BJ1284" s="22"/>
      <c r="BK1284" s="22"/>
      <c r="BL1284" s="22"/>
      <c r="BM1284" s="22"/>
      <c r="BN1284" s="22"/>
      <c r="BO1284" s="22"/>
      <c r="BP1284" s="22"/>
      <c r="BQ1284" s="22"/>
      <c r="BR1284" s="22"/>
      <c r="BS1284" s="22"/>
      <c r="BT1284" s="22"/>
      <c r="BU1284" s="22"/>
      <c r="BV1284" s="22"/>
      <c r="BW1284" s="22"/>
      <c r="BX1284" s="22"/>
      <c r="BY1284" s="22"/>
      <c r="BZ1284" s="22"/>
      <c r="CA1284" s="22"/>
      <c r="CB1284" s="22"/>
      <c r="CC1284" s="22"/>
      <c r="CD1284" s="22"/>
      <c r="CE1284" s="22"/>
      <c r="CF1284" s="22"/>
      <c r="CG1284" s="22"/>
      <c r="CH1284" s="22"/>
      <c r="CI1284" s="22"/>
      <c r="CJ1284" s="22"/>
    </row>
    <row r="1285" spans="1:88">
      <c r="A1285" s="1">
        <v>1108</v>
      </c>
      <c r="B1285" s="9" t="s">
        <v>1513</v>
      </c>
      <c r="C1285" s="34">
        <v>431</v>
      </c>
      <c r="D1285" s="75">
        <v>3016</v>
      </c>
      <c r="E1285" s="69">
        <v>100</v>
      </c>
      <c r="F1285" s="34" t="s">
        <v>1539</v>
      </c>
      <c r="G1285" s="20" t="s">
        <v>92</v>
      </c>
      <c r="H1285" s="20" t="s">
        <v>139</v>
      </c>
      <c r="I1285" s="21">
        <v>6</v>
      </c>
      <c r="J1285" s="8">
        <v>2</v>
      </c>
      <c r="K1285" s="5" t="s">
        <v>238</v>
      </c>
      <c r="L1285" s="18">
        <v>42282</v>
      </c>
      <c r="M1285" s="9" t="s">
        <v>191</v>
      </c>
      <c r="N1285" s="38">
        <v>2.9750000000000001</v>
      </c>
      <c r="O1285" s="38">
        <v>1.675</v>
      </c>
      <c r="P1285" s="38">
        <v>0.85</v>
      </c>
      <c r="Q1285" s="38">
        <v>0.52500000000000002</v>
      </c>
      <c r="R1285" s="38">
        <v>3.0859299999999998</v>
      </c>
      <c r="S1285" s="38">
        <f t="shared" si="165"/>
        <v>3</v>
      </c>
      <c r="T1285" s="38">
        <v>5.9</v>
      </c>
      <c r="U1285" s="38">
        <v>0.1</v>
      </c>
      <c r="V1285" s="38">
        <v>2.5000000000000001E-2</v>
      </c>
      <c r="W1285" s="38">
        <v>0</v>
      </c>
      <c r="X1285" s="38">
        <v>3.6763400000000002</v>
      </c>
      <c r="Y1285" s="38">
        <f t="shared" si="166"/>
        <v>3.5</v>
      </c>
      <c r="Z1285" s="38">
        <v>0</v>
      </c>
      <c r="AA1285" s="38">
        <v>0</v>
      </c>
      <c r="AB1285" s="38">
        <v>6.0250000000000004</v>
      </c>
      <c r="AC1285" s="38">
        <v>1.03864</v>
      </c>
      <c r="AD1285" s="38">
        <v>16.3</v>
      </c>
      <c r="AE1285" s="38">
        <v>4.0999999999999996</v>
      </c>
      <c r="AF1285" s="38">
        <f>(AD1285+AE1285*0.5)/(3.5*I1285*1000)*100</f>
        <v>8.7380952380952392E-2</v>
      </c>
      <c r="AG1285" s="38">
        <f t="shared" si="167"/>
        <v>0.1</v>
      </c>
      <c r="AH1285" s="38">
        <v>69.36</v>
      </c>
      <c r="AI1285" s="38">
        <f>AH1285/(3.5*I1285*1000)*100</f>
        <v>0.33028571428571429</v>
      </c>
      <c r="AJ1285" s="38">
        <v>0</v>
      </c>
      <c r="AK1285" s="38">
        <f>AJ1285/(3.5*I1285*1000)*100</f>
        <v>0</v>
      </c>
      <c r="AL1285" s="38">
        <v>0</v>
      </c>
      <c r="AM1285" s="38">
        <f>AL1285/(3.5*I1285*1000)*100</f>
        <v>0</v>
      </c>
      <c r="AN1285" s="41"/>
      <c r="AO1285" s="72"/>
      <c r="AP1285" s="73"/>
      <c r="AQ1285" s="73"/>
      <c r="AR1285" s="22"/>
      <c r="AS1285" s="22"/>
      <c r="AT1285" s="22"/>
      <c r="AU1285" s="22"/>
      <c r="AV1285" s="22"/>
      <c r="AW1285" s="22"/>
      <c r="AX1285" s="22"/>
      <c r="AY1285" s="22"/>
      <c r="AZ1285" s="22"/>
      <c r="BA1285" s="22"/>
      <c r="BB1285" s="22"/>
      <c r="BC1285" s="22"/>
      <c r="BD1285" s="22"/>
      <c r="BE1285" s="22"/>
      <c r="BF1285" s="22"/>
      <c r="BG1285" s="22"/>
      <c r="BH1285" s="22"/>
      <c r="BI1285" s="22"/>
      <c r="BJ1285" s="22"/>
      <c r="BK1285" s="22"/>
      <c r="BL1285" s="22"/>
      <c r="BM1285" s="22"/>
      <c r="BN1285" s="22"/>
      <c r="BO1285" s="22"/>
      <c r="BP1285" s="22"/>
      <c r="BQ1285" s="22"/>
      <c r="BR1285" s="22"/>
      <c r="BS1285" s="22"/>
      <c r="BT1285" s="22"/>
      <c r="BU1285" s="22"/>
      <c r="BV1285" s="22"/>
      <c r="BW1285" s="22"/>
      <c r="BX1285" s="22"/>
      <c r="BY1285" s="22"/>
      <c r="BZ1285" s="22"/>
      <c r="CA1285" s="22"/>
      <c r="CB1285" s="22"/>
      <c r="CC1285" s="22"/>
      <c r="CD1285" s="22"/>
      <c r="CE1285" s="22"/>
      <c r="CF1285" s="22"/>
      <c r="CG1285" s="22"/>
      <c r="CH1285" s="22"/>
      <c r="CI1285" s="22"/>
      <c r="CJ1285" s="22"/>
    </row>
    <row r="1286" spans="1:88">
      <c r="A1286" s="1">
        <v>1755</v>
      </c>
      <c r="B1286" s="34" t="s">
        <v>2348</v>
      </c>
      <c r="C1286" s="34">
        <v>425</v>
      </c>
      <c r="D1286" s="8">
        <v>3157</v>
      </c>
      <c r="E1286" s="34">
        <v>102</v>
      </c>
      <c r="F1286" s="34" t="s">
        <v>2352</v>
      </c>
      <c r="G1286" s="58">
        <v>34650</v>
      </c>
      <c r="H1286" s="58">
        <v>81134</v>
      </c>
      <c r="I1286" s="35">
        <v>46.484000000000002</v>
      </c>
      <c r="J1286" s="9">
        <v>2</v>
      </c>
      <c r="K1286" s="34" t="s">
        <v>12</v>
      </c>
      <c r="L1286" s="10">
        <v>42236</v>
      </c>
      <c r="M1286" s="9" t="s">
        <v>191</v>
      </c>
      <c r="N1286" s="38">
        <v>25.73</v>
      </c>
      <c r="O1286" s="38">
        <v>12.23</v>
      </c>
      <c r="P1286" s="38">
        <v>5.75</v>
      </c>
      <c r="Q1286" s="38">
        <v>2.9750000000000001</v>
      </c>
      <c r="R1286" s="38">
        <v>3.0781299999999998</v>
      </c>
      <c r="S1286" s="38">
        <f t="shared" si="165"/>
        <v>3</v>
      </c>
      <c r="T1286" s="38">
        <v>42.95</v>
      </c>
      <c r="U1286" s="38">
        <v>2.8250000000000002</v>
      </c>
      <c r="V1286" s="38">
        <v>0.625</v>
      </c>
      <c r="W1286" s="38">
        <v>0.27500000000000002</v>
      </c>
      <c r="X1286" s="38">
        <v>4.95085</v>
      </c>
      <c r="Y1286" s="38">
        <f t="shared" si="166"/>
        <v>5</v>
      </c>
      <c r="Z1286" s="38">
        <v>0</v>
      </c>
      <c r="AA1286" s="38">
        <v>0</v>
      </c>
      <c r="AB1286" s="38">
        <f>SUM(T1286:W1286)</f>
        <v>46.675000000000004</v>
      </c>
      <c r="AC1286" s="38">
        <v>1.4313499999999999</v>
      </c>
      <c r="AD1286" s="38">
        <v>120.43</v>
      </c>
      <c r="AE1286" s="38">
        <v>43.25</v>
      </c>
      <c r="AF1286" s="38">
        <f>(AD1286+AE1286*0.5)/(3.5*I1286*1000)*100</f>
        <v>8.7314221790600749E-2</v>
      </c>
      <c r="AG1286" s="38">
        <f t="shared" si="167"/>
        <v>0.1</v>
      </c>
      <c r="AH1286" s="38">
        <v>131.53</v>
      </c>
      <c r="AI1286" s="38">
        <f>AH1286/(3.5*I1286*1000)*100</f>
        <v>8.084502194303414E-2</v>
      </c>
      <c r="AJ1286" s="38">
        <v>0</v>
      </c>
      <c r="AK1286" s="38">
        <f>AJ1286/(3.5*I1286*1000)*100</f>
        <v>0</v>
      </c>
      <c r="AL1286" s="38">
        <v>141.87</v>
      </c>
      <c r="AM1286" s="55">
        <f>AL1286/(3.5*I1286*1000)*100</f>
        <v>8.7200511389479624E-2</v>
      </c>
      <c r="AN1286" s="25"/>
      <c r="AO1286" s="25">
        <f>AE1286*0.5</f>
        <v>21.625</v>
      </c>
      <c r="AP1286" s="25">
        <f>(AD1286+AH1286+AJ1286+AL1286+AO1286)*I1286</f>
        <v>19312.010220000004</v>
      </c>
      <c r="AQ1286" s="25">
        <f>SUM(N1286:Q1286)</f>
        <v>46.685000000000002</v>
      </c>
      <c r="AR1286" s="25">
        <f>SUM(T1286:W1286)</f>
        <v>46.675000000000004</v>
      </c>
      <c r="AS1286" s="22"/>
      <c r="AT1286" s="41"/>
      <c r="AU1286" s="41"/>
      <c r="AV1286" s="41"/>
      <c r="AW1286" s="41"/>
      <c r="AX1286" s="22"/>
      <c r="AY1286" s="22"/>
      <c r="AZ1286" s="22"/>
      <c r="BA1286" s="22"/>
      <c r="BB1286" s="22"/>
      <c r="BC1286" s="22"/>
      <c r="BD1286" s="22"/>
      <c r="BE1286" s="22"/>
      <c r="BF1286" s="22"/>
      <c r="BG1286" s="22"/>
      <c r="BH1286" s="22"/>
      <c r="BI1286" s="22"/>
      <c r="BJ1286" s="22"/>
      <c r="BK1286" s="22"/>
      <c r="BL1286" s="22"/>
      <c r="BM1286" s="22"/>
      <c r="BN1286" s="22"/>
      <c r="BO1286" s="22"/>
      <c r="BP1286" s="22"/>
      <c r="BQ1286" s="22"/>
      <c r="BR1286" s="22"/>
      <c r="BS1286" s="22"/>
      <c r="BT1286" s="22"/>
      <c r="BU1286" s="22"/>
      <c r="BV1286" s="22"/>
      <c r="BW1286" s="22"/>
      <c r="BX1286" s="22"/>
      <c r="BY1286" s="22"/>
      <c r="BZ1286" s="22"/>
      <c r="CA1286" s="22"/>
      <c r="CB1286" s="22"/>
      <c r="CC1286" s="22"/>
      <c r="CD1286" s="22"/>
      <c r="CE1286" s="22"/>
      <c r="CF1286" s="22"/>
      <c r="CG1286" s="22"/>
      <c r="CH1286" s="22"/>
      <c r="CI1286" s="22"/>
      <c r="CJ1286" s="22"/>
    </row>
    <row r="1287" spans="1:88" s="22" customFormat="1">
      <c r="A1287" s="1">
        <v>801</v>
      </c>
      <c r="B1287" s="34" t="s">
        <v>1186</v>
      </c>
      <c r="C1287" s="34">
        <v>635</v>
      </c>
      <c r="D1287" s="149">
        <v>2044</v>
      </c>
      <c r="E1287" s="34">
        <v>102</v>
      </c>
      <c r="F1287" s="34" t="s">
        <v>1193</v>
      </c>
      <c r="G1287" s="58">
        <v>31800</v>
      </c>
      <c r="H1287" s="58">
        <v>47861</v>
      </c>
      <c r="I1287" s="35">
        <v>16.061</v>
      </c>
      <c r="J1287" s="9">
        <v>2</v>
      </c>
      <c r="K1287" s="34" t="s">
        <v>238</v>
      </c>
      <c r="L1287" s="10">
        <v>42150</v>
      </c>
      <c r="M1287" s="9" t="s">
        <v>191</v>
      </c>
      <c r="N1287" s="38">
        <v>9.6750000000000007</v>
      </c>
      <c r="O1287" s="38">
        <v>4.2249999999999996</v>
      </c>
      <c r="P1287" s="38">
        <v>1.375</v>
      </c>
      <c r="Q1287" s="38">
        <v>0.75</v>
      </c>
      <c r="R1287" s="38">
        <v>3.7332999999999998</v>
      </c>
      <c r="S1287" s="38">
        <f t="shared" si="165"/>
        <v>3.5</v>
      </c>
      <c r="T1287" s="38">
        <v>15.675000000000001</v>
      </c>
      <c r="U1287" s="38">
        <v>0.35</v>
      </c>
      <c r="V1287" s="38">
        <v>0</v>
      </c>
      <c r="W1287" s="38">
        <v>0</v>
      </c>
      <c r="X1287" s="38">
        <v>5.8182</v>
      </c>
      <c r="Y1287" s="38">
        <f t="shared" si="166"/>
        <v>6</v>
      </c>
      <c r="Z1287" s="38">
        <v>0</v>
      </c>
      <c r="AA1287" s="38">
        <v>0</v>
      </c>
      <c r="AB1287" s="35">
        <v>16.061</v>
      </c>
      <c r="AC1287" s="38">
        <v>1.01403</v>
      </c>
      <c r="AD1287" s="38">
        <v>42</v>
      </c>
      <c r="AE1287" s="38">
        <v>14</v>
      </c>
      <c r="AF1287" s="38">
        <v>8.7169999999999997E-2</v>
      </c>
      <c r="AG1287" s="38">
        <f t="shared" si="167"/>
        <v>0.1</v>
      </c>
      <c r="AH1287" s="38">
        <v>0</v>
      </c>
      <c r="AI1287" s="38">
        <v>0</v>
      </c>
      <c r="AJ1287" s="38">
        <v>51</v>
      </c>
      <c r="AK1287" s="38">
        <v>9.0726000000000001E-2</v>
      </c>
      <c r="AL1287" s="38">
        <v>0</v>
      </c>
      <c r="AM1287" s="38">
        <v>0</v>
      </c>
      <c r="AN1287" s="25"/>
      <c r="AO1287" s="25">
        <f>AE1287*0.5</f>
        <v>7</v>
      </c>
      <c r="AP1287" s="25">
        <f>(AD1287+AH1287+AJ1287+AL1287+AO1287)*I1287</f>
        <v>1606.1</v>
      </c>
      <c r="AQ1287" s="136">
        <f>SUM(N1287:Q1287)</f>
        <v>16.024999999999999</v>
      </c>
      <c r="AR1287" s="136">
        <f>SUM(T1287:W1287)</f>
        <v>16.025000000000002</v>
      </c>
      <c r="AT1287" s="41"/>
      <c r="AU1287" s="41"/>
      <c r="AV1287" s="41"/>
      <c r="AW1287" s="41"/>
    </row>
    <row r="1288" spans="1:88" s="22" customFormat="1">
      <c r="A1288" s="1">
        <v>1724</v>
      </c>
      <c r="B1288" s="34" t="s">
        <v>2308</v>
      </c>
      <c r="C1288" s="34">
        <v>422</v>
      </c>
      <c r="D1288" s="8">
        <v>3701</v>
      </c>
      <c r="E1288" s="34">
        <v>401</v>
      </c>
      <c r="F1288" s="34" t="s">
        <v>2321</v>
      </c>
      <c r="G1288" s="58">
        <v>52000</v>
      </c>
      <c r="H1288" s="58">
        <v>57226</v>
      </c>
      <c r="I1288" s="206">
        <v>12.579000000000001</v>
      </c>
      <c r="J1288" s="9">
        <v>2</v>
      </c>
      <c r="K1288" s="34" t="s">
        <v>12</v>
      </c>
      <c r="L1288" s="10">
        <v>42231</v>
      </c>
      <c r="M1288" s="9" t="s">
        <v>191</v>
      </c>
      <c r="N1288" s="38">
        <v>2.5299999999999998</v>
      </c>
      <c r="O1288" s="38">
        <v>3.83</v>
      </c>
      <c r="P1288" s="38">
        <v>3.04</v>
      </c>
      <c r="Q1288" s="38">
        <v>3.19</v>
      </c>
      <c r="R1288" s="38">
        <v>4.2342000000000004</v>
      </c>
      <c r="S1288" s="38">
        <f t="shared" si="165"/>
        <v>4</v>
      </c>
      <c r="T1288" s="38">
        <v>10.97</v>
      </c>
      <c r="U1288" s="38">
        <v>1.28</v>
      </c>
      <c r="V1288" s="38">
        <v>0.27</v>
      </c>
      <c r="W1288" s="38">
        <v>0.08</v>
      </c>
      <c r="X1288" s="38">
        <v>7.1291200000000003</v>
      </c>
      <c r="Y1288" s="38">
        <f t="shared" si="166"/>
        <v>7</v>
      </c>
      <c r="Z1288" s="38">
        <v>0</v>
      </c>
      <c r="AA1288" s="38">
        <v>0</v>
      </c>
      <c r="AB1288" s="206">
        <v>12.579000000000001</v>
      </c>
      <c r="AC1288" s="38">
        <v>1.2118500000000001</v>
      </c>
      <c r="AD1288" s="38">
        <v>24.72</v>
      </c>
      <c r="AE1288" s="38">
        <v>31.69</v>
      </c>
      <c r="AF1288" s="38">
        <v>8.7139999999999995E-2</v>
      </c>
      <c r="AG1288" s="38">
        <f t="shared" si="167"/>
        <v>0.1</v>
      </c>
      <c r="AH1288" s="38">
        <v>0</v>
      </c>
      <c r="AI1288" s="38">
        <v>0</v>
      </c>
      <c r="AJ1288" s="38">
        <v>4</v>
      </c>
      <c r="AK1288" s="38">
        <v>8.5929999999999999E-3</v>
      </c>
      <c r="AL1288" s="38">
        <v>4.75</v>
      </c>
      <c r="AM1288" s="55">
        <v>1.0200000000000001E-2</v>
      </c>
      <c r="AO1288" s="22">
        <f>AE1288*0.5</f>
        <v>15.845000000000001</v>
      </c>
      <c r="AP1288" s="41">
        <f>(AD1288+AH1288+AJ1288+AL1288+AO1288)*I1288</f>
        <v>620.33338500000002</v>
      </c>
      <c r="AQ1288" s="25">
        <f>SUM(N1288:Q1288)</f>
        <v>12.589999999999998</v>
      </c>
      <c r="AR1288" s="25">
        <f>SUM(T1288:W1288)</f>
        <v>12.6</v>
      </c>
      <c r="AS1288" s="268">
        <v>12.579000000000001</v>
      </c>
      <c r="AU1288" s="25">
        <f>AS1288-AQ1288</f>
        <v>-1.0999999999997456E-2</v>
      </c>
      <c r="AV1288" s="41">
        <f>SUM(N1288:Q1288)</f>
        <v>12.589999999999998</v>
      </c>
      <c r="AW1288" s="41">
        <f>SUM(T1288:W1288)</f>
        <v>12.6</v>
      </c>
      <c r="AX1288" s="41">
        <f>SUM(Z1288:AB1288)</f>
        <v>12.579000000000001</v>
      </c>
      <c r="AZ1288" s="22">
        <f>I1288/AV1288</f>
        <v>0.9991262907069105</v>
      </c>
      <c r="BA1288" s="22">
        <f>I1288/AW1288</f>
        <v>0.99833333333333341</v>
      </c>
      <c r="BB1288" s="22">
        <f>I1288/AX1288</f>
        <v>1</v>
      </c>
    </row>
    <row r="1289" spans="1:88">
      <c r="A1289" s="1">
        <v>49</v>
      </c>
      <c r="B1289" s="4" t="s">
        <v>37</v>
      </c>
      <c r="C1289" s="14">
        <v>523</v>
      </c>
      <c r="D1289" s="19">
        <v>1036</v>
      </c>
      <c r="E1289" s="16">
        <v>100</v>
      </c>
      <c r="F1289" s="14" t="s">
        <v>117</v>
      </c>
      <c r="G1289" s="20" t="s">
        <v>92</v>
      </c>
      <c r="H1289" s="20" t="s">
        <v>101</v>
      </c>
      <c r="I1289" s="8">
        <v>29.003</v>
      </c>
      <c r="J1289" s="8">
        <v>2</v>
      </c>
      <c r="K1289" s="9" t="s">
        <v>238</v>
      </c>
      <c r="L1289" s="18">
        <v>42222</v>
      </c>
      <c r="M1289" s="9" t="s">
        <v>191</v>
      </c>
      <c r="N1289" s="26">
        <v>21.274999999999999</v>
      </c>
      <c r="O1289" s="26">
        <v>5.0999999999999996</v>
      </c>
      <c r="P1289" s="26">
        <v>2.0249999999999999</v>
      </c>
      <c r="Q1289" s="26">
        <v>0.5</v>
      </c>
      <c r="R1289" s="26">
        <v>2.1881200000000001</v>
      </c>
      <c r="S1289" s="38">
        <f t="shared" si="165"/>
        <v>2</v>
      </c>
      <c r="T1289" s="26">
        <v>28.824999999999999</v>
      </c>
      <c r="U1289" s="26">
        <v>0.05</v>
      </c>
      <c r="V1289" s="26">
        <v>2.5000000000000001E-2</v>
      </c>
      <c r="W1289" s="26">
        <v>0</v>
      </c>
      <c r="X1289" s="26">
        <v>1.96997</v>
      </c>
      <c r="Y1289" s="38">
        <f t="shared" si="166"/>
        <v>2</v>
      </c>
      <c r="Z1289" s="26">
        <v>0</v>
      </c>
      <c r="AA1289" s="26">
        <v>0</v>
      </c>
      <c r="AB1289" s="26">
        <f>SUM(N1289:Q1289)</f>
        <v>28.9</v>
      </c>
      <c r="AC1289" s="26">
        <v>1.12683</v>
      </c>
      <c r="AD1289" s="26">
        <v>88.25</v>
      </c>
      <c r="AE1289" s="26">
        <v>0</v>
      </c>
      <c r="AF1289" s="26">
        <f>(AD1289+AE1289*0.5)/(3.5*I1289*1000)*100</f>
        <v>8.6936819343811714E-2</v>
      </c>
      <c r="AG1289" s="38">
        <f t="shared" si="167"/>
        <v>0.1</v>
      </c>
      <c r="AH1289" s="26">
        <v>45.54</v>
      </c>
      <c r="AI1289" s="26">
        <f>AH1289/(3.5*I1289*1000)*100</f>
        <v>4.4862354140704649E-2</v>
      </c>
      <c r="AJ1289" s="26">
        <v>0</v>
      </c>
      <c r="AK1289" s="26">
        <f>AJ1289/(3.5*I1289*1000)*100</f>
        <v>0</v>
      </c>
      <c r="AL1289" s="26">
        <v>0</v>
      </c>
      <c r="AM1289" s="26">
        <f>AL1289/(3.5*I1289*1000)*100</f>
        <v>0</v>
      </c>
      <c r="AN1289" s="22"/>
      <c r="AO1289" s="25"/>
      <c r="AP1289" s="25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</row>
    <row r="1290" spans="1:88">
      <c r="A1290" s="1">
        <v>2205</v>
      </c>
      <c r="B1290" s="34" t="s">
        <v>2827</v>
      </c>
      <c r="C1290" s="34">
        <v>314</v>
      </c>
      <c r="D1290" s="75">
        <v>4237</v>
      </c>
      <c r="E1290" s="8">
        <v>100</v>
      </c>
      <c r="F1290" s="9" t="s">
        <v>2850</v>
      </c>
      <c r="G1290" s="20">
        <v>0</v>
      </c>
      <c r="H1290" s="20">
        <v>8730</v>
      </c>
      <c r="I1290" s="21">
        <v>8.73</v>
      </c>
      <c r="J1290" s="8">
        <v>2</v>
      </c>
      <c r="K1290" s="8" t="s">
        <v>12</v>
      </c>
      <c r="L1290" s="18">
        <v>42145</v>
      </c>
      <c r="M1290" s="9" t="s">
        <v>191</v>
      </c>
      <c r="N1290" s="38">
        <v>4.9249999999999998</v>
      </c>
      <c r="O1290" s="38">
        <v>2.125</v>
      </c>
      <c r="P1290" s="38">
        <v>1.35</v>
      </c>
      <c r="Q1290" s="38">
        <v>0.35</v>
      </c>
      <c r="R1290" s="38">
        <v>2.6385399999999999</v>
      </c>
      <c r="S1290" s="38">
        <f t="shared" si="165"/>
        <v>2.5</v>
      </c>
      <c r="T1290" s="38">
        <v>7.2750000000000004</v>
      </c>
      <c r="U1290" s="38">
        <v>1.1499999999999999</v>
      </c>
      <c r="V1290" s="38">
        <v>0.27500000000000002</v>
      </c>
      <c r="W1290" s="38">
        <v>0.05</v>
      </c>
      <c r="X1290" s="38">
        <v>6.0654300000000001</v>
      </c>
      <c r="Y1290" s="38">
        <f t="shared" si="166"/>
        <v>6</v>
      </c>
      <c r="Z1290" s="38">
        <v>0</v>
      </c>
      <c r="AA1290" s="38">
        <v>0</v>
      </c>
      <c r="AB1290" s="38">
        <v>8.75</v>
      </c>
      <c r="AC1290" s="38">
        <v>1.20739</v>
      </c>
      <c r="AD1290" s="38">
        <v>26.42</v>
      </c>
      <c r="AE1290" s="38">
        <v>0</v>
      </c>
      <c r="AF1290" s="38">
        <f>(AD1290+AE1290*0.5)/(3.5*I1290*1000)*100</f>
        <v>8.6467026673212252E-2</v>
      </c>
      <c r="AG1290" s="38">
        <f t="shared" si="167"/>
        <v>0.1</v>
      </c>
      <c r="AH1290" s="38">
        <v>0</v>
      </c>
      <c r="AI1290" s="38">
        <f>AH1290/(3.5*I1290*1000)*100</f>
        <v>0</v>
      </c>
      <c r="AJ1290" s="38">
        <v>0</v>
      </c>
      <c r="AK1290" s="38">
        <v>0</v>
      </c>
      <c r="AL1290" s="38">
        <v>0</v>
      </c>
      <c r="AM1290" s="38">
        <f>AL1290/(3.5*I1290*1000)*100</f>
        <v>0</v>
      </c>
      <c r="AN1290" s="72"/>
      <c r="AO1290" s="41"/>
      <c r="AP1290" s="41"/>
      <c r="AQ1290" s="73"/>
      <c r="AR1290" s="73"/>
      <c r="AS1290" s="73"/>
      <c r="AT1290" s="73"/>
    </row>
    <row r="1291" spans="1:88">
      <c r="A1291" s="1">
        <v>1124</v>
      </c>
      <c r="B1291" s="9" t="s">
        <v>1513</v>
      </c>
      <c r="C1291" s="34">
        <v>431</v>
      </c>
      <c r="D1291" s="75">
        <v>3334</v>
      </c>
      <c r="E1291" s="69">
        <v>100</v>
      </c>
      <c r="F1291" s="34" t="s">
        <v>1562</v>
      </c>
      <c r="G1291" s="58" t="s">
        <v>1563</v>
      </c>
      <c r="H1291" s="58" t="s">
        <v>92</v>
      </c>
      <c r="I1291" s="34">
        <v>29.001999999999999</v>
      </c>
      <c r="J1291" s="5">
        <v>2</v>
      </c>
      <c r="K1291" s="5" t="s">
        <v>12</v>
      </c>
      <c r="L1291" s="18">
        <v>42282</v>
      </c>
      <c r="M1291" s="9" t="s">
        <v>191</v>
      </c>
      <c r="N1291" s="38">
        <v>21</v>
      </c>
      <c r="O1291" s="38">
        <v>4.9249999999999998</v>
      </c>
      <c r="P1291" s="38">
        <v>2.0499999999999998</v>
      </c>
      <c r="Q1291" s="38">
        <v>0.92500000000000004</v>
      </c>
      <c r="R1291" s="38">
        <v>2.24505</v>
      </c>
      <c r="S1291" s="38">
        <f t="shared" si="165"/>
        <v>2</v>
      </c>
      <c r="T1291" s="38">
        <v>27.95</v>
      </c>
      <c r="U1291" s="38">
        <v>0.625</v>
      </c>
      <c r="V1291" s="38">
        <v>0.2</v>
      </c>
      <c r="W1291" s="38">
        <v>0.125</v>
      </c>
      <c r="X1291" s="38">
        <v>4.0072900000000002</v>
      </c>
      <c r="Y1291" s="38">
        <f t="shared" si="166"/>
        <v>4</v>
      </c>
      <c r="Z1291" s="38">
        <v>0</v>
      </c>
      <c r="AA1291" s="38">
        <v>0</v>
      </c>
      <c r="AB1291" s="38">
        <v>28.900000000000002</v>
      </c>
      <c r="AC1291" s="38">
        <v>1.27959</v>
      </c>
      <c r="AD1291" s="38">
        <v>85.96</v>
      </c>
      <c r="AE1291" s="38">
        <v>3.25</v>
      </c>
      <c r="AF1291" s="38">
        <f>(AD1291+AE1291*0.5)/(3.5*I1291*1000)*100</f>
        <v>8.6284689725831726E-2</v>
      </c>
      <c r="AG1291" s="38">
        <f t="shared" si="167"/>
        <v>0.1</v>
      </c>
      <c r="AH1291" s="38">
        <v>125.36</v>
      </c>
      <c r="AI1291" s="38">
        <f>AH1291/(3.5*I1291*1000)*100</f>
        <v>0.12349887199897547</v>
      </c>
      <c r="AJ1291" s="38">
        <v>0</v>
      </c>
      <c r="AK1291" s="38">
        <f>AJ1291/(3.5*I1291*1000)*100</f>
        <v>0</v>
      </c>
      <c r="AL1291" s="38">
        <v>0</v>
      </c>
      <c r="AM1291" s="38">
        <f>AL1291/(3.5*I1291*1000)*100</f>
        <v>0</v>
      </c>
      <c r="AN1291" s="41"/>
      <c r="AO1291" s="114"/>
      <c r="AP1291" s="73"/>
      <c r="AQ1291" s="73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</row>
    <row r="1292" spans="1:88">
      <c r="A1292" s="1">
        <v>1623</v>
      </c>
      <c r="B1292" s="9" t="s">
        <v>2182</v>
      </c>
      <c r="C1292" s="9">
        <v>417</v>
      </c>
      <c r="D1292" s="8">
        <v>3117</v>
      </c>
      <c r="E1292" s="9">
        <v>100</v>
      </c>
      <c r="F1292" s="9" t="s">
        <v>2192</v>
      </c>
      <c r="G1292" s="20">
        <v>0</v>
      </c>
      <c r="H1292" s="20">
        <v>7822</v>
      </c>
      <c r="I1292" s="35">
        <v>7.8220000000000001</v>
      </c>
      <c r="J1292" s="9">
        <v>2</v>
      </c>
      <c r="K1292" s="9" t="s">
        <v>238</v>
      </c>
      <c r="L1292" s="18">
        <v>42238</v>
      </c>
      <c r="M1292" s="9" t="s">
        <v>191</v>
      </c>
      <c r="N1292" s="11">
        <v>4.0999999999999996</v>
      </c>
      <c r="O1292" s="11">
        <v>2.5499999999999998</v>
      </c>
      <c r="P1292" s="11">
        <v>0.75</v>
      </c>
      <c r="Q1292" s="11">
        <v>0.42499999999999999</v>
      </c>
      <c r="R1292" s="11">
        <v>2.4928499999999998</v>
      </c>
      <c r="S1292" s="38">
        <f t="shared" si="165"/>
        <v>2.5</v>
      </c>
      <c r="T1292" s="11">
        <v>7.35</v>
      </c>
      <c r="U1292" s="11">
        <v>0.45</v>
      </c>
      <c r="V1292" s="11">
        <v>2.5000000000000001E-2</v>
      </c>
      <c r="W1292" s="11">
        <v>0</v>
      </c>
      <c r="X1292" s="11">
        <v>4.3741000000000003</v>
      </c>
      <c r="Y1292" s="38">
        <f t="shared" si="166"/>
        <v>4.5</v>
      </c>
      <c r="Z1292" s="11">
        <v>0</v>
      </c>
      <c r="AA1292" s="11">
        <v>0</v>
      </c>
      <c r="AB1292" s="11">
        <f>SUM(N1292:Q1292)</f>
        <v>7.8249999999999993</v>
      </c>
      <c r="AC1292" s="11">
        <v>1.081</v>
      </c>
      <c r="AD1292" s="11">
        <v>17.5</v>
      </c>
      <c r="AE1292" s="11">
        <v>12.19</v>
      </c>
      <c r="AF1292" s="11">
        <f>(AD1292+AE1292*0.5)/(3.5*I1292*1000)*100</f>
        <v>8.6185484165540407E-2</v>
      </c>
      <c r="AG1292" s="38">
        <f t="shared" si="167"/>
        <v>0.1</v>
      </c>
      <c r="AH1292" s="11">
        <v>8.6</v>
      </c>
      <c r="AI1292" s="11">
        <f>AH1292/(3.5*I1292*1000)*100</f>
        <v>3.1413230083646854E-2</v>
      </c>
      <c r="AJ1292" s="11">
        <v>2.0499999999999998</v>
      </c>
      <c r="AK1292" s="38">
        <f>AJ1292/(3.5*I1292*1000)*100</f>
        <v>7.4880374036600059E-3</v>
      </c>
      <c r="AL1292" s="11">
        <v>0</v>
      </c>
      <c r="AM1292" s="38">
        <f>AL1292/(3.5*I1292*1000)*100</f>
        <v>0</v>
      </c>
      <c r="AN1292" s="25">
        <f>IF(G1292=G1293,1,0)</f>
        <v>0</v>
      </c>
      <c r="AO1292" s="25">
        <f>AE1292*0.5</f>
        <v>6.0949999999999998</v>
      </c>
      <c r="AP1292" s="25">
        <f>(AD1292+AH1292+AJ1292+AL1292+AO1292)*I1292</f>
        <v>267.86439000000001</v>
      </c>
      <c r="AQ1292" s="25">
        <f>(AD1292+AH1292+AJ1292+AL1292)*I1292</f>
        <v>220.18930000000003</v>
      </c>
      <c r="AR1292" s="25">
        <f>SUM(N1292:Q1292)</f>
        <v>7.8249999999999993</v>
      </c>
      <c r="AS1292" s="25">
        <f>SUM(T1292:W1292)</f>
        <v>7.8250000000000002</v>
      </c>
      <c r="AT1292" s="22"/>
      <c r="AU1292" s="41"/>
      <c r="AV1292" s="275">
        <v>7.8220000000000001</v>
      </c>
      <c r="AW1292" s="41"/>
      <c r="AX1292" s="41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  <c r="CC1292" s="22"/>
      <c r="CD1292" s="22"/>
      <c r="CE1292" s="22"/>
      <c r="CF1292" s="22"/>
      <c r="CG1292" s="22"/>
      <c r="CH1292" s="22"/>
      <c r="CI1292" s="22"/>
      <c r="CJ1292" s="22"/>
    </row>
    <row r="1293" spans="1:88">
      <c r="A1293" s="1">
        <v>939</v>
      </c>
      <c r="B1293" s="34" t="s">
        <v>1329</v>
      </c>
      <c r="C1293" s="34">
        <v>611</v>
      </c>
      <c r="D1293" s="8">
        <v>205</v>
      </c>
      <c r="E1293" s="34">
        <v>402</v>
      </c>
      <c r="F1293" s="34" t="s">
        <v>1337</v>
      </c>
      <c r="G1293" s="58" t="s">
        <v>1338</v>
      </c>
      <c r="H1293" s="58" t="s">
        <v>1336</v>
      </c>
      <c r="I1293" s="35">
        <v>28.251999999999999</v>
      </c>
      <c r="J1293" s="9">
        <v>4</v>
      </c>
      <c r="K1293" s="34" t="s">
        <v>96</v>
      </c>
      <c r="L1293" s="10">
        <v>42117</v>
      </c>
      <c r="M1293" s="9" t="s">
        <v>191</v>
      </c>
      <c r="N1293" s="38">
        <v>25.225000000000001</v>
      </c>
      <c r="O1293" s="38">
        <v>2.0249999999999999</v>
      </c>
      <c r="P1293" s="38">
        <v>0.75</v>
      </c>
      <c r="Q1293" s="38">
        <v>0.35</v>
      </c>
      <c r="R1293" s="38">
        <v>1.8666199999999999</v>
      </c>
      <c r="S1293" s="38">
        <f t="shared" si="165"/>
        <v>2</v>
      </c>
      <c r="T1293" s="38">
        <v>25.8</v>
      </c>
      <c r="U1293" s="38">
        <v>2</v>
      </c>
      <c r="V1293" s="38">
        <v>0.47499999999999998</v>
      </c>
      <c r="W1293" s="38">
        <v>7.4999999999999997E-2</v>
      </c>
      <c r="X1293" s="38">
        <v>5.6399600000000003</v>
      </c>
      <c r="Y1293" s="38">
        <f t="shared" si="166"/>
        <v>5.5</v>
      </c>
      <c r="Z1293" s="38">
        <v>0</v>
      </c>
      <c r="AA1293" s="38">
        <v>0</v>
      </c>
      <c r="AB1293" s="38">
        <v>28.251999999999999</v>
      </c>
      <c r="AC1293" s="38">
        <v>1.2483599999999999</v>
      </c>
      <c r="AD1293" s="38">
        <v>84.6</v>
      </c>
      <c r="AE1293" s="38">
        <v>0</v>
      </c>
      <c r="AF1293" s="38">
        <f>(AD1293+AE1293*0.5)/(3.5*I1293*1000)*100</f>
        <v>8.5556521915009814E-2</v>
      </c>
      <c r="AG1293" s="38">
        <f t="shared" si="167"/>
        <v>0.1</v>
      </c>
      <c r="AH1293" s="38">
        <v>604.13</v>
      </c>
      <c r="AI1293" s="38">
        <f>AH1293/(3.5*I1293*1000)*100</f>
        <v>0.61096053882405299</v>
      </c>
      <c r="AJ1293" s="38">
        <v>0</v>
      </c>
      <c r="AK1293" s="38">
        <f>AJ1293/(3.5*I1293*1000)*100</f>
        <v>0</v>
      </c>
      <c r="AL1293" s="38">
        <v>0</v>
      </c>
      <c r="AM1293" s="38">
        <f>AL1293/(3.5*I1293*1000)*100</f>
        <v>0</v>
      </c>
      <c r="AN1293" s="25"/>
      <c r="AO1293" s="25">
        <f>AE1293*0.5</f>
        <v>0</v>
      </c>
      <c r="AP1293" s="25">
        <f>(AD1293+AH1293+AJ1293+AL1293+AO1293)*I1293</f>
        <v>19457.999960000001</v>
      </c>
      <c r="AQ1293" s="25"/>
      <c r="AR1293" s="25">
        <f>SUM(N1293:Q1293)</f>
        <v>28.35</v>
      </c>
      <c r="AS1293" s="25">
        <f>SUM(T1293:W1293)</f>
        <v>28.35</v>
      </c>
      <c r="AT1293" s="268">
        <v>28.251999999999999</v>
      </c>
      <c r="AU1293" s="41"/>
      <c r="AV1293" s="41"/>
      <c r="AW1293" s="41"/>
      <c r="AX1293" s="22"/>
      <c r="AY1293" s="22"/>
      <c r="AZ1293" s="22"/>
      <c r="BA1293" s="22"/>
      <c r="BB1293" s="22"/>
      <c r="BC1293" s="22"/>
      <c r="BD1293" s="22"/>
      <c r="BE1293" s="22"/>
      <c r="BF1293" s="22"/>
      <c r="BG1293" s="22"/>
      <c r="BH1293" s="22"/>
      <c r="BI1293" s="22"/>
      <c r="BJ1293" s="22"/>
      <c r="BK1293" s="22"/>
      <c r="BL1293" s="22"/>
      <c r="BM1293" s="22"/>
      <c r="BN1293" s="22"/>
      <c r="BO1293" s="22"/>
      <c r="BP1293" s="22"/>
      <c r="BQ1293" s="22"/>
      <c r="BR1293" s="22"/>
      <c r="BS1293" s="22"/>
      <c r="BT1293" s="22"/>
      <c r="BU1293" s="22"/>
      <c r="BV1293" s="22"/>
      <c r="BW1293" s="22"/>
      <c r="BX1293" s="22"/>
      <c r="BY1293" s="22"/>
      <c r="BZ1293" s="22"/>
      <c r="CA1293" s="22"/>
      <c r="CB1293" s="22"/>
      <c r="CC1293" s="22"/>
      <c r="CD1293" s="22"/>
      <c r="CE1293" s="22"/>
      <c r="CF1293" s="22"/>
      <c r="CG1293" s="22"/>
      <c r="CH1293" s="22"/>
      <c r="CI1293" s="22"/>
      <c r="CJ1293" s="22"/>
    </row>
    <row r="1294" spans="1:88">
      <c r="A1294" s="1">
        <v>324</v>
      </c>
      <c r="B1294" s="34" t="s">
        <v>542</v>
      </c>
      <c r="C1294" s="34">
        <v>644</v>
      </c>
      <c r="D1294" s="34">
        <v>2417</v>
      </c>
      <c r="E1294" s="34">
        <v>100</v>
      </c>
      <c r="F1294" s="34" t="s">
        <v>556</v>
      </c>
      <c r="G1294" s="58">
        <v>0</v>
      </c>
      <c r="H1294" s="58">
        <v>45440</v>
      </c>
      <c r="I1294" s="35">
        <v>45.44</v>
      </c>
      <c r="J1294" s="62">
        <v>2</v>
      </c>
      <c r="K1294" s="34" t="s">
        <v>238</v>
      </c>
      <c r="L1294" s="10">
        <v>42158</v>
      </c>
      <c r="M1294" s="9" t="s">
        <v>191</v>
      </c>
      <c r="N1294" s="38">
        <v>29.08</v>
      </c>
      <c r="O1294" s="38">
        <v>10.29</v>
      </c>
      <c r="P1294" s="38">
        <v>4.0599999999999996</v>
      </c>
      <c r="Q1294" s="38">
        <v>2.0099999999999998</v>
      </c>
      <c r="R1294" s="38">
        <v>2.7903799999999999</v>
      </c>
      <c r="S1294" s="38">
        <f t="shared" si="165"/>
        <v>3</v>
      </c>
      <c r="T1294" s="38">
        <v>44.73</v>
      </c>
      <c r="U1294" s="38">
        <v>0.57999999999999996</v>
      </c>
      <c r="V1294" s="38">
        <v>0.13</v>
      </c>
      <c r="W1294" s="38">
        <v>0</v>
      </c>
      <c r="X1294" s="38">
        <v>2.6442800000000002</v>
      </c>
      <c r="Y1294" s="38">
        <f t="shared" si="166"/>
        <v>2.5</v>
      </c>
      <c r="Z1294" s="38">
        <v>0.05</v>
      </c>
      <c r="AA1294" s="38">
        <v>0.05</v>
      </c>
      <c r="AB1294" s="38">
        <v>45.34</v>
      </c>
      <c r="AC1294" s="38">
        <v>1.22051</v>
      </c>
      <c r="AD1294" s="38">
        <v>15</v>
      </c>
      <c r="AE1294" s="38">
        <v>241</v>
      </c>
      <c r="AF1294" s="38">
        <v>8.5199999999999998E-2</v>
      </c>
      <c r="AG1294" s="38">
        <f t="shared" si="167"/>
        <v>0.1</v>
      </c>
      <c r="AH1294" s="38">
        <v>0.56000000000000005</v>
      </c>
      <c r="AI1294" s="38">
        <v>3.5E-4</v>
      </c>
      <c r="AJ1294" s="38">
        <v>0</v>
      </c>
      <c r="AK1294" s="38">
        <v>0</v>
      </c>
      <c r="AL1294" s="38">
        <v>0</v>
      </c>
      <c r="AM1294" s="38">
        <v>0</v>
      </c>
      <c r="AN1294" s="60"/>
      <c r="AO1294" s="60">
        <f>AE1294*0.5</f>
        <v>120.5</v>
      </c>
      <c r="AP1294" s="60">
        <f>(AD1294+AH1294+AJ1294+AL1294+AO1294)*I1294</f>
        <v>6182.5663999999997</v>
      </c>
      <c r="AQ1294" s="25">
        <f>SUM(N1294:Q1294)</f>
        <v>45.44</v>
      </c>
      <c r="AR1294" s="25">
        <f>SUM(T1294:W1294)</f>
        <v>45.44</v>
      </c>
      <c r="AS1294" s="268">
        <v>45.44</v>
      </c>
      <c r="AT1294" s="40"/>
      <c r="AU1294" s="41">
        <f>SUM(N1294:Q1294)</f>
        <v>45.44</v>
      </c>
      <c r="AV1294" s="41">
        <f>SUM(T1294:W1294)</f>
        <v>45.44</v>
      </c>
      <c r="AW1294" s="41">
        <f>SUM(Z1294:AB1294)</f>
        <v>45.440000000000005</v>
      </c>
      <c r="AX1294" s="22"/>
      <c r="AY1294" s="22">
        <f>I1294/AU1294</f>
        <v>1</v>
      </c>
      <c r="AZ1294" s="22">
        <f>I1294/AV1294</f>
        <v>1</v>
      </c>
      <c r="BA1294" s="22">
        <f>I1294/AW1294</f>
        <v>0.99999999999999989</v>
      </c>
      <c r="BB1294" s="61"/>
      <c r="BC1294" s="61"/>
      <c r="BD1294" s="61"/>
      <c r="BE1294" s="61"/>
      <c r="BF1294" s="61"/>
      <c r="BG1294" s="61"/>
      <c r="BH1294" s="61"/>
      <c r="BI1294" s="61"/>
      <c r="BJ1294" s="61"/>
      <c r="BK1294" s="61"/>
      <c r="BL1294" s="61"/>
      <c r="BM1294" s="61"/>
      <c r="BN1294" s="61"/>
      <c r="BO1294" s="61"/>
      <c r="BP1294" s="61"/>
      <c r="BQ1294" s="61"/>
      <c r="BR1294" s="61"/>
      <c r="BS1294" s="61"/>
      <c r="BT1294" s="61"/>
      <c r="BU1294" s="61"/>
      <c r="BV1294" s="61"/>
      <c r="BW1294" s="61"/>
      <c r="BX1294" s="61"/>
      <c r="BY1294" s="61"/>
      <c r="BZ1294" s="61"/>
      <c r="CA1294" s="61"/>
      <c r="CB1294" s="61"/>
      <c r="CC1294" s="61"/>
      <c r="CD1294" s="61"/>
      <c r="CE1294" s="61"/>
      <c r="CF1294" s="61"/>
      <c r="CG1294" s="61"/>
      <c r="CH1294" s="61"/>
      <c r="CI1294" s="61"/>
      <c r="CJ1294" s="61"/>
    </row>
    <row r="1295" spans="1:88">
      <c r="A1295" s="1">
        <v>483</v>
      </c>
      <c r="B1295" s="88" t="s">
        <v>821</v>
      </c>
      <c r="C1295" s="88">
        <v>519</v>
      </c>
      <c r="D1295" s="88">
        <v>113</v>
      </c>
      <c r="E1295" s="88">
        <v>202</v>
      </c>
      <c r="F1295" s="88" t="s">
        <v>827</v>
      </c>
      <c r="G1295" s="88" t="s">
        <v>828</v>
      </c>
      <c r="H1295" s="88" t="s">
        <v>826</v>
      </c>
      <c r="I1295" s="115">
        <v>38.405999999999999</v>
      </c>
      <c r="J1295" s="88" t="s">
        <v>12</v>
      </c>
      <c r="K1295" s="34">
        <v>2</v>
      </c>
      <c r="L1295" s="116">
        <v>42276</v>
      </c>
      <c r="M1295" s="9" t="s">
        <v>191</v>
      </c>
      <c r="N1295" s="117">
        <v>27.62</v>
      </c>
      <c r="O1295" s="117">
        <v>7.53</v>
      </c>
      <c r="P1295" s="117">
        <v>2.27</v>
      </c>
      <c r="Q1295" s="117">
        <v>0.98</v>
      </c>
      <c r="R1295" s="117">
        <v>2.3119399999999999</v>
      </c>
      <c r="S1295" s="38">
        <f t="shared" si="165"/>
        <v>2.5</v>
      </c>
      <c r="T1295" s="117">
        <v>35.159999999999997</v>
      </c>
      <c r="U1295" s="117">
        <v>2.2999999999999998</v>
      </c>
      <c r="V1295" s="117">
        <v>0.72</v>
      </c>
      <c r="W1295" s="117">
        <v>0.22</v>
      </c>
      <c r="X1295" s="117">
        <v>4.5339799999999997</v>
      </c>
      <c r="Y1295" s="38">
        <f t="shared" si="166"/>
        <v>4.5</v>
      </c>
      <c r="Z1295" s="117">
        <v>0</v>
      </c>
      <c r="AA1295" s="117">
        <v>0</v>
      </c>
      <c r="AB1295" s="117">
        <v>38.409999999999997</v>
      </c>
      <c r="AC1295" s="117">
        <v>1.1374500000000001</v>
      </c>
      <c r="AD1295" s="117">
        <v>111.24</v>
      </c>
      <c r="AE1295" s="117">
        <v>6.15</v>
      </c>
      <c r="AF1295" s="117">
        <v>8.5042999999999994E-2</v>
      </c>
      <c r="AG1295" s="38">
        <f t="shared" si="167"/>
        <v>0.1</v>
      </c>
      <c r="AH1295" s="117">
        <v>45.648000000000003</v>
      </c>
      <c r="AI1295" s="117">
        <v>3.3959000000000003E-2</v>
      </c>
      <c r="AJ1295" s="117">
        <v>0</v>
      </c>
      <c r="AK1295" s="117">
        <v>0</v>
      </c>
      <c r="AL1295" s="117">
        <v>0</v>
      </c>
      <c r="AM1295" s="117">
        <v>0</v>
      </c>
      <c r="AN1295" s="41"/>
      <c r="AO1295" s="41"/>
      <c r="AP1295" s="41"/>
      <c r="AQ1295" s="41">
        <f>SUM(N1295:Q1295)</f>
        <v>38.4</v>
      </c>
      <c r="AR1295" s="41">
        <f>SUM(T1295:W1295)</f>
        <v>38.399999999999991</v>
      </c>
      <c r="AS1295" s="41">
        <f>SUM(Z1295:AB1295)</f>
        <v>38.409999999999997</v>
      </c>
      <c r="AT1295" s="22"/>
      <c r="AU1295" s="22">
        <f>I1295/AQ1295</f>
        <v>1.0001562500000001</v>
      </c>
      <c r="AV1295" s="22">
        <f>I1295/AR1295</f>
        <v>1.0001562500000003</v>
      </c>
      <c r="AW1295" s="22">
        <f>I1295/AS1295</f>
        <v>0.99989586045300705</v>
      </c>
    </row>
    <row r="1296" spans="1:88" s="22" customFormat="1">
      <c r="A1296" s="1">
        <v>1978</v>
      </c>
      <c r="B1296" s="34" t="s">
        <v>2615</v>
      </c>
      <c r="C1296" s="34">
        <v>322</v>
      </c>
      <c r="D1296" s="75">
        <v>419</v>
      </c>
      <c r="E1296" s="8">
        <v>100</v>
      </c>
      <c r="F1296" s="34" t="s">
        <v>2620</v>
      </c>
      <c r="G1296" s="58">
        <v>0</v>
      </c>
      <c r="H1296" s="58">
        <v>31255</v>
      </c>
      <c r="I1296" s="21">
        <v>31.254999999999999</v>
      </c>
      <c r="J1296" s="8">
        <v>2</v>
      </c>
      <c r="K1296" s="8" t="s">
        <v>237</v>
      </c>
      <c r="L1296" s="18">
        <v>42130</v>
      </c>
      <c r="M1296" s="9" t="s">
        <v>191</v>
      </c>
      <c r="N1296" s="38">
        <v>22.324999999999999</v>
      </c>
      <c r="O1296" s="38">
        <v>5.1749999999999998</v>
      </c>
      <c r="P1296" s="38">
        <v>2.5499999999999998</v>
      </c>
      <c r="Q1296" s="38">
        <v>1.425</v>
      </c>
      <c r="R1296" s="38">
        <v>2.40774</v>
      </c>
      <c r="S1296" s="38">
        <f t="shared" si="165"/>
        <v>2.5</v>
      </c>
      <c r="T1296" s="38">
        <v>29.85</v>
      </c>
      <c r="U1296" s="38">
        <v>1.375</v>
      </c>
      <c r="V1296" s="38">
        <v>0.15</v>
      </c>
      <c r="W1296" s="38">
        <v>0.1</v>
      </c>
      <c r="X1296" s="38">
        <v>4.66716</v>
      </c>
      <c r="Y1296" s="38">
        <f t="shared" si="166"/>
        <v>4.5</v>
      </c>
      <c r="Z1296" s="38">
        <v>0</v>
      </c>
      <c r="AA1296" s="38">
        <v>0</v>
      </c>
      <c r="AB1296" s="38">
        <v>31.475000000000001</v>
      </c>
      <c r="AC1296" s="38">
        <v>1.3208599999999999</v>
      </c>
      <c r="AD1296" s="38">
        <v>88.97</v>
      </c>
      <c r="AE1296" s="38">
        <v>8</v>
      </c>
      <c r="AF1296" s="38">
        <v>8.4987544849966859E-2</v>
      </c>
      <c r="AG1296" s="38">
        <f t="shared" si="167"/>
        <v>0.1</v>
      </c>
      <c r="AH1296" s="38">
        <v>34.22</v>
      </c>
      <c r="AI1296" s="38">
        <v>3.1281852046529696E-2</v>
      </c>
      <c r="AJ1296" s="38">
        <v>343.17</v>
      </c>
      <c r="AK1296" s="38">
        <v>0.31370523573371117</v>
      </c>
      <c r="AL1296" s="38">
        <v>0</v>
      </c>
      <c r="AM1296" s="38">
        <f>AL1296/(3.5*I1296*1000)*100</f>
        <v>0</v>
      </c>
      <c r="AN1296" s="72"/>
      <c r="AO1296" s="41"/>
      <c r="AP1296" s="41"/>
      <c r="AQ1296" s="73"/>
      <c r="AR1296" s="73"/>
      <c r="AS1296" s="73"/>
      <c r="AT1296" s="73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</row>
    <row r="1297" spans="1:88">
      <c r="A1297" s="1">
        <v>216</v>
      </c>
      <c r="B1297" s="34" t="s">
        <v>413</v>
      </c>
      <c r="C1297" s="34">
        <v>536</v>
      </c>
      <c r="D1297" s="34">
        <v>1083</v>
      </c>
      <c r="E1297" s="34">
        <v>200</v>
      </c>
      <c r="F1297" s="34" t="s">
        <v>417</v>
      </c>
      <c r="G1297" s="20" t="s">
        <v>418</v>
      </c>
      <c r="H1297" s="20" t="s">
        <v>419</v>
      </c>
      <c r="I1297" s="35">
        <v>44.8</v>
      </c>
      <c r="J1297" s="36">
        <v>2</v>
      </c>
      <c r="K1297" s="34" t="s">
        <v>238</v>
      </c>
      <c r="L1297" s="10">
        <v>42220</v>
      </c>
      <c r="M1297" s="9" t="s">
        <v>191</v>
      </c>
      <c r="N1297" s="38">
        <v>13.86</v>
      </c>
      <c r="O1297" s="38">
        <v>16.28</v>
      </c>
      <c r="P1297" s="38">
        <v>10.46</v>
      </c>
      <c r="Q1297" s="38">
        <v>4.21</v>
      </c>
      <c r="R1297" s="38">
        <v>3.5390000000000001</v>
      </c>
      <c r="S1297" s="38">
        <f t="shared" si="165"/>
        <v>3.5</v>
      </c>
      <c r="T1297" s="38">
        <v>23.15</v>
      </c>
      <c r="U1297" s="38">
        <v>6.33</v>
      </c>
      <c r="V1297" s="38">
        <v>4.8499999999999996</v>
      </c>
      <c r="W1297" s="38">
        <v>10.49</v>
      </c>
      <c r="X1297" s="38">
        <v>18.039000000000001</v>
      </c>
      <c r="Y1297" s="38">
        <f t="shared" si="166"/>
        <v>18</v>
      </c>
      <c r="Z1297" s="38">
        <v>0</v>
      </c>
      <c r="AA1297" s="38">
        <v>0.03</v>
      </c>
      <c r="AB1297" s="38">
        <v>44.78</v>
      </c>
      <c r="AC1297" s="38">
        <v>1.633</v>
      </c>
      <c r="AD1297" s="38">
        <v>78.61</v>
      </c>
      <c r="AE1297" s="38">
        <v>109.26</v>
      </c>
      <c r="AF1297" s="38">
        <f>(AD1297+AE1297*0.5)/(3.5*I1297*1000)*100</f>
        <v>8.4974489795918401E-2</v>
      </c>
      <c r="AG1297" s="38">
        <f t="shared" si="167"/>
        <v>0.1</v>
      </c>
      <c r="AH1297" s="38">
        <v>0.5</v>
      </c>
      <c r="AI1297" s="38">
        <f>AH1297/(3.5*I1297*1000)*100</f>
        <v>3.1887755102040819E-4</v>
      </c>
      <c r="AJ1297" s="38">
        <v>236.14</v>
      </c>
      <c r="AK1297" s="38">
        <f>AJ1297/(3.5*I1297*1000)*100</f>
        <v>0.15059948979591839</v>
      </c>
      <c r="AL1297" s="38">
        <v>5.38</v>
      </c>
      <c r="AM1297" s="38">
        <f>AL1297/(3.5*I1297*1000)*100</f>
        <v>3.4311224489795922E-3</v>
      </c>
      <c r="AN1297" s="25"/>
      <c r="AO1297" s="25">
        <f>AE1297*0.5</f>
        <v>54.63</v>
      </c>
      <c r="AP1297" s="25">
        <f>(AD1297+AH1297+AJ1297+AL1297+AO1297)*I1297</f>
        <v>16811.647999999997</v>
      </c>
      <c r="AQ1297" s="25">
        <f>SUM(N1297:Q1297)</f>
        <v>44.81</v>
      </c>
      <c r="AR1297" s="25">
        <f>SUM(T1297:W1297)</f>
        <v>44.82</v>
      </c>
      <c r="AS1297" s="22"/>
      <c r="AT1297" s="41"/>
      <c r="AU1297" s="41">
        <f>SUM(N1297:Q1297)</f>
        <v>44.81</v>
      </c>
      <c r="AV1297" s="41">
        <f>SUM(T1297:W1297)</f>
        <v>44.82</v>
      </c>
      <c r="AW1297" s="41">
        <f>SUM(Z1297:AB1297)</f>
        <v>44.81</v>
      </c>
      <c r="AX1297" s="22"/>
      <c r="AY1297" s="22">
        <f>I1297/AU1297</f>
        <v>0.99977683552778385</v>
      </c>
      <c r="AZ1297" s="22">
        <f>I1297/AV1297</f>
        <v>0.99955377063810791</v>
      </c>
      <c r="BA1297" s="22">
        <f>I1297/AW1297</f>
        <v>0.99977683552778385</v>
      </c>
      <c r="BB1297" s="22"/>
      <c r="BC1297" s="22"/>
      <c r="BD1297" s="22"/>
      <c r="BE1297" s="22"/>
      <c r="BF1297" s="22"/>
      <c r="BG1297" s="22"/>
      <c r="BH1297" s="22"/>
      <c r="BI1297" s="22"/>
      <c r="BJ1297" s="22"/>
      <c r="BK1297" s="22"/>
      <c r="BL1297" s="22"/>
      <c r="BM1297" s="22"/>
      <c r="BN1297" s="22"/>
      <c r="BO1297" s="22"/>
      <c r="BP1297" s="22"/>
      <c r="BQ1297" s="22"/>
      <c r="BR1297" s="22"/>
      <c r="BS1297" s="22"/>
      <c r="BT1297" s="22"/>
      <c r="BU1297" s="22"/>
      <c r="BV1297" s="22"/>
      <c r="BW1297" s="22"/>
      <c r="BX1297" s="22"/>
      <c r="BY1297" s="22"/>
      <c r="BZ1297" s="22"/>
      <c r="CA1297" s="22"/>
      <c r="CB1297" s="22"/>
      <c r="CC1297" s="22"/>
      <c r="CD1297" s="22"/>
      <c r="CE1297" s="22"/>
      <c r="CF1297" s="22"/>
      <c r="CG1297" s="22"/>
      <c r="CH1297" s="22"/>
      <c r="CI1297" s="22"/>
      <c r="CJ1297" s="22"/>
    </row>
    <row r="1298" spans="1:88">
      <c r="A1298" s="1">
        <v>1454</v>
      </c>
      <c r="B1298" s="34" t="s">
        <v>1987</v>
      </c>
      <c r="C1298" s="34">
        <v>448</v>
      </c>
      <c r="D1298" s="75">
        <v>3195</v>
      </c>
      <c r="E1298" s="69">
        <v>201</v>
      </c>
      <c r="F1298" s="34" t="s">
        <v>2004</v>
      </c>
      <c r="G1298" s="20">
        <v>8450</v>
      </c>
      <c r="H1298" s="20">
        <v>25300</v>
      </c>
      <c r="I1298" s="21">
        <v>16.850000000000001</v>
      </c>
      <c r="J1298" s="8">
        <v>2</v>
      </c>
      <c r="K1298" s="34" t="s">
        <v>237</v>
      </c>
      <c r="L1298" s="10">
        <v>42183</v>
      </c>
      <c r="M1298" s="9" t="s">
        <v>191</v>
      </c>
      <c r="N1298" s="38">
        <v>9.9250000000000007</v>
      </c>
      <c r="O1298" s="38">
        <v>4.8250000000000002</v>
      </c>
      <c r="P1298" s="38">
        <v>1.625</v>
      </c>
      <c r="Q1298" s="38">
        <v>0.45</v>
      </c>
      <c r="R1298" s="38">
        <v>2.5830600000000001</v>
      </c>
      <c r="S1298" s="38">
        <f t="shared" si="165"/>
        <v>2.5</v>
      </c>
      <c r="T1298" s="38">
        <v>13.95</v>
      </c>
      <c r="U1298" s="38">
        <v>2.2999999999999998</v>
      </c>
      <c r="V1298" s="38">
        <v>0.52500000000000002</v>
      </c>
      <c r="W1298" s="38">
        <v>0.05</v>
      </c>
      <c r="X1298" s="38">
        <v>6.9421200000000001</v>
      </c>
      <c r="Y1298" s="38">
        <f t="shared" si="166"/>
        <v>7</v>
      </c>
      <c r="Z1298" s="38">
        <v>0</v>
      </c>
      <c r="AA1298" s="38">
        <v>0</v>
      </c>
      <c r="AB1298" s="38">
        <v>16.824999999999999</v>
      </c>
      <c r="AC1298" s="38">
        <v>1.008</v>
      </c>
      <c r="AD1298" s="38">
        <v>33</v>
      </c>
      <c r="AE1298" s="38">
        <v>34</v>
      </c>
      <c r="AF1298" s="38">
        <f>(AD1298+AE1298*0.5)/(3.5*I1298*1000)*100</f>
        <v>8.4781687155574381E-2</v>
      </c>
      <c r="AG1298" s="38">
        <f t="shared" si="167"/>
        <v>0.1</v>
      </c>
      <c r="AH1298" s="38">
        <v>26</v>
      </c>
      <c r="AI1298" s="38">
        <f>AH1298/(3.5*I1298*1000)*100</f>
        <v>4.4086477320898682E-2</v>
      </c>
      <c r="AJ1298" s="38">
        <v>230</v>
      </c>
      <c r="AK1298" s="38">
        <f>AJ1298/(3.5*I1298*1000)*100</f>
        <v>0.3899957609156422</v>
      </c>
      <c r="AL1298" s="38">
        <v>0</v>
      </c>
      <c r="AM1298" s="38">
        <f>AL1298/(3.5*I1298*1000)*100</f>
        <v>0</v>
      </c>
      <c r="AN1298" s="72"/>
      <c r="AO1298" s="41"/>
      <c r="AP1298" s="41"/>
      <c r="AQ1298" s="73"/>
      <c r="AR1298" s="73"/>
      <c r="AS1298" s="73"/>
      <c r="AT1298" s="73"/>
      <c r="AU1298" s="73"/>
      <c r="AV1298" s="73"/>
      <c r="AW1298" s="22"/>
      <c r="AX1298" s="22"/>
      <c r="AY1298" s="22"/>
      <c r="AZ1298" s="22"/>
      <c r="BA1298" s="22"/>
      <c r="BB1298" s="22"/>
      <c r="BC1298" s="22"/>
      <c r="BD1298" s="22"/>
      <c r="BE1298" s="22"/>
      <c r="BF1298" s="22"/>
      <c r="BG1298" s="22"/>
      <c r="BH1298" s="22"/>
      <c r="BI1298" s="22"/>
      <c r="BJ1298" s="22"/>
      <c r="BK1298" s="22"/>
      <c r="BL1298" s="22"/>
      <c r="BM1298" s="22"/>
      <c r="BN1298" s="22"/>
      <c r="BO1298" s="22"/>
      <c r="BP1298" s="22"/>
      <c r="BQ1298" s="22"/>
      <c r="BR1298" s="22"/>
      <c r="BS1298" s="22"/>
      <c r="BT1298" s="22"/>
      <c r="BU1298" s="22"/>
      <c r="BV1298" s="22"/>
      <c r="BW1298" s="22"/>
      <c r="BX1298" s="22"/>
      <c r="BY1298" s="22"/>
      <c r="BZ1298" s="22"/>
      <c r="CA1298" s="22"/>
      <c r="CB1298" s="22"/>
      <c r="CC1298" s="22"/>
      <c r="CD1298" s="22"/>
      <c r="CE1298" s="22"/>
      <c r="CF1298" s="22"/>
      <c r="CG1298" s="22"/>
      <c r="CH1298" s="22"/>
      <c r="CI1298" s="22"/>
      <c r="CJ1298" s="22"/>
    </row>
    <row r="1299" spans="1:88">
      <c r="A1299" s="1">
        <v>2093</v>
      </c>
      <c r="B1299" s="34" t="s">
        <v>2732</v>
      </c>
      <c r="C1299" s="34">
        <v>323</v>
      </c>
      <c r="D1299" s="75">
        <v>4156</v>
      </c>
      <c r="E1299" s="8">
        <v>100</v>
      </c>
      <c r="F1299" s="9" t="s">
        <v>2742</v>
      </c>
      <c r="G1299" s="20">
        <v>0</v>
      </c>
      <c r="H1299" s="20">
        <v>40475</v>
      </c>
      <c r="I1299" s="21">
        <v>40.475000000000001</v>
      </c>
      <c r="J1299" s="9">
        <v>2</v>
      </c>
      <c r="K1299" s="34" t="s">
        <v>238</v>
      </c>
      <c r="L1299" s="18">
        <v>42132</v>
      </c>
      <c r="M1299" s="9" t="s">
        <v>191</v>
      </c>
      <c r="N1299" s="38">
        <v>33.700000000000003</v>
      </c>
      <c r="O1299" s="38">
        <v>4.72</v>
      </c>
      <c r="P1299" s="38">
        <v>1.48</v>
      </c>
      <c r="Q1299" s="38">
        <v>0.57999999999999996</v>
      </c>
      <c r="R1299" s="38">
        <v>1.95688</v>
      </c>
      <c r="S1299" s="38">
        <f t="shared" si="165"/>
        <v>2</v>
      </c>
      <c r="T1299" s="38">
        <v>39.950000000000003</v>
      </c>
      <c r="U1299" s="38">
        <v>0.43</v>
      </c>
      <c r="V1299" s="38">
        <v>0.1</v>
      </c>
      <c r="W1299" s="38">
        <v>0</v>
      </c>
      <c r="X1299" s="38">
        <v>2.4621300000000002</v>
      </c>
      <c r="Y1299" s="38">
        <f t="shared" si="166"/>
        <v>2.5</v>
      </c>
      <c r="Z1299" s="38">
        <v>0</v>
      </c>
      <c r="AA1299" s="38">
        <v>0</v>
      </c>
      <c r="AB1299" s="38">
        <v>40.479999999999997</v>
      </c>
      <c r="AC1299" s="38">
        <v>1.3362099999999999</v>
      </c>
      <c r="AD1299" s="38">
        <v>114</v>
      </c>
      <c r="AE1299" s="38">
        <v>12</v>
      </c>
      <c r="AF1299" s="38">
        <f>(AD1299+AE1299*0.5)/(3.5*I1299*1000)*100</f>
        <v>8.4708373775699286E-2</v>
      </c>
      <c r="AG1299" s="38">
        <f t="shared" si="167"/>
        <v>0.1</v>
      </c>
      <c r="AH1299" s="38">
        <v>2</v>
      </c>
      <c r="AI1299" s="38">
        <f>AH1299/(3.5*I1299*1000)*100</f>
        <v>1.411806229594988E-3</v>
      </c>
      <c r="AJ1299" s="38">
        <v>0</v>
      </c>
      <c r="AK1299" s="38">
        <v>0</v>
      </c>
      <c r="AL1299" s="38">
        <v>0</v>
      </c>
      <c r="AM1299" s="38">
        <f>AL1299/(3.5*I1299*1000)*100</f>
        <v>0</v>
      </c>
      <c r="AN1299" s="25"/>
      <c r="AO1299" s="25"/>
      <c r="AP1299" s="22"/>
      <c r="AQ1299" s="41">
        <f>SUM(N1299:Q1299)</f>
        <v>40.479999999999997</v>
      </c>
      <c r="AR1299" s="41">
        <f>SUM(T1299:W1299)</f>
        <v>40.480000000000004</v>
      </c>
      <c r="AS1299" s="12">
        <f>SUM(Z1299:AB1299)</f>
        <v>40.479999999999997</v>
      </c>
      <c r="AU1299" s="1">
        <f>I1299/AQ1299</f>
        <v>0.99987648221343883</v>
      </c>
      <c r="AV1299" s="1">
        <f>I1299/AR1299</f>
        <v>0.99987648221343872</v>
      </c>
      <c r="AW1299" s="1">
        <f>I1299/AS1299</f>
        <v>0.99987648221343883</v>
      </c>
      <c r="AX1299" s="22"/>
      <c r="AY1299" s="22"/>
      <c r="AZ1299" s="22"/>
      <c r="BA1299" s="22"/>
      <c r="BB1299" s="22"/>
      <c r="BC1299" s="22"/>
      <c r="BD1299" s="22"/>
      <c r="BE1299" s="22"/>
      <c r="BF1299" s="22"/>
      <c r="BG1299" s="22"/>
      <c r="BH1299" s="22"/>
      <c r="BI1299" s="22"/>
      <c r="BJ1299" s="22"/>
      <c r="BK1299" s="22"/>
      <c r="BL1299" s="22"/>
      <c r="BM1299" s="22"/>
      <c r="BN1299" s="22"/>
      <c r="BO1299" s="22"/>
      <c r="BP1299" s="22"/>
      <c r="BQ1299" s="22"/>
      <c r="BR1299" s="22"/>
      <c r="BS1299" s="22"/>
      <c r="BT1299" s="22"/>
      <c r="BU1299" s="22"/>
      <c r="BV1299" s="22"/>
      <c r="BW1299" s="22"/>
      <c r="BX1299" s="22"/>
      <c r="BY1299" s="22"/>
      <c r="BZ1299" s="22"/>
      <c r="CA1299" s="22"/>
      <c r="CB1299" s="22"/>
      <c r="CC1299" s="22"/>
      <c r="CD1299" s="22"/>
      <c r="CE1299" s="22"/>
      <c r="CF1299" s="22"/>
      <c r="CG1299" s="22"/>
      <c r="CH1299" s="22"/>
      <c r="CI1299" s="22"/>
      <c r="CJ1299" s="22"/>
    </row>
    <row r="1300" spans="1:88">
      <c r="A1300" s="1">
        <v>1924</v>
      </c>
      <c r="B1300" s="34" t="s">
        <v>2559</v>
      </c>
      <c r="C1300" s="34">
        <v>338</v>
      </c>
      <c r="D1300" s="75">
        <v>3179</v>
      </c>
      <c r="E1300" s="8">
        <v>100</v>
      </c>
      <c r="F1300" s="9" t="s">
        <v>2570</v>
      </c>
      <c r="G1300" s="20">
        <v>109</v>
      </c>
      <c r="H1300" s="20">
        <v>8091</v>
      </c>
      <c r="I1300" s="21">
        <v>7.9820000000000002</v>
      </c>
      <c r="J1300" s="8">
        <v>2</v>
      </c>
      <c r="K1300" s="8" t="s">
        <v>238</v>
      </c>
      <c r="L1300" s="18">
        <v>42096</v>
      </c>
      <c r="M1300" s="207" t="s">
        <v>191</v>
      </c>
      <c r="N1300" s="38">
        <v>4.34</v>
      </c>
      <c r="O1300" s="38">
        <v>2.09</v>
      </c>
      <c r="P1300" s="38">
        <v>0.72</v>
      </c>
      <c r="Q1300" s="38">
        <v>0.83</v>
      </c>
      <c r="R1300" s="38">
        <v>2.94265</v>
      </c>
      <c r="S1300" s="38">
        <f t="shared" si="165"/>
        <v>3</v>
      </c>
      <c r="T1300" s="38">
        <v>7.93</v>
      </c>
      <c r="U1300" s="38">
        <v>0.05</v>
      </c>
      <c r="V1300" s="38">
        <v>0</v>
      </c>
      <c r="W1300" s="38">
        <v>0</v>
      </c>
      <c r="X1300" s="38">
        <v>1.8362799999999999</v>
      </c>
      <c r="Y1300" s="38">
        <f t="shared" si="166"/>
        <v>2</v>
      </c>
      <c r="Z1300" s="38">
        <v>0</v>
      </c>
      <c r="AA1300" s="38">
        <v>0</v>
      </c>
      <c r="AB1300" s="38">
        <v>7.98</v>
      </c>
      <c r="AC1300" s="38">
        <v>1.22224</v>
      </c>
      <c r="AD1300" s="38">
        <v>4</v>
      </c>
      <c r="AE1300" s="38">
        <v>39.31</v>
      </c>
      <c r="AF1300" s="38">
        <v>8.467265633389412E-2</v>
      </c>
      <c r="AG1300" s="38">
        <f t="shared" si="167"/>
        <v>0.1</v>
      </c>
      <c r="AH1300" s="38">
        <v>1.89</v>
      </c>
      <c r="AI1300" s="38">
        <v>6.7652217489351041E-3</v>
      </c>
      <c r="AJ1300" s="38">
        <v>27</v>
      </c>
      <c r="AK1300" s="38">
        <v>9.6646024984787207E-2</v>
      </c>
      <c r="AL1300" s="38">
        <v>0</v>
      </c>
      <c r="AM1300" s="38">
        <f>AL1300/(3.5*I1300*1000)*100</f>
        <v>0</v>
      </c>
      <c r="AN1300" s="41"/>
      <c r="AO1300" s="73"/>
      <c r="AP1300" s="41"/>
      <c r="AQ1300" s="41">
        <f>SUM(N1300:Q1300)</f>
        <v>7.9799999999999995</v>
      </c>
      <c r="AR1300" s="41">
        <f>SUM(T1300:W1300)</f>
        <v>7.9799999999999995</v>
      </c>
      <c r="AS1300" s="12">
        <f>SUM(Z1300:AB1300)</f>
        <v>7.98</v>
      </c>
      <c r="AU1300" s="1">
        <f>I1300/AQ1300</f>
        <v>1.0002506265664162</v>
      </c>
      <c r="AV1300" s="1">
        <f>I1300/AR1300</f>
        <v>1.0002506265664162</v>
      </c>
      <c r="AW1300" s="1">
        <f>I1300/AS1300</f>
        <v>1.0002506265664159</v>
      </c>
      <c r="AX1300" s="1">
        <f>AT1300/I1325</f>
        <v>0</v>
      </c>
    </row>
    <row r="1301" spans="1:88">
      <c r="A1301" s="1">
        <v>893</v>
      </c>
      <c r="B1301" s="34" t="s">
        <v>1285</v>
      </c>
      <c r="C1301" s="34">
        <v>634</v>
      </c>
      <c r="D1301" s="148">
        <v>2050</v>
      </c>
      <c r="E1301" s="34">
        <v>201</v>
      </c>
      <c r="F1301" s="34" t="s">
        <v>1287</v>
      </c>
      <c r="G1301" s="58">
        <v>45948</v>
      </c>
      <c r="H1301" s="58">
        <v>77923</v>
      </c>
      <c r="I1301" s="35">
        <v>31.975000000000001</v>
      </c>
      <c r="J1301" s="160">
        <v>2</v>
      </c>
      <c r="K1301" s="34" t="s">
        <v>238</v>
      </c>
      <c r="L1301" s="10">
        <v>42145</v>
      </c>
      <c r="M1301" s="9" t="s">
        <v>191</v>
      </c>
      <c r="N1301" s="38">
        <v>15.925000000000001</v>
      </c>
      <c r="O1301" s="38">
        <v>9.75</v>
      </c>
      <c r="P1301" s="38">
        <v>4.5750000000000002</v>
      </c>
      <c r="Q1301" s="38">
        <v>1.85</v>
      </c>
      <c r="R1301" s="38">
        <v>3.1419999999999999</v>
      </c>
      <c r="S1301" s="38">
        <f t="shared" si="165"/>
        <v>3</v>
      </c>
      <c r="T1301" s="38">
        <v>28.65</v>
      </c>
      <c r="U1301" s="38">
        <v>2.65</v>
      </c>
      <c r="V1301" s="38">
        <v>0.52500000000000002</v>
      </c>
      <c r="W1301" s="38">
        <v>0.27500000000000002</v>
      </c>
      <c r="X1301" s="38">
        <v>7.3710000000000004</v>
      </c>
      <c r="Y1301" s="38">
        <f t="shared" si="166"/>
        <v>7.5</v>
      </c>
      <c r="Z1301" s="38">
        <v>0</v>
      </c>
      <c r="AA1301" s="38">
        <v>0</v>
      </c>
      <c r="AB1301" s="38">
        <f>N1301+O1301+P1301+Q1301</f>
        <v>32.1</v>
      </c>
      <c r="AC1301" s="38">
        <v>1.3660000000000001</v>
      </c>
      <c r="AD1301" s="38">
        <v>70.569999999999993</v>
      </c>
      <c r="AE1301" s="38">
        <v>48.34</v>
      </c>
      <c r="AF1301" s="38">
        <v>8.4659999999999999E-2</v>
      </c>
      <c r="AG1301" s="38">
        <f t="shared" si="167"/>
        <v>0.1</v>
      </c>
      <c r="AH1301" s="38">
        <v>0.41</v>
      </c>
      <c r="AI1301" s="38">
        <v>3.6999999999999999E-4</v>
      </c>
      <c r="AJ1301" s="38">
        <v>553.17999999999995</v>
      </c>
      <c r="AK1301" s="38">
        <v>0.49429699999999999</v>
      </c>
      <c r="AL1301" s="38">
        <v>0</v>
      </c>
      <c r="AM1301" s="38">
        <v>0</v>
      </c>
      <c r="AN1301" s="25"/>
      <c r="AO1301" s="25">
        <f>AE1301*0.5</f>
        <v>24.17</v>
      </c>
      <c r="AP1301" s="25">
        <f>(AD1301+AH1301+AJ1301+AL1301+AO1301)*I1301</f>
        <v>20730.351749999998</v>
      </c>
      <c r="AQ1301" s="25">
        <f>SUM(N1301:Q1301)</f>
        <v>32.1</v>
      </c>
      <c r="AR1301" s="25">
        <f>SUM(T1301:W1301)</f>
        <v>32.099999999999994</v>
      </c>
      <c r="AS1301" s="22"/>
      <c r="AT1301" s="41"/>
      <c r="AU1301" s="41"/>
      <c r="AV1301" s="41"/>
      <c r="AW1301" s="41"/>
      <c r="AX1301" s="22"/>
      <c r="AY1301" s="22"/>
      <c r="AZ1301" s="22"/>
      <c r="BA1301" s="22"/>
      <c r="BB1301" s="22"/>
      <c r="BC1301" s="22"/>
      <c r="BD1301" s="22"/>
      <c r="BE1301" s="22"/>
      <c r="BF1301" s="22"/>
      <c r="BG1301" s="22"/>
      <c r="BH1301" s="22"/>
      <c r="BI1301" s="22"/>
      <c r="BJ1301" s="22"/>
      <c r="BK1301" s="22"/>
      <c r="BL1301" s="22"/>
      <c r="BM1301" s="22"/>
      <c r="BN1301" s="22"/>
      <c r="BO1301" s="22"/>
      <c r="BP1301" s="22"/>
      <c r="BQ1301" s="22"/>
      <c r="BR1301" s="22"/>
      <c r="BS1301" s="22"/>
      <c r="BT1301" s="22"/>
      <c r="BU1301" s="22"/>
      <c r="BV1301" s="22"/>
      <c r="BW1301" s="22"/>
      <c r="BX1301" s="22"/>
      <c r="BY1301" s="22"/>
      <c r="BZ1301" s="22"/>
      <c r="CA1301" s="22"/>
      <c r="CB1301" s="22"/>
      <c r="CC1301" s="22"/>
      <c r="CD1301" s="22"/>
      <c r="CE1301" s="22"/>
      <c r="CF1301" s="22"/>
      <c r="CG1301" s="22"/>
      <c r="CH1301" s="22"/>
      <c r="CI1301" s="22"/>
      <c r="CJ1301" s="22"/>
    </row>
    <row r="1302" spans="1:88">
      <c r="A1302" s="1">
        <v>2194</v>
      </c>
      <c r="B1302" s="34" t="s">
        <v>2827</v>
      </c>
      <c r="C1302" s="34">
        <v>314</v>
      </c>
      <c r="D1302" s="75">
        <v>4081</v>
      </c>
      <c r="E1302" s="8">
        <v>100</v>
      </c>
      <c r="F1302" s="9" t="s">
        <v>2838</v>
      </c>
      <c r="G1302" s="20">
        <v>0</v>
      </c>
      <c r="H1302" s="20">
        <v>16150</v>
      </c>
      <c r="I1302" s="21">
        <v>16.149999999999999</v>
      </c>
      <c r="J1302" s="8">
        <v>2</v>
      </c>
      <c r="K1302" s="8" t="s">
        <v>238</v>
      </c>
      <c r="L1302" s="18">
        <v>42144</v>
      </c>
      <c r="M1302" s="9" t="s">
        <v>191</v>
      </c>
      <c r="N1302" s="38">
        <v>9.1</v>
      </c>
      <c r="O1302" s="38">
        <v>3.875</v>
      </c>
      <c r="P1302" s="38">
        <v>2.2250000000000001</v>
      </c>
      <c r="Q1302" s="38">
        <v>0.82499999999999996</v>
      </c>
      <c r="R1302" s="38">
        <v>2.6057899999999998</v>
      </c>
      <c r="S1302" s="38">
        <f t="shared" si="165"/>
        <v>2.5</v>
      </c>
      <c r="T1302" s="38">
        <v>15.625</v>
      </c>
      <c r="U1302" s="38">
        <v>0.3</v>
      </c>
      <c r="V1302" s="38">
        <v>0.1</v>
      </c>
      <c r="W1302" s="38">
        <v>0</v>
      </c>
      <c r="X1302" s="11">
        <v>2.6990099999999999</v>
      </c>
      <c r="Y1302" s="38">
        <f t="shared" si="166"/>
        <v>2.5</v>
      </c>
      <c r="Z1302" s="38">
        <v>0</v>
      </c>
      <c r="AA1302" s="38">
        <v>0</v>
      </c>
      <c r="AB1302" s="38">
        <v>16.024999999999999</v>
      </c>
      <c r="AC1302" s="11">
        <v>1.08789</v>
      </c>
      <c r="AD1302" s="38">
        <v>34.39</v>
      </c>
      <c r="AE1302" s="38">
        <v>26.44</v>
      </c>
      <c r="AF1302" s="38">
        <f>(AD1302+AE1302*0.5)/(3.5*I1302*1000)*100</f>
        <v>8.4228217602830613E-2</v>
      </c>
      <c r="AG1302" s="38">
        <f t="shared" si="167"/>
        <v>0.1</v>
      </c>
      <c r="AH1302" s="38">
        <v>348.6</v>
      </c>
      <c r="AI1302" s="38">
        <f>AH1302/(3.5*I1302*1000)*100</f>
        <v>0.61671826625387016</v>
      </c>
      <c r="AJ1302" s="38">
        <v>62.22</v>
      </c>
      <c r="AK1302" s="38">
        <v>0.11007518796992483</v>
      </c>
      <c r="AL1302" s="38">
        <v>0</v>
      </c>
      <c r="AM1302" s="38">
        <f>AL1302/(3.5*I1302*1000)*100</f>
        <v>0</v>
      </c>
      <c r="AN1302" s="72"/>
      <c r="AO1302" s="41"/>
      <c r="AP1302" s="41"/>
      <c r="AQ1302" s="73"/>
      <c r="AR1302" s="73"/>
      <c r="AS1302" s="73"/>
      <c r="AT1302" s="73"/>
    </row>
    <row r="1303" spans="1:88">
      <c r="A1303" s="1">
        <v>1461</v>
      </c>
      <c r="B1303" s="34" t="s">
        <v>1987</v>
      </c>
      <c r="C1303" s="34">
        <v>448</v>
      </c>
      <c r="D1303" s="75">
        <v>3372</v>
      </c>
      <c r="E1303" s="69">
        <v>102</v>
      </c>
      <c r="F1303" s="9" t="s">
        <v>2009</v>
      </c>
      <c r="G1303" s="20">
        <v>17951</v>
      </c>
      <c r="H1303" s="20">
        <v>59151</v>
      </c>
      <c r="I1303" s="21">
        <v>41.2</v>
      </c>
      <c r="J1303" s="8">
        <v>2</v>
      </c>
      <c r="K1303" s="34" t="s">
        <v>238</v>
      </c>
      <c r="L1303" s="10">
        <v>42181</v>
      </c>
      <c r="M1303" s="9" t="s">
        <v>191</v>
      </c>
      <c r="N1303" s="38">
        <v>34.75</v>
      </c>
      <c r="O1303" s="38">
        <v>5.25</v>
      </c>
      <c r="P1303" s="38">
        <v>1.2</v>
      </c>
      <c r="Q1303" s="38">
        <v>0</v>
      </c>
      <c r="R1303" s="38">
        <v>2.7120000000000002</v>
      </c>
      <c r="S1303" s="38">
        <f t="shared" si="165"/>
        <v>2.5</v>
      </c>
      <c r="T1303" s="38">
        <v>34.700000000000003</v>
      </c>
      <c r="U1303" s="38">
        <v>6.4</v>
      </c>
      <c r="V1303" s="38">
        <v>0.1</v>
      </c>
      <c r="W1303" s="38">
        <v>0</v>
      </c>
      <c r="X1303" s="38">
        <v>4.1210000000000004</v>
      </c>
      <c r="Y1303" s="38">
        <f t="shared" si="166"/>
        <v>4</v>
      </c>
      <c r="Z1303" s="38">
        <v>0</v>
      </c>
      <c r="AA1303" s="38">
        <v>0</v>
      </c>
      <c r="AB1303" s="38">
        <v>41.2</v>
      </c>
      <c r="AC1303" s="38">
        <v>1.113</v>
      </c>
      <c r="AD1303" s="38">
        <v>121.23</v>
      </c>
      <c r="AE1303" s="38">
        <v>0</v>
      </c>
      <c r="AF1303" s="38">
        <f>(AD1303+AE1303*0.5)/(3.5*I1303*1000)*100</f>
        <v>8.4070735090152546E-2</v>
      </c>
      <c r="AG1303" s="38">
        <f t="shared" si="167"/>
        <v>0.1</v>
      </c>
      <c r="AH1303" s="38">
        <v>39.61</v>
      </c>
      <c r="AI1303" s="38">
        <f>AH1303/(3.5*I1303*1000)*100</f>
        <v>2.7468793342579744E-2</v>
      </c>
      <c r="AJ1303" s="38">
        <v>0</v>
      </c>
      <c r="AK1303" s="38">
        <f>AJ1303/(3.5*I1303*1000)*100</f>
        <v>0</v>
      </c>
      <c r="AL1303" s="38">
        <v>0</v>
      </c>
      <c r="AM1303" s="38">
        <f>AL1303/(3.5*I1303*1000)*100</f>
        <v>0</v>
      </c>
      <c r="AN1303" s="72"/>
      <c r="AO1303" s="41"/>
      <c r="AP1303" s="41"/>
      <c r="AQ1303" s="73"/>
      <c r="AR1303" s="73"/>
      <c r="AS1303" s="73"/>
      <c r="AT1303" s="73"/>
      <c r="AU1303" s="73"/>
      <c r="AV1303" s="73"/>
      <c r="AW1303" s="22"/>
      <c r="AX1303" s="22"/>
      <c r="AY1303" s="22"/>
      <c r="AZ1303" s="22"/>
      <c r="BA1303" s="22"/>
      <c r="BB1303" s="22"/>
      <c r="BC1303" s="22"/>
      <c r="BD1303" s="22"/>
      <c r="BE1303" s="22"/>
      <c r="BF1303" s="22"/>
      <c r="BG1303" s="22"/>
      <c r="BH1303" s="22"/>
      <c r="BI1303" s="22"/>
      <c r="BJ1303" s="22"/>
      <c r="BK1303" s="22"/>
      <c r="BL1303" s="22"/>
      <c r="BM1303" s="22"/>
      <c r="BN1303" s="22"/>
      <c r="BO1303" s="22"/>
      <c r="BP1303" s="22"/>
      <c r="BQ1303" s="22"/>
      <c r="BR1303" s="22"/>
      <c r="BS1303" s="22"/>
      <c r="BT1303" s="22"/>
      <c r="BU1303" s="22"/>
      <c r="BV1303" s="22"/>
      <c r="BW1303" s="22"/>
      <c r="BX1303" s="22"/>
      <c r="BY1303" s="22"/>
      <c r="BZ1303" s="22"/>
      <c r="CA1303" s="22"/>
      <c r="CB1303" s="22"/>
      <c r="CC1303" s="22"/>
      <c r="CD1303" s="22"/>
      <c r="CE1303" s="22"/>
      <c r="CF1303" s="22"/>
      <c r="CG1303" s="22"/>
      <c r="CH1303" s="22"/>
      <c r="CI1303" s="22"/>
      <c r="CJ1303" s="22"/>
    </row>
    <row r="1304" spans="1:88">
      <c r="A1304" s="1">
        <v>1103</v>
      </c>
      <c r="B1304" s="9" t="s">
        <v>1513</v>
      </c>
      <c r="C1304" s="34">
        <v>431</v>
      </c>
      <c r="D1304" s="75">
        <v>2089</v>
      </c>
      <c r="E1304" s="69">
        <v>200</v>
      </c>
      <c r="F1304" s="34" t="s">
        <v>1527</v>
      </c>
      <c r="G1304" s="20" t="s">
        <v>194</v>
      </c>
      <c r="H1304" s="20" t="s">
        <v>1528</v>
      </c>
      <c r="I1304" s="21">
        <v>17.760000000000002</v>
      </c>
      <c r="J1304" s="8">
        <v>2</v>
      </c>
      <c r="K1304" s="5" t="s">
        <v>238</v>
      </c>
      <c r="L1304" s="18">
        <v>42282</v>
      </c>
      <c r="M1304" s="9" t="s">
        <v>191</v>
      </c>
      <c r="N1304" s="38">
        <v>12.475</v>
      </c>
      <c r="O1304" s="38">
        <v>2.8</v>
      </c>
      <c r="P1304" s="38">
        <v>1.675</v>
      </c>
      <c r="Q1304" s="38">
        <v>1.1000000000000001</v>
      </c>
      <c r="R1304" s="38">
        <v>2.53607</v>
      </c>
      <c r="S1304" s="38">
        <f t="shared" si="165"/>
        <v>2.5</v>
      </c>
      <c r="T1304" s="38">
        <v>16.850000000000001</v>
      </c>
      <c r="U1304" s="38">
        <v>0.85</v>
      </c>
      <c r="V1304" s="38">
        <v>0.17499999999999999</v>
      </c>
      <c r="W1304" s="38">
        <v>0.17499999999999999</v>
      </c>
      <c r="X1304" s="38">
        <v>3.93397</v>
      </c>
      <c r="Y1304" s="38">
        <f t="shared" si="166"/>
        <v>4</v>
      </c>
      <c r="Z1304" s="38">
        <v>0</v>
      </c>
      <c r="AA1304" s="38">
        <v>0</v>
      </c>
      <c r="AB1304" s="38">
        <v>18.05</v>
      </c>
      <c r="AC1304" s="38">
        <v>1.2044699999999999</v>
      </c>
      <c r="AD1304" s="38">
        <v>49.9</v>
      </c>
      <c r="AE1304" s="38">
        <v>4.1500000000000004</v>
      </c>
      <c r="AF1304" s="38">
        <f>(AD1304+AE1304*0.5)/(3.5*I1304*1000)*100</f>
        <v>8.3614864864864857E-2</v>
      </c>
      <c r="AG1304" s="38">
        <f t="shared" si="167"/>
        <v>0.1</v>
      </c>
      <c r="AH1304" s="38">
        <v>0</v>
      </c>
      <c r="AI1304" s="38">
        <f>AH1304/(3.5*I1304*1000)*100</f>
        <v>0</v>
      </c>
      <c r="AJ1304" s="38">
        <v>0</v>
      </c>
      <c r="AK1304" s="38">
        <f>AJ1304/(3.5*I1304*1000)*100</f>
        <v>0</v>
      </c>
      <c r="AL1304" s="38">
        <v>0</v>
      </c>
      <c r="AM1304" s="38">
        <f>AL1304/(3.5*I1304*1000)*100</f>
        <v>0</v>
      </c>
      <c r="AN1304" s="41"/>
      <c r="AO1304" s="72"/>
      <c r="AP1304" s="73"/>
      <c r="AQ1304" s="73"/>
      <c r="AR1304" s="22"/>
      <c r="AS1304" s="22"/>
      <c r="AT1304" s="22"/>
      <c r="AU1304" s="22"/>
      <c r="AV1304" s="22"/>
      <c r="AW1304" s="22"/>
      <c r="AX1304" s="22"/>
      <c r="AY1304" s="22"/>
      <c r="AZ1304" s="22"/>
      <c r="BA1304" s="22"/>
      <c r="BB1304" s="22"/>
      <c r="BC1304" s="22"/>
      <c r="BD1304" s="22"/>
      <c r="BE1304" s="22"/>
      <c r="BF1304" s="22"/>
      <c r="BG1304" s="22"/>
      <c r="BH1304" s="22"/>
      <c r="BI1304" s="22"/>
      <c r="BJ1304" s="22"/>
      <c r="BK1304" s="22"/>
      <c r="BL1304" s="22"/>
      <c r="BM1304" s="22"/>
      <c r="BN1304" s="22"/>
      <c r="BO1304" s="22"/>
      <c r="BP1304" s="22"/>
      <c r="BQ1304" s="22"/>
      <c r="BR1304" s="22"/>
      <c r="BS1304" s="22"/>
      <c r="BT1304" s="22"/>
      <c r="BU1304" s="22"/>
      <c r="BV1304" s="22"/>
      <c r="BW1304" s="22"/>
      <c r="BX1304" s="22"/>
      <c r="BY1304" s="22"/>
      <c r="BZ1304" s="22"/>
      <c r="CA1304" s="22"/>
      <c r="CB1304" s="22"/>
      <c r="CC1304" s="22"/>
      <c r="CD1304" s="22"/>
      <c r="CE1304" s="22"/>
      <c r="CF1304" s="22"/>
      <c r="CG1304" s="22"/>
      <c r="CH1304" s="22"/>
      <c r="CI1304" s="22"/>
      <c r="CJ1304" s="22"/>
    </row>
    <row r="1305" spans="1:88">
      <c r="A1305" s="1">
        <v>1913</v>
      </c>
      <c r="B1305" s="34" t="s">
        <v>2550</v>
      </c>
      <c r="C1305" s="34">
        <v>337</v>
      </c>
      <c r="D1305" s="75">
        <v>3643</v>
      </c>
      <c r="E1305" s="8">
        <v>100</v>
      </c>
      <c r="F1305" s="9" t="s">
        <v>2558</v>
      </c>
      <c r="G1305" s="20">
        <v>4066</v>
      </c>
      <c r="H1305" s="20">
        <v>0</v>
      </c>
      <c r="I1305" s="21">
        <v>4.0659999999999998</v>
      </c>
      <c r="J1305" s="8">
        <v>8</v>
      </c>
      <c r="K1305" s="8" t="s">
        <v>672</v>
      </c>
      <c r="L1305" s="18">
        <v>42091</v>
      </c>
      <c r="M1305" s="207" t="s">
        <v>191</v>
      </c>
      <c r="N1305" s="38">
        <v>1.5</v>
      </c>
      <c r="O1305" s="38">
        <v>1.58</v>
      </c>
      <c r="P1305" s="38">
        <v>0.51</v>
      </c>
      <c r="Q1305" s="38">
        <v>0.48</v>
      </c>
      <c r="R1305" s="38">
        <v>3.1934900000000002</v>
      </c>
      <c r="S1305" s="38">
        <f t="shared" si="165"/>
        <v>3</v>
      </c>
      <c r="T1305" s="38">
        <v>3.72</v>
      </c>
      <c r="U1305" s="38">
        <v>0.32</v>
      </c>
      <c r="V1305" s="38">
        <v>0.03</v>
      </c>
      <c r="W1305" s="38">
        <v>0</v>
      </c>
      <c r="X1305" s="38">
        <v>4.7709700000000002</v>
      </c>
      <c r="Y1305" s="38">
        <f t="shared" si="166"/>
        <v>5</v>
      </c>
      <c r="Z1305" s="38">
        <v>0</v>
      </c>
      <c r="AA1305" s="38">
        <v>0</v>
      </c>
      <c r="AB1305" s="38">
        <v>4.07</v>
      </c>
      <c r="AC1305" s="38">
        <v>1.35924</v>
      </c>
      <c r="AD1305" s="38">
        <v>9.69</v>
      </c>
      <c r="AE1305" s="38">
        <v>4.32</v>
      </c>
      <c r="AF1305" s="38">
        <v>8.3268919963460045E-2</v>
      </c>
      <c r="AG1305" s="38">
        <f t="shared" si="167"/>
        <v>0.1</v>
      </c>
      <c r="AH1305" s="38">
        <v>29.9</v>
      </c>
      <c r="AI1305" s="38">
        <v>0.21010470100484854</v>
      </c>
      <c r="AJ1305" s="38">
        <v>133.46</v>
      </c>
      <c r="AK1305" s="38">
        <v>0.93781181926779567</v>
      </c>
      <c r="AL1305" s="38">
        <v>0</v>
      </c>
      <c r="AM1305" s="38">
        <f>AL1305/(3.5*I1305*1000)*100</f>
        <v>0</v>
      </c>
      <c r="AQ1305" s="41">
        <f>SUM(N1305:Q1305)</f>
        <v>4.07</v>
      </c>
      <c r="AR1305" s="41">
        <f>SUM(T1305:W1305)</f>
        <v>4.07</v>
      </c>
      <c r="AS1305" s="12">
        <f>SUM(Z1305:AB1305)</f>
        <v>4.07</v>
      </c>
      <c r="AU1305" s="1">
        <f>I1305/AQ1305</f>
        <v>0.99901719901719888</v>
      </c>
      <c r="AV1305" s="1">
        <f>I1305/AR1305</f>
        <v>0.99901719901719888</v>
      </c>
      <c r="AW1305" s="1">
        <f>I1305/AS1305</f>
        <v>0.99901719901719888</v>
      </c>
    </row>
    <row r="1306" spans="1:88">
      <c r="A1306" s="1">
        <v>539</v>
      </c>
      <c r="B1306" s="34" t="s">
        <v>915</v>
      </c>
      <c r="C1306" s="34">
        <v>558</v>
      </c>
      <c r="D1306" s="34">
        <v>1163</v>
      </c>
      <c r="E1306" s="34">
        <v>100</v>
      </c>
      <c r="F1306" s="34" t="s">
        <v>930</v>
      </c>
      <c r="G1306" s="34" t="s">
        <v>92</v>
      </c>
      <c r="H1306" s="34" t="s">
        <v>931</v>
      </c>
      <c r="I1306" s="34">
        <v>40.837000000000003</v>
      </c>
      <c r="J1306" s="88" t="s">
        <v>238</v>
      </c>
      <c r="K1306" s="34">
        <v>2</v>
      </c>
      <c r="L1306" s="10">
        <v>42271</v>
      </c>
      <c r="M1306" s="9" t="s">
        <v>191</v>
      </c>
      <c r="N1306" s="38">
        <v>14.63</v>
      </c>
      <c r="O1306" s="38">
        <v>11.33</v>
      </c>
      <c r="P1306" s="38">
        <v>10.45</v>
      </c>
      <c r="Q1306" s="38">
        <v>4.33</v>
      </c>
      <c r="R1306" s="38">
        <v>3.2190400000000001</v>
      </c>
      <c r="S1306" s="38">
        <f t="shared" si="165"/>
        <v>3</v>
      </c>
      <c r="T1306" s="38">
        <v>38.450000000000003</v>
      </c>
      <c r="U1306" s="38">
        <v>1.3</v>
      </c>
      <c r="V1306" s="38">
        <v>0.45</v>
      </c>
      <c r="W1306" s="38">
        <v>0.52500000000000002</v>
      </c>
      <c r="X1306" s="38">
        <v>4.2106199999999996</v>
      </c>
      <c r="Y1306" s="38">
        <f t="shared" si="166"/>
        <v>4</v>
      </c>
      <c r="Z1306" s="38">
        <v>0</v>
      </c>
      <c r="AA1306" s="38">
        <v>0</v>
      </c>
      <c r="AB1306" s="38">
        <v>40.739999999999995</v>
      </c>
      <c r="AC1306" s="38">
        <v>1.3136699999999999</v>
      </c>
      <c r="AD1306" s="38">
        <v>115.35</v>
      </c>
      <c r="AE1306" s="38">
        <v>7.16</v>
      </c>
      <c r="AF1306" s="38">
        <v>8.3209000000000005E-2</v>
      </c>
      <c r="AG1306" s="38">
        <f t="shared" si="167"/>
        <v>0.1</v>
      </c>
      <c r="AH1306" s="38">
        <v>83.74</v>
      </c>
      <c r="AI1306" s="38">
        <v>5.8588000000000001E-2</v>
      </c>
      <c r="AJ1306" s="38">
        <v>1.72</v>
      </c>
      <c r="AK1306" s="38">
        <v>1.2030000000000001E-3</v>
      </c>
      <c r="AL1306" s="38">
        <v>0</v>
      </c>
      <c r="AM1306" s="38">
        <v>0</v>
      </c>
      <c r="AN1306" s="41"/>
      <c r="AO1306" s="41"/>
      <c r="AP1306" s="73"/>
      <c r="AQ1306" s="73"/>
      <c r="AR1306" s="22"/>
      <c r="AS1306" s="22"/>
      <c r="AT1306" s="22"/>
      <c r="AU1306" s="22"/>
      <c r="AV1306" s="22"/>
      <c r="AW1306" s="22"/>
      <c r="AX1306" s="22"/>
      <c r="AY1306" s="22"/>
      <c r="AZ1306" s="22"/>
      <c r="BA1306" s="22"/>
      <c r="BB1306" s="22"/>
      <c r="BC1306" s="22"/>
      <c r="BD1306" s="22"/>
      <c r="BE1306" s="22"/>
      <c r="BF1306" s="22"/>
      <c r="BG1306" s="22"/>
      <c r="BH1306" s="22"/>
      <c r="BI1306" s="22"/>
      <c r="BJ1306" s="22"/>
      <c r="BK1306" s="22"/>
      <c r="BL1306" s="22"/>
      <c r="BM1306" s="22"/>
      <c r="BN1306" s="22"/>
      <c r="BO1306" s="22"/>
      <c r="BP1306" s="22"/>
      <c r="BQ1306" s="22"/>
      <c r="BR1306" s="22"/>
      <c r="BS1306" s="22"/>
      <c r="BT1306" s="22"/>
      <c r="BU1306" s="22"/>
      <c r="BV1306" s="22"/>
      <c r="BW1306" s="22"/>
      <c r="BX1306" s="22"/>
      <c r="BY1306" s="22"/>
      <c r="BZ1306" s="22"/>
      <c r="CA1306" s="22"/>
      <c r="CB1306" s="22"/>
      <c r="CC1306" s="22"/>
      <c r="CD1306" s="22"/>
      <c r="CE1306" s="22"/>
      <c r="CF1306" s="22"/>
      <c r="CG1306" s="22"/>
      <c r="CH1306" s="22"/>
      <c r="CI1306" s="22"/>
      <c r="CJ1306" s="22"/>
    </row>
    <row r="1307" spans="1:88">
      <c r="A1307" s="1">
        <v>482</v>
      </c>
      <c r="B1307" s="88" t="s">
        <v>821</v>
      </c>
      <c r="C1307" s="88">
        <v>519</v>
      </c>
      <c r="D1307" s="88">
        <v>113</v>
      </c>
      <c r="E1307" s="88">
        <v>202</v>
      </c>
      <c r="F1307" s="88" t="s">
        <v>827</v>
      </c>
      <c r="G1307" s="88" t="s">
        <v>826</v>
      </c>
      <c r="H1307" s="88" t="s">
        <v>828</v>
      </c>
      <c r="I1307" s="115">
        <v>38.405999999999999</v>
      </c>
      <c r="J1307" s="88" t="s">
        <v>238</v>
      </c>
      <c r="K1307" s="34">
        <v>2</v>
      </c>
      <c r="L1307" s="116">
        <v>42276</v>
      </c>
      <c r="M1307" s="9" t="s">
        <v>191</v>
      </c>
      <c r="N1307" s="117">
        <v>24.35</v>
      </c>
      <c r="O1307" s="117">
        <v>9.91</v>
      </c>
      <c r="P1307" s="117">
        <v>3.35</v>
      </c>
      <c r="Q1307" s="117">
        <v>0.8</v>
      </c>
      <c r="R1307" s="117">
        <v>2.4606599999999998</v>
      </c>
      <c r="S1307" s="38">
        <f t="shared" si="165"/>
        <v>2.5</v>
      </c>
      <c r="T1307" s="117">
        <v>32.43</v>
      </c>
      <c r="U1307" s="117">
        <v>3.73</v>
      </c>
      <c r="V1307" s="117">
        <v>1.45</v>
      </c>
      <c r="W1307" s="117">
        <v>0.8</v>
      </c>
      <c r="X1307" s="117">
        <v>5.6666999999999996</v>
      </c>
      <c r="Y1307" s="38">
        <f t="shared" si="166"/>
        <v>5.5</v>
      </c>
      <c r="Z1307" s="117">
        <v>0</v>
      </c>
      <c r="AA1307" s="117">
        <v>0</v>
      </c>
      <c r="AB1307" s="117">
        <v>38.409999999999997</v>
      </c>
      <c r="AC1307" s="117">
        <v>1.11443</v>
      </c>
      <c r="AD1307" s="117">
        <v>99.254000000000005</v>
      </c>
      <c r="AE1307" s="117">
        <v>24.25</v>
      </c>
      <c r="AF1307" s="117">
        <v>8.2858000000000001E-2</v>
      </c>
      <c r="AG1307" s="38">
        <f t="shared" si="167"/>
        <v>0.1</v>
      </c>
      <c r="AH1307" s="117">
        <v>85.49</v>
      </c>
      <c r="AI1307" s="117">
        <v>6.3599000000000003E-2</v>
      </c>
      <c r="AJ1307" s="117">
        <v>0</v>
      </c>
      <c r="AK1307" s="117">
        <v>0</v>
      </c>
      <c r="AL1307" s="117">
        <v>0</v>
      </c>
      <c r="AM1307" s="117">
        <v>0</v>
      </c>
      <c r="AN1307" s="41"/>
      <c r="AO1307" s="41"/>
      <c r="AP1307" s="41"/>
      <c r="AQ1307" s="41">
        <f>SUM(N1307:Q1307)</f>
        <v>38.410000000000004</v>
      </c>
      <c r="AR1307" s="41">
        <f>SUM(T1307:W1307)</f>
        <v>38.409999999999997</v>
      </c>
      <c r="AS1307" s="41">
        <f>SUM(Z1307:AB1307)</f>
        <v>38.409999999999997</v>
      </c>
      <c r="AT1307" s="22"/>
      <c r="AU1307" s="22">
        <f>I1307/AQ1307</f>
        <v>0.99989586045300693</v>
      </c>
      <c r="AV1307" s="22">
        <f>I1307/AR1307</f>
        <v>0.99989586045300705</v>
      </c>
      <c r="AW1307" s="22">
        <f>I1307/AS1307</f>
        <v>0.99989586045300705</v>
      </c>
    </row>
    <row r="1308" spans="1:88">
      <c r="A1308" s="1">
        <v>128</v>
      </c>
      <c r="B1308" s="4" t="s">
        <v>38</v>
      </c>
      <c r="C1308" s="14">
        <v>528</v>
      </c>
      <c r="D1308" s="19">
        <v>1035</v>
      </c>
      <c r="E1308" s="16">
        <v>101</v>
      </c>
      <c r="F1308" s="14" t="s">
        <v>172</v>
      </c>
      <c r="G1308" s="20" t="s">
        <v>179</v>
      </c>
      <c r="H1308" s="20" t="s">
        <v>92</v>
      </c>
      <c r="I1308" s="21">
        <v>30</v>
      </c>
      <c r="J1308" s="8">
        <v>2</v>
      </c>
      <c r="K1308" s="33" t="s">
        <v>12</v>
      </c>
      <c r="L1308" s="18">
        <v>42224</v>
      </c>
      <c r="M1308" s="9" t="s">
        <v>191</v>
      </c>
      <c r="N1308" s="11">
        <v>19.625</v>
      </c>
      <c r="O1308" s="11">
        <v>6.875</v>
      </c>
      <c r="P1308" s="11">
        <v>2.7250000000000001</v>
      </c>
      <c r="Q1308" s="11">
        <v>0.92500000000000004</v>
      </c>
      <c r="R1308" s="11">
        <v>2.4266999999999999</v>
      </c>
      <c r="S1308" s="38">
        <f t="shared" si="165"/>
        <v>2.5</v>
      </c>
      <c r="T1308" s="11">
        <v>29.725000000000001</v>
      </c>
      <c r="U1308" s="11">
        <v>0.32500000000000001</v>
      </c>
      <c r="V1308" s="11">
        <v>0.05</v>
      </c>
      <c r="W1308" s="11">
        <v>0.05</v>
      </c>
      <c r="X1308" s="11">
        <v>2.88097</v>
      </c>
      <c r="Y1308" s="38">
        <f t="shared" si="166"/>
        <v>3</v>
      </c>
      <c r="Z1308" s="11">
        <v>0</v>
      </c>
      <c r="AA1308" s="11">
        <v>0</v>
      </c>
      <c r="AB1308" s="11">
        <v>30.150000000000002</v>
      </c>
      <c r="AC1308" s="11">
        <v>1.1019399999999999</v>
      </c>
      <c r="AD1308" s="11">
        <v>68.63</v>
      </c>
      <c r="AE1308" s="11">
        <v>36.58</v>
      </c>
      <c r="AF1308" s="11">
        <f>(AD1308+AE1308*0.5)/(3.5*I1308*1000)*100</f>
        <v>8.2780952380952372E-2</v>
      </c>
      <c r="AG1308" s="38">
        <f t="shared" si="167"/>
        <v>0.1</v>
      </c>
      <c r="AH1308" s="11">
        <v>3.2040999999999999</v>
      </c>
      <c r="AI1308" s="11">
        <f>AH1308/(3.5*I1308*1000)*100</f>
        <v>3.0515238095238095E-3</v>
      </c>
      <c r="AJ1308" s="11">
        <v>0</v>
      </c>
      <c r="AK1308" s="11">
        <f>AJ1308/(3.5*I1308*1000)*100</f>
        <v>0</v>
      </c>
      <c r="AL1308" s="11">
        <v>0</v>
      </c>
      <c r="AM1308" s="11">
        <f>AL1308/(3.5*I1308*1000)*100</f>
        <v>0</v>
      </c>
      <c r="AN1308" s="22"/>
      <c r="AO1308" s="22"/>
      <c r="AP1308" s="22"/>
      <c r="AQ1308" s="22"/>
      <c r="AR1308" s="22"/>
      <c r="AS1308" s="22"/>
      <c r="AT1308" s="22"/>
      <c r="AU1308" s="22"/>
      <c r="AV1308" s="22"/>
      <c r="AW1308" s="22"/>
      <c r="AX1308" s="22"/>
      <c r="AY1308" s="22"/>
      <c r="AZ1308" s="22"/>
      <c r="BA1308" s="22"/>
      <c r="BB1308" s="22"/>
      <c r="BC1308" s="22"/>
      <c r="BD1308" s="22"/>
      <c r="BE1308" s="22"/>
      <c r="BF1308" s="22"/>
      <c r="BG1308" s="22"/>
      <c r="BH1308" s="22"/>
      <c r="BI1308" s="22"/>
      <c r="BJ1308" s="22"/>
      <c r="BK1308" s="22"/>
      <c r="BL1308" s="22"/>
      <c r="BM1308" s="22"/>
      <c r="BN1308" s="22"/>
      <c r="BO1308" s="22"/>
      <c r="BP1308" s="22"/>
      <c r="BQ1308" s="22"/>
      <c r="BR1308" s="22"/>
      <c r="BS1308" s="22"/>
      <c r="BT1308" s="22"/>
      <c r="BU1308" s="22"/>
      <c r="BV1308" s="22"/>
      <c r="BW1308" s="22"/>
      <c r="BX1308" s="22"/>
      <c r="BY1308" s="22"/>
      <c r="BZ1308" s="22"/>
      <c r="CA1308" s="22"/>
      <c r="CB1308" s="22"/>
      <c r="CC1308" s="22"/>
      <c r="CD1308" s="22"/>
      <c r="CE1308" s="22"/>
      <c r="CF1308" s="22"/>
      <c r="CG1308" s="22"/>
      <c r="CH1308" s="22"/>
      <c r="CI1308" s="22"/>
      <c r="CJ1308" s="22"/>
    </row>
    <row r="1309" spans="1:88">
      <c r="A1309" s="1">
        <v>985</v>
      </c>
      <c r="B1309" s="34" t="s">
        <v>1380</v>
      </c>
      <c r="C1309" s="34">
        <v>614</v>
      </c>
      <c r="D1309" s="8">
        <v>224</v>
      </c>
      <c r="E1309" s="34">
        <v>203</v>
      </c>
      <c r="F1309" s="34" t="s">
        <v>1383</v>
      </c>
      <c r="G1309" s="58">
        <v>35759</v>
      </c>
      <c r="H1309" s="58">
        <v>104799</v>
      </c>
      <c r="I1309" s="35">
        <v>69.040000000000006</v>
      </c>
      <c r="J1309" s="9">
        <v>4</v>
      </c>
      <c r="K1309" s="34" t="s">
        <v>238</v>
      </c>
      <c r="L1309" s="10">
        <v>42125</v>
      </c>
      <c r="M1309" s="9" t="s">
        <v>191</v>
      </c>
      <c r="N1309" s="38">
        <v>56.091000000000001</v>
      </c>
      <c r="O1309" s="38">
        <v>8.2270000000000003</v>
      </c>
      <c r="P1309" s="38">
        <v>3.5139999999999998</v>
      </c>
      <c r="Q1309" s="38">
        <v>1.2090000000000001</v>
      </c>
      <c r="R1309" s="38">
        <v>1.98715</v>
      </c>
      <c r="S1309" s="38">
        <f t="shared" si="165"/>
        <v>2</v>
      </c>
      <c r="T1309" s="38">
        <v>67.215999999999994</v>
      </c>
      <c r="U1309" s="38">
        <v>1.639</v>
      </c>
      <c r="V1309" s="38">
        <v>0.10199999999999999</v>
      </c>
      <c r="W1309" s="38">
        <v>8.2000000000000003E-2</v>
      </c>
      <c r="X1309" s="38">
        <v>4.2085299999999997</v>
      </c>
      <c r="Y1309" s="38">
        <f t="shared" si="166"/>
        <v>4</v>
      </c>
      <c r="Z1309" s="38">
        <v>0</v>
      </c>
      <c r="AA1309" s="38">
        <v>0</v>
      </c>
      <c r="AB1309" s="38">
        <f>SUM(N1309:Q1309)</f>
        <v>69.040999999999997</v>
      </c>
      <c r="AC1309" s="38">
        <v>1.5717300000000001</v>
      </c>
      <c r="AD1309" s="38">
        <v>198.93</v>
      </c>
      <c r="AE1309" s="38">
        <v>0</v>
      </c>
      <c r="AF1309" s="11">
        <f>(AD1309+AE1309*0.5)/(3.5*I1309*1000)*100</f>
        <v>8.2324946200960106E-2</v>
      </c>
      <c r="AG1309" s="38">
        <f t="shared" si="167"/>
        <v>0.1</v>
      </c>
      <c r="AH1309" s="38">
        <v>31.46</v>
      </c>
      <c r="AI1309" s="38">
        <f>AH1309/(3.5*I1309*1000)*100</f>
        <v>1.3019367654361859E-2</v>
      </c>
      <c r="AJ1309" s="38">
        <v>0</v>
      </c>
      <c r="AK1309" s="38">
        <f>AJ1309/(3.5*I1309*1000)*100</f>
        <v>0</v>
      </c>
      <c r="AL1309" s="38">
        <v>0</v>
      </c>
      <c r="AM1309" s="38">
        <f>AL1309/(3.5*I1309*1000)*100</f>
        <v>0</v>
      </c>
      <c r="AN1309" s="25"/>
      <c r="AO1309" s="25">
        <f>(AD1309+AH1309+AJ1309+AL1309)*I1309</f>
        <v>15906.125600000003</v>
      </c>
      <c r="AP1309" s="25"/>
      <c r="AQ1309" s="25" t="e">
        <f ca="1">X21UM(N1309:Q1309)</f>
        <v>#NAME?</v>
      </c>
      <c r="AR1309" s="25">
        <f>SUM(T1309:W1309)</f>
        <v>69.038999999999987</v>
      </c>
      <c r="AS1309" s="268">
        <v>69.040000000000006</v>
      </c>
      <c r="AT1309" s="41"/>
      <c r="AU1309" s="41"/>
      <c r="AV1309" s="41"/>
      <c r="AW1309" s="22"/>
      <c r="AX1309" s="22"/>
      <c r="AY1309" s="22"/>
      <c r="AZ1309" s="22"/>
      <c r="BA1309" s="22"/>
      <c r="BB1309" s="22"/>
      <c r="BC1309" s="22"/>
      <c r="BD1309" s="22"/>
      <c r="BE1309" s="22"/>
      <c r="BF1309" s="22"/>
      <c r="BG1309" s="22"/>
      <c r="BH1309" s="22"/>
      <c r="BI1309" s="22"/>
      <c r="BJ1309" s="22"/>
      <c r="BK1309" s="22"/>
      <c r="BL1309" s="22"/>
      <c r="BM1309" s="22"/>
      <c r="BN1309" s="22"/>
      <c r="BO1309" s="22"/>
      <c r="BP1309" s="22"/>
      <c r="BQ1309" s="22"/>
      <c r="BR1309" s="22"/>
      <c r="BS1309" s="22"/>
      <c r="BT1309" s="22"/>
      <c r="BU1309" s="22"/>
      <c r="BV1309" s="22"/>
      <c r="BW1309" s="22"/>
      <c r="BX1309" s="22"/>
      <c r="BY1309" s="22"/>
      <c r="BZ1309" s="22"/>
      <c r="CA1309" s="22"/>
      <c r="CB1309" s="22"/>
      <c r="CC1309" s="22"/>
      <c r="CD1309" s="22"/>
      <c r="CE1309" s="22"/>
      <c r="CF1309" s="22"/>
      <c r="CG1309" s="22"/>
      <c r="CH1309" s="22"/>
      <c r="CI1309" s="22"/>
      <c r="CJ1309" s="22"/>
    </row>
    <row r="1310" spans="1:88">
      <c r="A1310" s="1">
        <v>1172</v>
      </c>
      <c r="B1310" s="34" t="s">
        <v>1639</v>
      </c>
      <c r="C1310" s="34">
        <v>433</v>
      </c>
      <c r="D1310" s="34">
        <v>311</v>
      </c>
      <c r="E1310" s="34">
        <v>201</v>
      </c>
      <c r="F1310" s="34" t="s">
        <v>1645</v>
      </c>
      <c r="G1310" s="58" t="s">
        <v>1524</v>
      </c>
      <c r="H1310" s="58" t="s">
        <v>1646</v>
      </c>
      <c r="I1310" s="55">
        <v>14.041</v>
      </c>
      <c r="J1310" s="34">
        <v>4</v>
      </c>
      <c r="K1310" s="34" t="s">
        <v>237</v>
      </c>
      <c r="L1310" s="10">
        <v>42282</v>
      </c>
      <c r="M1310" s="9" t="s">
        <v>191</v>
      </c>
      <c r="N1310" s="38">
        <v>9.5</v>
      </c>
      <c r="O1310" s="38">
        <v>3.0249999999999999</v>
      </c>
      <c r="P1310" s="38">
        <v>1.125</v>
      </c>
      <c r="Q1310" s="38">
        <v>0.4</v>
      </c>
      <c r="R1310" s="38">
        <v>2.4443800000000002</v>
      </c>
      <c r="S1310" s="38">
        <f t="shared" si="165"/>
        <v>2.5</v>
      </c>
      <c r="T1310" s="38">
        <v>10.875</v>
      </c>
      <c r="U1310" s="38">
        <v>2.25</v>
      </c>
      <c r="V1310" s="38">
        <v>0.67500000000000004</v>
      </c>
      <c r="W1310" s="38">
        <v>0.25</v>
      </c>
      <c r="X1310" s="38">
        <v>7.3384900000000002</v>
      </c>
      <c r="Y1310" s="38">
        <f t="shared" si="166"/>
        <v>7.5</v>
      </c>
      <c r="Z1310" s="38">
        <v>0</v>
      </c>
      <c r="AA1310" s="38">
        <v>0</v>
      </c>
      <c r="AB1310" s="38">
        <v>14.041</v>
      </c>
      <c r="AC1310" s="38">
        <v>1.1529199999999999</v>
      </c>
      <c r="AD1310" s="38">
        <v>32.5</v>
      </c>
      <c r="AE1310" s="38">
        <v>14.257999999999999</v>
      </c>
      <c r="AF1310" s="38">
        <f>(AD1310+AE1310*0.5)/(3.5*I1310*1000)*100</f>
        <v>8.0639352101498668E-2</v>
      </c>
      <c r="AG1310" s="38">
        <f t="shared" si="167"/>
        <v>0.1</v>
      </c>
      <c r="AH1310" s="38">
        <v>12.66</v>
      </c>
      <c r="AI1310" s="38">
        <f>AH1310/(3.5*I1310*1000)*100</f>
        <v>2.5761290913345614E-2</v>
      </c>
      <c r="AJ1310" s="38">
        <v>0</v>
      </c>
      <c r="AK1310" s="38">
        <f>AJ1310/(3.5*I1310*1000)*100</f>
        <v>0</v>
      </c>
      <c r="AL1310" s="38">
        <v>0</v>
      </c>
      <c r="AM1310" s="38">
        <f>AJ1310/(3.5*I1310*1000)*100</f>
        <v>0</v>
      </c>
      <c r="AN1310" s="25"/>
      <c r="AO1310" s="22"/>
      <c r="AP1310" s="22"/>
      <c r="AQ1310" s="22"/>
      <c r="AR1310" s="22"/>
      <c r="AS1310" s="22"/>
      <c r="AT1310" s="22"/>
      <c r="AU1310" s="22"/>
      <c r="AV1310" s="22"/>
      <c r="AW1310" s="22"/>
      <c r="AX1310" s="22"/>
      <c r="AY1310" s="22"/>
      <c r="AZ1310" s="22"/>
      <c r="BA1310" s="22"/>
      <c r="BB1310" s="22"/>
      <c r="BC1310" s="22"/>
      <c r="BD1310" s="22"/>
      <c r="BE1310" s="22"/>
      <c r="BF1310" s="22"/>
      <c r="BG1310" s="22"/>
    </row>
    <row r="1311" spans="1:88">
      <c r="A1311" s="1">
        <v>862</v>
      </c>
      <c r="B1311" s="78" t="s">
        <v>1231</v>
      </c>
      <c r="C1311" s="78">
        <v>615</v>
      </c>
      <c r="D1311" s="78">
        <v>2378</v>
      </c>
      <c r="E1311" s="78">
        <v>100</v>
      </c>
      <c r="F1311" s="78" t="s">
        <v>1256</v>
      </c>
      <c r="G1311" s="81">
        <v>0</v>
      </c>
      <c r="H1311" s="81">
        <v>20040</v>
      </c>
      <c r="I1311" s="121">
        <v>20.04</v>
      </c>
      <c r="J1311" s="71">
        <v>2</v>
      </c>
      <c r="K1311" s="78" t="s">
        <v>238</v>
      </c>
      <c r="L1311" s="122">
        <v>42136</v>
      </c>
      <c r="M1311" s="9" t="s">
        <v>191</v>
      </c>
      <c r="N1311" s="83">
        <v>10</v>
      </c>
      <c r="O1311" s="83">
        <v>6.4</v>
      </c>
      <c r="P1311" s="83">
        <v>3.1</v>
      </c>
      <c r="Q1311" s="83">
        <v>0.55000000000000004</v>
      </c>
      <c r="R1311" s="83">
        <v>2.7120000000000002</v>
      </c>
      <c r="S1311" s="38">
        <f t="shared" si="165"/>
        <v>2.5</v>
      </c>
      <c r="T1311" s="83">
        <v>16.8</v>
      </c>
      <c r="U1311" s="83">
        <v>1.95</v>
      </c>
      <c r="V1311" s="83">
        <v>1.125</v>
      </c>
      <c r="W1311" s="83">
        <v>0.17499999999999999</v>
      </c>
      <c r="X1311" s="83">
        <v>5.2880000000000003</v>
      </c>
      <c r="Y1311" s="38">
        <f t="shared" si="166"/>
        <v>5.5</v>
      </c>
      <c r="Z1311" s="38">
        <v>0</v>
      </c>
      <c r="AA1311" s="38">
        <v>2.5000000000000001E-2</v>
      </c>
      <c r="AB1311" s="38">
        <v>20.024999999999999</v>
      </c>
      <c r="AC1311" s="83">
        <v>1.304</v>
      </c>
      <c r="AD1311" s="83">
        <v>36.380000000000003</v>
      </c>
      <c r="AE1311" s="83">
        <v>39.270000000000003</v>
      </c>
      <c r="AF1311" s="38">
        <v>7.9862000000000002E-2</v>
      </c>
      <c r="AG1311" s="38">
        <f t="shared" si="167"/>
        <v>0.1</v>
      </c>
      <c r="AH1311" s="83">
        <v>7.59</v>
      </c>
      <c r="AI1311" s="38">
        <v>1.0821000000000001E-2</v>
      </c>
      <c r="AJ1311" s="83">
        <v>74.13</v>
      </c>
      <c r="AK1311" s="38">
        <v>0.10568900000000001</v>
      </c>
      <c r="AL1311" s="83">
        <v>0</v>
      </c>
      <c r="AM1311" s="83">
        <v>0</v>
      </c>
      <c r="AN1311" s="156"/>
      <c r="AO1311" s="25">
        <f>AE1311*0.5</f>
        <v>19.635000000000002</v>
      </c>
      <c r="AP1311" s="25">
        <f>(AD1311+AH1311+AJ1311+AL1311+AO1311)*I1311</f>
        <v>2760.2093999999997</v>
      </c>
      <c r="AQ1311" s="25">
        <f>SUM(N1311:Q1311)</f>
        <v>20.05</v>
      </c>
      <c r="AR1311" s="25">
        <f>SUM(T1311:W1311)</f>
        <v>20.05</v>
      </c>
      <c r="AS1311" s="274">
        <v>20.04</v>
      </c>
      <c r="AT1311" s="157"/>
      <c r="AU1311" s="157"/>
      <c r="AV1311" s="157"/>
      <c r="AW1311" s="157"/>
      <c r="AX1311" s="22"/>
      <c r="AY1311" s="22"/>
      <c r="AZ1311" s="22"/>
      <c r="BA1311" s="22"/>
      <c r="BB1311" s="22"/>
      <c r="BC1311" s="22"/>
      <c r="BD1311" s="22"/>
      <c r="BE1311" s="22"/>
      <c r="BF1311" s="22"/>
      <c r="BG1311" s="22"/>
      <c r="BH1311" s="22"/>
      <c r="BI1311" s="22"/>
      <c r="BJ1311" s="22"/>
      <c r="BK1311" s="22"/>
      <c r="BL1311" s="22"/>
      <c r="BM1311" s="22"/>
      <c r="BN1311" s="22"/>
      <c r="BO1311" s="22"/>
      <c r="BP1311" s="22"/>
      <c r="BQ1311" s="22"/>
      <c r="BR1311" s="22"/>
      <c r="BS1311" s="22"/>
      <c r="BT1311" s="22"/>
      <c r="BU1311" s="22"/>
      <c r="BV1311" s="22"/>
      <c r="BW1311" s="22"/>
      <c r="BX1311" s="22"/>
      <c r="BY1311" s="22"/>
      <c r="BZ1311" s="22"/>
      <c r="CA1311" s="22"/>
      <c r="CB1311" s="22"/>
      <c r="CC1311" s="22"/>
      <c r="CD1311" s="22"/>
      <c r="CE1311" s="22"/>
      <c r="CF1311" s="22"/>
      <c r="CG1311" s="22"/>
      <c r="CH1311" s="22"/>
      <c r="CI1311" s="22"/>
      <c r="CJ1311" s="22"/>
    </row>
    <row r="1312" spans="1:88">
      <c r="A1312" s="1">
        <v>131</v>
      </c>
      <c r="B1312" s="4" t="s">
        <v>38</v>
      </c>
      <c r="C1312" s="14">
        <v>528</v>
      </c>
      <c r="D1312" s="19">
        <v>1157</v>
      </c>
      <c r="E1312" s="16">
        <v>100</v>
      </c>
      <c r="F1312" s="14" t="s">
        <v>41</v>
      </c>
      <c r="G1312" s="20" t="s">
        <v>92</v>
      </c>
      <c r="H1312" s="20" t="s">
        <v>183</v>
      </c>
      <c r="I1312" s="21">
        <v>55.109000000000002</v>
      </c>
      <c r="J1312" s="8">
        <v>2</v>
      </c>
      <c r="K1312" s="33" t="s">
        <v>238</v>
      </c>
      <c r="L1312" s="18">
        <v>42224</v>
      </c>
      <c r="M1312" s="9" t="s">
        <v>191</v>
      </c>
      <c r="N1312" s="11">
        <v>27.425000000000001</v>
      </c>
      <c r="O1312" s="11">
        <v>16.975000000000001</v>
      </c>
      <c r="P1312" s="11">
        <v>7.45</v>
      </c>
      <c r="Q1312" s="11">
        <v>3.375</v>
      </c>
      <c r="R1312" s="11">
        <v>2.7880500000000001</v>
      </c>
      <c r="S1312" s="38">
        <f t="shared" si="165"/>
        <v>3</v>
      </c>
      <c r="T1312" s="11">
        <v>54.174999999999997</v>
      </c>
      <c r="U1312" s="11">
        <v>0.82499999999999996</v>
      </c>
      <c r="V1312" s="11">
        <v>0.2</v>
      </c>
      <c r="W1312" s="11">
        <v>2.5000000000000001E-2</v>
      </c>
      <c r="X1312" s="11">
        <v>3.0182600000000002</v>
      </c>
      <c r="Y1312" s="38">
        <f t="shared" si="166"/>
        <v>3</v>
      </c>
      <c r="Z1312" s="11">
        <v>0</v>
      </c>
      <c r="AA1312" s="11">
        <v>0</v>
      </c>
      <c r="AB1312" s="11">
        <v>55.225000000000009</v>
      </c>
      <c r="AC1312" s="11">
        <v>1.28193</v>
      </c>
      <c r="AD1312" s="11">
        <v>115.74</v>
      </c>
      <c r="AE1312" s="11">
        <v>76.45</v>
      </c>
      <c r="AF1312" s="11">
        <f>(AD1312+AE1312*0.5)/(3.5*I1312*1000)*100</f>
        <v>7.9823622275853295E-2</v>
      </c>
      <c r="AG1312" s="38">
        <f t="shared" si="167"/>
        <v>0.1</v>
      </c>
      <c r="AH1312" s="11">
        <v>377.35</v>
      </c>
      <c r="AI1312" s="11">
        <f>AH1312/(3.5*I1312*1000)*100</f>
        <v>0.1956382545759961</v>
      </c>
      <c r="AJ1312" s="11">
        <v>23</v>
      </c>
      <c r="AK1312" s="11">
        <f>AJ1312/(3.5*I1312*1000)*100</f>
        <v>1.1924419915855069E-2</v>
      </c>
      <c r="AL1312" s="11">
        <v>1.45</v>
      </c>
      <c r="AM1312" s="11">
        <f>AL1312/(3.5*I1312*1000)*100</f>
        <v>7.5175690773868914E-4</v>
      </c>
      <c r="AN1312" s="22"/>
      <c r="AO1312" s="22"/>
      <c r="AP1312" s="22"/>
      <c r="AQ1312" s="22"/>
      <c r="AR1312" s="22"/>
      <c r="AS1312" s="22"/>
      <c r="AT1312" s="22"/>
      <c r="AU1312" s="22"/>
      <c r="AV1312" s="22"/>
      <c r="AW1312" s="22"/>
      <c r="AX1312" s="22"/>
      <c r="AY1312" s="22"/>
      <c r="AZ1312" s="22"/>
      <c r="BA1312" s="22"/>
      <c r="BB1312" s="22"/>
      <c r="BC1312" s="22"/>
      <c r="BD1312" s="22"/>
      <c r="BE1312" s="22"/>
      <c r="BF1312" s="22"/>
      <c r="BG1312" s="22"/>
      <c r="BH1312" s="22"/>
      <c r="BI1312" s="22"/>
      <c r="BJ1312" s="22"/>
      <c r="BK1312" s="22"/>
      <c r="BL1312" s="22"/>
      <c r="BM1312" s="22"/>
      <c r="BN1312" s="22"/>
      <c r="BO1312" s="22"/>
      <c r="BP1312" s="22"/>
      <c r="BQ1312" s="22"/>
      <c r="BR1312" s="22"/>
      <c r="BS1312" s="22"/>
      <c r="BT1312" s="22"/>
      <c r="BU1312" s="22"/>
      <c r="BV1312" s="22"/>
      <c r="BW1312" s="22"/>
      <c r="BX1312" s="22"/>
      <c r="BY1312" s="22"/>
      <c r="BZ1312" s="22"/>
      <c r="CA1312" s="22"/>
      <c r="CB1312" s="22"/>
      <c r="CC1312" s="22"/>
      <c r="CD1312" s="22"/>
      <c r="CE1312" s="22"/>
      <c r="CF1312" s="22"/>
      <c r="CG1312" s="22"/>
      <c r="CH1312" s="22"/>
      <c r="CI1312" s="22"/>
      <c r="CJ1312" s="22"/>
    </row>
    <row r="1313" spans="1:88">
      <c r="A1313" s="1">
        <v>1513</v>
      </c>
      <c r="B1313" s="34" t="s">
        <v>2069</v>
      </c>
      <c r="C1313" s="34">
        <v>413</v>
      </c>
      <c r="D1313" s="69">
        <v>3056</v>
      </c>
      <c r="E1313" s="34">
        <v>100</v>
      </c>
      <c r="F1313" s="34" t="s">
        <v>2086</v>
      </c>
      <c r="G1313" s="58">
        <v>0</v>
      </c>
      <c r="H1313" s="58">
        <v>23727</v>
      </c>
      <c r="I1313" s="35">
        <v>23.727</v>
      </c>
      <c r="J1313" s="34">
        <v>4</v>
      </c>
      <c r="K1313" s="34" t="s">
        <v>238</v>
      </c>
      <c r="L1313" s="10">
        <v>42265</v>
      </c>
      <c r="M1313" s="9" t="s">
        <v>191</v>
      </c>
      <c r="N1313" s="38">
        <v>12.95</v>
      </c>
      <c r="O1313" s="38">
        <v>5.15</v>
      </c>
      <c r="P1313" s="38">
        <v>2.8</v>
      </c>
      <c r="Q1313" s="38">
        <v>2.6749999999999998</v>
      </c>
      <c r="R1313" s="38">
        <v>2.9005399999999999</v>
      </c>
      <c r="S1313" s="38">
        <f t="shared" si="165"/>
        <v>3</v>
      </c>
      <c r="T1313" s="38">
        <v>18.524999999999999</v>
      </c>
      <c r="U1313" s="38">
        <v>2.9</v>
      </c>
      <c r="V1313" s="38">
        <v>1.3</v>
      </c>
      <c r="W1313" s="38">
        <v>0.85</v>
      </c>
      <c r="X1313" s="38">
        <v>8.3194999999999997</v>
      </c>
      <c r="Y1313" s="38">
        <f t="shared" si="166"/>
        <v>8.5</v>
      </c>
      <c r="Z1313" s="38">
        <v>0</v>
      </c>
      <c r="AA1313" s="38">
        <v>0</v>
      </c>
      <c r="AB1313" s="196">
        <v>23.727</v>
      </c>
      <c r="AC1313" s="38">
        <v>1.0664499999999999</v>
      </c>
      <c r="AD1313" s="38">
        <v>10</v>
      </c>
      <c r="AE1313" s="38">
        <v>111.94</v>
      </c>
      <c r="AF1313" s="38">
        <f>(AD1313+AE1313*0.5)/(3.5*I1313*1000)*100</f>
        <v>7.9439336741144811E-2</v>
      </c>
      <c r="AG1313" s="38">
        <f t="shared" si="167"/>
        <v>0.1</v>
      </c>
      <c r="AH1313" s="38">
        <v>7</v>
      </c>
      <c r="AI1313" s="38">
        <f>AH1313/(3.5*I1313*1000)*100</f>
        <v>8.4292156614826988E-3</v>
      </c>
      <c r="AJ1313" s="38">
        <v>0</v>
      </c>
      <c r="AK1313" s="38">
        <f>AJ1313/(3.5*I1313*1000)*100</f>
        <v>0</v>
      </c>
      <c r="AL1313" s="38">
        <v>55</v>
      </c>
      <c r="AM1313" s="38">
        <f>AL1313/(3.5*I1313*1000)*100</f>
        <v>6.6229551625935495E-2</v>
      </c>
      <c r="AN1313" s="25"/>
      <c r="AO1313" s="25">
        <f>AE1313*0.5</f>
        <v>55.97</v>
      </c>
      <c r="AP1313" s="25">
        <f>(AD1313+AH1313+AJ1313+AL1313+AO1313)*I1313</f>
        <v>3036.3441899999998</v>
      </c>
      <c r="AQ1313" s="25">
        <f>(AD1313+AH1313+AJ1313+AL1313)*I1313</f>
        <v>1708.3440000000001</v>
      </c>
      <c r="AR1313" s="25">
        <f>SUM(N1313:Q1313)</f>
        <v>23.575000000000003</v>
      </c>
      <c r="AS1313" s="25">
        <f>SUM(T1313:W1313)</f>
        <v>23.574999999999999</v>
      </c>
      <c r="AT1313" s="22"/>
      <c r="AU1313" s="275">
        <v>23.727</v>
      </c>
      <c r="AV1313" s="41">
        <f>SUM(N1313:Q1313)</f>
        <v>23.575000000000003</v>
      </c>
      <c r="AW1313" s="41">
        <f>SUM(T1313:W1313)</f>
        <v>23.574999999999999</v>
      </c>
      <c r="AX1313" s="41">
        <f>SUM(Z1313:AB1313)</f>
        <v>23.727</v>
      </c>
      <c r="AY1313" s="22"/>
      <c r="AZ1313" s="22">
        <f>I1313/AV1313</f>
        <v>1.0064475079533404</v>
      </c>
      <c r="BA1313" s="22">
        <f>I1313/AW1313</f>
        <v>1.0064475079533404</v>
      </c>
      <c r="BB1313" s="22">
        <f>I1313/AX1313</f>
        <v>1</v>
      </c>
      <c r="BC1313" s="22"/>
      <c r="BD1313" s="22"/>
      <c r="BE1313" s="22"/>
      <c r="BF1313" s="22"/>
      <c r="BG1313" s="22"/>
      <c r="BH1313" s="22"/>
      <c r="BI1313" s="22"/>
      <c r="BJ1313" s="22"/>
      <c r="BK1313" s="22"/>
      <c r="BL1313" s="22"/>
      <c r="BM1313" s="22"/>
      <c r="BN1313" s="22"/>
      <c r="BO1313" s="22"/>
      <c r="BP1313" s="22"/>
      <c r="BQ1313" s="22"/>
      <c r="BR1313" s="22"/>
      <c r="BS1313" s="22"/>
      <c r="BT1313" s="22"/>
      <c r="BU1313" s="22"/>
      <c r="BV1313" s="22"/>
      <c r="BW1313" s="22"/>
      <c r="BX1313" s="22"/>
      <c r="BY1313" s="22"/>
      <c r="BZ1313" s="22"/>
      <c r="CA1313" s="22"/>
      <c r="CB1313" s="22"/>
      <c r="CC1313" s="22"/>
      <c r="CD1313" s="22"/>
      <c r="CE1313" s="22"/>
      <c r="CF1313" s="22"/>
      <c r="CG1313" s="22"/>
      <c r="CH1313" s="22"/>
      <c r="CI1313" s="22"/>
      <c r="CJ1313" s="22"/>
    </row>
    <row r="1314" spans="1:88">
      <c r="A1314" s="1">
        <v>311</v>
      </c>
      <c r="B1314" s="34" t="s">
        <v>542</v>
      </c>
      <c r="C1314" s="34">
        <v>644</v>
      </c>
      <c r="D1314" s="34">
        <v>2028</v>
      </c>
      <c r="E1314" s="34">
        <v>100</v>
      </c>
      <c r="F1314" s="34" t="s">
        <v>544</v>
      </c>
      <c r="G1314" s="57">
        <v>14000</v>
      </c>
      <c r="H1314" s="58">
        <v>40631</v>
      </c>
      <c r="I1314" s="35">
        <v>26.631</v>
      </c>
      <c r="J1314" s="62">
        <v>2</v>
      </c>
      <c r="K1314" s="34" t="s">
        <v>238</v>
      </c>
      <c r="L1314" s="10">
        <v>42158</v>
      </c>
      <c r="M1314" s="9" t="s">
        <v>191</v>
      </c>
      <c r="N1314" s="38">
        <v>20.43</v>
      </c>
      <c r="O1314" s="38">
        <v>4.12</v>
      </c>
      <c r="P1314" s="38">
        <v>1.34</v>
      </c>
      <c r="Q1314" s="38">
        <v>0.75</v>
      </c>
      <c r="R1314" s="38">
        <v>2.22316</v>
      </c>
      <c r="S1314" s="38">
        <f t="shared" si="165"/>
        <v>2</v>
      </c>
      <c r="T1314" s="38">
        <v>26.11</v>
      </c>
      <c r="U1314" s="38">
        <v>0.43</v>
      </c>
      <c r="V1314" s="38">
        <v>0.05</v>
      </c>
      <c r="W1314" s="38">
        <v>0.05</v>
      </c>
      <c r="X1314" s="38">
        <v>2.4353500000000001</v>
      </c>
      <c r="Y1314" s="38">
        <f t="shared" si="166"/>
        <v>2.5</v>
      </c>
      <c r="Z1314" s="38">
        <v>0</v>
      </c>
      <c r="AA1314" s="38">
        <v>0</v>
      </c>
      <c r="AB1314" s="38">
        <v>26.63</v>
      </c>
      <c r="AC1314" s="38">
        <v>1.1540999999999999</v>
      </c>
      <c r="AD1314" s="38">
        <v>10</v>
      </c>
      <c r="AE1314" s="38">
        <v>128</v>
      </c>
      <c r="AF1314" s="38">
        <v>7.9390000000000002E-2</v>
      </c>
      <c r="AG1314" s="38">
        <f t="shared" si="167"/>
        <v>0.1</v>
      </c>
      <c r="AH1314" s="38">
        <v>6.09</v>
      </c>
      <c r="AI1314" s="38">
        <v>6.5300000000000002E-3</v>
      </c>
      <c r="AJ1314" s="38">
        <v>0</v>
      </c>
      <c r="AK1314" s="38">
        <v>0</v>
      </c>
      <c r="AL1314" s="38">
        <v>0</v>
      </c>
      <c r="AM1314" s="38">
        <v>1</v>
      </c>
      <c r="AN1314" s="60"/>
      <c r="AO1314" s="60">
        <f>AE1314*0.5</f>
        <v>64</v>
      </c>
      <c r="AP1314" s="60">
        <f>(AD1314+AH1314+AJ1314+AL1314+AO1314)*I1314</f>
        <v>2132.8767900000003</v>
      </c>
      <c r="AQ1314" s="25">
        <f>SUM(N1314:Q1314)</f>
        <v>26.64</v>
      </c>
      <c r="AR1314" s="25">
        <f>SUM(T1314:W1314)</f>
        <v>26.64</v>
      </c>
      <c r="AS1314" s="268">
        <v>26.631</v>
      </c>
      <c r="AT1314" s="40"/>
      <c r="AU1314" s="41">
        <f>SUM(N1314:Q1314)</f>
        <v>26.64</v>
      </c>
      <c r="AV1314" s="41">
        <f>SUM(T1314:W1314)</f>
        <v>26.64</v>
      </c>
      <c r="AW1314" s="41">
        <f>SUM(Z1314:AB1314)</f>
        <v>26.63</v>
      </c>
      <c r="AX1314" s="22"/>
      <c r="AY1314" s="22">
        <f>I1314/AU1314</f>
        <v>0.99966216216216219</v>
      </c>
      <c r="AZ1314" s="22">
        <f>I1314/AV1314</f>
        <v>0.99966216216216219</v>
      </c>
      <c r="BA1314" s="22">
        <f>I1314/AW1314</f>
        <v>1.0000375516334961</v>
      </c>
      <c r="BB1314" s="61"/>
      <c r="BC1314" s="61"/>
      <c r="BD1314" s="61"/>
      <c r="BE1314" s="61"/>
      <c r="BF1314" s="61"/>
      <c r="BG1314" s="61"/>
      <c r="BH1314" s="61"/>
      <c r="BI1314" s="61"/>
      <c r="BJ1314" s="61"/>
      <c r="BK1314" s="61"/>
      <c r="BL1314" s="61"/>
      <c r="BM1314" s="61"/>
      <c r="BN1314" s="61"/>
      <c r="BO1314" s="61"/>
      <c r="BP1314" s="61"/>
      <c r="BQ1314" s="61"/>
      <c r="BR1314" s="61"/>
      <c r="BS1314" s="61"/>
      <c r="BT1314" s="61"/>
      <c r="BU1314" s="61"/>
      <c r="BV1314" s="61"/>
      <c r="BW1314" s="61"/>
      <c r="BX1314" s="61"/>
      <c r="BY1314" s="61"/>
      <c r="BZ1314" s="61"/>
      <c r="CA1314" s="61"/>
      <c r="CB1314" s="61"/>
      <c r="CC1314" s="61"/>
      <c r="CD1314" s="61"/>
      <c r="CE1314" s="61"/>
      <c r="CF1314" s="61"/>
      <c r="CG1314" s="61"/>
      <c r="CH1314" s="61"/>
      <c r="CI1314" s="61"/>
      <c r="CJ1314" s="61"/>
    </row>
    <row r="1315" spans="1:88">
      <c r="A1315" s="1">
        <v>8</v>
      </c>
      <c r="B1315" s="4" t="s">
        <v>8</v>
      </c>
      <c r="C1315" s="14">
        <v>521</v>
      </c>
      <c r="D1315" s="19">
        <v>108</v>
      </c>
      <c r="E1315" s="16">
        <v>104</v>
      </c>
      <c r="F1315" s="14" t="s">
        <v>195</v>
      </c>
      <c r="G1315" s="20" t="s">
        <v>150</v>
      </c>
      <c r="H1315" s="20">
        <v>126910</v>
      </c>
      <c r="I1315" s="21">
        <v>29.69</v>
      </c>
      <c r="J1315" s="8">
        <v>2</v>
      </c>
      <c r="K1315" s="9" t="s">
        <v>12</v>
      </c>
      <c r="L1315" s="18">
        <v>42233</v>
      </c>
      <c r="M1315" s="9" t="s">
        <v>191</v>
      </c>
      <c r="N1315" s="11">
        <v>7.9</v>
      </c>
      <c r="O1315" s="11">
        <v>9.5749999999999993</v>
      </c>
      <c r="P1315" s="11">
        <v>7.5</v>
      </c>
      <c r="Q1315" s="11">
        <v>4.05</v>
      </c>
      <c r="R1315" s="11">
        <v>3.45214</v>
      </c>
      <c r="S1315" s="38">
        <f t="shared" si="165"/>
        <v>3.5</v>
      </c>
      <c r="T1315" s="11">
        <v>25.375</v>
      </c>
      <c r="U1315" s="11">
        <v>2.4</v>
      </c>
      <c r="V1315" s="11">
        <v>0.92500000000000004</v>
      </c>
      <c r="W1315" s="11">
        <v>0.32500000000000001</v>
      </c>
      <c r="X1315" s="11">
        <v>4.9775700000000001</v>
      </c>
      <c r="Y1315" s="38">
        <f t="shared" si="166"/>
        <v>5</v>
      </c>
      <c r="Z1315" s="11">
        <v>0</v>
      </c>
      <c r="AA1315" s="11">
        <v>0</v>
      </c>
      <c r="AB1315" s="11">
        <v>29.025000000000002</v>
      </c>
      <c r="AC1315" s="11">
        <v>1.25407</v>
      </c>
      <c r="AD1315" s="11">
        <v>26.21</v>
      </c>
      <c r="AE1315" s="11">
        <v>112.57</v>
      </c>
      <c r="AF1315" s="11">
        <f>(AD1315+AE1315*0.5)/(3.5*I1315*1000)*100</f>
        <v>7.9386998989558782E-2</v>
      </c>
      <c r="AG1315" s="38">
        <f t="shared" si="167"/>
        <v>0.1</v>
      </c>
      <c r="AH1315" s="11">
        <v>118.62</v>
      </c>
      <c r="AI1315" s="11">
        <f>AH1315/(3.5*I1315*1000)*100</f>
        <v>0.11415098878891403</v>
      </c>
      <c r="AJ1315" s="11">
        <v>0</v>
      </c>
      <c r="AK1315" s="11">
        <f>AJ1315/(3.5*I1315*1000)*100</f>
        <v>0</v>
      </c>
      <c r="AL1315" s="11">
        <v>0</v>
      </c>
      <c r="AM1315" s="11">
        <f>AL1315/(3.5*I1315*1000)*100</f>
        <v>0</v>
      </c>
      <c r="AN1315" s="22"/>
      <c r="AO1315" s="22"/>
      <c r="AP1315" s="22"/>
      <c r="AQ1315" s="12">
        <f>N1315+O1315+P1315+Q1315</f>
        <v>29.025000000000002</v>
      </c>
      <c r="AR1315" s="12">
        <f>T1315+U1315+V1315+W1315</f>
        <v>29.024999999999999</v>
      </c>
      <c r="AS1315" s="12">
        <f>Z1315+AA1315+AB1315</f>
        <v>29.025000000000002</v>
      </c>
      <c r="AT1315" s="22"/>
      <c r="AU1315" s="22">
        <v>0.9776018861569552</v>
      </c>
      <c r="AV1315" s="22">
        <v>0.97760188615695509</v>
      </c>
      <c r="AW1315" s="22">
        <v>0.9776018861569552</v>
      </c>
      <c r="AX1315" s="22"/>
      <c r="AY1315" s="22"/>
      <c r="AZ1315" s="22"/>
      <c r="BA1315" s="22"/>
      <c r="BB1315" s="22"/>
      <c r="BC1315" s="22"/>
      <c r="BD1315" s="22"/>
      <c r="BE1315" s="22"/>
      <c r="BF1315" s="22"/>
      <c r="BG1315" s="22"/>
      <c r="BH1315" s="22"/>
      <c r="BI1315" s="22"/>
      <c r="BJ1315" s="22"/>
      <c r="BK1315" s="22"/>
      <c r="BL1315" s="22"/>
      <c r="BM1315" s="22"/>
      <c r="BN1315" s="22"/>
      <c r="BO1315" s="22"/>
      <c r="BP1315" s="22"/>
      <c r="BQ1315" s="22"/>
      <c r="BR1315" s="22"/>
      <c r="BS1315" s="22"/>
      <c r="BT1315" s="22"/>
      <c r="BU1315" s="22"/>
      <c r="BV1315" s="22"/>
      <c r="BW1315" s="22"/>
      <c r="BX1315" s="22"/>
      <c r="BY1315" s="22"/>
      <c r="BZ1315" s="22"/>
      <c r="CA1315" s="22"/>
      <c r="CB1315" s="22"/>
      <c r="CC1315" s="22"/>
      <c r="CD1315" s="22"/>
      <c r="CE1315" s="22"/>
      <c r="CF1315" s="22"/>
      <c r="CG1315" s="22"/>
      <c r="CH1315" s="22"/>
      <c r="CI1315" s="22"/>
      <c r="CJ1315" s="22"/>
    </row>
    <row r="1316" spans="1:88">
      <c r="A1316" s="1">
        <v>495</v>
      </c>
      <c r="B1316" s="88" t="s">
        <v>821</v>
      </c>
      <c r="C1316" s="88">
        <v>519</v>
      </c>
      <c r="D1316" s="88">
        <v>1067</v>
      </c>
      <c r="E1316" s="88">
        <v>102</v>
      </c>
      <c r="F1316" s="88" t="s">
        <v>844</v>
      </c>
      <c r="G1316" s="88" t="s">
        <v>843</v>
      </c>
      <c r="H1316" s="88" t="s">
        <v>845</v>
      </c>
      <c r="I1316" s="115">
        <v>26.123999999999999</v>
      </c>
      <c r="J1316" s="88" t="s">
        <v>238</v>
      </c>
      <c r="K1316" s="34">
        <v>2</v>
      </c>
      <c r="L1316" s="116">
        <v>42277</v>
      </c>
      <c r="M1316" s="9" t="s">
        <v>191</v>
      </c>
      <c r="N1316" s="117">
        <v>20.05</v>
      </c>
      <c r="O1316" s="117">
        <v>3.68</v>
      </c>
      <c r="P1316" s="117">
        <v>1.43</v>
      </c>
      <c r="Q1316" s="117">
        <v>0.97</v>
      </c>
      <c r="R1316" s="117">
        <v>2.2507100000000002</v>
      </c>
      <c r="S1316" s="38">
        <f t="shared" si="165"/>
        <v>2.5</v>
      </c>
      <c r="T1316" s="117">
        <v>26.12</v>
      </c>
      <c r="U1316" s="117">
        <v>0</v>
      </c>
      <c r="V1316" s="117">
        <v>0</v>
      </c>
      <c r="W1316" s="117">
        <v>0</v>
      </c>
      <c r="X1316" s="117">
        <v>1.952</v>
      </c>
      <c r="Y1316" s="38">
        <f t="shared" si="166"/>
        <v>2</v>
      </c>
      <c r="Z1316" s="117">
        <v>0</v>
      </c>
      <c r="AA1316" s="117">
        <v>0</v>
      </c>
      <c r="AB1316" s="117">
        <v>26.12</v>
      </c>
      <c r="AC1316" s="117">
        <v>1.1593800000000001</v>
      </c>
      <c r="AD1316" s="117">
        <v>66.213999999999999</v>
      </c>
      <c r="AE1316" s="117">
        <v>12.26</v>
      </c>
      <c r="AF1316" s="117">
        <v>7.9121999999999998E-2</v>
      </c>
      <c r="AG1316" s="38">
        <f t="shared" si="167"/>
        <v>0.1</v>
      </c>
      <c r="AH1316" s="117">
        <v>83.57</v>
      </c>
      <c r="AI1316" s="117">
        <v>9.1398999999999994E-2</v>
      </c>
      <c r="AJ1316" s="117">
        <v>0</v>
      </c>
      <c r="AK1316" s="117">
        <v>0</v>
      </c>
      <c r="AL1316" s="117">
        <v>0</v>
      </c>
      <c r="AM1316" s="117">
        <v>0</v>
      </c>
      <c r="AN1316" s="41"/>
      <c r="AO1316" s="41"/>
      <c r="AP1316" s="41"/>
      <c r="AQ1316" s="41">
        <f>SUM(N1316:Q1316)</f>
        <v>26.13</v>
      </c>
      <c r="AR1316" s="41">
        <f>SUM(T1316:W1316)</f>
        <v>26.12</v>
      </c>
      <c r="AS1316" s="41">
        <f>SUM(Z1316:AB1316)</f>
        <v>26.12</v>
      </c>
      <c r="AT1316" s="22"/>
      <c r="AU1316" s="22">
        <f>I1316/AQ1316</f>
        <v>0.99977037887485642</v>
      </c>
      <c r="AV1316" s="22">
        <f>I1316/AR1316</f>
        <v>1.0001531393568146</v>
      </c>
      <c r="AW1316" s="22">
        <f>I1316/AS1316</f>
        <v>1.0001531393568146</v>
      </c>
    </row>
    <row r="1317" spans="1:88">
      <c r="A1317" s="1">
        <v>1378</v>
      </c>
      <c r="B1317" s="74" t="s">
        <v>1905</v>
      </c>
      <c r="C1317" s="34">
        <v>445</v>
      </c>
      <c r="D1317" s="75">
        <v>3443</v>
      </c>
      <c r="E1317" s="69">
        <v>101</v>
      </c>
      <c r="F1317" s="184" t="s">
        <v>1929</v>
      </c>
      <c r="G1317" s="20">
        <v>26665</v>
      </c>
      <c r="H1317" s="20">
        <v>0</v>
      </c>
      <c r="I1317" s="21">
        <v>26.664999999999999</v>
      </c>
      <c r="J1317" s="8">
        <v>2</v>
      </c>
      <c r="K1317" s="34" t="s">
        <v>238</v>
      </c>
      <c r="L1317" s="10">
        <v>42188</v>
      </c>
      <c r="M1317" s="9" t="s">
        <v>191</v>
      </c>
      <c r="N1317" s="38">
        <v>18.247700000000002</v>
      </c>
      <c r="O1317" s="38">
        <v>5.9486999999999997</v>
      </c>
      <c r="P1317" s="38">
        <v>1.5812999999999999</v>
      </c>
      <c r="Q1317" s="38">
        <v>0.90360000000000007</v>
      </c>
      <c r="R1317" s="38">
        <v>2.3927800000000001</v>
      </c>
      <c r="S1317" s="38">
        <f t="shared" si="165"/>
        <v>2.5</v>
      </c>
      <c r="T1317" s="38">
        <v>26.405200000000001</v>
      </c>
      <c r="U1317" s="38">
        <v>0.1757</v>
      </c>
      <c r="V1317" s="38">
        <v>0.1004</v>
      </c>
      <c r="W1317" s="38">
        <v>0</v>
      </c>
      <c r="X1317" s="38">
        <v>2.7066599999999998</v>
      </c>
      <c r="Y1317" s="38">
        <f t="shared" si="166"/>
        <v>2.5</v>
      </c>
      <c r="Z1317" s="38">
        <v>0</v>
      </c>
      <c r="AA1317" s="38">
        <v>0</v>
      </c>
      <c r="AB1317" s="38">
        <v>26.6813</v>
      </c>
      <c r="AC1317" s="38">
        <v>1.0097499999999999</v>
      </c>
      <c r="AD1317" s="38">
        <v>35.65</v>
      </c>
      <c r="AE1317" s="38">
        <v>76.099999999999994</v>
      </c>
      <c r="AF1317" s="38">
        <v>7.896922129061637E-2</v>
      </c>
      <c r="AG1317" s="38">
        <f t="shared" si="167"/>
        <v>0.1</v>
      </c>
      <c r="AH1317" s="38">
        <v>12.8</v>
      </c>
      <c r="AI1317" s="38">
        <v>1.3715142910717635E-2</v>
      </c>
      <c r="AJ1317" s="38">
        <v>0</v>
      </c>
      <c r="AK1317" s="38">
        <v>0</v>
      </c>
      <c r="AL1317" s="38">
        <v>2.8643000000000001</v>
      </c>
      <c r="AM1317" s="38">
        <v>3.0690846749350403E-3</v>
      </c>
      <c r="AN1317" s="72"/>
      <c r="AO1317" s="41"/>
      <c r="AP1317" s="41"/>
      <c r="AQ1317" s="41"/>
      <c r="AR1317" s="41"/>
      <c r="AS1317" s="73"/>
      <c r="AT1317" s="73"/>
      <c r="AU1317" s="73"/>
      <c r="AV1317" s="73"/>
    </row>
    <row r="1318" spans="1:88">
      <c r="A1318" s="1">
        <v>143</v>
      </c>
      <c r="B1318" s="34" t="s">
        <v>294</v>
      </c>
      <c r="C1318" s="34">
        <v>531</v>
      </c>
      <c r="D1318" s="34">
        <v>129</v>
      </c>
      <c r="E1318" s="34">
        <v>100</v>
      </c>
      <c r="F1318" s="34" t="s">
        <v>303</v>
      </c>
      <c r="G1318" s="20">
        <v>0</v>
      </c>
      <c r="H1318" s="20">
        <v>10418</v>
      </c>
      <c r="I1318" s="35">
        <v>10.417999999999999</v>
      </c>
      <c r="J1318" s="36">
        <v>4</v>
      </c>
      <c r="K1318" s="34" t="s">
        <v>96</v>
      </c>
      <c r="L1318" s="18">
        <v>42222</v>
      </c>
      <c r="M1318" s="9" t="s">
        <v>191</v>
      </c>
      <c r="N1318" s="38">
        <v>4.7300000000000004</v>
      </c>
      <c r="O1318" s="38">
        <v>2.33</v>
      </c>
      <c r="P1318" s="38">
        <v>2</v>
      </c>
      <c r="Q1318" s="38">
        <v>1.38</v>
      </c>
      <c r="R1318" s="38">
        <v>3.1335999999999999</v>
      </c>
      <c r="S1318" s="38">
        <f t="shared" si="165"/>
        <v>3</v>
      </c>
      <c r="T1318" s="38">
        <v>2.2000000000000002</v>
      </c>
      <c r="U1318" s="38">
        <v>1.58</v>
      </c>
      <c r="V1318" s="38">
        <v>2.58</v>
      </c>
      <c r="W1318" s="38">
        <v>4.08</v>
      </c>
      <c r="X1318" s="38">
        <v>17.539100000000001</v>
      </c>
      <c r="Y1318" s="38">
        <f t="shared" si="166"/>
        <v>17.5</v>
      </c>
      <c r="Z1318" s="38">
        <v>0</v>
      </c>
      <c r="AA1318" s="38">
        <v>0</v>
      </c>
      <c r="AB1318" s="38">
        <v>10.42</v>
      </c>
      <c r="AC1318" s="38">
        <v>1.0805</v>
      </c>
      <c r="AD1318" s="38">
        <v>0</v>
      </c>
      <c r="AE1318" s="38">
        <v>57.47</v>
      </c>
      <c r="AF1318" s="38">
        <f>(AD1318+AE1318*0.5)/(3.5*I1318*1000)*100</f>
        <v>7.8805912843156092E-2</v>
      </c>
      <c r="AG1318" s="38">
        <f t="shared" si="167"/>
        <v>0.1</v>
      </c>
      <c r="AH1318" s="38">
        <v>0</v>
      </c>
      <c r="AI1318" s="38">
        <f>AH1318/(3.5*I1318*1000)*100</f>
        <v>0</v>
      </c>
      <c r="AJ1318" s="38">
        <v>0</v>
      </c>
      <c r="AK1318" s="38">
        <f>AJ1318/(3.5*I1318*1000)*100</f>
        <v>0</v>
      </c>
      <c r="AL1318" s="38">
        <v>0</v>
      </c>
      <c r="AM1318" s="38">
        <f>AL1318/(3.5*I1318*1000)*100</f>
        <v>0</v>
      </c>
      <c r="AN1318" s="40"/>
      <c r="AO1318" s="40">
        <f>AE1318*0.5</f>
        <v>28.734999999999999</v>
      </c>
      <c r="AP1318" s="40">
        <f>(AD1318+AH1318+AJ1318+AL1318+AO1318)*I1318</f>
        <v>299.36122999999998</v>
      </c>
      <c r="AQ1318" s="25">
        <f>SUM(N1318:Q1318)</f>
        <v>10.440000000000001</v>
      </c>
      <c r="AR1318" s="25">
        <f>SUM(T1318:W1318)</f>
        <v>10.440000000000001</v>
      </c>
      <c r="AS1318" s="22"/>
      <c r="AT1318" s="41"/>
      <c r="AU1318" s="41">
        <f>SUM(N1318:Q1318)</f>
        <v>10.440000000000001</v>
      </c>
      <c r="AV1318" s="41">
        <f>SUM(T1318:W1318)</f>
        <v>10.440000000000001</v>
      </c>
      <c r="AW1318" s="41">
        <f>SUM(Z1318:AB1318)</f>
        <v>10.42</v>
      </c>
      <c r="AX1318" s="22"/>
      <c r="AY1318" s="22">
        <f>I1318/AU1318</f>
        <v>0.99789272030651321</v>
      </c>
      <c r="AZ1318" s="22">
        <f>I1318/AV1318</f>
        <v>0.99789272030651321</v>
      </c>
      <c r="BA1318" s="22">
        <f>I1318/AW1318</f>
        <v>0.9998080614203454</v>
      </c>
      <c r="BB1318" s="22"/>
      <c r="BC1318" s="22"/>
      <c r="BD1318" s="22"/>
      <c r="BE1318" s="22"/>
      <c r="BF1318" s="22"/>
      <c r="BG1318" s="22"/>
      <c r="BH1318" s="22"/>
      <c r="BI1318" s="22"/>
      <c r="BJ1318" s="22"/>
      <c r="BK1318" s="22"/>
      <c r="BL1318" s="22"/>
      <c r="BM1318" s="22"/>
      <c r="BN1318" s="22"/>
      <c r="BO1318" s="22"/>
      <c r="BP1318" s="22"/>
      <c r="BQ1318" s="22"/>
      <c r="BR1318" s="22"/>
      <c r="BS1318" s="22"/>
      <c r="BT1318" s="22"/>
      <c r="BU1318" s="22"/>
      <c r="BV1318" s="22"/>
      <c r="BW1318" s="22"/>
      <c r="BX1318" s="22"/>
      <c r="BY1318" s="22"/>
      <c r="BZ1318" s="22"/>
      <c r="CA1318" s="22"/>
      <c r="CB1318" s="22"/>
      <c r="CC1318" s="22"/>
      <c r="CD1318" s="22"/>
      <c r="CE1318" s="22"/>
      <c r="CF1318" s="22"/>
      <c r="CG1318" s="22"/>
      <c r="CH1318" s="22"/>
      <c r="CI1318" s="22"/>
      <c r="CJ1318" s="22"/>
    </row>
    <row r="1319" spans="1:88">
      <c r="A1319" s="1">
        <v>532</v>
      </c>
      <c r="B1319" s="88" t="s">
        <v>915</v>
      </c>
      <c r="C1319" s="88">
        <v>558</v>
      </c>
      <c r="D1319" s="88">
        <v>117</v>
      </c>
      <c r="E1319" s="88">
        <v>501</v>
      </c>
      <c r="F1319" s="88" t="s">
        <v>916</v>
      </c>
      <c r="G1319" s="88" t="s">
        <v>917</v>
      </c>
      <c r="H1319" s="88" t="s">
        <v>880</v>
      </c>
      <c r="I1319" s="88">
        <v>25.515999999999998</v>
      </c>
      <c r="J1319" s="88" t="s">
        <v>12</v>
      </c>
      <c r="K1319" s="88">
        <v>2</v>
      </c>
      <c r="L1319" s="116">
        <v>42273</v>
      </c>
      <c r="M1319" s="9" t="s">
        <v>191</v>
      </c>
      <c r="N1319" s="117">
        <v>20.9</v>
      </c>
      <c r="O1319" s="117">
        <v>3.3</v>
      </c>
      <c r="P1319" s="117">
        <v>1.0249999999999999</v>
      </c>
      <c r="Q1319" s="117">
        <v>0.28000000000000003</v>
      </c>
      <c r="R1319" s="117">
        <v>2.0561600000000002</v>
      </c>
      <c r="S1319" s="38">
        <f t="shared" si="165"/>
        <v>2</v>
      </c>
      <c r="T1319" s="117">
        <v>25.15</v>
      </c>
      <c r="U1319" s="117">
        <v>0.2</v>
      </c>
      <c r="V1319" s="117">
        <v>0.15</v>
      </c>
      <c r="W1319" s="117">
        <v>0</v>
      </c>
      <c r="X1319" s="117">
        <v>2.1502300000000001</v>
      </c>
      <c r="Y1319" s="38">
        <f t="shared" si="166"/>
        <v>2</v>
      </c>
      <c r="Z1319" s="117">
        <v>0</v>
      </c>
      <c r="AA1319" s="117">
        <v>0</v>
      </c>
      <c r="AB1319" s="117">
        <v>25.504999999999999</v>
      </c>
      <c r="AC1319" s="117">
        <v>1.3268500000000001</v>
      </c>
      <c r="AD1319" s="117">
        <v>67.25</v>
      </c>
      <c r="AE1319" s="117">
        <v>6.2450000000000001</v>
      </c>
      <c r="AF1319" s="117">
        <v>7.8798999999999994E-2</v>
      </c>
      <c r="AG1319" s="38">
        <f t="shared" si="167"/>
        <v>0.1</v>
      </c>
      <c r="AH1319" s="117">
        <v>76.484999999999999</v>
      </c>
      <c r="AI1319" s="117">
        <v>8.5643999999999998E-2</v>
      </c>
      <c r="AJ1319" s="117">
        <v>0</v>
      </c>
      <c r="AK1319" s="117">
        <v>0</v>
      </c>
      <c r="AL1319" s="117">
        <v>0</v>
      </c>
      <c r="AM1319" s="117">
        <v>0</v>
      </c>
      <c r="AN1319" s="41"/>
      <c r="AO1319" s="41"/>
      <c r="AP1319" s="73"/>
      <c r="AQ1319" s="73"/>
    </row>
    <row r="1320" spans="1:88">
      <c r="A1320" s="1">
        <v>851</v>
      </c>
      <c r="B1320" s="34" t="s">
        <v>1231</v>
      </c>
      <c r="C1320" s="34">
        <v>615</v>
      </c>
      <c r="D1320" s="34">
        <v>2077</v>
      </c>
      <c r="E1320" s="34">
        <v>101</v>
      </c>
      <c r="F1320" s="34" t="s">
        <v>1245</v>
      </c>
      <c r="G1320" s="58">
        <v>2305</v>
      </c>
      <c r="H1320" s="58">
        <v>47250</v>
      </c>
      <c r="I1320" s="35">
        <v>43.954000000000001</v>
      </c>
      <c r="J1320" s="9">
        <v>2</v>
      </c>
      <c r="K1320" s="34" t="s">
        <v>238</v>
      </c>
      <c r="L1320" s="10">
        <v>42133</v>
      </c>
      <c r="M1320" s="9" t="s">
        <v>191</v>
      </c>
      <c r="N1320" s="38">
        <v>34.75</v>
      </c>
      <c r="O1320" s="38">
        <v>6.4249999999999998</v>
      </c>
      <c r="P1320" s="38">
        <v>2.2749999999999999</v>
      </c>
      <c r="Q1320" s="38">
        <v>1.3</v>
      </c>
      <c r="R1320" s="38">
        <v>2.9249999999999998</v>
      </c>
      <c r="S1320" s="38">
        <f t="shared" si="165"/>
        <v>3</v>
      </c>
      <c r="T1320" s="38">
        <v>42.35</v>
      </c>
      <c r="U1320" s="38">
        <v>1.625</v>
      </c>
      <c r="V1320" s="38">
        <v>0.47499999999999998</v>
      </c>
      <c r="W1320" s="38">
        <v>0.3</v>
      </c>
      <c r="X1320" s="38">
        <v>6.3470000000000004</v>
      </c>
      <c r="Y1320" s="38">
        <f t="shared" si="166"/>
        <v>6.5</v>
      </c>
      <c r="Z1320" s="38">
        <v>0</v>
      </c>
      <c r="AA1320" s="38">
        <v>0</v>
      </c>
      <c r="AB1320" s="38">
        <f>N1320+O1320+P1320+Q1320</f>
        <v>44.749999999999993</v>
      </c>
      <c r="AC1320" s="38">
        <v>1.3009999999999999</v>
      </c>
      <c r="AD1320" s="38">
        <v>52.4</v>
      </c>
      <c r="AE1320" s="38">
        <v>142.74</v>
      </c>
      <c r="AF1320" s="38">
        <v>7.868E-2</v>
      </c>
      <c r="AG1320" s="38">
        <f t="shared" si="167"/>
        <v>0.1</v>
      </c>
      <c r="AH1320" s="38">
        <v>218.17</v>
      </c>
      <c r="AI1320" s="38">
        <v>0.13869000000000001</v>
      </c>
      <c r="AJ1320" s="38">
        <v>441.36</v>
      </c>
      <c r="AK1320" s="38">
        <v>0.28057100000000001</v>
      </c>
      <c r="AL1320" s="38">
        <v>3.29</v>
      </c>
      <c r="AM1320" s="38">
        <v>2.0899999999999998E-3</v>
      </c>
      <c r="AN1320" s="25"/>
      <c r="AO1320" s="25">
        <f>AE1320*0.5</f>
        <v>71.37</v>
      </c>
      <c r="AP1320" s="25">
        <f>(AD1320+AH1320+AJ1320+AL1320+AO1320)*I1320</f>
        <v>34573.776860000005</v>
      </c>
      <c r="AQ1320" s="25">
        <f>SUM(N1320:Q1320)</f>
        <v>44.749999999999993</v>
      </c>
      <c r="AR1320" s="25">
        <f>SUM(T1320:W1320)</f>
        <v>44.75</v>
      </c>
      <c r="AS1320" s="268">
        <v>43.954000000000001</v>
      </c>
      <c r="AT1320" s="41"/>
      <c r="AU1320" s="41"/>
      <c r="AV1320" s="41"/>
      <c r="AW1320" s="41"/>
      <c r="AX1320" s="22"/>
      <c r="AY1320" s="22"/>
      <c r="AZ1320" s="22"/>
      <c r="BA1320" s="22"/>
      <c r="BB1320" s="22"/>
      <c r="BC1320" s="22"/>
      <c r="BD1320" s="22"/>
      <c r="BE1320" s="22"/>
      <c r="BF1320" s="22"/>
      <c r="BG1320" s="22"/>
      <c r="BH1320" s="22"/>
      <c r="BI1320" s="22"/>
      <c r="BJ1320" s="22"/>
      <c r="BK1320" s="22"/>
      <c r="BL1320" s="22"/>
      <c r="BM1320" s="22"/>
      <c r="BN1320" s="22"/>
      <c r="BO1320" s="22"/>
      <c r="BP1320" s="22"/>
      <c r="BQ1320" s="22"/>
      <c r="BR1320" s="22"/>
      <c r="BS1320" s="22"/>
      <c r="BT1320" s="22"/>
      <c r="BU1320" s="22"/>
      <c r="BV1320" s="22"/>
      <c r="BW1320" s="22"/>
      <c r="BX1320" s="22"/>
      <c r="BY1320" s="22"/>
      <c r="BZ1320" s="22"/>
      <c r="CA1320" s="22"/>
      <c r="CB1320" s="22"/>
      <c r="CC1320" s="22"/>
      <c r="CD1320" s="22"/>
      <c r="CE1320" s="22"/>
      <c r="CF1320" s="22"/>
      <c r="CG1320" s="22"/>
      <c r="CH1320" s="22"/>
      <c r="CI1320" s="22"/>
      <c r="CJ1320" s="22"/>
    </row>
    <row r="1321" spans="1:88">
      <c r="A1321" s="1">
        <v>1750</v>
      </c>
      <c r="B1321" s="34" t="s">
        <v>2324</v>
      </c>
      <c r="C1321" s="34">
        <v>423</v>
      </c>
      <c r="D1321" s="8">
        <v>3546</v>
      </c>
      <c r="E1321" s="34">
        <v>100</v>
      </c>
      <c r="F1321" s="34" t="s">
        <v>2346</v>
      </c>
      <c r="G1321" s="58">
        <v>0</v>
      </c>
      <c r="H1321" s="58">
        <v>3397</v>
      </c>
      <c r="I1321" s="35">
        <v>3.3969999999999998</v>
      </c>
      <c r="J1321" s="9">
        <v>2</v>
      </c>
      <c r="K1321" s="34" t="s">
        <v>238</v>
      </c>
      <c r="L1321" s="10">
        <v>42235</v>
      </c>
      <c r="M1321" s="9" t="s">
        <v>191</v>
      </c>
      <c r="N1321" s="38">
        <v>2.548</v>
      </c>
      <c r="O1321" s="38">
        <v>0.63700000000000001</v>
      </c>
      <c r="P1321" s="38">
        <v>0.21199999999999999</v>
      </c>
      <c r="Q1321" s="38">
        <v>0</v>
      </c>
      <c r="R1321" s="38">
        <v>2.4420000000000002</v>
      </c>
      <c r="S1321" s="38">
        <f t="shared" si="165"/>
        <v>2.5</v>
      </c>
      <c r="T1321" s="38">
        <v>2.548</v>
      </c>
      <c r="U1321" s="38">
        <v>0.63700000000000001</v>
      </c>
      <c r="V1321" s="38">
        <v>0.21199999999999999</v>
      </c>
      <c r="W1321" s="38">
        <v>0</v>
      </c>
      <c r="X1321" s="38">
        <v>7.6589999999999998</v>
      </c>
      <c r="Y1321" s="38">
        <f t="shared" si="166"/>
        <v>7.5</v>
      </c>
      <c r="Z1321" s="38">
        <v>0</v>
      </c>
      <c r="AA1321" s="117">
        <v>0</v>
      </c>
      <c r="AB1321" s="35">
        <v>3.3969999999999998</v>
      </c>
      <c r="AC1321" s="38">
        <v>1.216</v>
      </c>
      <c r="AD1321" s="38">
        <v>5.76</v>
      </c>
      <c r="AE1321" s="38">
        <v>7.14</v>
      </c>
      <c r="AF1321" s="38">
        <f>(AD1321+AE1321*0.5)/(3.5*I1321*1000)*100</f>
        <v>7.8472601875604522E-2</v>
      </c>
      <c r="AG1321" s="38">
        <f t="shared" si="167"/>
        <v>0.1</v>
      </c>
      <c r="AH1321" s="38">
        <v>0</v>
      </c>
      <c r="AI1321" s="38">
        <f>AH1321/(3.5*I1321*1000)*100</f>
        <v>0</v>
      </c>
      <c r="AJ1321" s="38">
        <v>0</v>
      </c>
      <c r="AK1321" s="38">
        <f>AJ1321/(3.5*I1321*1000)*100</f>
        <v>0</v>
      </c>
      <c r="AL1321" s="38">
        <v>0</v>
      </c>
      <c r="AM1321" s="38">
        <v>0</v>
      </c>
      <c r="AN1321" s="25"/>
      <c r="AO1321" s="12">
        <f>AE1321*0.5</f>
        <v>3.57</v>
      </c>
      <c r="AP1321" s="12">
        <f>(AD1321+AH1321+AJ1321+AL1321+AO1321)*I1321</f>
        <v>31.694009999999999</v>
      </c>
      <c r="AQ1321" s="25">
        <f>SUM(N1321:Q1321)</f>
        <v>3.3970000000000002</v>
      </c>
      <c r="AR1321" s="25">
        <f>SUM(T1321:W1321)</f>
        <v>3.3970000000000002</v>
      </c>
      <c r="AS1321" s="22"/>
      <c r="AT1321" s="41"/>
      <c r="AU1321" s="41"/>
      <c r="AV1321" s="41"/>
      <c r="AW1321" s="41"/>
      <c r="AX1321" s="22"/>
      <c r="AY1321" s="22"/>
      <c r="AZ1321" s="22"/>
      <c r="BA1321" s="22"/>
      <c r="BB1321" s="22"/>
      <c r="BC1321" s="22"/>
      <c r="BD1321" s="22"/>
      <c r="BE1321" s="22"/>
      <c r="BF1321" s="22"/>
      <c r="BG1321" s="22"/>
      <c r="BH1321" s="22"/>
      <c r="BI1321" s="22"/>
      <c r="BJ1321" s="22"/>
      <c r="BK1321" s="22"/>
      <c r="BL1321" s="22"/>
      <c r="BM1321" s="22"/>
      <c r="BN1321" s="22"/>
      <c r="BO1321" s="22"/>
      <c r="BP1321" s="22"/>
      <c r="BQ1321" s="22"/>
      <c r="BR1321" s="22"/>
      <c r="BS1321" s="22"/>
      <c r="BT1321" s="22"/>
      <c r="BU1321" s="22"/>
      <c r="BV1321" s="22"/>
      <c r="BW1321" s="22"/>
      <c r="BX1321" s="22"/>
      <c r="BY1321" s="22"/>
      <c r="BZ1321" s="22"/>
      <c r="CA1321" s="22"/>
      <c r="CB1321" s="22"/>
      <c r="CC1321" s="22"/>
      <c r="CD1321" s="22"/>
      <c r="CE1321" s="22"/>
      <c r="CF1321" s="22"/>
      <c r="CG1321" s="22"/>
      <c r="CH1321" s="22"/>
      <c r="CI1321" s="22"/>
      <c r="CJ1321" s="22"/>
    </row>
    <row r="1322" spans="1:88">
      <c r="A1322" s="1">
        <v>1548</v>
      </c>
      <c r="B1322" s="34" t="s">
        <v>2121</v>
      </c>
      <c r="C1322" s="34">
        <v>415</v>
      </c>
      <c r="D1322" s="69">
        <v>3242</v>
      </c>
      <c r="E1322" s="34">
        <v>100</v>
      </c>
      <c r="F1322" s="34" t="s">
        <v>2127</v>
      </c>
      <c r="G1322" s="58" t="s">
        <v>2129</v>
      </c>
      <c r="H1322" s="58" t="s">
        <v>2128</v>
      </c>
      <c r="I1322" s="51">
        <v>12.53</v>
      </c>
      <c r="J1322" s="34">
        <v>6</v>
      </c>
      <c r="K1322" s="34" t="s">
        <v>96</v>
      </c>
      <c r="L1322" s="10">
        <v>42242</v>
      </c>
      <c r="M1322" s="9" t="s">
        <v>191</v>
      </c>
      <c r="N1322" s="38">
        <v>10.38</v>
      </c>
      <c r="O1322" s="38">
        <v>1.575</v>
      </c>
      <c r="P1322" s="38">
        <v>0.45</v>
      </c>
      <c r="Q1322" s="38">
        <v>0.3</v>
      </c>
      <c r="R1322" s="38">
        <v>2.4181599999999999</v>
      </c>
      <c r="S1322" s="38">
        <f t="shared" si="165"/>
        <v>2.5</v>
      </c>
      <c r="T1322" s="38">
        <v>11.45</v>
      </c>
      <c r="U1322" s="38">
        <v>1.175</v>
      </c>
      <c r="V1322" s="38">
        <v>7.4999999999999997E-2</v>
      </c>
      <c r="W1322" s="38">
        <v>0</v>
      </c>
      <c r="X1322" s="38">
        <v>5.0570899999999996</v>
      </c>
      <c r="Y1322" s="38">
        <f t="shared" si="166"/>
        <v>5</v>
      </c>
      <c r="Z1322" s="117">
        <v>0</v>
      </c>
      <c r="AA1322" s="117">
        <v>0</v>
      </c>
      <c r="AB1322" s="117">
        <f>SUM(N1322:Q1322)</f>
        <v>12.705</v>
      </c>
      <c r="AC1322" s="38">
        <v>1.0886499999999999</v>
      </c>
      <c r="AD1322" s="38">
        <v>0</v>
      </c>
      <c r="AE1322" s="38">
        <v>68.81</v>
      </c>
      <c r="AF1322" s="38">
        <v>7.8450000000000006E-2</v>
      </c>
      <c r="AG1322" s="38">
        <f t="shared" si="167"/>
        <v>0.1</v>
      </c>
      <c r="AH1322" s="38">
        <v>0</v>
      </c>
      <c r="AI1322" s="38">
        <v>0</v>
      </c>
      <c r="AJ1322" s="38">
        <v>0</v>
      </c>
      <c r="AK1322" s="38">
        <v>0</v>
      </c>
      <c r="AL1322" s="38">
        <v>0</v>
      </c>
      <c r="AM1322" s="38">
        <v>0</v>
      </c>
      <c r="AN1322" s="25"/>
      <c r="AO1322" s="12">
        <f>AE1322*0.5</f>
        <v>34.405000000000001</v>
      </c>
      <c r="AP1322" s="12">
        <f>(AD1322+AH1322+AJ1322+AL1322+AO1322)*I1322</f>
        <v>431.09465</v>
      </c>
      <c r="AQ1322" s="25">
        <f>SUM(N1322:Q1322)</f>
        <v>12.705</v>
      </c>
      <c r="AR1322" s="25">
        <f>SUM(T1322:W1322)</f>
        <v>12.7</v>
      </c>
      <c r="AS1322" s="25"/>
      <c r="AT1322" s="22"/>
      <c r="AU1322" s="41"/>
      <c r="AV1322" s="41"/>
      <c r="AW1322" s="41"/>
      <c r="AX1322" s="41"/>
      <c r="AY1322" s="22"/>
      <c r="AZ1322" s="22"/>
      <c r="BA1322" s="22"/>
      <c r="BB1322" s="22"/>
      <c r="BC1322" s="22"/>
      <c r="BD1322" s="22"/>
      <c r="BE1322" s="22"/>
      <c r="BF1322" s="22"/>
      <c r="BG1322" s="22"/>
      <c r="BH1322" s="22"/>
      <c r="BI1322" s="22"/>
      <c r="BJ1322" s="22"/>
      <c r="BK1322" s="22"/>
      <c r="BL1322" s="22"/>
      <c r="BM1322" s="22"/>
      <c r="BN1322" s="22"/>
      <c r="BO1322" s="22"/>
      <c r="BP1322" s="22"/>
      <c r="BQ1322" s="22"/>
      <c r="BR1322" s="22"/>
      <c r="BS1322" s="22"/>
      <c r="BT1322" s="22"/>
      <c r="BU1322" s="22"/>
      <c r="BV1322" s="22"/>
      <c r="BW1322" s="22"/>
      <c r="BX1322" s="22"/>
      <c r="BY1322" s="22"/>
      <c r="BZ1322" s="22"/>
      <c r="CA1322" s="22"/>
      <c r="CB1322" s="22"/>
      <c r="CC1322" s="22"/>
      <c r="CD1322" s="22"/>
      <c r="CE1322" s="22"/>
      <c r="CF1322" s="22"/>
      <c r="CG1322" s="22"/>
      <c r="CH1322" s="22"/>
      <c r="CI1322" s="22"/>
      <c r="CJ1322" s="22"/>
    </row>
    <row r="1323" spans="1:88">
      <c r="A1323" s="1">
        <v>30</v>
      </c>
      <c r="B1323" s="4" t="s">
        <v>21</v>
      </c>
      <c r="C1323" s="14">
        <v>522</v>
      </c>
      <c r="D1323" s="19">
        <v>1004</v>
      </c>
      <c r="E1323" s="16">
        <v>100</v>
      </c>
      <c r="F1323" s="16" t="s">
        <v>26</v>
      </c>
      <c r="G1323" s="20">
        <v>3250</v>
      </c>
      <c r="H1323" s="20">
        <v>19527</v>
      </c>
      <c r="I1323" s="21">
        <v>16.277000000000001</v>
      </c>
      <c r="J1323" s="8">
        <v>2</v>
      </c>
      <c r="K1323" s="9" t="s">
        <v>238</v>
      </c>
      <c r="L1323" s="24">
        <v>42236</v>
      </c>
      <c r="M1323" s="9" t="s">
        <v>191</v>
      </c>
      <c r="N1323" s="11">
        <v>1.625</v>
      </c>
      <c r="O1323" s="11">
        <v>6.125</v>
      </c>
      <c r="P1323" s="11">
        <v>5.8</v>
      </c>
      <c r="Q1323" s="11">
        <v>2.375</v>
      </c>
      <c r="R1323" s="11">
        <v>3.8547600000000002</v>
      </c>
      <c r="S1323" s="38">
        <f t="shared" si="165"/>
        <v>4</v>
      </c>
      <c r="T1323" s="11">
        <v>15.7</v>
      </c>
      <c r="U1323" s="11">
        <v>0.2</v>
      </c>
      <c r="V1323" s="11">
        <v>2.5000000000000001E-2</v>
      </c>
      <c r="W1323" s="11">
        <v>0</v>
      </c>
      <c r="X1323" s="11">
        <v>3.6125099999999999</v>
      </c>
      <c r="Y1323" s="38">
        <f t="shared" si="166"/>
        <v>3.5</v>
      </c>
      <c r="Z1323" s="11">
        <v>0</v>
      </c>
      <c r="AA1323" s="11">
        <v>0</v>
      </c>
      <c r="AB1323" s="11">
        <f>SUM(N1323:Q1323)</f>
        <v>15.925000000000001</v>
      </c>
      <c r="AC1323" s="11">
        <v>1.2647699999999999</v>
      </c>
      <c r="AD1323" s="11">
        <v>38.090000000000003</v>
      </c>
      <c r="AE1323" s="11">
        <v>13.13</v>
      </c>
      <c r="AF1323" s="11">
        <f>(AD1323+AE1323*0.5)/(3.5*I1323*1000)*100</f>
        <v>7.8384047604419915E-2</v>
      </c>
      <c r="AG1323" s="38">
        <f t="shared" si="167"/>
        <v>0.1</v>
      </c>
      <c r="AH1323" s="11">
        <v>0</v>
      </c>
      <c r="AI1323" s="11">
        <f>AH1323/(3.5*I1323*1000)*100</f>
        <v>0</v>
      </c>
      <c r="AJ1323" s="11">
        <v>0</v>
      </c>
      <c r="AK1323" s="11">
        <f>AJ1323/(3.5*I1323*1000)*100</f>
        <v>0</v>
      </c>
      <c r="AL1323" s="11">
        <v>0</v>
      </c>
      <c r="AM1323" s="11">
        <f>AL1323/(3.5*I1323*1000)*100</f>
        <v>0</v>
      </c>
      <c r="AN1323" s="22"/>
      <c r="AO1323" s="25"/>
      <c r="AP1323" s="25"/>
      <c r="AQ1323" s="22"/>
      <c r="AR1323" s="22"/>
      <c r="AS1323" s="22"/>
      <c r="AT1323" s="22"/>
      <c r="AU1323" s="22"/>
      <c r="AV1323" s="22"/>
      <c r="AW1323" s="22"/>
      <c r="AX1323" s="22"/>
      <c r="AY1323" s="22"/>
      <c r="AZ1323" s="22"/>
      <c r="BA1323" s="22"/>
      <c r="BB1323" s="22"/>
      <c r="BC1323" s="22"/>
      <c r="BD1323" s="22"/>
      <c r="BE1323" s="22"/>
      <c r="BF1323" s="22"/>
      <c r="BG1323" s="22"/>
      <c r="BH1323" s="22"/>
      <c r="BI1323" s="22"/>
      <c r="BJ1323" s="22"/>
      <c r="BK1323" s="22"/>
      <c r="BL1323" s="22"/>
      <c r="BM1323" s="22"/>
      <c r="BN1323" s="22"/>
      <c r="BO1323" s="22"/>
      <c r="BP1323" s="22"/>
      <c r="BQ1323" s="22"/>
      <c r="BR1323" s="22"/>
      <c r="BS1323" s="22"/>
      <c r="BT1323" s="22"/>
      <c r="BU1323" s="22"/>
      <c r="BV1323" s="22"/>
      <c r="BW1323" s="22"/>
      <c r="BX1323" s="22"/>
      <c r="BY1323" s="22"/>
      <c r="BZ1323" s="22"/>
      <c r="CA1323" s="22"/>
      <c r="CB1323" s="22"/>
      <c r="CC1323" s="22"/>
      <c r="CD1323" s="22"/>
      <c r="CE1323" s="22"/>
      <c r="CF1323" s="22"/>
      <c r="CG1323" s="22"/>
      <c r="CH1323" s="22"/>
      <c r="CI1323" s="22"/>
      <c r="CJ1323" s="22"/>
    </row>
    <row r="1324" spans="1:88">
      <c r="A1324" s="1">
        <v>1466</v>
      </c>
      <c r="B1324" s="34" t="s">
        <v>1987</v>
      </c>
      <c r="C1324" s="34">
        <v>448</v>
      </c>
      <c r="D1324" s="75">
        <v>3483</v>
      </c>
      <c r="E1324" s="69">
        <v>100</v>
      </c>
      <c r="F1324" s="34" t="s">
        <v>2014</v>
      </c>
      <c r="G1324" s="20">
        <v>5474</v>
      </c>
      <c r="H1324" s="20">
        <v>0</v>
      </c>
      <c r="I1324" s="21">
        <v>5.4740000000000002</v>
      </c>
      <c r="J1324" s="8">
        <v>2</v>
      </c>
      <c r="K1324" s="34" t="s">
        <v>12</v>
      </c>
      <c r="L1324" s="10">
        <v>42181</v>
      </c>
      <c r="M1324" s="9" t="s">
        <v>191</v>
      </c>
      <c r="N1324" s="38">
        <v>3.25</v>
      </c>
      <c r="O1324" s="38">
        <v>1.65</v>
      </c>
      <c r="P1324" s="38">
        <v>0.42499999999999999</v>
      </c>
      <c r="Q1324" s="38">
        <v>0.1</v>
      </c>
      <c r="R1324" s="38">
        <v>2.5245199999999999</v>
      </c>
      <c r="S1324" s="38">
        <f t="shared" si="165"/>
        <v>2.5</v>
      </c>
      <c r="T1324" s="38">
        <v>5.35</v>
      </c>
      <c r="U1324" s="38">
        <v>2.5000000000000001E-2</v>
      </c>
      <c r="V1324" s="38">
        <v>2.5000000000000001E-2</v>
      </c>
      <c r="W1324" s="38">
        <v>2.5000000000000001E-2</v>
      </c>
      <c r="X1324" s="38">
        <v>2.4983900000000001</v>
      </c>
      <c r="Y1324" s="38">
        <f t="shared" si="166"/>
        <v>2.5</v>
      </c>
      <c r="Z1324" s="38">
        <v>0</v>
      </c>
      <c r="AA1324" s="38">
        <v>0</v>
      </c>
      <c r="AB1324" s="38">
        <v>5.4249999999999998</v>
      </c>
      <c r="AC1324" s="38">
        <v>1.0806</v>
      </c>
      <c r="AD1324" s="38">
        <v>12</v>
      </c>
      <c r="AE1324" s="38">
        <v>6</v>
      </c>
      <c r="AF1324" s="38">
        <f>(AD1324+AE1324*0.5)/(3.5*I1324*1000)*100</f>
        <v>7.8292186439793313E-2</v>
      </c>
      <c r="AG1324" s="38">
        <f t="shared" si="167"/>
        <v>0.1</v>
      </c>
      <c r="AH1324" s="38">
        <v>1</v>
      </c>
      <c r="AI1324" s="38">
        <f>AH1324/(3.5*I1324*1000)*100</f>
        <v>5.2194790959862207E-3</v>
      </c>
      <c r="AJ1324" s="38">
        <v>0</v>
      </c>
      <c r="AK1324" s="38">
        <f>AJ1324/(3.5*I1324*1000)*100</f>
        <v>0</v>
      </c>
      <c r="AL1324" s="38">
        <v>0</v>
      </c>
      <c r="AM1324" s="38">
        <f>AL1324/(3.5*I1324*1000)*100</f>
        <v>0</v>
      </c>
      <c r="AN1324" s="72"/>
      <c r="AO1324" s="41"/>
      <c r="AP1324" s="41"/>
      <c r="AQ1324" s="73"/>
      <c r="AR1324" s="73"/>
      <c r="AS1324" s="73"/>
      <c r="AT1324" s="73"/>
      <c r="AU1324" s="73"/>
      <c r="AV1324" s="73"/>
      <c r="AW1324" s="22"/>
      <c r="AX1324" s="22"/>
      <c r="AY1324" s="22"/>
      <c r="AZ1324" s="22"/>
      <c r="BA1324" s="22"/>
      <c r="BB1324" s="22"/>
      <c r="BC1324" s="22"/>
      <c r="BD1324" s="22"/>
      <c r="BE1324" s="22"/>
      <c r="BF1324" s="22"/>
      <c r="BG1324" s="22"/>
      <c r="BH1324" s="22"/>
      <c r="BI1324" s="22"/>
      <c r="BJ1324" s="22"/>
      <c r="BK1324" s="22"/>
      <c r="BL1324" s="22"/>
      <c r="BM1324" s="22"/>
      <c r="BN1324" s="22"/>
      <c r="BO1324" s="22"/>
      <c r="BP1324" s="22"/>
      <c r="BQ1324" s="22"/>
      <c r="BR1324" s="22"/>
      <c r="BS1324" s="22"/>
      <c r="BT1324" s="22"/>
      <c r="BU1324" s="22"/>
      <c r="BV1324" s="22"/>
      <c r="BW1324" s="22"/>
      <c r="BX1324" s="22"/>
      <c r="BY1324" s="22"/>
      <c r="BZ1324" s="22"/>
      <c r="CA1324" s="22"/>
      <c r="CB1324" s="22"/>
      <c r="CC1324" s="22"/>
      <c r="CD1324" s="22"/>
      <c r="CE1324" s="22"/>
      <c r="CF1324" s="22"/>
      <c r="CG1324" s="22"/>
      <c r="CH1324" s="22"/>
      <c r="CI1324" s="22"/>
      <c r="CJ1324" s="22"/>
    </row>
    <row r="1325" spans="1:88">
      <c r="A1325" s="1">
        <v>884</v>
      </c>
      <c r="B1325" s="34" t="s">
        <v>1271</v>
      </c>
      <c r="C1325" s="34">
        <v>632</v>
      </c>
      <c r="D1325" s="148">
        <v>2182</v>
      </c>
      <c r="E1325" s="34">
        <v>101</v>
      </c>
      <c r="F1325" s="34" t="s">
        <v>1277</v>
      </c>
      <c r="G1325" s="58">
        <v>289</v>
      </c>
      <c r="H1325" s="58">
        <v>35000</v>
      </c>
      <c r="I1325" s="35">
        <v>34.710999999999999</v>
      </c>
      <c r="J1325" s="9">
        <v>2</v>
      </c>
      <c r="K1325" s="34" t="s">
        <v>238</v>
      </c>
      <c r="L1325" s="10">
        <v>42144</v>
      </c>
      <c r="M1325" s="9" t="s">
        <v>191</v>
      </c>
      <c r="N1325" s="38">
        <v>22.675000000000001</v>
      </c>
      <c r="O1325" s="38">
        <v>7.3</v>
      </c>
      <c r="P1325" s="38">
        <v>2.6</v>
      </c>
      <c r="Q1325" s="38">
        <v>1.5</v>
      </c>
      <c r="R1325" s="38">
        <v>3.8931200000000001</v>
      </c>
      <c r="S1325" s="38">
        <f t="shared" si="165"/>
        <v>4</v>
      </c>
      <c r="T1325" s="38">
        <v>31.65</v>
      </c>
      <c r="U1325" s="38">
        <v>1.9</v>
      </c>
      <c r="V1325" s="38">
        <v>0.45</v>
      </c>
      <c r="W1325" s="38">
        <v>7.4999999999999997E-2</v>
      </c>
      <c r="X1325" s="38">
        <v>5.6894799999999996</v>
      </c>
      <c r="Y1325" s="38">
        <f t="shared" si="166"/>
        <v>5.5</v>
      </c>
      <c r="Z1325" s="38">
        <v>0</v>
      </c>
      <c r="AA1325" s="38">
        <v>0</v>
      </c>
      <c r="AB1325" s="38">
        <f>N1325+O1325+P1325+Q1325</f>
        <v>34.075000000000003</v>
      </c>
      <c r="AC1325" s="38">
        <v>1.5627599999999999</v>
      </c>
      <c r="AD1325" s="38">
        <v>90.94</v>
      </c>
      <c r="AE1325" s="38">
        <v>6.45</v>
      </c>
      <c r="AF1325" s="38">
        <v>7.7508999999999995E-2</v>
      </c>
      <c r="AG1325" s="38">
        <f t="shared" si="167"/>
        <v>0.1</v>
      </c>
      <c r="AH1325" s="38">
        <v>118.28</v>
      </c>
      <c r="AI1325" s="38">
        <v>9.7359000000000001E-2</v>
      </c>
      <c r="AJ1325" s="38">
        <v>0</v>
      </c>
      <c r="AK1325" s="38">
        <v>0</v>
      </c>
      <c r="AL1325" s="38">
        <v>0</v>
      </c>
      <c r="AM1325" s="38">
        <v>0</v>
      </c>
      <c r="AN1325" s="25"/>
      <c r="AO1325" s="25">
        <f>AE1325*0.5</f>
        <v>3.2250000000000001</v>
      </c>
      <c r="AP1325" s="25">
        <f>(AD1325+AH1325+AJ1325+AL1325+AO1325)*I1325</f>
        <v>7374.178394999999</v>
      </c>
      <c r="AQ1325" s="25">
        <f>SUM(N1325:Q1325)</f>
        <v>34.075000000000003</v>
      </c>
      <c r="AR1325" s="25">
        <f>SUM(T1325:W1325)</f>
        <v>34.075000000000003</v>
      </c>
      <c r="AS1325" s="22"/>
      <c r="AT1325" s="41"/>
      <c r="AU1325" s="41"/>
      <c r="AV1325" s="41"/>
      <c r="AW1325" s="41"/>
      <c r="AX1325" s="22"/>
      <c r="AY1325" s="22"/>
      <c r="AZ1325" s="22"/>
      <c r="BA1325" s="22"/>
      <c r="BB1325" s="22"/>
      <c r="BC1325" s="22"/>
      <c r="BD1325" s="22"/>
      <c r="BE1325" s="22"/>
      <c r="BF1325" s="22"/>
      <c r="BG1325" s="22"/>
      <c r="BH1325" s="22"/>
      <c r="BI1325" s="22"/>
      <c r="BJ1325" s="22"/>
      <c r="BK1325" s="22"/>
      <c r="BL1325" s="22"/>
      <c r="BM1325" s="22"/>
      <c r="BN1325" s="22"/>
      <c r="BO1325" s="22"/>
      <c r="BP1325" s="22"/>
      <c r="BQ1325" s="22"/>
      <c r="BR1325" s="22"/>
      <c r="BS1325" s="22"/>
      <c r="BT1325" s="22"/>
      <c r="BU1325" s="22"/>
      <c r="BV1325" s="22"/>
      <c r="BW1325" s="22"/>
      <c r="BX1325" s="22"/>
      <c r="BY1325" s="22"/>
      <c r="BZ1325" s="22"/>
      <c r="CA1325" s="22"/>
      <c r="CB1325" s="22"/>
      <c r="CC1325" s="22"/>
      <c r="CD1325" s="22"/>
      <c r="CE1325" s="22"/>
      <c r="CF1325" s="22"/>
      <c r="CG1325" s="22"/>
      <c r="CH1325" s="22"/>
      <c r="CI1325" s="22"/>
      <c r="CJ1325" s="22"/>
    </row>
    <row r="1326" spans="1:88">
      <c r="A1326" s="1">
        <v>442</v>
      </c>
      <c r="B1326" s="74" t="s">
        <v>699</v>
      </c>
      <c r="C1326" s="34">
        <v>513</v>
      </c>
      <c r="D1326" s="75">
        <v>1293</v>
      </c>
      <c r="E1326" s="69">
        <v>100</v>
      </c>
      <c r="F1326" s="76" t="s">
        <v>751</v>
      </c>
      <c r="G1326" s="58" t="s">
        <v>92</v>
      </c>
      <c r="H1326" s="58" t="s">
        <v>690</v>
      </c>
      <c r="I1326" s="55">
        <v>25.024999999999999</v>
      </c>
      <c r="J1326" s="5" t="s">
        <v>238</v>
      </c>
      <c r="K1326" s="34">
        <v>2</v>
      </c>
      <c r="L1326" s="18">
        <v>42264</v>
      </c>
      <c r="M1326" s="9" t="s">
        <v>191</v>
      </c>
      <c r="N1326" s="38">
        <v>17.170000000000002</v>
      </c>
      <c r="O1326" s="38">
        <v>4.6100000000000003</v>
      </c>
      <c r="P1326" s="38">
        <v>2.12</v>
      </c>
      <c r="Q1326" s="38">
        <v>1.1299999999999999</v>
      </c>
      <c r="R1326" s="38">
        <v>2.4938400000000001</v>
      </c>
      <c r="S1326" s="38">
        <f t="shared" si="165"/>
        <v>2.5</v>
      </c>
      <c r="T1326" s="38">
        <v>24.3</v>
      </c>
      <c r="U1326" s="38">
        <v>0.56999999999999995</v>
      </c>
      <c r="V1326" s="38">
        <v>0.15</v>
      </c>
      <c r="W1326" s="38">
        <v>0</v>
      </c>
      <c r="X1326" s="38">
        <v>2.9685999999999999</v>
      </c>
      <c r="Y1326" s="38">
        <f t="shared" si="166"/>
        <v>3</v>
      </c>
      <c r="Z1326" s="38">
        <v>0</v>
      </c>
      <c r="AA1326" s="38">
        <v>0</v>
      </c>
      <c r="AB1326" s="38">
        <v>25.03</v>
      </c>
      <c r="AC1326" s="38">
        <v>1.29114</v>
      </c>
      <c r="AD1326" s="38">
        <v>65.158000000000001</v>
      </c>
      <c r="AE1326" s="38">
        <v>5.2</v>
      </c>
      <c r="AF1326" s="38">
        <f>(AD1326+AE1326*0.5)/(3.5*I1326*1000)*100</f>
        <v>7.7360353931782505E-2</v>
      </c>
      <c r="AG1326" s="38">
        <f t="shared" si="167"/>
        <v>0.1</v>
      </c>
      <c r="AH1326" s="38">
        <v>147.28</v>
      </c>
      <c r="AI1326" s="38">
        <f>AH1326/(3.5*I1326*1000)*100</f>
        <v>0.16815184815184819</v>
      </c>
      <c r="AJ1326" s="38">
        <v>0</v>
      </c>
      <c r="AK1326" s="38">
        <f>AJ1326/(3.5*I1326*1000)*100</f>
        <v>0</v>
      </c>
      <c r="AL1326" s="38">
        <v>0</v>
      </c>
      <c r="AM1326" s="38">
        <f>AL1326/(3.5*I1326*1000)*100</f>
        <v>0</v>
      </c>
      <c r="AN1326" s="41"/>
      <c r="AO1326" s="41"/>
      <c r="AP1326" s="73"/>
      <c r="AQ1326" s="41">
        <f>SUM(N1326:Q1326)</f>
        <v>25.03</v>
      </c>
      <c r="AR1326" s="41">
        <f>SUM(T1326:W1326)</f>
        <v>25.02</v>
      </c>
      <c r="AS1326" s="41">
        <f>SUM(Z1326:AB1326)</f>
        <v>25.03</v>
      </c>
      <c r="AT1326" s="22"/>
      <c r="AU1326" s="22">
        <f>I1326/AQ1326</f>
        <v>0.99980023971234511</v>
      </c>
      <c r="AV1326" s="22">
        <f>I1326/AR1326</f>
        <v>1.0001998401278975</v>
      </c>
      <c r="AW1326" s="22">
        <f>I1326/AS1326</f>
        <v>0.99980023971234511</v>
      </c>
      <c r="AX1326" s="73"/>
      <c r="AY1326" s="73"/>
      <c r="AZ1326" s="73"/>
      <c r="BA1326" s="73"/>
      <c r="BB1326" s="73"/>
      <c r="BC1326" s="73"/>
      <c r="BD1326" s="73"/>
      <c r="BE1326" s="73"/>
      <c r="BF1326" s="73"/>
      <c r="BG1326" s="73"/>
      <c r="BH1326" s="73"/>
      <c r="BI1326" s="73"/>
      <c r="BJ1326" s="73"/>
      <c r="BK1326" s="73"/>
      <c r="BL1326" s="73"/>
      <c r="BM1326" s="73"/>
      <c r="BN1326" s="73"/>
      <c r="BO1326" s="73"/>
      <c r="BP1326" s="73"/>
      <c r="BQ1326" s="73"/>
      <c r="BR1326" s="73"/>
      <c r="BS1326" s="73"/>
      <c r="BT1326" s="73"/>
      <c r="BU1326" s="73"/>
      <c r="BV1326" s="73"/>
      <c r="BW1326" s="73"/>
      <c r="BX1326" s="73"/>
      <c r="BY1326" s="73"/>
      <c r="BZ1326" s="73"/>
      <c r="CA1326" s="73"/>
      <c r="CB1326" s="73"/>
      <c r="CC1326" s="73"/>
      <c r="CD1326" s="73"/>
      <c r="CE1326" s="73"/>
      <c r="CF1326" s="73"/>
      <c r="CG1326" s="73"/>
      <c r="CH1326" s="73"/>
      <c r="CI1326" s="73"/>
      <c r="CJ1326" s="73"/>
    </row>
    <row r="1327" spans="1:88">
      <c r="A1327" s="1">
        <v>1700</v>
      </c>
      <c r="B1327" s="34" t="s">
        <v>2279</v>
      </c>
      <c r="C1327" s="34">
        <v>421</v>
      </c>
      <c r="D1327" s="8">
        <v>3640</v>
      </c>
      <c r="E1327" s="34">
        <v>100</v>
      </c>
      <c r="F1327" s="34" t="s">
        <v>2298</v>
      </c>
      <c r="G1327" s="58">
        <v>3197</v>
      </c>
      <c r="H1327" s="58">
        <v>0</v>
      </c>
      <c r="I1327" s="35">
        <v>3.1970000000000001</v>
      </c>
      <c r="J1327" s="9">
        <v>2</v>
      </c>
      <c r="K1327" s="34" t="s">
        <v>12</v>
      </c>
      <c r="L1327" s="10">
        <v>42226</v>
      </c>
      <c r="M1327" s="9" t="s">
        <v>191</v>
      </c>
      <c r="N1327" s="38">
        <v>1.625</v>
      </c>
      <c r="O1327" s="38">
        <v>1.0249999999999999</v>
      </c>
      <c r="P1327" s="38">
        <v>0.42499999999999999</v>
      </c>
      <c r="Q1327" s="38">
        <v>0.17499999999999999</v>
      </c>
      <c r="R1327" s="38">
        <v>2.7399200000000001</v>
      </c>
      <c r="S1327" s="38">
        <f t="shared" si="165"/>
        <v>2.5</v>
      </c>
      <c r="T1327" s="38">
        <v>0.05</v>
      </c>
      <c r="U1327" s="38">
        <v>0.05</v>
      </c>
      <c r="V1327" s="38">
        <v>0</v>
      </c>
      <c r="W1327" s="38">
        <v>3.15</v>
      </c>
      <c r="X1327" s="38">
        <v>53.8035</v>
      </c>
      <c r="Y1327" s="38">
        <f t="shared" si="166"/>
        <v>54</v>
      </c>
      <c r="Z1327" s="38">
        <v>0</v>
      </c>
      <c r="AA1327" s="38">
        <v>0</v>
      </c>
      <c r="AB1327" s="38">
        <v>3.1970000000000001</v>
      </c>
      <c r="AC1327" s="38">
        <v>1.0996999999999999</v>
      </c>
      <c r="AD1327" s="38">
        <v>0</v>
      </c>
      <c r="AE1327" s="38">
        <v>17.239999999999998</v>
      </c>
      <c r="AF1327" s="38">
        <f>(AD1327+AE1327*0.5)/(3.5*I1327*1000)*100</f>
        <v>7.7036507440010712E-2</v>
      </c>
      <c r="AG1327" s="38">
        <f t="shared" si="167"/>
        <v>0.1</v>
      </c>
      <c r="AH1327" s="38">
        <v>0</v>
      </c>
      <c r="AI1327" s="38">
        <f>AH1327/(3.5*I1327*1000)*100</f>
        <v>0</v>
      </c>
      <c r="AJ1327" s="38">
        <v>0</v>
      </c>
      <c r="AK1327" s="38">
        <f>AJ1327/(3.5*I1327*1000)*100</f>
        <v>0</v>
      </c>
      <c r="AL1327" s="38">
        <v>0</v>
      </c>
      <c r="AM1327" s="38">
        <f>AL1327/(3.5*I1327*1000)*100</f>
        <v>0</v>
      </c>
      <c r="AN1327" s="25"/>
      <c r="AO1327" s="25">
        <f>AE1327*0.5</f>
        <v>8.6199999999999992</v>
      </c>
      <c r="AP1327" s="25">
        <f>(AD1327+AH1327+AJ1327+AL1327+AO1327)*I1327</f>
        <v>27.558139999999998</v>
      </c>
      <c r="AQ1327" s="25">
        <f>SUM(N1327:Q1327)</f>
        <v>3.2499999999999996</v>
      </c>
      <c r="AR1327" s="25">
        <f>SUM(T1327:W1327)</f>
        <v>3.25</v>
      </c>
      <c r="AS1327" s="22"/>
      <c r="AT1327" s="41"/>
      <c r="AU1327" s="41"/>
      <c r="AV1327" s="41"/>
      <c r="AW1327" s="41"/>
      <c r="AX1327" s="22"/>
      <c r="AY1327" s="22"/>
      <c r="AZ1327" s="22"/>
      <c r="BA1327" s="22"/>
      <c r="BB1327" s="22"/>
      <c r="BC1327" s="22"/>
      <c r="BD1327" s="22"/>
      <c r="BE1327" s="22"/>
      <c r="BF1327" s="22"/>
      <c r="BG1327" s="22"/>
      <c r="BH1327" s="22"/>
      <c r="BI1327" s="22"/>
      <c r="BJ1327" s="22"/>
      <c r="BK1327" s="22"/>
      <c r="BL1327" s="22"/>
      <c r="BM1327" s="22"/>
      <c r="BN1327" s="22"/>
      <c r="BO1327" s="22"/>
      <c r="BP1327" s="22"/>
      <c r="BQ1327" s="22"/>
      <c r="BR1327" s="22"/>
      <c r="BS1327" s="22"/>
      <c r="BT1327" s="22"/>
      <c r="BU1327" s="22"/>
      <c r="BV1327" s="22"/>
      <c r="BW1327" s="22"/>
      <c r="BX1327" s="22"/>
      <c r="BY1327" s="22"/>
      <c r="BZ1327" s="22"/>
      <c r="CA1327" s="22"/>
      <c r="CB1327" s="22"/>
      <c r="CC1327" s="22"/>
      <c r="CD1327" s="22"/>
      <c r="CE1327" s="22"/>
      <c r="CF1327" s="22"/>
      <c r="CG1327" s="22"/>
      <c r="CH1327" s="22"/>
      <c r="CI1327" s="22"/>
      <c r="CJ1327" s="22"/>
    </row>
    <row r="1328" spans="1:88">
      <c r="A1328" s="1">
        <v>520</v>
      </c>
      <c r="B1328" s="88" t="s">
        <v>871</v>
      </c>
      <c r="C1328" s="88">
        <v>557</v>
      </c>
      <c r="D1328" s="88">
        <v>1196</v>
      </c>
      <c r="E1328" s="88">
        <v>100</v>
      </c>
      <c r="F1328" s="88" t="s">
        <v>891</v>
      </c>
      <c r="G1328" s="88" t="s">
        <v>892</v>
      </c>
      <c r="H1328" s="88" t="s">
        <v>92</v>
      </c>
      <c r="I1328" s="115">
        <v>25.85</v>
      </c>
      <c r="J1328" s="88" t="s">
        <v>12</v>
      </c>
      <c r="K1328" s="88">
        <v>2</v>
      </c>
      <c r="L1328" s="116">
        <v>42271</v>
      </c>
      <c r="M1328" s="9" t="s">
        <v>191</v>
      </c>
      <c r="N1328" s="38">
        <v>20.85</v>
      </c>
      <c r="O1328" s="38">
        <v>3.7250000000000001</v>
      </c>
      <c r="P1328" s="38">
        <v>0.92500000000000004</v>
      </c>
      <c r="Q1328" s="38">
        <v>0.33</v>
      </c>
      <c r="R1328" s="38">
        <v>2.0704899999999999</v>
      </c>
      <c r="S1328" s="38">
        <f t="shared" si="165"/>
        <v>2</v>
      </c>
      <c r="T1328" s="38">
        <v>25.5</v>
      </c>
      <c r="U1328" s="38">
        <v>0.32500000000000001</v>
      </c>
      <c r="V1328" s="38">
        <v>0</v>
      </c>
      <c r="W1328" s="38">
        <v>0</v>
      </c>
      <c r="X1328" s="38">
        <v>2.93113</v>
      </c>
      <c r="Y1328" s="38">
        <f t="shared" si="166"/>
        <v>3</v>
      </c>
      <c r="Z1328" s="117">
        <v>0</v>
      </c>
      <c r="AA1328" s="117">
        <v>0</v>
      </c>
      <c r="AB1328" s="117">
        <v>25.830000000000002</v>
      </c>
      <c r="AC1328" s="117">
        <v>1.10483</v>
      </c>
      <c r="AD1328" s="117">
        <v>65.400000000000006</v>
      </c>
      <c r="AE1328" s="117">
        <v>7.5940000000000003</v>
      </c>
      <c r="AF1328" s="117">
        <v>7.6481999999999994E-2</v>
      </c>
      <c r="AG1328" s="38">
        <f t="shared" si="167"/>
        <v>0.1</v>
      </c>
      <c r="AH1328" s="117">
        <v>146.85</v>
      </c>
      <c r="AI1328" s="117">
        <v>0.16231000000000001</v>
      </c>
      <c r="AJ1328" s="117">
        <v>0</v>
      </c>
      <c r="AK1328" s="117">
        <v>0</v>
      </c>
      <c r="AL1328" s="117">
        <v>0</v>
      </c>
      <c r="AM1328" s="117">
        <v>0</v>
      </c>
      <c r="AN1328" s="25"/>
      <c r="AO1328" s="25"/>
      <c r="AP1328" s="22"/>
      <c r="AQ1328" s="22"/>
    </row>
    <row r="1329" spans="1:88">
      <c r="A1329" s="1">
        <v>364</v>
      </c>
      <c r="B1329" s="71" t="s">
        <v>602</v>
      </c>
      <c r="C1329" s="78">
        <v>514</v>
      </c>
      <c r="D1329" s="79">
        <v>105</v>
      </c>
      <c r="E1329" s="80">
        <v>103</v>
      </c>
      <c r="F1329" s="78" t="s">
        <v>606</v>
      </c>
      <c r="G1329" s="81">
        <v>113000</v>
      </c>
      <c r="H1329" s="81">
        <v>190318</v>
      </c>
      <c r="I1329" s="78">
        <v>77.317999999999998</v>
      </c>
      <c r="J1329" s="78">
        <v>2</v>
      </c>
      <c r="K1329" s="78" t="s">
        <v>12</v>
      </c>
      <c r="L1329" s="82">
        <v>42245</v>
      </c>
      <c r="M1329" s="71" t="s">
        <v>191</v>
      </c>
      <c r="N1329" s="83">
        <v>15.1</v>
      </c>
      <c r="O1329" s="83">
        <v>21.475000000000001</v>
      </c>
      <c r="P1329" s="83">
        <v>19.399999999999999</v>
      </c>
      <c r="Q1329" s="83">
        <v>21.45</v>
      </c>
      <c r="R1329" s="83">
        <v>5.0477699999999999</v>
      </c>
      <c r="S1329" s="38">
        <f t="shared" si="165"/>
        <v>5</v>
      </c>
      <c r="T1329" s="83">
        <v>66.625</v>
      </c>
      <c r="U1329" s="83">
        <v>5.45</v>
      </c>
      <c r="V1329" s="83">
        <v>2.0249999999999999</v>
      </c>
      <c r="W1329" s="83">
        <v>3.3250000000000002</v>
      </c>
      <c r="X1329" s="83">
        <v>5.43119</v>
      </c>
      <c r="Y1329" s="38">
        <f t="shared" si="166"/>
        <v>5.5</v>
      </c>
      <c r="Z1329" s="83">
        <v>0</v>
      </c>
      <c r="AA1329" s="83">
        <v>0</v>
      </c>
      <c r="AB1329" s="83">
        <v>77.424999999999997</v>
      </c>
      <c r="AC1329" s="83">
        <v>1.53853</v>
      </c>
      <c r="AD1329" s="83">
        <v>193.28700000000001</v>
      </c>
      <c r="AE1329" s="83">
        <v>27.24</v>
      </c>
      <c r="AF1329" s="83">
        <f>(AD1329+AE1329*0.5)/(3.5*I1329*1000)*100</f>
        <v>7.6458632807736515E-2</v>
      </c>
      <c r="AG1329" s="38">
        <f t="shared" si="167"/>
        <v>0.1</v>
      </c>
      <c r="AH1329" s="83">
        <v>138.33000000000001</v>
      </c>
      <c r="AI1329" s="83">
        <f>AH1329/(3.5*I1329*1000)*100</f>
        <v>5.111727817954053E-2</v>
      </c>
      <c r="AJ1329" s="83">
        <v>0</v>
      </c>
      <c r="AK1329" s="83">
        <f>AJ1329/(3.5*I1329*1000)*100</f>
        <v>0</v>
      </c>
      <c r="AL1329" s="83">
        <v>1.679</v>
      </c>
      <c r="AM1329" s="83">
        <f>AL1329/(3.5*I1329*1000)*100</f>
        <v>6.2044321595784387E-4</v>
      </c>
      <c r="AN1329" s="84"/>
      <c r="AO1329" s="41"/>
      <c r="AP1329" s="41"/>
      <c r="AQ1329" s="85"/>
      <c r="AR1329" s="86"/>
      <c r="AS1329" s="86"/>
      <c r="AT1329" s="86"/>
      <c r="AU1329" s="86"/>
      <c r="AV1329" s="86"/>
      <c r="AW1329" s="86"/>
      <c r="AX1329" s="86"/>
      <c r="AY1329" s="86"/>
      <c r="AZ1329" s="86"/>
      <c r="BA1329" s="86"/>
      <c r="BB1329" s="86"/>
      <c r="BC1329" s="86"/>
      <c r="BD1329" s="86"/>
      <c r="BE1329" s="86"/>
      <c r="BF1329" s="86"/>
      <c r="BG1329" s="86"/>
      <c r="BH1329" s="86"/>
      <c r="BI1329" s="86"/>
      <c r="BJ1329" s="86"/>
      <c r="BK1329" s="86"/>
      <c r="BL1329" s="86"/>
      <c r="BM1329" s="86"/>
      <c r="BN1329" s="86"/>
      <c r="BO1329" s="86"/>
      <c r="BP1329" s="86"/>
      <c r="BQ1329" s="86"/>
      <c r="BR1329" s="86"/>
      <c r="BS1329" s="86"/>
      <c r="BT1329" s="86"/>
      <c r="BU1329" s="86"/>
      <c r="BV1329" s="86"/>
      <c r="BW1329" s="86"/>
      <c r="BX1329" s="86"/>
      <c r="BY1329" s="86"/>
      <c r="BZ1329" s="86"/>
      <c r="CA1329" s="86"/>
      <c r="CB1329" s="86"/>
      <c r="CC1329" s="86"/>
      <c r="CD1329" s="86"/>
      <c r="CE1329" s="86"/>
      <c r="CF1329" s="86"/>
      <c r="CG1329" s="86"/>
      <c r="CH1329" s="86"/>
      <c r="CI1329" s="86"/>
      <c r="CJ1329" s="86"/>
    </row>
    <row r="1330" spans="1:88">
      <c r="A1330" s="1">
        <v>1191</v>
      </c>
      <c r="B1330" s="34" t="s">
        <v>1639</v>
      </c>
      <c r="C1330" s="34">
        <v>433</v>
      </c>
      <c r="D1330" s="34">
        <v>3303</v>
      </c>
      <c r="E1330" s="34">
        <v>100</v>
      </c>
      <c r="F1330" s="34" t="s">
        <v>1671</v>
      </c>
      <c r="G1330" s="58">
        <v>0</v>
      </c>
      <c r="H1330" s="58">
        <v>10812</v>
      </c>
      <c r="I1330" s="55">
        <v>10.811999999999999</v>
      </c>
      <c r="J1330" s="34">
        <v>2</v>
      </c>
      <c r="K1330" s="181" t="s">
        <v>238</v>
      </c>
      <c r="L1330" s="10">
        <v>42282</v>
      </c>
      <c r="M1330" s="9" t="s">
        <v>191</v>
      </c>
      <c r="N1330" s="38">
        <v>6.75</v>
      </c>
      <c r="O1330" s="38">
        <v>1.7250000000000001</v>
      </c>
      <c r="P1330" s="38">
        <v>1.7749999999999999</v>
      </c>
      <c r="Q1330" s="38">
        <v>0.5</v>
      </c>
      <c r="R1330" s="38">
        <v>2.573</v>
      </c>
      <c r="S1330" s="38">
        <f t="shared" si="165"/>
        <v>2.5</v>
      </c>
      <c r="T1330" s="38">
        <v>10.199999999999999</v>
      </c>
      <c r="U1330" s="38">
        <v>0.55000000000000004</v>
      </c>
      <c r="V1330" s="38">
        <v>0</v>
      </c>
      <c r="W1330" s="38">
        <v>0</v>
      </c>
      <c r="X1330" s="38">
        <v>3.9809999999999999</v>
      </c>
      <c r="Y1330" s="38">
        <f t="shared" si="166"/>
        <v>4</v>
      </c>
      <c r="Z1330" s="38">
        <v>0</v>
      </c>
      <c r="AA1330" s="38">
        <v>0</v>
      </c>
      <c r="AB1330" s="38">
        <v>10.811999999999999</v>
      </c>
      <c r="AC1330" s="38">
        <v>1.3109999999999999</v>
      </c>
      <c r="AD1330" s="38">
        <v>16</v>
      </c>
      <c r="AE1330" s="38">
        <v>25.86</v>
      </c>
      <c r="AF1330" s="38">
        <f>(AD1330+AE1330*0.5)/(3.5*I1330*1000)*100</f>
        <v>7.6449447703609744E-2</v>
      </c>
      <c r="AG1330" s="38">
        <f t="shared" si="167"/>
        <v>0.1</v>
      </c>
      <c r="AH1330" s="38">
        <v>124.36</v>
      </c>
      <c r="AI1330" s="38">
        <f>AH1330/(3.5*I1330*1000)*100</f>
        <v>0.32862956503356061</v>
      </c>
      <c r="AJ1330" s="38">
        <v>0</v>
      </c>
      <c r="AK1330" s="38">
        <f>AJ1330/(3.5*I1330*1000)*100</f>
        <v>0</v>
      </c>
      <c r="AL1330" s="38">
        <v>0</v>
      </c>
      <c r="AM1330" s="38">
        <f>AJ1330/(3.5*I1330*1000)*100</f>
        <v>0</v>
      </c>
      <c r="AN1330" s="25"/>
      <c r="AO1330" s="22"/>
      <c r="AP1330" s="22"/>
      <c r="AQ1330" s="22"/>
      <c r="AR1330" s="22"/>
      <c r="AS1330" s="22"/>
      <c r="AT1330" s="22"/>
      <c r="AU1330" s="22"/>
      <c r="AV1330" s="22"/>
      <c r="AW1330" s="22"/>
      <c r="AX1330" s="22"/>
      <c r="AY1330" s="22"/>
      <c r="AZ1330" s="22"/>
      <c r="BA1330" s="22"/>
      <c r="BB1330" s="22"/>
      <c r="BC1330" s="22"/>
      <c r="BD1330" s="22"/>
      <c r="BE1330" s="22"/>
      <c r="BF1330" s="22"/>
      <c r="BG1330" s="22"/>
    </row>
    <row r="1331" spans="1:88">
      <c r="A1331" s="1">
        <v>1403</v>
      </c>
      <c r="B1331" s="34" t="s">
        <v>1957</v>
      </c>
      <c r="C1331" s="34">
        <v>447</v>
      </c>
      <c r="D1331" s="75">
        <v>333</v>
      </c>
      <c r="E1331" s="69">
        <v>302</v>
      </c>
      <c r="F1331" s="9" t="s">
        <v>1959</v>
      </c>
      <c r="G1331" s="20">
        <v>112386</v>
      </c>
      <c r="H1331" s="20">
        <v>166073</v>
      </c>
      <c r="I1331" s="21">
        <v>53.686999999999998</v>
      </c>
      <c r="J1331" s="8">
        <v>2</v>
      </c>
      <c r="K1331" s="34" t="s">
        <v>238</v>
      </c>
      <c r="L1331" s="10">
        <v>42214</v>
      </c>
      <c r="M1331" s="9" t="s">
        <v>191</v>
      </c>
      <c r="N1331" s="38">
        <v>30.6</v>
      </c>
      <c r="O1331" s="38">
        <v>18.149999999999999</v>
      </c>
      <c r="P1331" s="38">
        <v>4.2249999999999996</v>
      </c>
      <c r="Q1331" s="38">
        <v>0.77500000000000002</v>
      </c>
      <c r="R1331" s="38">
        <v>2.5857299999999999</v>
      </c>
      <c r="S1331" s="38">
        <f t="shared" si="165"/>
        <v>2.5</v>
      </c>
      <c r="T1331" s="38">
        <v>53.075000000000003</v>
      </c>
      <c r="U1331" s="38">
        <v>0.6</v>
      </c>
      <c r="V1331" s="38">
        <v>0.05</v>
      </c>
      <c r="W1331" s="38">
        <v>2.5000000000000001E-2</v>
      </c>
      <c r="X1331" s="38">
        <v>3.29542</v>
      </c>
      <c r="Y1331" s="38">
        <f t="shared" si="166"/>
        <v>3.5</v>
      </c>
      <c r="Z1331" s="38">
        <v>0</v>
      </c>
      <c r="AA1331" s="38">
        <v>0</v>
      </c>
      <c r="AB1331" s="38">
        <v>53.75</v>
      </c>
      <c r="AC1331" s="38">
        <v>1.3154600000000001</v>
      </c>
      <c r="AD1331" s="38">
        <v>64.3</v>
      </c>
      <c r="AE1331" s="38">
        <v>156.53</v>
      </c>
      <c r="AF1331" s="38">
        <v>7.5870987655963534E-2</v>
      </c>
      <c r="AG1331" s="38">
        <f t="shared" si="167"/>
        <v>0.1</v>
      </c>
      <c r="AH1331" s="38">
        <v>187.54</v>
      </c>
      <c r="AI1331" s="38">
        <f>AH1331/(3.5*I1331*1000)*100</f>
        <v>9.9806018482793121E-2</v>
      </c>
      <c r="AJ1331" s="38">
        <v>0</v>
      </c>
      <c r="AK1331" s="38">
        <f>AJ1331/(3.5*I1331*1000)*100</f>
        <v>0</v>
      </c>
      <c r="AL1331" s="38">
        <v>0</v>
      </c>
      <c r="AM1331" s="38">
        <f>AL1331/(3.5*I1331*1000)*100</f>
        <v>0</v>
      </c>
      <c r="AN1331" s="41"/>
      <c r="AO1331" s="22"/>
      <c r="AP1331" s="22"/>
      <c r="AQ1331" s="22"/>
      <c r="AR1331" s="22"/>
      <c r="AS1331" s="22"/>
      <c r="AT1331" s="22"/>
      <c r="AU1331" s="22"/>
      <c r="AV1331" s="22"/>
      <c r="AW1331" s="22"/>
      <c r="AX1331" s="22"/>
      <c r="AY1331" s="22"/>
      <c r="AZ1331" s="22"/>
      <c r="BA1331" s="22"/>
      <c r="BB1331" s="22"/>
      <c r="BC1331" s="22"/>
      <c r="BD1331" s="22"/>
      <c r="BE1331" s="22"/>
      <c r="BF1331" s="22"/>
      <c r="BG1331" s="22"/>
      <c r="BH1331" s="22"/>
      <c r="BI1331" s="22"/>
      <c r="BJ1331" s="22"/>
      <c r="BK1331" s="22"/>
      <c r="BL1331" s="22"/>
      <c r="BM1331" s="22"/>
      <c r="BN1331" s="22"/>
      <c r="BO1331" s="22"/>
      <c r="BP1331" s="22"/>
      <c r="BQ1331" s="22"/>
      <c r="BR1331" s="22"/>
      <c r="BS1331" s="22"/>
      <c r="BT1331" s="22"/>
      <c r="BU1331" s="22"/>
      <c r="BV1331" s="22"/>
      <c r="BW1331" s="22"/>
      <c r="BX1331" s="22"/>
      <c r="BY1331" s="22"/>
      <c r="BZ1331" s="22"/>
      <c r="CA1331" s="22"/>
      <c r="CB1331" s="22"/>
      <c r="CC1331" s="22"/>
      <c r="CD1331" s="22"/>
      <c r="CE1331" s="22"/>
      <c r="CF1331" s="22"/>
      <c r="CG1331" s="22"/>
      <c r="CH1331" s="22"/>
      <c r="CI1331" s="22"/>
      <c r="CJ1331" s="22"/>
    </row>
    <row r="1332" spans="1:88">
      <c r="A1332" s="1">
        <v>1256</v>
      </c>
      <c r="B1332" s="34" t="s">
        <v>1775</v>
      </c>
      <c r="C1332" s="88">
        <v>438</v>
      </c>
      <c r="D1332" s="88">
        <v>1119</v>
      </c>
      <c r="E1332" s="88">
        <v>101</v>
      </c>
      <c r="F1332" s="88" t="s">
        <v>1781</v>
      </c>
      <c r="G1332" s="88" t="s">
        <v>92</v>
      </c>
      <c r="H1332" s="88" t="s">
        <v>1782</v>
      </c>
      <c r="I1332" s="115">
        <v>26.847000000000001</v>
      </c>
      <c r="J1332" s="88">
        <v>2</v>
      </c>
      <c r="K1332" s="181" t="s">
        <v>238</v>
      </c>
      <c r="L1332" s="116">
        <v>42282</v>
      </c>
      <c r="M1332" s="9" t="s">
        <v>191</v>
      </c>
      <c r="N1332" s="117">
        <v>8.9250000000000007</v>
      </c>
      <c r="O1332" s="117">
        <v>7.4749999999999996</v>
      </c>
      <c r="P1332" s="117">
        <v>6.05</v>
      </c>
      <c r="Q1332" s="117">
        <v>3.7250000000000001</v>
      </c>
      <c r="R1332" s="117">
        <v>3.41778</v>
      </c>
      <c r="S1332" s="38">
        <f t="shared" si="165"/>
        <v>3.5</v>
      </c>
      <c r="T1332" s="117">
        <v>21.65</v>
      </c>
      <c r="U1332" s="117">
        <v>2.625</v>
      </c>
      <c r="V1332" s="117">
        <v>1.05</v>
      </c>
      <c r="W1332" s="117">
        <v>0.85</v>
      </c>
      <c r="X1332" s="117">
        <v>5.6295400000000004</v>
      </c>
      <c r="Y1332" s="38">
        <f t="shared" si="166"/>
        <v>5.5</v>
      </c>
      <c r="Z1332" s="117">
        <v>0</v>
      </c>
      <c r="AA1332" s="117">
        <v>0</v>
      </c>
      <c r="AB1332" s="115">
        <v>26.847000000000001</v>
      </c>
      <c r="AC1332" s="117">
        <v>1.5714900000000001</v>
      </c>
      <c r="AD1332" s="117">
        <v>67.91</v>
      </c>
      <c r="AE1332" s="117">
        <v>6.58</v>
      </c>
      <c r="AF1332" s="117">
        <f>(AD1332+AE1332*0.5)/(3.5*I1332*1000)*100</f>
        <v>7.5773297362301734E-2</v>
      </c>
      <c r="AG1332" s="38">
        <f t="shared" si="167"/>
        <v>0.1</v>
      </c>
      <c r="AH1332" s="117">
        <v>48.25</v>
      </c>
      <c r="AI1332" s="117">
        <f>AH1332/(3.5*I1332*1000)*100</f>
        <v>5.1349179743413728E-2</v>
      </c>
      <c r="AJ1332" s="117">
        <v>0</v>
      </c>
      <c r="AK1332" s="117">
        <v>0</v>
      </c>
      <c r="AL1332" s="117">
        <v>0</v>
      </c>
      <c r="AM1332" s="117">
        <v>0</v>
      </c>
      <c r="AN1332" s="12"/>
    </row>
    <row r="1333" spans="1:88">
      <c r="A1333" s="1">
        <v>1293</v>
      </c>
      <c r="B1333" s="74" t="s">
        <v>1820</v>
      </c>
      <c r="C1333" s="34">
        <v>441</v>
      </c>
      <c r="D1333" s="75">
        <v>3487</v>
      </c>
      <c r="E1333" s="69">
        <v>100</v>
      </c>
      <c r="F1333" s="34" t="s">
        <v>1839</v>
      </c>
      <c r="G1333" s="58">
        <v>8676</v>
      </c>
      <c r="H1333" s="58">
        <v>0</v>
      </c>
      <c r="I1333" s="55">
        <v>8.6760000000000002</v>
      </c>
      <c r="J1333" s="34">
        <v>2</v>
      </c>
      <c r="K1333" s="34" t="s">
        <v>12</v>
      </c>
      <c r="L1333" s="10">
        <v>42185</v>
      </c>
      <c r="M1333" s="9" t="s">
        <v>191</v>
      </c>
      <c r="N1333" s="38">
        <v>7.05</v>
      </c>
      <c r="O1333" s="38">
        <v>1.0249999999999999</v>
      </c>
      <c r="P1333" s="38">
        <v>0.42499999999999999</v>
      </c>
      <c r="Q1333" s="38">
        <v>0.1</v>
      </c>
      <c r="R1333" s="38">
        <v>1.96183</v>
      </c>
      <c r="S1333" s="38">
        <f t="shared" si="165"/>
        <v>2</v>
      </c>
      <c r="T1333" s="38">
        <v>8.35</v>
      </c>
      <c r="U1333" s="38">
        <v>0.125</v>
      </c>
      <c r="V1333" s="38">
        <v>7.4999999999999997E-2</v>
      </c>
      <c r="W1333" s="38">
        <v>0.05</v>
      </c>
      <c r="X1333" s="38">
        <v>4.3923100000000002</v>
      </c>
      <c r="Y1333" s="38">
        <f t="shared" si="166"/>
        <v>4.5</v>
      </c>
      <c r="Z1333" s="38">
        <v>0</v>
      </c>
      <c r="AA1333" s="38">
        <v>0</v>
      </c>
      <c r="AB1333" s="38">
        <v>8.6</v>
      </c>
      <c r="AC1333" s="38">
        <v>1.10893</v>
      </c>
      <c r="AD1333" s="38">
        <v>23</v>
      </c>
      <c r="AE1333" s="38">
        <v>0</v>
      </c>
      <c r="AF1333" s="38">
        <v>7.5742606862938822E-2</v>
      </c>
      <c r="AG1333" s="38">
        <f t="shared" si="167"/>
        <v>0.1</v>
      </c>
      <c r="AH1333" s="38">
        <v>0</v>
      </c>
      <c r="AI1333" s="38">
        <v>0</v>
      </c>
      <c r="AJ1333" s="38">
        <v>0</v>
      </c>
      <c r="AK1333" s="38">
        <v>0</v>
      </c>
      <c r="AL1333" s="38">
        <v>0</v>
      </c>
      <c r="AM1333" s="38">
        <v>0</v>
      </c>
      <c r="AN1333" s="40"/>
      <c r="AO1333" s="12"/>
    </row>
    <row r="1334" spans="1:88">
      <c r="A1334" s="1">
        <v>2182</v>
      </c>
      <c r="B1334" s="34" t="s">
        <v>2798</v>
      </c>
      <c r="C1334" s="34">
        <v>311</v>
      </c>
      <c r="D1334" s="75">
        <v>4287</v>
      </c>
      <c r="E1334" s="8">
        <v>102</v>
      </c>
      <c r="F1334" s="9" t="s">
        <v>2820</v>
      </c>
      <c r="G1334" s="20" t="s">
        <v>2821</v>
      </c>
      <c r="H1334" s="20" t="s">
        <v>2822</v>
      </c>
      <c r="I1334" s="21">
        <v>0.38100000000000001</v>
      </c>
      <c r="J1334" s="8">
        <v>2</v>
      </c>
      <c r="K1334" s="8" t="s">
        <v>238</v>
      </c>
      <c r="L1334" s="18">
        <v>42147</v>
      </c>
      <c r="M1334" s="9" t="s">
        <v>191</v>
      </c>
      <c r="N1334" s="38">
        <v>7.4999999999999997E-2</v>
      </c>
      <c r="O1334" s="38">
        <v>0.05</v>
      </c>
      <c r="P1334" s="38">
        <v>0.1</v>
      </c>
      <c r="Q1334" s="38">
        <v>0.15</v>
      </c>
      <c r="R1334" s="38">
        <v>5.008</v>
      </c>
      <c r="S1334" s="38">
        <f t="shared" si="165"/>
        <v>5</v>
      </c>
      <c r="T1334" s="38">
        <v>0.35</v>
      </c>
      <c r="U1334" s="38">
        <v>2.5000000000000001E-2</v>
      </c>
      <c r="V1334" s="38">
        <v>0</v>
      </c>
      <c r="W1334" s="38">
        <v>0</v>
      </c>
      <c r="X1334" s="38">
        <v>4.1952699999999998</v>
      </c>
      <c r="Y1334" s="38">
        <f t="shared" si="166"/>
        <v>4</v>
      </c>
      <c r="Z1334" s="38">
        <v>0</v>
      </c>
      <c r="AA1334" s="38">
        <v>0</v>
      </c>
      <c r="AB1334" s="38">
        <v>0.375</v>
      </c>
      <c r="AC1334" s="38">
        <v>1.0653999999999999</v>
      </c>
      <c r="AD1334" s="38">
        <v>1.01</v>
      </c>
      <c r="AE1334" s="38">
        <v>0</v>
      </c>
      <c r="AF1334" s="38">
        <f>(AD1334+AE1334*0.5)/(3.5*I1334*1000)*100</f>
        <v>7.574053243344582E-2</v>
      </c>
      <c r="AG1334" s="38">
        <f t="shared" si="167"/>
        <v>0.1</v>
      </c>
      <c r="AH1334" s="38">
        <v>0</v>
      </c>
      <c r="AI1334" s="38">
        <f>AH1334/(3.5*I1334*1000)*100</f>
        <v>0</v>
      </c>
      <c r="AJ1334" s="38">
        <v>10.87</v>
      </c>
      <c r="AK1334" s="38">
        <f>AJ1334/(3.5*I1334*1000)*100</f>
        <v>0.81514810648668923</v>
      </c>
      <c r="AL1334" s="38">
        <v>0.22</v>
      </c>
      <c r="AM1334" s="38">
        <f>AL1334/(3.5*I1334*1000)*100</f>
        <v>1.649793775778028E-2</v>
      </c>
      <c r="AN1334" s="72"/>
      <c r="AO1334" s="41"/>
      <c r="AP1334" s="41"/>
      <c r="AQ1334" s="41">
        <f>SUM(N1334:Q1334)</f>
        <v>0.375</v>
      </c>
      <c r="AR1334" s="41">
        <f>SUM(T1334:W1334)</f>
        <v>0.375</v>
      </c>
      <c r="AS1334" s="12">
        <f>SUM(Z1334:AB1334)</f>
        <v>0.375</v>
      </c>
      <c r="AU1334" s="1">
        <f>I1334/AQ1334</f>
        <v>1.016</v>
      </c>
      <c r="AV1334" s="1">
        <f>I1334/AR1334</f>
        <v>1.016</v>
      </c>
      <c r="AW1334" s="1">
        <f>I1334/AS1334</f>
        <v>1.016</v>
      </c>
      <c r="AX1334" s="22"/>
      <c r="AY1334" s="22"/>
      <c r="AZ1334" s="22"/>
      <c r="BA1334" s="22"/>
      <c r="BB1334" s="22"/>
      <c r="BC1334" s="22"/>
      <c r="BD1334" s="22"/>
      <c r="BE1334" s="22"/>
      <c r="BF1334" s="22"/>
      <c r="BG1334" s="22"/>
      <c r="BH1334" s="22"/>
      <c r="BI1334" s="22"/>
      <c r="BJ1334" s="22"/>
      <c r="BK1334" s="22"/>
      <c r="BL1334" s="22"/>
      <c r="BM1334" s="22"/>
      <c r="BN1334" s="22"/>
      <c r="BO1334" s="22"/>
      <c r="BP1334" s="22"/>
      <c r="BQ1334" s="22"/>
      <c r="BR1334" s="22"/>
      <c r="BS1334" s="22"/>
      <c r="BT1334" s="22"/>
      <c r="BU1334" s="22"/>
      <c r="BV1334" s="22"/>
      <c r="BW1334" s="22"/>
      <c r="BX1334" s="22"/>
      <c r="BY1334" s="22"/>
      <c r="BZ1334" s="22"/>
      <c r="CA1334" s="22"/>
      <c r="CB1334" s="22"/>
      <c r="CC1334" s="22"/>
      <c r="CD1334" s="22"/>
      <c r="CE1334" s="22"/>
      <c r="CF1334" s="22"/>
      <c r="CG1334" s="22"/>
      <c r="CH1334" s="22"/>
      <c r="CI1334" s="22"/>
      <c r="CJ1334" s="22"/>
    </row>
    <row r="1335" spans="1:88">
      <c r="A1335" s="1">
        <v>1964</v>
      </c>
      <c r="B1335" s="34" t="s">
        <v>2586</v>
      </c>
      <c r="C1335" s="34">
        <v>321</v>
      </c>
      <c r="D1335" s="75">
        <v>4189</v>
      </c>
      <c r="E1335" s="8">
        <v>100</v>
      </c>
      <c r="F1335" s="34" t="s">
        <v>2609</v>
      </c>
      <c r="G1335" s="58">
        <v>0</v>
      </c>
      <c r="H1335" s="58" t="s">
        <v>139</v>
      </c>
      <c r="I1335" s="21">
        <v>6</v>
      </c>
      <c r="J1335" s="8">
        <v>2</v>
      </c>
      <c r="K1335" s="8" t="s">
        <v>238</v>
      </c>
      <c r="L1335" s="18">
        <v>42124</v>
      </c>
      <c r="M1335" s="9" t="s">
        <v>191</v>
      </c>
      <c r="N1335" s="38">
        <v>2.875</v>
      </c>
      <c r="O1335" s="38">
        <v>2.0249999999999999</v>
      </c>
      <c r="P1335" s="38">
        <v>0.67500000000000004</v>
      </c>
      <c r="Q1335" s="38">
        <v>0.27500000000000002</v>
      </c>
      <c r="R1335" s="38">
        <v>2.67</v>
      </c>
      <c r="S1335" s="38">
        <f t="shared" si="165"/>
        <v>2.5</v>
      </c>
      <c r="T1335" s="38">
        <v>5.8</v>
      </c>
      <c r="U1335" s="38">
        <v>0.05</v>
      </c>
      <c r="V1335" s="38">
        <v>0</v>
      </c>
      <c r="W1335" s="38">
        <v>0</v>
      </c>
      <c r="X1335" s="38">
        <v>2.863</v>
      </c>
      <c r="Y1335" s="38">
        <f t="shared" si="166"/>
        <v>3</v>
      </c>
      <c r="Z1335" s="38">
        <v>0</v>
      </c>
      <c r="AA1335" s="38">
        <v>0</v>
      </c>
      <c r="AB1335" s="38">
        <v>5.85</v>
      </c>
      <c r="AC1335" s="38">
        <v>1.613</v>
      </c>
      <c r="AD1335" s="38">
        <v>0</v>
      </c>
      <c r="AE1335" s="38">
        <v>31.79</v>
      </c>
      <c r="AF1335" s="38">
        <f>(AD1335+AE1335*0.5)/(3.5*I1335*1000)*100</f>
        <v>7.5690476190476197E-2</v>
      </c>
      <c r="AG1335" s="38">
        <f t="shared" si="167"/>
        <v>0.1</v>
      </c>
      <c r="AH1335" s="38">
        <v>0</v>
      </c>
      <c r="AI1335" s="38">
        <f>AH1335/(3.5*I1335*1000)*100</f>
        <v>0</v>
      </c>
      <c r="AJ1335" s="38">
        <v>0</v>
      </c>
      <c r="AK1335" s="38">
        <f>AH1335/(3.5*L1335*1000)*100</f>
        <v>0</v>
      </c>
      <c r="AL1335" s="38">
        <v>0</v>
      </c>
      <c r="AM1335" s="38">
        <f>AL1335/(3.5*I1335*1000)*100</f>
        <v>0</v>
      </c>
      <c r="AN1335" s="73"/>
      <c r="AO1335" s="72"/>
      <c r="AP1335" s="41"/>
      <c r="AQ1335" s="41"/>
      <c r="AR1335" s="73"/>
      <c r="AS1335" s="73"/>
      <c r="AT1335" s="73"/>
      <c r="AU1335" s="73"/>
      <c r="AV1335" s="73"/>
      <c r="AW1335" s="73"/>
      <c r="AX1335" s="73"/>
      <c r="AY1335" s="73"/>
      <c r="AZ1335" s="22"/>
      <c r="BA1335" s="22"/>
      <c r="BB1335" s="22"/>
      <c r="BC1335" s="22"/>
      <c r="BD1335" s="22"/>
      <c r="BE1335" s="22"/>
      <c r="BF1335" s="22"/>
      <c r="BG1335" s="22"/>
      <c r="BH1335" s="22"/>
      <c r="BI1335" s="22"/>
      <c r="BJ1335" s="22"/>
      <c r="BK1335" s="22"/>
      <c r="BL1335" s="22"/>
      <c r="BM1335" s="22"/>
      <c r="BN1335" s="22"/>
      <c r="BO1335" s="22"/>
      <c r="BP1335" s="22"/>
      <c r="BQ1335" s="22"/>
      <c r="BR1335" s="22"/>
      <c r="BS1335" s="22"/>
      <c r="BT1335" s="22"/>
      <c r="BU1335" s="22"/>
      <c r="BV1335" s="22"/>
      <c r="BW1335" s="22"/>
      <c r="BX1335" s="22"/>
      <c r="BY1335" s="22"/>
      <c r="BZ1335" s="22"/>
      <c r="CA1335" s="22"/>
      <c r="CB1335" s="22"/>
      <c r="CC1335" s="22"/>
      <c r="CD1335" s="22"/>
      <c r="CE1335" s="22"/>
      <c r="CF1335" s="22"/>
      <c r="CG1335" s="22"/>
      <c r="CH1335" s="22"/>
      <c r="CI1335" s="22"/>
      <c r="CJ1335" s="22"/>
    </row>
    <row r="1336" spans="1:88">
      <c r="A1336" s="1">
        <v>1187</v>
      </c>
      <c r="B1336" s="34" t="s">
        <v>1639</v>
      </c>
      <c r="C1336" s="34">
        <v>433</v>
      </c>
      <c r="D1336" s="34">
        <v>3251</v>
      </c>
      <c r="E1336" s="34">
        <v>200</v>
      </c>
      <c r="F1336" s="34" t="s">
        <v>1664</v>
      </c>
      <c r="G1336" s="58" t="s">
        <v>1665</v>
      </c>
      <c r="H1336" s="58" t="s">
        <v>1666</v>
      </c>
      <c r="I1336" s="55">
        <v>18.061</v>
      </c>
      <c r="J1336" s="34">
        <v>2</v>
      </c>
      <c r="K1336" s="34" t="s">
        <v>12</v>
      </c>
      <c r="L1336" s="10">
        <v>42282</v>
      </c>
      <c r="M1336" s="9" t="s">
        <v>191</v>
      </c>
      <c r="N1336" s="38">
        <v>14.7</v>
      </c>
      <c r="O1336" s="38">
        <v>2.2000000000000002</v>
      </c>
      <c r="P1336" s="38">
        <v>0.67500000000000004</v>
      </c>
      <c r="Q1336" s="38">
        <v>0.45</v>
      </c>
      <c r="R1336" s="38">
        <v>2.1301899999999998</v>
      </c>
      <c r="S1336" s="38">
        <f t="shared" si="165"/>
        <v>2</v>
      </c>
      <c r="T1336" s="38">
        <v>18</v>
      </c>
      <c r="U1336" s="38">
        <v>2.5000000000000001E-2</v>
      </c>
      <c r="V1336" s="38">
        <v>0</v>
      </c>
      <c r="W1336" s="38">
        <v>0</v>
      </c>
      <c r="X1336" s="38">
        <v>3.1786599999999998</v>
      </c>
      <c r="Y1336" s="38">
        <f t="shared" si="166"/>
        <v>3</v>
      </c>
      <c r="Z1336" s="38">
        <v>0</v>
      </c>
      <c r="AA1336" s="38">
        <v>0</v>
      </c>
      <c r="AB1336" s="38">
        <v>18.061</v>
      </c>
      <c r="AC1336" s="38">
        <v>1.40212</v>
      </c>
      <c r="AD1336" s="38">
        <v>44.69</v>
      </c>
      <c r="AE1336" s="38">
        <v>6.2030000000000003</v>
      </c>
      <c r="AF1336" s="38">
        <f>(AD1336+AE1336*0.5)/(3.5*I1336*1000)*100</f>
        <v>7.5603312583546245E-2</v>
      </c>
      <c r="AG1336" s="38">
        <f t="shared" si="167"/>
        <v>0.1</v>
      </c>
      <c r="AH1336" s="38">
        <v>0.03</v>
      </c>
      <c r="AI1336" s="38">
        <f>AH1336/(3.5*I1336*1000)*100</f>
        <v>4.7458216994787514E-5</v>
      </c>
      <c r="AJ1336" s="38">
        <v>0</v>
      </c>
      <c r="AK1336" s="38">
        <f>AJ1336/(3.5*I1336*1000)*100</f>
        <v>0</v>
      </c>
      <c r="AL1336" s="38">
        <v>0</v>
      </c>
      <c r="AM1336" s="38">
        <f>AJ1336/(3.5*I1336*1000)*100</f>
        <v>0</v>
      </c>
      <c r="AN1336" s="25"/>
      <c r="AO1336" s="22"/>
      <c r="AP1336" s="22"/>
      <c r="AQ1336" s="22"/>
      <c r="AR1336" s="22"/>
      <c r="AS1336" s="22"/>
      <c r="AT1336" s="22"/>
      <c r="AU1336" s="22"/>
      <c r="AV1336" s="22"/>
      <c r="AW1336" s="22"/>
      <c r="AX1336" s="22"/>
      <c r="AY1336" s="22"/>
      <c r="AZ1336" s="22"/>
      <c r="BA1336" s="22"/>
      <c r="BB1336" s="22"/>
      <c r="BC1336" s="22"/>
      <c r="BD1336" s="22"/>
      <c r="BE1336" s="22"/>
      <c r="BF1336" s="22"/>
      <c r="BG1336" s="22"/>
    </row>
    <row r="1337" spans="1:88">
      <c r="A1337" s="1">
        <v>784</v>
      </c>
      <c r="B1337" s="34" t="s">
        <v>1171</v>
      </c>
      <c r="C1337" s="34">
        <v>633</v>
      </c>
      <c r="D1337" s="148">
        <v>215</v>
      </c>
      <c r="E1337" s="34">
        <v>200</v>
      </c>
      <c r="F1337" s="34" t="s">
        <v>1176</v>
      </c>
      <c r="G1337" s="58">
        <v>53389</v>
      </c>
      <c r="H1337" s="58">
        <v>73993</v>
      </c>
      <c r="I1337" s="35">
        <v>20.603999999999999</v>
      </c>
      <c r="J1337" s="9">
        <v>2</v>
      </c>
      <c r="K1337" s="34" t="s">
        <v>238</v>
      </c>
      <c r="L1337" s="10">
        <v>42149</v>
      </c>
      <c r="M1337" s="9" t="s">
        <v>191</v>
      </c>
      <c r="N1337" s="38">
        <v>15.75</v>
      </c>
      <c r="O1337" s="38">
        <v>3.0249999999999999</v>
      </c>
      <c r="P1337" s="38">
        <v>1.2000000000000002</v>
      </c>
      <c r="Q1337" s="38">
        <v>0.47499999999999998</v>
      </c>
      <c r="R1337" s="38">
        <v>2.6673299999999998</v>
      </c>
      <c r="S1337" s="38">
        <f t="shared" si="165"/>
        <v>2.5</v>
      </c>
      <c r="T1337" s="38">
        <v>20.375</v>
      </c>
      <c r="U1337" s="38">
        <v>7.5000000000000011E-2</v>
      </c>
      <c r="V1337" s="38">
        <v>0</v>
      </c>
      <c r="W1337" s="38">
        <v>0</v>
      </c>
      <c r="X1337" s="38">
        <v>4.3195399999999999</v>
      </c>
      <c r="Y1337" s="38">
        <f t="shared" si="166"/>
        <v>4.5</v>
      </c>
      <c r="Z1337" s="38">
        <v>0</v>
      </c>
      <c r="AA1337" s="38">
        <v>0</v>
      </c>
      <c r="AB1337" s="38">
        <f>N1337+O1337+P1337+Q1337</f>
        <v>20.45</v>
      </c>
      <c r="AC1337" s="38">
        <v>1.2586650000000001</v>
      </c>
      <c r="AD1337" s="38">
        <v>0</v>
      </c>
      <c r="AE1337" s="38">
        <v>109</v>
      </c>
      <c r="AF1337" s="38">
        <f>(AD1337+AE1337*0.5)/(3.5*I1337*1000)*100</f>
        <v>7.5574784369193224E-2</v>
      </c>
      <c r="AG1337" s="38">
        <f t="shared" si="167"/>
        <v>0.1</v>
      </c>
      <c r="AH1337" s="38">
        <v>0</v>
      </c>
      <c r="AI1337" s="38">
        <f>AH1337/(3.5*I1337*1000)*100</f>
        <v>0</v>
      </c>
      <c r="AJ1337" s="38">
        <v>0</v>
      </c>
      <c r="AK1337" s="38">
        <f>AJ1337/(3.5*I1337*1000)*100</f>
        <v>0</v>
      </c>
      <c r="AL1337" s="38">
        <v>0</v>
      </c>
      <c r="AM1337" s="38">
        <f>AL1337/(3.5*I1337*1000)*100</f>
        <v>0</v>
      </c>
      <c r="AN1337" s="25"/>
      <c r="AO1337" s="25">
        <f>AE1337*0.5</f>
        <v>54.5</v>
      </c>
      <c r="AP1337" s="25">
        <f>(AD1337+AH1337+AJ1337+AL1337+AO1337)*I1337</f>
        <v>1122.9179999999999</v>
      </c>
      <c r="AQ1337" s="25">
        <f>SUM(N1337:Q1337)</f>
        <v>20.45</v>
      </c>
      <c r="AR1337" s="25">
        <f>SUM(T1337:W1337)</f>
        <v>20.45</v>
      </c>
      <c r="AS1337" s="22"/>
      <c r="AT1337" s="41"/>
      <c r="AU1337" s="41"/>
      <c r="AV1337" s="41"/>
      <c r="AW1337" s="41"/>
      <c r="AX1337" s="22"/>
      <c r="AY1337" s="22"/>
      <c r="AZ1337" s="22"/>
      <c r="BA1337" s="22"/>
      <c r="BB1337" s="22"/>
      <c r="BC1337" s="22"/>
      <c r="BD1337" s="22"/>
      <c r="BE1337" s="22"/>
      <c r="BF1337" s="22"/>
      <c r="BG1337" s="22"/>
      <c r="BH1337" s="22"/>
      <c r="BI1337" s="22"/>
      <c r="BJ1337" s="22"/>
      <c r="BK1337" s="22"/>
      <c r="BL1337" s="22"/>
      <c r="BM1337" s="22"/>
      <c r="BN1337" s="22"/>
      <c r="BO1337" s="22"/>
      <c r="BP1337" s="22"/>
      <c r="BQ1337" s="22"/>
      <c r="BR1337" s="22"/>
      <c r="BS1337" s="22"/>
      <c r="BT1337" s="22"/>
      <c r="BU1337" s="22"/>
      <c r="BV1337" s="22"/>
      <c r="BW1337" s="22"/>
      <c r="BX1337" s="22"/>
      <c r="BY1337" s="22"/>
      <c r="BZ1337" s="22"/>
      <c r="CA1337" s="22"/>
      <c r="CB1337" s="22"/>
      <c r="CC1337" s="22"/>
      <c r="CD1337" s="22"/>
      <c r="CE1337" s="22"/>
      <c r="CF1337" s="22"/>
      <c r="CG1337" s="22"/>
      <c r="CH1337" s="22"/>
      <c r="CI1337" s="22"/>
      <c r="CJ1337" s="22"/>
    </row>
    <row r="1338" spans="1:88">
      <c r="A1338" s="1">
        <v>965</v>
      </c>
      <c r="B1338" s="9" t="s">
        <v>1359</v>
      </c>
      <c r="C1338" s="9">
        <v>612</v>
      </c>
      <c r="D1338" s="8">
        <v>2148</v>
      </c>
      <c r="E1338" s="9">
        <v>101</v>
      </c>
      <c r="F1338" s="9" t="s">
        <v>1364</v>
      </c>
      <c r="G1338" s="20">
        <v>0</v>
      </c>
      <c r="H1338" s="20">
        <v>19300</v>
      </c>
      <c r="I1338" s="35">
        <v>19.3</v>
      </c>
      <c r="J1338" s="9">
        <v>4</v>
      </c>
      <c r="K1338" s="9" t="s">
        <v>237</v>
      </c>
      <c r="L1338" s="18">
        <v>42115</v>
      </c>
      <c r="M1338" s="9" t="s">
        <v>191</v>
      </c>
      <c r="N1338" s="11">
        <v>10.199999999999999</v>
      </c>
      <c r="O1338" s="11">
        <v>5.35</v>
      </c>
      <c r="P1338" s="11">
        <v>2.2999999999999998</v>
      </c>
      <c r="Q1338" s="11">
        <v>1.4</v>
      </c>
      <c r="R1338" s="11">
        <v>2.5586000000000002</v>
      </c>
      <c r="S1338" s="38">
        <f t="shared" si="165"/>
        <v>2.5</v>
      </c>
      <c r="T1338" s="11">
        <v>12.625</v>
      </c>
      <c r="U1338" s="11">
        <v>3.85</v>
      </c>
      <c r="V1338" s="11">
        <v>2.0750000000000002</v>
      </c>
      <c r="W1338" s="11">
        <v>0.7</v>
      </c>
      <c r="X1338" s="11">
        <v>8.8109999999999999</v>
      </c>
      <c r="Y1338" s="38">
        <f t="shared" si="166"/>
        <v>9</v>
      </c>
      <c r="Z1338" s="11">
        <v>0</v>
      </c>
      <c r="AA1338" s="11">
        <v>0</v>
      </c>
      <c r="AB1338" s="11">
        <f>SUM(N1338:Q1338)</f>
        <v>19.249999999999996</v>
      </c>
      <c r="AC1338" s="11">
        <v>1.1656599999999999</v>
      </c>
      <c r="AD1338" s="11">
        <v>50.65</v>
      </c>
      <c r="AE1338" s="11">
        <v>0</v>
      </c>
      <c r="AF1338" s="11">
        <v>7.4980000000000005E-2</v>
      </c>
      <c r="AG1338" s="38">
        <f t="shared" si="167"/>
        <v>0.1</v>
      </c>
      <c r="AH1338" s="11">
        <v>230</v>
      </c>
      <c r="AI1338" s="11">
        <v>0.34049000000000001</v>
      </c>
      <c r="AJ1338" s="11">
        <v>0</v>
      </c>
      <c r="AK1338" s="11">
        <v>0</v>
      </c>
      <c r="AL1338" s="11">
        <v>20</v>
      </c>
      <c r="AM1338" s="11">
        <v>2.9610000000000001E-2</v>
      </c>
      <c r="AN1338" s="72"/>
      <c r="AO1338" s="72"/>
      <c r="AP1338" s="72">
        <f>AE1338*0.5</f>
        <v>0</v>
      </c>
      <c r="AQ1338" s="25">
        <f>(AD1337+AH1337+AJ1337+AL1337+AP1338)*I1337</f>
        <v>0</v>
      </c>
      <c r="AR1338" s="25"/>
      <c r="AS1338" s="25"/>
      <c r="AT1338" s="25"/>
      <c r="AU1338" s="25">
        <f>SUM(N1338:Q1338)</f>
        <v>19.249999999999996</v>
      </c>
      <c r="AV1338" s="41">
        <f>SUM(T1338:W1338)</f>
        <v>19.25</v>
      </c>
      <c r="AW1338" s="41"/>
      <c r="AX1338" s="41"/>
      <c r="AY1338" s="41"/>
      <c r="AZ1338" s="22"/>
    </row>
    <row r="1339" spans="1:88">
      <c r="A1339" s="1">
        <v>1156</v>
      </c>
      <c r="B1339" s="74" t="s">
        <v>1577</v>
      </c>
      <c r="C1339" s="34">
        <v>432</v>
      </c>
      <c r="D1339" s="34">
        <v>3222</v>
      </c>
      <c r="E1339" s="34">
        <v>100</v>
      </c>
      <c r="F1339" s="34" t="s">
        <v>1616</v>
      </c>
      <c r="G1339" s="34" t="s">
        <v>92</v>
      </c>
      <c r="H1339" s="34" t="s">
        <v>1617</v>
      </c>
      <c r="I1339" s="55">
        <v>26.219000000000001</v>
      </c>
      <c r="J1339" s="34">
        <v>2</v>
      </c>
      <c r="K1339" s="181" t="s">
        <v>238</v>
      </c>
      <c r="L1339" s="10">
        <v>42282</v>
      </c>
      <c r="M1339" s="9" t="s">
        <v>191</v>
      </c>
      <c r="N1339" s="38">
        <v>17.05</v>
      </c>
      <c r="O1339" s="38">
        <v>5.0250000000000004</v>
      </c>
      <c r="P1339" s="38">
        <v>2.5249999999999999</v>
      </c>
      <c r="Q1339" s="38">
        <v>1.85</v>
      </c>
      <c r="R1339" s="38">
        <v>2.6048900000000001</v>
      </c>
      <c r="S1339" s="38">
        <f t="shared" si="165"/>
        <v>2.5</v>
      </c>
      <c r="T1339" s="38">
        <v>21.574999999999999</v>
      </c>
      <c r="U1339" s="38">
        <v>3.35</v>
      </c>
      <c r="V1339" s="38">
        <v>0.77500000000000002</v>
      </c>
      <c r="W1339" s="38">
        <v>0.75</v>
      </c>
      <c r="X1339" s="38">
        <v>7.03017</v>
      </c>
      <c r="Y1339" s="38">
        <f t="shared" si="166"/>
        <v>7</v>
      </c>
      <c r="Z1339" s="38">
        <v>0</v>
      </c>
      <c r="AA1339" s="38">
        <v>0</v>
      </c>
      <c r="AB1339" s="38">
        <v>26.450000000000003</v>
      </c>
      <c r="AC1339" s="38">
        <v>1.4556800000000001</v>
      </c>
      <c r="AD1339" s="38">
        <v>63.99</v>
      </c>
      <c r="AE1339" s="38">
        <v>9.5</v>
      </c>
      <c r="AF1339" s="38">
        <v>7.4908000000000002E-2</v>
      </c>
      <c r="AG1339" s="38">
        <f t="shared" si="167"/>
        <v>0.1</v>
      </c>
      <c r="AH1339" s="38">
        <v>55.62</v>
      </c>
      <c r="AI1339" s="38">
        <v>6.0609999999999997E-2</v>
      </c>
      <c r="AJ1339" s="38">
        <v>0</v>
      </c>
      <c r="AK1339" s="38">
        <v>0</v>
      </c>
      <c r="AL1339" s="38">
        <v>0</v>
      </c>
      <c r="AM1339" s="38">
        <v>0</v>
      </c>
      <c r="AN1339" s="114"/>
      <c r="AO1339" s="73"/>
    </row>
    <row r="1340" spans="1:88">
      <c r="A1340" s="1">
        <v>234</v>
      </c>
      <c r="B1340" s="34" t="s">
        <v>436</v>
      </c>
      <c r="C1340" s="34">
        <v>537</v>
      </c>
      <c r="D1340" s="34">
        <v>1126</v>
      </c>
      <c r="E1340" s="34">
        <v>100</v>
      </c>
      <c r="F1340" s="34" t="s">
        <v>449</v>
      </c>
      <c r="G1340" s="20">
        <v>0</v>
      </c>
      <c r="H1340" s="20">
        <v>45795</v>
      </c>
      <c r="I1340" s="51">
        <v>45.795000000000002</v>
      </c>
      <c r="J1340" s="33">
        <v>2</v>
      </c>
      <c r="K1340" s="34" t="s">
        <v>238</v>
      </c>
      <c r="L1340" s="10">
        <v>42198</v>
      </c>
      <c r="M1340" s="9" t="s">
        <v>191</v>
      </c>
      <c r="N1340" s="38">
        <v>37.19</v>
      </c>
      <c r="O1340" s="38">
        <v>6.62</v>
      </c>
      <c r="P1340" s="38">
        <v>1.51</v>
      </c>
      <c r="Q1340" s="38">
        <v>0.48</v>
      </c>
      <c r="R1340" s="38">
        <v>1.93337</v>
      </c>
      <c r="S1340" s="38">
        <f t="shared" si="165"/>
        <v>2</v>
      </c>
      <c r="T1340" s="38">
        <v>45.12</v>
      </c>
      <c r="U1340" s="38">
        <v>0.6</v>
      </c>
      <c r="V1340" s="38">
        <v>0.08</v>
      </c>
      <c r="W1340" s="38">
        <v>0</v>
      </c>
      <c r="X1340" s="38">
        <v>3.8360300000000001</v>
      </c>
      <c r="Y1340" s="38">
        <f t="shared" si="166"/>
        <v>4</v>
      </c>
      <c r="Z1340" s="38">
        <v>0</v>
      </c>
      <c r="AA1340" s="38">
        <v>0</v>
      </c>
      <c r="AB1340" s="38">
        <v>45.8</v>
      </c>
      <c r="AC1340" s="38">
        <v>1.1894100000000001</v>
      </c>
      <c r="AD1340" s="38">
        <v>117</v>
      </c>
      <c r="AE1340" s="38">
        <v>5.99</v>
      </c>
      <c r="AF1340" s="38">
        <v>7.4864692028137822E-2</v>
      </c>
      <c r="AG1340" s="38">
        <f t="shared" si="167"/>
        <v>0.1</v>
      </c>
      <c r="AH1340" s="38">
        <v>0</v>
      </c>
      <c r="AI1340" s="38">
        <v>0</v>
      </c>
      <c r="AJ1340" s="38">
        <v>16</v>
      </c>
      <c r="AK1340" s="55">
        <v>9.9823748693712664E-3</v>
      </c>
      <c r="AL1340" s="55">
        <v>55</v>
      </c>
      <c r="AM1340" s="55">
        <v>3.4314413613463726E-2</v>
      </c>
      <c r="AN1340" s="40"/>
      <c r="AO1340" s="25">
        <f>SUM(N1340:Q1340)</f>
        <v>45.79999999999999</v>
      </c>
      <c r="AP1340" s="25">
        <f>SUM(T1340:W1340)</f>
        <v>45.8</v>
      </c>
      <c r="AQ1340" s="268">
        <v>45.795000000000002</v>
      </c>
      <c r="AR1340" s="41"/>
      <c r="AS1340" s="41"/>
      <c r="AT1340" s="41"/>
      <c r="AU1340" s="41">
        <f>SUM(N1340:Q1340)</f>
        <v>45.79999999999999</v>
      </c>
      <c r="AV1340" s="41">
        <f>SUM(T1340:W1340)</f>
        <v>45.8</v>
      </c>
      <c r="AW1340" s="41">
        <f>SUM(Z1340:AB1340)</f>
        <v>45.8</v>
      </c>
      <c r="AX1340" s="22"/>
      <c r="AY1340" s="22">
        <f>I1340/AU1340</f>
        <v>0.99989082969432341</v>
      </c>
      <c r="AZ1340" s="22">
        <f>I1340/AV1340</f>
        <v>0.99989082969432319</v>
      </c>
      <c r="BA1340" s="22">
        <f>I1340/AW1340</f>
        <v>0.99989082969432319</v>
      </c>
      <c r="BB1340" s="22"/>
      <c r="BC1340" s="22"/>
      <c r="BD1340" s="22"/>
      <c r="BE1340" s="22"/>
      <c r="BF1340" s="22"/>
      <c r="BG1340" s="22"/>
      <c r="BH1340" s="22"/>
      <c r="BI1340" s="22"/>
      <c r="BJ1340" s="22"/>
      <c r="BK1340" s="22"/>
      <c r="BL1340" s="22"/>
      <c r="BM1340" s="22"/>
      <c r="BN1340" s="22"/>
      <c r="BO1340" s="22"/>
      <c r="BP1340" s="22"/>
      <c r="BQ1340" s="22"/>
      <c r="BR1340" s="22"/>
      <c r="BS1340" s="22"/>
      <c r="BT1340" s="22"/>
      <c r="BU1340" s="22"/>
      <c r="BV1340" s="22"/>
      <c r="BW1340" s="22"/>
      <c r="BX1340" s="22"/>
      <c r="BY1340" s="22"/>
      <c r="BZ1340" s="22"/>
      <c r="CA1340" s="22"/>
      <c r="CB1340" s="22"/>
      <c r="CC1340" s="22"/>
      <c r="CD1340" s="22"/>
      <c r="CE1340" s="22"/>
      <c r="CF1340" s="22"/>
      <c r="CG1340" s="22"/>
      <c r="CH1340" s="22"/>
      <c r="CI1340" s="22"/>
      <c r="CJ1340" s="22"/>
    </row>
    <row r="1341" spans="1:88">
      <c r="A1341" s="1">
        <v>1125</v>
      </c>
      <c r="B1341" s="9" t="s">
        <v>1513</v>
      </c>
      <c r="C1341" s="34">
        <v>431</v>
      </c>
      <c r="D1341" s="75">
        <v>3353</v>
      </c>
      <c r="E1341" s="69">
        <v>100</v>
      </c>
      <c r="F1341" s="34" t="s">
        <v>1564</v>
      </c>
      <c r="G1341" s="58" t="s">
        <v>92</v>
      </c>
      <c r="H1341" s="58" t="s">
        <v>1565</v>
      </c>
      <c r="I1341" s="34">
        <v>18.841000000000001</v>
      </c>
      <c r="J1341" s="5">
        <v>2</v>
      </c>
      <c r="K1341" s="5" t="s">
        <v>238</v>
      </c>
      <c r="L1341" s="18">
        <v>42282</v>
      </c>
      <c r="M1341" s="9" t="s">
        <v>191</v>
      </c>
      <c r="N1341" s="38">
        <v>11.324999999999999</v>
      </c>
      <c r="O1341" s="38">
        <v>4.875</v>
      </c>
      <c r="P1341" s="38">
        <v>1.925</v>
      </c>
      <c r="Q1341" s="38">
        <v>0.7</v>
      </c>
      <c r="R1341" s="38">
        <v>2.5196700000000001</v>
      </c>
      <c r="S1341" s="38">
        <f t="shared" si="165"/>
        <v>2.5</v>
      </c>
      <c r="T1341" s="38">
        <v>16.524999999999999</v>
      </c>
      <c r="U1341" s="38">
        <v>1.375</v>
      </c>
      <c r="V1341" s="38">
        <v>0.65</v>
      </c>
      <c r="W1341" s="38">
        <v>0.27500000000000002</v>
      </c>
      <c r="X1341" s="38">
        <v>4.9734800000000003</v>
      </c>
      <c r="Y1341" s="38">
        <f t="shared" si="166"/>
        <v>5</v>
      </c>
      <c r="Z1341" s="38">
        <v>0</v>
      </c>
      <c r="AA1341" s="38">
        <v>0</v>
      </c>
      <c r="AB1341" s="38">
        <v>18.824999999999999</v>
      </c>
      <c r="AC1341" s="38">
        <v>1.3325199999999999</v>
      </c>
      <c r="AD1341" s="38">
        <v>46.87</v>
      </c>
      <c r="AE1341" s="38">
        <v>4.9000000000000004</v>
      </c>
      <c r="AF1341" s="38">
        <f>(AD1341+AE1341*0.5)/(3.5*I1341*1000)*100</f>
        <v>7.4791298611690302E-2</v>
      </c>
      <c r="AG1341" s="38">
        <f t="shared" si="167"/>
        <v>0.1</v>
      </c>
      <c r="AH1341" s="38">
        <v>35.69</v>
      </c>
      <c r="AI1341" s="38">
        <f>AH1341/(3.5*I1341*1000)*100</f>
        <v>5.4122089364380115E-2</v>
      </c>
      <c r="AJ1341" s="38">
        <v>0</v>
      </c>
      <c r="AK1341" s="38">
        <f>AJ1341/(3.5*I1341*1000)*100</f>
        <v>0</v>
      </c>
      <c r="AL1341" s="38">
        <v>0</v>
      </c>
      <c r="AM1341" s="38">
        <f>AL1341/(3.5*I1341*1000)*100</f>
        <v>0</v>
      </c>
      <c r="AN1341" s="41"/>
      <c r="AO1341" s="114"/>
      <c r="AP1341" s="73"/>
      <c r="AQ1341" s="73"/>
      <c r="AR1341" s="22"/>
      <c r="AS1341" s="22"/>
      <c r="AT1341" s="22"/>
      <c r="AU1341" s="22"/>
      <c r="AV1341" s="22"/>
      <c r="AW1341" s="22"/>
      <c r="AX1341" s="22"/>
      <c r="AY1341" s="22"/>
      <c r="AZ1341" s="22"/>
      <c r="BA1341" s="22"/>
      <c r="BB1341" s="22"/>
      <c r="BC1341" s="22"/>
      <c r="BD1341" s="22"/>
      <c r="BE1341" s="22"/>
      <c r="BF1341" s="22"/>
      <c r="BG1341" s="22"/>
      <c r="BH1341" s="22"/>
      <c r="BI1341" s="22"/>
      <c r="BJ1341" s="22"/>
      <c r="BK1341" s="22"/>
      <c r="BL1341" s="22"/>
      <c r="BM1341" s="22"/>
      <c r="BN1341" s="22"/>
      <c r="BO1341" s="22"/>
      <c r="BP1341" s="22"/>
      <c r="BQ1341" s="22"/>
      <c r="BR1341" s="22"/>
      <c r="BS1341" s="22"/>
      <c r="BT1341" s="22"/>
      <c r="BU1341" s="22"/>
      <c r="BV1341" s="22"/>
      <c r="BW1341" s="22"/>
      <c r="BX1341" s="22"/>
      <c r="BY1341" s="22"/>
      <c r="BZ1341" s="22"/>
      <c r="CA1341" s="22"/>
      <c r="CB1341" s="22"/>
      <c r="CC1341" s="22"/>
      <c r="CD1341" s="22"/>
      <c r="CE1341" s="22"/>
      <c r="CF1341" s="22"/>
      <c r="CG1341" s="22"/>
      <c r="CH1341" s="22"/>
      <c r="CI1341" s="22"/>
      <c r="CJ1341" s="22"/>
    </row>
    <row r="1342" spans="1:88">
      <c r="A1342" s="1">
        <v>1105</v>
      </c>
      <c r="B1342" s="9" t="s">
        <v>1513</v>
      </c>
      <c r="C1342" s="34">
        <v>431</v>
      </c>
      <c r="D1342" s="75">
        <v>2219</v>
      </c>
      <c r="E1342" s="69">
        <v>102</v>
      </c>
      <c r="F1342" s="34" t="s">
        <v>1531</v>
      </c>
      <c r="G1342" s="20" t="s">
        <v>1530</v>
      </c>
      <c r="H1342" s="20" t="s">
        <v>1532</v>
      </c>
      <c r="I1342" s="21">
        <v>46.357999999999997</v>
      </c>
      <c r="J1342" s="8">
        <v>2</v>
      </c>
      <c r="K1342" s="5" t="s">
        <v>238</v>
      </c>
      <c r="L1342" s="18">
        <v>42282</v>
      </c>
      <c r="M1342" s="9" t="s">
        <v>191</v>
      </c>
      <c r="N1342" s="38">
        <v>20.274999999999999</v>
      </c>
      <c r="O1342" s="38">
        <v>3.7749999999999999</v>
      </c>
      <c r="P1342" s="38">
        <v>1.35</v>
      </c>
      <c r="Q1342" s="38">
        <v>0.65</v>
      </c>
      <c r="R1342" s="38">
        <v>2.0603099999999999</v>
      </c>
      <c r="S1342" s="38">
        <f t="shared" si="165"/>
        <v>2</v>
      </c>
      <c r="T1342" s="38">
        <v>24.925000000000001</v>
      </c>
      <c r="U1342" s="38">
        <v>0.92500000000000004</v>
      </c>
      <c r="V1342" s="38">
        <v>0.1</v>
      </c>
      <c r="W1342" s="38">
        <v>0.1</v>
      </c>
      <c r="X1342" s="38">
        <v>3.9164599999999998</v>
      </c>
      <c r="Y1342" s="38">
        <f t="shared" si="166"/>
        <v>4</v>
      </c>
      <c r="Z1342" s="38">
        <v>0</v>
      </c>
      <c r="AA1342" s="38">
        <v>0</v>
      </c>
      <c r="AB1342" s="38">
        <v>26.049999999999997</v>
      </c>
      <c r="AC1342" s="38">
        <v>1.12127</v>
      </c>
      <c r="AD1342" s="38">
        <v>117.95</v>
      </c>
      <c r="AE1342" s="38">
        <v>6.8</v>
      </c>
      <c r="AF1342" s="38">
        <f>(AD1342+AE1342*0.5)/(3.5*I1342*1000)*100</f>
        <v>7.4790604796213328E-2</v>
      </c>
      <c r="AG1342" s="38">
        <f t="shared" si="167"/>
        <v>0.1</v>
      </c>
      <c r="AH1342" s="38">
        <v>85.64</v>
      </c>
      <c r="AI1342" s="38">
        <f>AH1342/(3.5*I1342*1000)*100</f>
        <v>5.2781766746993891E-2</v>
      </c>
      <c r="AJ1342" s="38">
        <v>0</v>
      </c>
      <c r="AK1342" s="38">
        <f>AJ1342/(3.5*I1342*1000)*100</f>
        <v>0</v>
      </c>
      <c r="AL1342" s="38">
        <v>0</v>
      </c>
      <c r="AM1342" s="38">
        <f>AL1342/(3.5*I1342*1000)*100</f>
        <v>0</v>
      </c>
      <c r="AN1342" s="41"/>
      <c r="AO1342" s="72"/>
      <c r="AP1342" s="73"/>
      <c r="AQ1342" s="73"/>
      <c r="AR1342" s="22"/>
      <c r="AS1342" s="22"/>
      <c r="AT1342" s="22"/>
      <c r="AU1342" s="22"/>
      <c r="AV1342" s="22"/>
      <c r="AW1342" s="22"/>
      <c r="AX1342" s="22"/>
      <c r="AY1342" s="22"/>
      <c r="AZ1342" s="22"/>
      <c r="BA1342" s="22"/>
      <c r="BB1342" s="22"/>
      <c r="BC1342" s="22"/>
      <c r="BD1342" s="22"/>
      <c r="BE1342" s="22"/>
      <c r="BF1342" s="22"/>
      <c r="BG1342" s="22"/>
      <c r="BH1342" s="22"/>
      <c r="BI1342" s="22"/>
      <c r="BJ1342" s="22"/>
      <c r="BK1342" s="22"/>
      <c r="BL1342" s="22"/>
      <c r="BM1342" s="22"/>
      <c r="BN1342" s="22"/>
      <c r="BO1342" s="22"/>
      <c r="BP1342" s="22"/>
      <c r="BQ1342" s="22"/>
      <c r="BR1342" s="22"/>
      <c r="BS1342" s="22"/>
      <c r="BT1342" s="22"/>
      <c r="BU1342" s="22"/>
      <c r="BV1342" s="22"/>
      <c r="BW1342" s="22"/>
      <c r="BX1342" s="22"/>
      <c r="BY1342" s="22"/>
      <c r="BZ1342" s="22"/>
      <c r="CA1342" s="22"/>
      <c r="CB1342" s="22"/>
      <c r="CC1342" s="22"/>
      <c r="CD1342" s="22"/>
      <c r="CE1342" s="22"/>
      <c r="CF1342" s="22"/>
      <c r="CG1342" s="22"/>
      <c r="CH1342" s="22"/>
      <c r="CI1342" s="22"/>
      <c r="CJ1342" s="22"/>
    </row>
    <row r="1343" spans="1:88">
      <c r="A1343" s="1">
        <v>31</v>
      </c>
      <c r="B1343" s="4" t="s">
        <v>21</v>
      </c>
      <c r="C1343" s="14">
        <v>522</v>
      </c>
      <c r="D1343" s="19">
        <v>1006</v>
      </c>
      <c r="E1343" s="16">
        <v>100</v>
      </c>
      <c r="F1343" s="16" t="s">
        <v>228</v>
      </c>
      <c r="G1343" s="20">
        <v>2500</v>
      </c>
      <c r="H1343" s="20">
        <v>31768</v>
      </c>
      <c r="I1343" s="21">
        <v>25.527000000000001</v>
      </c>
      <c r="J1343" s="8">
        <v>2</v>
      </c>
      <c r="K1343" s="9" t="s">
        <v>238</v>
      </c>
      <c r="L1343" s="24">
        <v>42236</v>
      </c>
      <c r="M1343" s="9" t="s">
        <v>191</v>
      </c>
      <c r="N1343" s="11">
        <v>6.75</v>
      </c>
      <c r="O1343" s="11">
        <v>12.525</v>
      </c>
      <c r="P1343" s="11">
        <v>3.2250000000000001</v>
      </c>
      <c r="Q1343" s="11">
        <v>3.0249999999999999</v>
      </c>
      <c r="R1343" s="11">
        <v>3.6110000000000002</v>
      </c>
      <c r="S1343" s="38">
        <f t="shared" si="165"/>
        <v>3.5</v>
      </c>
      <c r="T1343" s="11">
        <v>13.55</v>
      </c>
      <c r="U1343" s="11">
        <v>7.25</v>
      </c>
      <c r="V1343" s="11">
        <v>4.6500000000000004</v>
      </c>
      <c r="W1343" s="11">
        <v>7.4999999999999997E-2</v>
      </c>
      <c r="X1343" s="11">
        <v>6.3250000000000002</v>
      </c>
      <c r="Y1343" s="38">
        <f t="shared" si="166"/>
        <v>6.5</v>
      </c>
      <c r="Z1343" s="11">
        <v>0</v>
      </c>
      <c r="AA1343" s="11">
        <v>0</v>
      </c>
      <c r="AB1343" s="11">
        <f>SUM(N1343:Q1343)</f>
        <v>25.524999999999999</v>
      </c>
      <c r="AC1343" s="11">
        <v>1.3120000000000001</v>
      </c>
      <c r="AD1343" s="11">
        <v>36.69</v>
      </c>
      <c r="AE1343" s="11">
        <v>59.81</v>
      </c>
      <c r="AF1343" s="11">
        <f>(AD1343+AE1343*0.5)/(3.5*I1343*1000)*100</f>
        <v>7.4537324625466583E-2</v>
      </c>
      <c r="AG1343" s="38">
        <f t="shared" si="167"/>
        <v>0.1</v>
      </c>
      <c r="AH1343" s="11">
        <v>112.32</v>
      </c>
      <c r="AI1343" s="11">
        <f>AH1343/(3.5*I1343*1000)*100</f>
        <v>0.1257156288299783</v>
      </c>
      <c r="AJ1343" s="11">
        <v>25.62</v>
      </c>
      <c r="AK1343" s="11">
        <f>AJ1343/(3.5*I1343*1000)*100</f>
        <v>2.8675520037607236E-2</v>
      </c>
      <c r="AL1343" s="11">
        <v>5.26</v>
      </c>
      <c r="AM1343" s="11">
        <f>AL1343/(3.5*I1343*1000)*100</f>
        <v>5.8873237860192834E-3</v>
      </c>
      <c r="AN1343" s="22"/>
      <c r="AO1343" s="25"/>
      <c r="AP1343" s="25"/>
      <c r="AQ1343" s="22"/>
      <c r="AR1343" s="22"/>
      <c r="AS1343" s="22"/>
      <c r="AT1343" s="22"/>
      <c r="AU1343" s="22"/>
      <c r="AV1343" s="22"/>
      <c r="AW1343" s="22"/>
      <c r="AX1343" s="22"/>
      <c r="AY1343" s="22"/>
      <c r="AZ1343" s="22"/>
      <c r="BA1343" s="22"/>
      <c r="BB1343" s="22"/>
      <c r="BC1343" s="22"/>
      <c r="BD1343" s="22"/>
      <c r="BE1343" s="22"/>
      <c r="BF1343" s="22"/>
      <c r="BG1343" s="22"/>
      <c r="BH1343" s="22"/>
      <c r="BI1343" s="22"/>
      <c r="BJ1343" s="22"/>
      <c r="BK1343" s="22"/>
      <c r="BL1343" s="22"/>
      <c r="BM1343" s="22"/>
      <c r="BN1343" s="22"/>
      <c r="BO1343" s="22"/>
      <c r="BP1343" s="22"/>
      <c r="BQ1343" s="22"/>
      <c r="BR1343" s="22"/>
      <c r="BS1343" s="22"/>
      <c r="BT1343" s="22"/>
      <c r="BU1343" s="22"/>
      <c r="BV1343" s="22"/>
      <c r="BW1343" s="22"/>
      <c r="BX1343" s="22"/>
      <c r="BY1343" s="22"/>
      <c r="BZ1343" s="22"/>
      <c r="CA1343" s="22"/>
      <c r="CB1343" s="22"/>
      <c r="CC1343" s="22"/>
      <c r="CD1343" s="22"/>
      <c r="CE1343" s="22"/>
      <c r="CF1343" s="22"/>
      <c r="CG1343" s="22"/>
      <c r="CH1343" s="22"/>
      <c r="CI1343" s="22"/>
      <c r="CJ1343" s="22"/>
    </row>
    <row r="1344" spans="1:88">
      <c r="A1344" s="1">
        <v>43</v>
      </c>
      <c r="B1344" s="4" t="s">
        <v>21</v>
      </c>
      <c r="C1344" s="14">
        <v>522</v>
      </c>
      <c r="D1344" s="19">
        <v>1365</v>
      </c>
      <c r="E1344" s="16">
        <v>100</v>
      </c>
      <c r="F1344" s="14" t="s">
        <v>229</v>
      </c>
      <c r="G1344" s="20">
        <v>0</v>
      </c>
      <c r="H1344" s="20">
        <v>876</v>
      </c>
      <c r="I1344" s="21">
        <v>0.876</v>
      </c>
      <c r="J1344" s="8">
        <v>2</v>
      </c>
      <c r="K1344" s="9" t="s">
        <v>238</v>
      </c>
      <c r="L1344" s="24">
        <v>42236</v>
      </c>
      <c r="M1344" s="9" t="s">
        <v>191</v>
      </c>
      <c r="N1344" s="26">
        <v>0.875</v>
      </c>
      <c r="O1344" s="26">
        <v>0</v>
      </c>
      <c r="P1344" s="26">
        <v>0</v>
      </c>
      <c r="Q1344" s="26">
        <v>0</v>
      </c>
      <c r="R1344" s="26">
        <v>2.532</v>
      </c>
      <c r="S1344" s="38">
        <f t="shared" si="165"/>
        <v>2.5</v>
      </c>
      <c r="T1344" s="26">
        <v>0.875</v>
      </c>
      <c r="U1344" s="26">
        <v>0</v>
      </c>
      <c r="V1344" s="26">
        <v>0</v>
      </c>
      <c r="W1344" s="26">
        <v>0</v>
      </c>
      <c r="X1344" s="26">
        <v>2.6379999999999999</v>
      </c>
      <c r="Y1344" s="38">
        <f t="shared" si="166"/>
        <v>2.5</v>
      </c>
      <c r="Z1344" s="11">
        <v>0</v>
      </c>
      <c r="AA1344" s="11">
        <v>0</v>
      </c>
      <c r="AB1344" s="11">
        <f>SUM(N1344:Q1344)</f>
        <v>0.875</v>
      </c>
      <c r="AC1344" s="26">
        <v>1.2130000000000001</v>
      </c>
      <c r="AD1344" s="26">
        <v>1.1000000000000001</v>
      </c>
      <c r="AE1344" s="26">
        <v>2.3199999999999998</v>
      </c>
      <c r="AF1344" s="11">
        <f>(AD1344+AE1344*0.5)/(3.5*I1344*1000)*100</f>
        <v>7.3711676451402475E-2</v>
      </c>
      <c r="AG1344" s="38">
        <f t="shared" si="167"/>
        <v>0.1</v>
      </c>
      <c r="AH1344" s="26">
        <v>0</v>
      </c>
      <c r="AI1344" s="11">
        <f>AH1344/(3.5*I1344*1000)*100</f>
        <v>0</v>
      </c>
      <c r="AJ1344" s="26">
        <v>0</v>
      </c>
      <c r="AK1344" s="11">
        <f>AJ1344/(3.5*I1344*1000)*100</f>
        <v>0</v>
      </c>
      <c r="AL1344" s="26">
        <v>0</v>
      </c>
      <c r="AM1344" s="11">
        <f>AL1344/(3.5*I1344*1000)*100</f>
        <v>0</v>
      </c>
      <c r="AN1344" s="22"/>
      <c r="AO1344" s="25"/>
      <c r="AP1344" s="25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2"/>
      <c r="BC1344" s="22"/>
      <c r="BD1344" s="22"/>
      <c r="BE1344" s="22"/>
      <c r="BF1344" s="22"/>
      <c r="BG1344" s="22"/>
      <c r="BH1344" s="22"/>
      <c r="BI1344" s="22"/>
      <c r="BJ1344" s="22"/>
      <c r="BK1344" s="22"/>
      <c r="BL1344" s="22"/>
      <c r="BM1344" s="22"/>
      <c r="BN1344" s="22"/>
      <c r="BO1344" s="22"/>
      <c r="BP1344" s="22"/>
      <c r="BQ1344" s="22"/>
      <c r="BR1344" s="22"/>
      <c r="BS1344" s="22"/>
      <c r="BT1344" s="22"/>
      <c r="BU1344" s="22"/>
      <c r="BV1344" s="22"/>
      <c r="BW1344" s="22"/>
      <c r="BX1344" s="22"/>
      <c r="BY1344" s="22"/>
      <c r="BZ1344" s="22"/>
      <c r="CA1344" s="22"/>
      <c r="CB1344" s="22"/>
      <c r="CC1344" s="22"/>
      <c r="CD1344" s="22"/>
      <c r="CE1344" s="22"/>
      <c r="CF1344" s="22"/>
      <c r="CG1344" s="22"/>
      <c r="CH1344" s="22"/>
      <c r="CI1344" s="22"/>
      <c r="CJ1344" s="22"/>
    </row>
    <row r="1345" spans="1:88">
      <c r="A1345" s="1">
        <v>218</v>
      </c>
      <c r="B1345" s="34" t="s">
        <v>413</v>
      </c>
      <c r="C1345" s="34">
        <v>536</v>
      </c>
      <c r="D1345" s="34">
        <v>1162</v>
      </c>
      <c r="E1345" s="34">
        <v>100</v>
      </c>
      <c r="F1345" s="34" t="s">
        <v>423</v>
      </c>
      <c r="G1345" s="20" t="s">
        <v>424</v>
      </c>
      <c r="H1345" s="20" t="s">
        <v>92</v>
      </c>
      <c r="I1345" s="35">
        <v>26.369</v>
      </c>
      <c r="J1345" s="36">
        <v>2</v>
      </c>
      <c r="K1345" s="34" t="s">
        <v>12</v>
      </c>
      <c r="L1345" s="10">
        <v>42220</v>
      </c>
      <c r="M1345" s="9" t="s">
        <v>191</v>
      </c>
      <c r="N1345" s="38">
        <v>19.41</v>
      </c>
      <c r="O1345" s="38">
        <v>5.12</v>
      </c>
      <c r="P1345" s="38">
        <v>1.29</v>
      </c>
      <c r="Q1345" s="38">
        <v>0.55000000000000004</v>
      </c>
      <c r="R1345" s="38">
        <v>2.149</v>
      </c>
      <c r="S1345" s="38">
        <f t="shared" si="165"/>
        <v>2</v>
      </c>
      <c r="T1345" s="38">
        <v>14.6</v>
      </c>
      <c r="U1345" s="38">
        <v>3.63</v>
      </c>
      <c r="V1345" s="38">
        <v>2.37</v>
      </c>
      <c r="W1345" s="38">
        <v>5.78</v>
      </c>
      <c r="X1345" s="38">
        <v>15.906000000000001</v>
      </c>
      <c r="Y1345" s="38">
        <f t="shared" si="166"/>
        <v>16</v>
      </c>
      <c r="Z1345" s="38">
        <v>0</v>
      </c>
      <c r="AA1345" s="38">
        <v>0</v>
      </c>
      <c r="AB1345" s="38">
        <v>26.37</v>
      </c>
      <c r="AC1345" s="38">
        <v>1.286</v>
      </c>
      <c r="AD1345" s="38">
        <v>67.510000000000005</v>
      </c>
      <c r="AE1345" s="38">
        <v>0.84</v>
      </c>
      <c r="AF1345" s="38">
        <f>(AD1345+AE1345*0.5)/(3.5*I1345*1000)*100</f>
        <v>7.3603744656875233E-2</v>
      </c>
      <c r="AG1345" s="38">
        <f t="shared" si="167"/>
        <v>0.1</v>
      </c>
      <c r="AH1345" s="38">
        <v>0</v>
      </c>
      <c r="AI1345" s="38">
        <f>AH1345/(3.5*I1345*1000)*100</f>
        <v>0</v>
      </c>
      <c r="AJ1345" s="38">
        <v>0</v>
      </c>
      <c r="AK1345" s="38">
        <f>AJ1345/(3.5*I1345*1000)*100</f>
        <v>0</v>
      </c>
      <c r="AL1345" s="38">
        <v>20.93</v>
      </c>
      <c r="AM1345" s="38">
        <f>AL1345/(3.5*I1345*1000)*100</f>
        <v>2.2678144791232129E-2</v>
      </c>
      <c r="AN1345" s="25"/>
      <c r="AO1345" s="25">
        <f>AE1345*0.5</f>
        <v>0.42</v>
      </c>
      <c r="AP1345" s="25">
        <f>(AD1345+AH1345+AJ1345+AL1345+AO1345)*I1345</f>
        <v>2343.1493399999999</v>
      </c>
      <c r="AQ1345" s="25">
        <f>SUM(N1345:Q1345)</f>
        <v>26.37</v>
      </c>
      <c r="AR1345" s="25">
        <f>SUM(T1345:W1345)</f>
        <v>26.380000000000003</v>
      </c>
      <c r="AS1345" s="22"/>
      <c r="AT1345" s="41"/>
      <c r="AU1345" s="41">
        <f>SUM(N1345:Q1345)</f>
        <v>26.37</v>
      </c>
      <c r="AV1345" s="41">
        <f>SUM(T1345:W1345)</f>
        <v>26.380000000000003</v>
      </c>
      <c r="AW1345" s="41">
        <f>SUM(Z1345:AB1345)</f>
        <v>26.37</v>
      </c>
      <c r="AX1345" s="22"/>
      <c r="AY1345" s="22">
        <f>I1345/AU1345</f>
        <v>0.99996207811907467</v>
      </c>
      <c r="AZ1345" s="22">
        <f>I1345/AV1345</f>
        <v>0.99958301743745248</v>
      </c>
      <c r="BA1345" s="22">
        <f>I1345/AW1345</f>
        <v>0.99996207811907467</v>
      </c>
      <c r="BB1345" s="22"/>
      <c r="BC1345" s="22"/>
      <c r="BD1345" s="22"/>
      <c r="BE1345" s="22"/>
      <c r="BF1345" s="22"/>
      <c r="BG1345" s="22"/>
      <c r="BH1345" s="22"/>
      <c r="BI1345" s="22"/>
      <c r="BJ1345" s="22"/>
      <c r="BK1345" s="22"/>
      <c r="BL1345" s="22"/>
      <c r="BM1345" s="22"/>
      <c r="BN1345" s="22"/>
      <c r="BO1345" s="22"/>
      <c r="BP1345" s="22"/>
      <c r="BQ1345" s="22"/>
      <c r="BR1345" s="22"/>
      <c r="BS1345" s="22"/>
      <c r="BT1345" s="22"/>
      <c r="BU1345" s="22"/>
      <c r="BV1345" s="22"/>
      <c r="BW1345" s="22"/>
      <c r="BX1345" s="22"/>
      <c r="BY1345" s="22"/>
      <c r="BZ1345" s="22"/>
      <c r="CA1345" s="22"/>
      <c r="CB1345" s="22"/>
      <c r="CC1345" s="22"/>
      <c r="CD1345" s="22"/>
      <c r="CE1345" s="22"/>
      <c r="CF1345" s="22"/>
      <c r="CG1345" s="22"/>
      <c r="CH1345" s="22"/>
      <c r="CI1345" s="22"/>
      <c r="CJ1345" s="22"/>
    </row>
    <row r="1346" spans="1:88">
      <c r="A1346" s="1">
        <v>1161</v>
      </c>
      <c r="B1346" s="74" t="s">
        <v>1577</v>
      </c>
      <c r="C1346" s="34">
        <v>432</v>
      </c>
      <c r="D1346" s="34">
        <v>3261</v>
      </c>
      <c r="E1346" s="34">
        <v>200</v>
      </c>
      <c r="F1346" s="34" t="s">
        <v>1623</v>
      </c>
      <c r="G1346" s="34" t="s">
        <v>1624</v>
      </c>
      <c r="H1346" s="34" t="s">
        <v>1625</v>
      </c>
      <c r="I1346" s="55">
        <v>11.48</v>
      </c>
      <c r="J1346" s="34">
        <v>2</v>
      </c>
      <c r="K1346" s="34" t="s">
        <v>12</v>
      </c>
      <c r="L1346" s="10">
        <v>42282</v>
      </c>
      <c r="M1346" s="9" t="s">
        <v>191</v>
      </c>
      <c r="N1346" s="38">
        <v>8.5250000000000004</v>
      </c>
      <c r="O1346" s="38">
        <v>2.0499999999999998</v>
      </c>
      <c r="P1346" s="38">
        <v>0.97499999999999998</v>
      </c>
      <c r="Q1346" s="38">
        <v>0.47499999999999998</v>
      </c>
      <c r="R1346" s="38">
        <v>2.4602300000000001</v>
      </c>
      <c r="S1346" s="38">
        <f t="shared" si="165"/>
        <v>2.5</v>
      </c>
      <c r="T1346" s="38">
        <v>10.625</v>
      </c>
      <c r="U1346" s="38">
        <v>0.47499999999999998</v>
      </c>
      <c r="V1346" s="38">
        <v>0.42499999999999999</v>
      </c>
      <c r="W1346" s="38">
        <v>0.5</v>
      </c>
      <c r="X1346" s="38">
        <v>4.9362199999999996</v>
      </c>
      <c r="Y1346" s="38">
        <f t="shared" si="166"/>
        <v>5</v>
      </c>
      <c r="Z1346" s="38">
        <v>0</v>
      </c>
      <c r="AA1346" s="38">
        <v>0</v>
      </c>
      <c r="AB1346" s="38">
        <v>12.024999999999999</v>
      </c>
      <c r="AC1346" s="38">
        <v>1.36697</v>
      </c>
      <c r="AD1346" s="38">
        <v>27.82</v>
      </c>
      <c r="AE1346" s="38">
        <v>3.4</v>
      </c>
      <c r="AF1346" s="38">
        <v>7.3469000000000007E-2</v>
      </c>
      <c r="AG1346" s="38">
        <f t="shared" si="167"/>
        <v>0.1</v>
      </c>
      <c r="AH1346" s="38">
        <v>14.95</v>
      </c>
      <c r="AI1346" s="38">
        <v>3.7207999999999998E-2</v>
      </c>
      <c r="AJ1346" s="38">
        <v>0</v>
      </c>
      <c r="AK1346" s="38">
        <v>0</v>
      </c>
      <c r="AL1346" s="38">
        <v>0</v>
      </c>
      <c r="AM1346" s="38">
        <v>0</v>
      </c>
      <c r="AN1346" s="114"/>
      <c r="AO1346" s="73"/>
    </row>
    <row r="1347" spans="1:88">
      <c r="A1347" s="1">
        <v>1521</v>
      </c>
      <c r="B1347" s="34" t="s">
        <v>2069</v>
      </c>
      <c r="C1347" s="34">
        <v>413</v>
      </c>
      <c r="D1347" s="69">
        <v>3467</v>
      </c>
      <c r="E1347" s="34">
        <v>100</v>
      </c>
      <c r="F1347" s="34" t="s">
        <v>2093</v>
      </c>
      <c r="G1347" s="58">
        <v>0</v>
      </c>
      <c r="H1347" s="58">
        <v>19556</v>
      </c>
      <c r="I1347" s="35">
        <v>19.556000000000001</v>
      </c>
      <c r="J1347" s="34">
        <v>2</v>
      </c>
      <c r="K1347" s="34" t="s">
        <v>12</v>
      </c>
      <c r="L1347" s="10">
        <v>42265</v>
      </c>
      <c r="M1347" s="9" t="s">
        <v>191</v>
      </c>
      <c r="N1347" s="38">
        <v>5.85</v>
      </c>
      <c r="O1347" s="38">
        <v>4.2249999999999996</v>
      </c>
      <c r="P1347" s="38">
        <v>4.8499999999999996</v>
      </c>
      <c r="Q1347" s="38">
        <v>4.7249999999999996</v>
      </c>
      <c r="R1347" s="38">
        <v>3.9681299999999999</v>
      </c>
      <c r="S1347" s="38">
        <f t="shared" ref="S1347:S1410" si="168">ROUND(R1347/5,1)*5</f>
        <v>4</v>
      </c>
      <c r="T1347" s="38">
        <v>9.625</v>
      </c>
      <c r="U1347" s="38">
        <v>3.15</v>
      </c>
      <c r="V1347" s="38">
        <v>2.3250000000000002</v>
      </c>
      <c r="W1347" s="38">
        <v>4.55</v>
      </c>
      <c r="X1347" s="38">
        <v>11.181699999999999</v>
      </c>
      <c r="Y1347" s="38">
        <f t="shared" ref="Y1347:Y1410" si="169">ROUND(X1347/5,1)*5</f>
        <v>11</v>
      </c>
      <c r="Z1347" s="38">
        <v>0</v>
      </c>
      <c r="AA1347" s="38">
        <v>0</v>
      </c>
      <c r="AB1347" s="196">
        <v>19.556000000000001</v>
      </c>
      <c r="AC1347" s="38">
        <v>1.0802</v>
      </c>
      <c r="AD1347" s="38">
        <v>0</v>
      </c>
      <c r="AE1347" s="38">
        <v>100.5</v>
      </c>
      <c r="AF1347" s="38">
        <f>(AD1347+AE1347*0.5)/(3.5*I1347*1000)*100</f>
        <v>7.3415539257224674E-2</v>
      </c>
      <c r="AG1347" s="38">
        <f t="shared" ref="AG1347:AG1410" si="170">ROUND(AF1347,1)</f>
        <v>0.1</v>
      </c>
      <c r="AH1347" s="38">
        <v>35</v>
      </c>
      <c r="AI1347" s="38">
        <f>AH1347/(3.5*I1347*1000)*100</f>
        <v>5.1135201472693806E-2</v>
      </c>
      <c r="AJ1347" s="38">
        <v>0</v>
      </c>
      <c r="AK1347" s="38">
        <f>AJ1347/(3.5*I1347*1000)*100</f>
        <v>0</v>
      </c>
      <c r="AL1347" s="38">
        <v>70</v>
      </c>
      <c r="AM1347" s="38">
        <f>AL1347/(3.5*I1347*1000)*100</f>
        <v>0.10227040294538761</v>
      </c>
      <c r="AN1347" s="25"/>
      <c r="AO1347" s="25">
        <f>AE1347*0.5</f>
        <v>50.25</v>
      </c>
      <c r="AP1347" s="25">
        <f>(AD1347+AH1347+AJ1347+AL1347+AO1347)*I1347</f>
        <v>3036.069</v>
      </c>
      <c r="AQ1347" s="25">
        <f>(AD1347+AH1347+AJ1347+AL1347)*I1347</f>
        <v>2053.38</v>
      </c>
      <c r="AR1347" s="25">
        <f>SUM(N1347:Q1347)</f>
        <v>19.649999999999999</v>
      </c>
      <c r="AS1347" s="25">
        <f>SUM(T1347:W1347)</f>
        <v>19.650000000000002</v>
      </c>
      <c r="AT1347" s="22"/>
      <c r="AU1347" s="275">
        <v>19.556000000000001</v>
      </c>
      <c r="AV1347" s="41">
        <f>SUM(N1347:Q1347)</f>
        <v>19.649999999999999</v>
      </c>
      <c r="AW1347" s="41">
        <f>SUM(T1347:W1347)</f>
        <v>19.650000000000002</v>
      </c>
      <c r="AX1347" s="41">
        <f>SUM(Z1347:AB1347)</f>
        <v>19.556000000000001</v>
      </c>
      <c r="AY1347" s="22"/>
      <c r="AZ1347" s="22">
        <f>I1347/AV1347</f>
        <v>0.99521628498727743</v>
      </c>
      <c r="BA1347" s="22">
        <f>I1347/AW1347</f>
        <v>0.99521628498727732</v>
      </c>
      <c r="BB1347" s="22">
        <f>I1347/AX1347</f>
        <v>1</v>
      </c>
      <c r="BC1347" s="22"/>
      <c r="BD1347" s="22"/>
      <c r="BE1347" s="22"/>
      <c r="BF1347" s="22"/>
      <c r="BG1347" s="22"/>
      <c r="BH1347" s="22"/>
      <c r="BI1347" s="22"/>
      <c r="BJ1347" s="22"/>
      <c r="BK1347" s="22"/>
      <c r="BL1347" s="22"/>
      <c r="BM1347" s="22"/>
      <c r="BN1347" s="22"/>
      <c r="BO1347" s="22"/>
      <c r="BP1347" s="22"/>
      <c r="BQ1347" s="22"/>
      <c r="BR1347" s="22"/>
      <c r="BS1347" s="22"/>
      <c r="BT1347" s="22"/>
      <c r="BU1347" s="22"/>
      <c r="BV1347" s="22"/>
      <c r="BW1347" s="22"/>
      <c r="BX1347" s="22"/>
      <c r="BY1347" s="22"/>
      <c r="BZ1347" s="22"/>
      <c r="CA1347" s="22"/>
      <c r="CB1347" s="22"/>
      <c r="CC1347" s="22"/>
      <c r="CD1347" s="22"/>
      <c r="CE1347" s="22"/>
      <c r="CF1347" s="22"/>
      <c r="CG1347" s="22"/>
      <c r="CH1347" s="22"/>
      <c r="CI1347" s="22"/>
      <c r="CJ1347" s="22"/>
    </row>
    <row r="1348" spans="1:88">
      <c r="A1348" s="1">
        <v>1214</v>
      </c>
      <c r="B1348" s="34" t="s">
        <v>1674</v>
      </c>
      <c r="C1348" s="34">
        <v>435</v>
      </c>
      <c r="D1348" s="34">
        <v>2275</v>
      </c>
      <c r="E1348" s="34">
        <v>100</v>
      </c>
      <c r="F1348" s="34" t="s">
        <v>1710</v>
      </c>
      <c r="G1348" s="34" t="s">
        <v>92</v>
      </c>
      <c r="H1348" s="34" t="s">
        <v>578</v>
      </c>
      <c r="I1348" s="55">
        <v>12</v>
      </c>
      <c r="J1348" s="34">
        <v>2</v>
      </c>
      <c r="K1348" s="181" t="s">
        <v>238</v>
      </c>
      <c r="L1348" s="10">
        <v>42282</v>
      </c>
      <c r="M1348" s="9" t="s">
        <v>191</v>
      </c>
      <c r="N1348" s="38">
        <v>4.875</v>
      </c>
      <c r="O1348" s="38">
        <v>3.55</v>
      </c>
      <c r="P1348" s="38">
        <v>3.0249999999999999</v>
      </c>
      <c r="Q1348" s="38">
        <v>0.57499999999999996</v>
      </c>
      <c r="R1348" s="38">
        <v>2.9817300000000002</v>
      </c>
      <c r="S1348" s="38">
        <f t="shared" si="168"/>
        <v>3</v>
      </c>
      <c r="T1348" s="38">
        <v>11.45</v>
      </c>
      <c r="U1348" s="38">
        <v>0.42499999999999999</v>
      </c>
      <c r="V1348" s="38">
        <v>0.05</v>
      </c>
      <c r="W1348" s="38">
        <v>0.1</v>
      </c>
      <c r="X1348" s="38">
        <v>4.6388400000000001</v>
      </c>
      <c r="Y1348" s="38">
        <f t="shared" si="169"/>
        <v>4.5</v>
      </c>
      <c r="Z1348" s="38">
        <v>0</v>
      </c>
      <c r="AA1348" s="38">
        <v>0</v>
      </c>
      <c r="AB1348" s="55">
        <v>12</v>
      </c>
      <c r="AC1348" s="38">
        <v>1.2886</v>
      </c>
      <c r="AD1348" s="38">
        <v>27.64</v>
      </c>
      <c r="AE1348" s="38">
        <v>6.3319999999999999</v>
      </c>
      <c r="AF1348" s="38">
        <f>(AD1348+AE1348*0.5)/(3.5*I1348*1000)*100</f>
        <v>7.334761904761905E-2</v>
      </c>
      <c r="AG1348" s="38">
        <f t="shared" si="170"/>
        <v>0.1</v>
      </c>
      <c r="AH1348" s="38">
        <v>18.649999999999999</v>
      </c>
      <c r="AI1348" s="38">
        <v>4.4405E-2</v>
      </c>
      <c r="AJ1348" s="38">
        <v>0</v>
      </c>
      <c r="AK1348" s="38">
        <v>0</v>
      </c>
      <c r="AL1348" s="38">
        <v>0</v>
      </c>
      <c r="AM1348" s="38">
        <v>0</v>
      </c>
      <c r="AN1348" s="12"/>
    </row>
    <row r="1349" spans="1:88">
      <c r="A1349" s="1">
        <v>114</v>
      </c>
      <c r="B1349" s="4" t="s">
        <v>78</v>
      </c>
      <c r="C1349" s="14">
        <v>527</v>
      </c>
      <c r="D1349" s="19">
        <v>1150</v>
      </c>
      <c r="E1349" s="16">
        <v>102</v>
      </c>
      <c r="F1349" s="31" t="s">
        <v>231</v>
      </c>
      <c r="G1349" s="20">
        <v>16</v>
      </c>
      <c r="H1349" s="20">
        <v>53000</v>
      </c>
      <c r="I1349" s="21">
        <v>37</v>
      </c>
      <c r="J1349" s="8">
        <v>2</v>
      </c>
      <c r="K1349" s="9" t="s">
        <v>238</v>
      </c>
      <c r="L1349" s="18">
        <v>42240</v>
      </c>
      <c r="M1349" s="9" t="s">
        <v>191</v>
      </c>
      <c r="N1349" s="11">
        <v>8.2799999999999994</v>
      </c>
      <c r="O1349" s="11">
        <v>11.78</v>
      </c>
      <c r="P1349" s="11">
        <v>11.03</v>
      </c>
      <c r="Q1349" s="11">
        <v>5.93</v>
      </c>
      <c r="R1349" s="11">
        <v>3.4209999999999998</v>
      </c>
      <c r="S1349" s="38">
        <f t="shared" si="168"/>
        <v>3.5</v>
      </c>
      <c r="T1349" s="11">
        <v>33.700000000000003</v>
      </c>
      <c r="U1349" s="11">
        <v>1.93</v>
      </c>
      <c r="V1349" s="11">
        <v>1.28</v>
      </c>
      <c r="W1349" s="11">
        <v>0.1</v>
      </c>
      <c r="X1349" s="11">
        <v>8.6270000000000007</v>
      </c>
      <c r="Y1349" s="38">
        <f t="shared" si="169"/>
        <v>8.5</v>
      </c>
      <c r="Z1349" s="11">
        <v>0</v>
      </c>
      <c r="AA1349" s="11">
        <v>0</v>
      </c>
      <c r="AB1349" s="11">
        <v>37</v>
      </c>
      <c r="AC1349" s="11">
        <v>1.3009999999999999</v>
      </c>
      <c r="AD1349" s="11">
        <v>57.69</v>
      </c>
      <c r="AE1349" s="11">
        <v>74.150000000000006</v>
      </c>
      <c r="AF1349" s="11">
        <f>(AD1349+AE1349*0.5)/(3.5*I1349*1000)*100</f>
        <v>7.3177606177606172E-2</v>
      </c>
      <c r="AG1349" s="38">
        <f t="shared" si="170"/>
        <v>0.1</v>
      </c>
      <c r="AH1349" s="11">
        <v>65.3</v>
      </c>
      <c r="AI1349" s="11">
        <f>AH1349/(3.5*I1349*1000)*100</f>
        <v>5.0424710424710417E-2</v>
      </c>
      <c r="AJ1349" s="11">
        <v>0</v>
      </c>
      <c r="AK1349" s="11">
        <f>AJ1349/(3.5*I1349*1000)*100</f>
        <v>0</v>
      </c>
      <c r="AL1349" s="11">
        <v>0</v>
      </c>
      <c r="AM1349" s="11">
        <f>AL1349/(3.5*I1349*1000)*100</f>
        <v>0</v>
      </c>
      <c r="AN1349" s="22"/>
      <c r="AO1349" s="25"/>
      <c r="AP1349" s="25">
        <f>SUM(N1349:Q1349)</f>
        <v>37.019999999999996</v>
      </c>
      <c r="AQ1349" s="25">
        <f>SUM(T1349:W1349)</f>
        <v>37.010000000000005</v>
      </c>
      <c r="AR1349" s="25">
        <f>SUM(Z1349:AB1349)</f>
        <v>37</v>
      </c>
      <c r="AS1349" s="22"/>
      <c r="AT1349" s="22">
        <f>I1349/AP1349</f>
        <v>0.99945975148568356</v>
      </c>
      <c r="AU1349" s="22">
        <f>I1349/AQ1349</f>
        <v>0.99972980275601175</v>
      </c>
      <c r="AV1349" s="22">
        <f>I1349/AR1349</f>
        <v>1</v>
      </c>
      <c r="AW1349" s="22"/>
      <c r="AX1349" s="22"/>
      <c r="AY1349" s="22"/>
      <c r="AZ1349" s="22"/>
      <c r="BA1349" s="22"/>
      <c r="BB1349" s="22"/>
      <c r="BC1349" s="22"/>
      <c r="BD1349" s="22"/>
      <c r="BE1349" s="22"/>
      <c r="BF1349" s="22"/>
      <c r="BG1349" s="22"/>
      <c r="BH1349" s="22"/>
      <c r="BI1349" s="22"/>
      <c r="BJ1349" s="22"/>
      <c r="BK1349" s="22"/>
      <c r="BL1349" s="22"/>
      <c r="BM1349" s="22"/>
      <c r="BN1349" s="22"/>
      <c r="BO1349" s="22"/>
      <c r="BP1349" s="22"/>
      <c r="BQ1349" s="22"/>
      <c r="BR1349" s="22"/>
      <c r="BS1349" s="22"/>
      <c r="BT1349" s="22"/>
      <c r="BU1349" s="22"/>
      <c r="BV1349" s="22"/>
      <c r="BW1349" s="22"/>
      <c r="BX1349" s="22"/>
      <c r="BY1349" s="22"/>
      <c r="BZ1349" s="22"/>
      <c r="CA1349" s="22"/>
      <c r="CB1349" s="22"/>
      <c r="CC1349" s="22"/>
      <c r="CD1349" s="22"/>
      <c r="CE1349" s="22"/>
      <c r="CF1349" s="22"/>
      <c r="CG1349" s="22"/>
      <c r="CH1349" s="22"/>
      <c r="CI1349" s="22"/>
      <c r="CJ1349" s="22"/>
    </row>
    <row r="1350" spans="1:88">
      <c r="A1350" s="1">
        <v>310</v>
      </c>
      <c r="B1350" s="34" t="s">
        <v>542</v>
      </c>
      <c r="C1350" s="34">
        <v>644</v>
      </c>
      <c r="D1350" s="34">
        <v>2027</v>
      </c>
      <c r="E1350" s="34">
        <v>100</v>
      </c>
      <c r="F1350" s="34" t="s">
        <v>543</v>
      </c>
      <c r="G1350" s="58">
        <v>2542</v>
      </c>
      <c r="H1350" s="58">
        <v>0</v>
      </c>
      <c r="I1350" s="35">
        <v>2.5419999999999998</v>
      </c>
      <c r="J1350" s="62">
        <v>4</v>
      </c>
      <c r="K1350" s="34" t="s">
        <v>96</v>
      </c>
      <c r="L1350" s="10">
        <v>42158</v>
      </c>
      <c r="M1350" s="9" t="s">
        <v>191</v>
      </c>
      <c r="N1350" s="38">
        <v>0.78</v>
      </c>
      <c r="O1350" s="38">
        <v>0.22</v>
      </c>
      <c r="P1350" s="38">
        <v>0.56000000000000005</v>
      </c>
      <c r="Q1350" s="38">
        <v>0.98</v>
      </c>
      <c r="R1350" s="38">
        <v>3.6208399999999998</v>
      </c>
      <c r="S1350" s="38">
        <f t="shared" si="168"/>
        <v>3.5</v>
      </c>
      <c r="T1350" s="38">
        <v>2.5499999999999998</v>
      </c>
      <c r="U1350" s="38">
        <v>0</v>
      </c>
      <c r="V1350" s="38">
        <v>0</v>
      </c>
      <c r="W1350" s="38">
        <v>0</v>
      </c>
      <c r="X1350" s="38">
        <v>3.9091</v>
      </c>
      <c r="Y1350" s="38">
        <f t="shared" si="169"/>
        <v>4</v>
      </c>
      <c r="Z1350" s="38">
        <v>0</v>
      </c>
      <c r="AA1350" s="38">
        <v>0</v>
      </c>
      <c r="AB1350" s="38">
        <v>2.5499999999999998</v>
      </c>
      <c r="AC1350" s="38">
        <v>1.1498999999999999</v>
      </c>
      <c r="AD1350" s="38">
        <v>0</v>
      </c>
      <c r="AE1350" s="38">
        <v>13</v>
      </c>
      <c r="AF1350" s="38">
        <v>7.306E-2</v>
      </c>
      <c r="AG1350" s="38">
        <f t="shared" si="170"/>
        <v>0.1</v>
      </c>
      <c r="AH1350" s="38">
        <v>0</v>
      </c>
      <c r="AI1350" s="38">
        <v>0</v>
      </c>
      <c r="AJ1350" s="38">
        <v>0</v>
      </c>
      <c r="AK1350" s="38">
        <v>0</v>
      </c>
      <c r="AL1350" s="38">
        <v>0</v>
      </c>
      <c r="AM1350" s="38">
        <v>0</v>
      </c>
      <c r="AN1350" s="60"/>
      <c r="AO1350" s="60">
        <f>AE1350*0.5</f>
        <v>6.5</v>
      </c>
      <c r="AP1350" s="60">
        <f>(AD1350+AH1350+AJ1350+AL1350+AO1350)*I1350</f>
        <v>16.523</v>
      </c>
      <c r="AQ1350" s="25">
        <f>SUM(N1350:Q1350)</f>
        <v>2.54</v>
      </c>
      <c r="AR1350" s="25">
        <f>SUM(T1350:W1350)</f>
        <v>2.5499999999999998</v>
      </c>
      <c r="AS1350" s="268">
        <v>2.5419999999999998</v>
      </c>
      <c r="AT1350" s="40"/>
      <c r="AU1350" s="41">
        <f>SUM(N1350:Q1350)</f>
        <v>2.54</v>
      </c>
      <c r="AV1350" s="41">
        <f>SUM(T1350:W1350)</f>
        <v>2.5499999999999998</v>
      </c>
      <c r="AW1350" s="41">
        <f>SUM(Z1350:AB1350)</f>
        <v>2.5499999999999998</v>
      </c>
      <c r="AX1350" s="22"/>
      <c r="AY1350" s="22">
        <f>I1350/AU1350</f>
        <v>1.0007874015748031</v>
      </c>
      <c r="AZ1350" s="22">
        <f>I1350/AV1350</f>
        <v>0.99686274509803918</v>
      </c>
      <c r="BA1350" s="22">
        <f>I1350/AW1350</f>
        <v>0.99686274509803918</v>
      </c>
      <c r="BB1350" s="61"/>
      <c r="BC1350" s="61"/>
      <c r="BD1350" s="61"/>
      <c r="BE1350" s="61"/>
      <c r="BF1350" s="61"/>
      <c r="BG1350" s="61"/>
      <c r="BH1350" s="61"/>
      <c r="BI1350" s="61"/>
      <c r="BJ1350" s="61"/>
      <c r="BK1350" s="61"/>
      <c r="BL1350" s="61"/>
      <c r="BM1350" s="61"/>
      <c r="BN1350" s="61"/>
      <c r="BO1350" s="61"/>
      <c r="BP1350" s="61"/>
      <c r="BQ1350" s="61"/>
      <c r="BR1350" s="61"/>
      <c r="BS1350" s="61"/>
      <c r="BT1350" s="61"/>
      <c r="BU1350" s="61"/>
      <c r="BV1350" s="61"/>
      <c r="BW1350" s="61"/>
      <c r="BX1350" s="61"/>
      <c r="BY1350" s="61"/>
      <c r="BZ1350" s="61"/>
      <c r="CA1350" s="61"/>
      <c r="CB1350" s="61"/>
      <c r="CC1350" s="61"/>
      <c r="CD1350" s="61"/>
      <c r="CE1350" s="61"/>
      <c r="CF1350" s="61"/>
      <c r="CG1350" s="61"/>
      <c r="CH1350" s="61"/>
      <c r="CI1350" s="61"/>
      <c r="CJ1350" s="61"/>
    </row>
    <row r="1351" spans="1:88">
      <c r="A1351" s="1">
        <v>2017</v>
      </c>
      <c r="B1351" s="34" t="s">
        <v>2646</v>
      </c>
      <c r="C1351" s="34">
        <v>325</v>
      </c>
      <c r="D1351" s="75">
        <v>4213</v>
      </c>
      <c r="E1351" s="8">
        <v>100</v>
      </c>
      <c r="F1351" s="34" t="s">
        <v>2664</v>
      </c>
      <c r="G1351" s="58" t="s">
        <v>92</v>
      </c>
      <c r="H1351" s="58" t="s">
        <v>2665</v>
      </c>
      <c r="I1351" s="21">
        <v>1.9450000000000001</v>
      </c>
      <c r="J1351" s="8">
        <v>2</v>
      </c>
      <c r="K1351" s="8" t="s">
        <v>237</v>
      </c>
      <c r="L1351" s="18">
        <v>42119</v>
      </c>
      <c r="M1351" s="9" t="s">
        <v>191</v>
      </c>
      <c r="N1351" s="38">
        <v>0.82</v>
      </c>
      <c r="O1351" s="38">
        <v>0.6</v>
      </c>
      <c r="P1351" s="38">
        <v>0.15</v>
      </c>
      <c r="Q1351" s="38">
        <v>0.37</v>
      </c>
      <c r="R1351" s="38">
        <v>3.4417900000000001</v>
      </c>
      <c r="S1351" s="38">
        <f t="shared" si="168"/>
        <v>3.5</v>
      </c>
      <c r="T1351" s="38">
        <v>1.45</v>
      </c>
      <c r="U1351" s="38">
        <v>0.42</v>
      </c>
      <c r="V1351" s="38">
        <v>0.05</v>
      </c>
      <c r="W1351" s="38">
        <v>0.02</v>
      </c>
      <c r="X1351" s="38">
        <v>7.1572899999999997</v>
      </c>
      <c r="Y1351" s="38">
        <f t="shared" si="169"/>
        <v>7</v>
      </c>
      <c r="Z1351" s="38">
        <v>0</v>
      </c>
      <c r="AA1351" s="38">
        <v>0</v>
      </c>
      <c r="AB1351" s="38">
        <v>1.95</v>
      </c>
      <c r="AC1351" s="38">
        <v>1.10883</v>
      </c>
      <c r="AD1351" s="38">
        <v>4.96</v>
      </c>
      <c r="AE1351" s="38">
        <v>0</v>
      </c>
      <c r="AF1351" s="38">
        <f>(AD1351+AE1351*0.5)/(3.5*I1351*1000)*100</f>
        <v>7.2860815277267718E-2</v>
      </c>
      <c r="AG1351" s="38">
        <f t="shared" si="170"/>
        <v>0.1</v>
      </c>
      <c r="AH1351" s="145">
        <v>86.35</v>
      </c>
      <c r="AI1351" s="38">
        <f>AH1351/(3.5*I1351*1000)*100</f>
        <v>1.2684539111274329</v>
      </c>
      <c r="AJ1351" s="38">
        <v>0</v>
      </c>
      <c r="AK1351" s="38">
        <f>AJ1351/(3.5*I1351*1000)*100</f>
        <v>0</v>
      </c>
      <c r="AL1351" s="38">
        <v>0</v>
      </c>
      <c r="AM1351" s="38">
        <f>AL1351/(3.5*I1351*1000)*100</f>
        <v>0</v>
      </c>
      <c r="AN1351" s="12"/>
      <c r="AO1351" s="12"/>
      <c r="AQ1351" s="41">
        <f>SUM(N1351:Q1351)</f>
        <v>1.94</v>
      </c>
      <c r="AR1351" s="41">
        <f>SUM(T1351:W1351)</f>
        <v>1.94</v>
      </c>
      <c r="AS1351" s="12">
        <f>SUM(Z1351:AB1351)</f>
        <v>1.95</v>
      </c>
      <c r="AU1351" s="1">
        <f>I1351/AQ1351</f>
        <v>1.0025773195876289</v>
      </c>
      <c r="AV1351" s="1">
        <f>I1351/AR1351</f>
        <v>1.0025773195876289</v>
      </c>
      <c r="AW1351" s="1">
        <f>I1351/AS1351</f>
        <v>0.99743589743589745</v>
      </c>
    </row>
    <row r="1352" spans="1:88">
      <c r="A1352" s="1">
        <v>1442</v>
      </c>
      <c r="B1352" s="34" t="s">
        <v>1987</v>
      </c>
      <c r="C1352" s="34">
        <v>448</v>
      </c>
      <c r="D1352" s="75">
        <v>309</v>
      </c>
      <c r="E1352" s="69">
        <v>201</v>
      </c>
      <c r="F1352" s="34" t="s">
        <v>1992</v>
      </c>
      <c r="G1352" s="20" t="s">
        <v>1993</v>
      </c>
      <c r="H1352" s="20" t="s">
        <v>1994</v>
      </c>
      <c r="I1352" s="21">
        <v>16.3</v>
      </c>
      <c r="J1352" s="8">
        <v>4</v>
      </c>
      <c r="K1352" s="34" t="s">
        <v>237</v>
      </c>
      <c r="L1352" s="10">
        <v>42182</v>
      </c>
      <c r="M1352" s="9" t="s">
        <v>191</v>
      </c>
      <c r="N1352" s="38">
        <v>11.45</v>
      </c>
      <c r="O1352" s="38">
        <v>3.05</v>
      </c>
      <c r="P1352" s="38">
        <v>1.3</v>
      </c>
      <c r="Q1352" s="38">
        <v>0.47499999999999998</v>
      </c>
      <c r="R1352" s="38">
        <v>2.3673999999999999</v>
      </c>
      <c r="S1352" s="38">
        <f t="shared" si="168"/>
        <v>2.5</v>
      </c>
      <c r="T1352" s="38">
        <v>15.8</v>
      </c>
      <c r="U1352" s="38">
        <v>0.375</v>
      </c>
      <c r="V1352" s="38">
        <v>0.1</v>
      </c>
      <c r="W1352" s="38">
        <v>0</v>
      </c>
      <c r="X1352" s="38">
        <v>3.3341599999999998</v>
      </c>
      <c r="Y1352" s="38">
        <f t="shared" si="169"/>
        <v>3.5</v>
      </c>
      <c r="Z1352" s="38">
        <v>0</v>
      </c>
      <c r="AA1352" s="38">
        <v>0</v>
      </c>
      <c r="AB1352" s="38">
        <v>16.275000000000002</v>
      </c>
      <c r="AC1352" s="38">
        <v>1.1039600000000001</v>
      </c>
      <c r="AD1352" s="38">
        <v>0</v>
      </c>
      <c r="AE1352" s="38">
        <v>83</v>
      </c>
      <c r="AF1352" s="38">
        <f>(AD1352+AE1352*0.5)/(3.5*I1352*1000)*100</f>
        <v>7.2743207712532856E-2</v>
      </c>
      <c r="AG1352" s="38">
        <f t="shared" si="170"/>
        <v>0.1</v>
      </c>
      <c r="AH1352" s="38">
        <v>0</v>
      </c>
      <c r="AI1352" s="38">
        <f>AH1352/(3.5*I1352*1000)*100</f>
        <v>0</v>
      </c>
      <c r="AJ1352" s="38">
        <v>0</v>
      </c>
      <c r="AK1352" s="38">
        <f>AJ1352/(3.5*I1352*1000)*100</f>
        <v>0</v>
      </c>
      <c r="AL1352" s="38">
        <v>0</v>
      </c>
      <c r="AM1352" s="38">
        <f>AL1352/(3.5*I1352*1000)*100</f>
        <v>0</v>
      </c>
      <c r="AN1352" s="72"/>
      <c r="AO1352" s="41"/>
      <c r="AP1352" s="41"/>
      <c r="AQ1352" s="73"/>
      <c r="AR1352" s="73"/>
      <c r="AS1352" s="73"/>
      <c r="AT1352" s="73"/>
      <c r="AU1352" s="73"/>
      <c r="AV1352" s="73"/>
      <c r="AW1352" s="22"/>
      <c r="AX1352" s="22"/>
      <c r="AY1352" s="22"/>
      <c r="AZ1352" s="22"/>
      <c r="BA1352" s="22"/>
      <c r="BB1352" s="22"/>
      <c r="BC1352" s="22"/>
      <c r="BD1352" s="22"/>
      <c r="BE1352" s="22"/>
      <c r="BF1352" s="22"/>
      <c r="BG1352" s="22"/>
      <c r="BH1352" s="22"/>
      <c r="BI1352" s="22"/>
      <c r="BJ1352" s="22"/>
      <c r="BK1352" s="22"/>
      <c r="BL1352" s="22"/>
      <c r="BM1352" s="22"/>
      <c r="BN1352" s="22"/>
      <c r="BO1352" s="22"/>
      <c r="BP1352" s="22"/>
      <c r="BQ1352" s="22"/>
      <c r="BR1352" s="22"/>
      <c r="BS1352" s="22"/>
      <c r="BT1352" s="22"/>
      <c r="BU1352" s="22"/>
      <c r="BV1352" s="22"/>
      <c r="BW1352" s="22"/>
      <c r="BX1352" s="22"/>
      <c r="BY1352" s="22"/>
      <c r="BZ1352" s="22"/>
      <c r="CA1352" s="22"/>
      <c r="CB1352" s="22"/>
      <c r="CC1352" s="22"/>
      <c r="CD1352" s="22"/>
      <c r="CE1352" s="22"/>
      <c r="CF1352" s="22"/>
      <c r="CG1352" s="22"/>
      <c r="CH1352" s="22"/>
      <c r="CI1352" s="22"/>
      <c r="CJ1352" s="22"/>
    </row>
    <row r="1353" spans="1:88">
      <c r="A1353" s="1">
        <v>849</v>
      </c>
      <c r="B1353" s="34" t="s">
        <v>1231</v>
      </c>
      <c r="C1353" s="34">
        <v>615</v>
      </c>
      <c r="D1353" s="34">
        <v>293</v>
      </c>
      <c r="E1353" s="34">
        <v>100</v>
      </c>
      <c r="F1353" s="34" t="s">
        <v>1243</v>
      </c>
      <c r="G1353" s="58">
        <v>0</v>
      </c>
      <c r="H1353" s="58">
        <v>21977</v>
      </c>
      <c r="I1353" s="35">
        <v>21.977</v>
      </c>
      <c r="J1353" s="9">
        <v>2</v>
      </c>
      <c r="K1353" s="34" t="s">
        <v>238</v>
      </c>
      <c r="L1353" s="10">
        <v>42134</v>
      </c>
      <c r="M1353" s="9" t="s">
        <v>191</v>
      </c>
      <c r="N1353" s="38">
        <v>10</v>
      </c>
      <c r="O1353" s="38">
        <v>4.5999999999999996</v>
      </c>
      <c r="P1353" s="38">
        <v>3.35</v>
      </c>
      <c r="Q1353" s="38">
        <v>3.6749999999999998</v>
      </c>
      <c r="R1353" s="38">
        <v>4.8090000000000002</v>
      </c>
      <c r="S1353" s="38">
        <f t="shared" si="168"/>
        <v>5</v>
      </c>
      <c r="T1353" s="38">
        <v>18.375</v>
      </c>
      <c r="U1353" s="38">
        <v>2.35</v>
      </c>
      <c r="V1353" s="38">
        <v>0.72499999999999998</v>
      </c>
      <c r="W1353" s="38">
        <v>0.17499999999999999</v>
      </c>
      <c r="X1353" s="38">
        <v>6.8040000000000003</v>
      </c>
      <c r="Y1353" s="38">
        <f t="shared" si="169"/>
        <v>7</v>
      </c>
      <c r="Z1353" s="38">
        <v>0</v>
      </c>
      <c r="AA1353" s="38">
        <v>0</v>
      </c>
      <c r="AB1353" s="38">
        <f>N1353+O1353+P1353+Q1353</f>
        <v>21.625</v>
      </c>
      <c r="AC1353" s="38">
        <v>1.1779999999999999</v>
      </c>
      <c r="AD1353" s="38">
        <v>18.68</v>
      </c>
      <c r="AE1353" s="38">
        <v>74.45</v>
      </c>
      <c r="AF1353" s="38">
        <v>7.2679999999999995E-2</v>
      </c>
      <c r="AG1353" s="38">
        <f t="shared" si="170"/>
        <v>0.1</v>
      </c>
      <c r="AH1353" s="38">
        <v>1474.67</v>
      </c>
      <c r="AI1353" s="38">
        <v>1.91716</v>
      </c>
      <c r="AJ1353" s="38">
        <v>0</v>
      </c>
      <c r="AK1353" s="38">
        <v>0</v>
      </c>
      <c r="AL1353" s="38">
        <v>0.92</v>
      </c>
      <c r="AM1353" s="38">
        <v>1.1999999999999999E-3</v>
      </c>
      <c r="AN1353" s="25"/>
      <c r="AO1353" s="25">
        <f>AE1353*0.5</f>
        <v>37.225000000000001</v>
      </c>
      <c r="AP1353" s="25">
        <f>(AD1353+AH1353+AJ1353+AL1353+AO1353)*I1353</f>
        <v>33657.665615000005</v>
      </c>
      <c r="AQ1353" s="25">
        <f>SUM(N1353:Q1353)</f>
        <v>21.625</v>
      </c>
      <c r="AR1353" s="25">
        <f>SUM(T1353:W1353)</f>
        <v>21.625000000000004</v>
      </c>
      <c r="AS1353" s="268">
        <v>21.977</v>
      </c>
      <c r="AT1353" s="41"/>
      <c r="AU1353" s="41"/>
      <c r="AV1353" s="41"/>
      <c r="AW1353" s="41"/>
      <c r="AX1353" s="22"/>
      <c r="AY1353" s="22"/>
      <c r="AZ1353" s="22"/>
      <c r="BA1353" s="22"/>
      <c r="BB1353" s="22"/>
      <c r="BC1353" s="22"/>
      <c r="BD1353" s="22"/>
      <c r="BE1353" s="22"/>
      <c r="BF1353" s="22"/>
      <c r="BG1353" s="22"/>
      <c r="BH1353" s="22"/>
      <c r="BI1353" s="22"/>
      <c r="BJ1353" s="22"/>
      <c r="BK1353" s="22"/>
      <c r="BL1353" s="22"/>
      <c r="BM1353" s="22"/>
      <c r="BN1353" s="22"/>
      <c r="BO1353" s="22"/>
      <c r="BP1353" s="22"/>
      <c r="BQ1353" s="22"/>
      <c r="BR1353" s="22"/>
      <c r="BS1353" s="22"/>
      <c r="BT1353" s="22"/>
      <c r="BU1353" s="22"/>
      <c r="BV1353" s="22"/>
      <c r="BW1353" s="22"/>
      <c r="BX1353" s="22"/>
      <c r="BY1353" s="22"/>
      <c r="BZ1353" s="22"/>
      <c r="CA1353" s="22"/>
      <c r="CB1353" s="22"/>
      <c r="CC1353" s="22"/>
      <c r="CD1353" s="22"/>
      <c r="CE1353" s="22"/>
      <c r="CF1353" s="22"/>
      <c r="CG1353" s="22"/>
      <c r="CH1353" s="22"/>
      <c r="CI1353" s="22"/>
      <c r="CJ1353" s="22"/>
    </row>
    <row r="1354" spans="1:88">
      <c r="A1354" s="1">
        <v>65</v>
      </c>
      <c r="B1354" s="4" t="s">
        <v>44</v>
      </c>
      <c r="C1354" s="14">
        <v>524</v>
      </c>
      <c r="D1354" s="19">
        <v>106</v>
      </c>
      <c r="E1354" s="16">
        <v>202</v>
      </c>
      <c r="F1354" s="14" t="s">
        <v>46</v>
      </c>
      <c r="G1354" s="20" t="s">
        <v>130</v>
      </c>
      <c r="H1354" s="20" t="s">
        <v>129</v>
      </c>
      <c r="I1354" s="21">
        <v>66.533000000000001</v>
      </c>
      <c r="J1354" s="8">
        <v>2</v>
      </c>
      <c r="K1354" s="9" t="s">
        <v>12</v>
      </c>
      <c r="L1354" s="18">
        <v>42228</v>
      </c>
      <c r="M1354" s="9" t="s">
        <v>191</v>
      </c>
      <c r="N1354" s="11">
        <v>36.524999999999999</v>
      </c>
      <c r="O1354" s="11">
        <v>17.475000000000001</v>
      </c>
      <c r="P1354" s="11">
        <v>9.3000000000000007</v>
      </c>
      <c r="Q1354" s="11">
        <v>3.4249999999999998</v>
      </c>
      <c r="R1354" s="11">
        <v>2.6874600000000002</v>
      </c>
      <c r="S1354" s="38">
        <f t="shared" si="168"/>
        <v>2.5</v>
      </c>
      <c r="T1354" s="11">
        <v>65.900000000000006</v>
      </c>
      <c r="U1354" s="11">
        <v>0.77500000000000002</v>
      </c>
      <c r="V1354" s="11">
        <v>0.05</v>
      </c>
      <c r="W1354" s="11">
        <v>0</v>
      </c>
      <c r="X1354" s="11">
        <v>2.81134</v>
      </c>
      <c r="Y1354" s="38">
        <f t="shared" si="169"/>
        <v>3</v>
      </c>
      <c r="Z1354" s="11">
        <v>0</v>
      </c>
      <c r="AA1354" s="11">
        <v>0</v>
      </c>
      <c r="AB1354" s="11">
        <v>66.724999999999994</v>
      </c>
      <c r="AC1354" s="11">
        <v>1.18824</v>
      </c>
      <c r="AD1354" s="11">
        <v>169.21</v>
      </c>
      <c r="AE1354" s="11">
        <v>0</v>
      </c>
      <c r="AF1354" s="11">
        <f>(AD1354+AE1354*0.5)/(3.5*I1354*1000)*100</f>
        <v>7.2664263276440696E-2</v>
      </c>
      <c r="AG1354" s="38">
        <f t="shared" si="170"/>
        <v>0.1</v>
      </c>
      <c r="AH1354" s="11">
        <v>0</v>
      </c>
      <c r="AI1354" s="11">
        <f>AH1354/(3.5*I1354*1000)*100</f>
        <v>0</v>
      </c>
      <c r="AJ1354" s="11">
        <v>1.6</v>
      </c>
      <c r="AK1354" s="11">
        <f>AJ1354/(3.5*I1354*1000)*100</f>
        <v>6.8709190498377826E-4</v>
      </c>
      <c r="AL1354" s="11">
        <v>0</v>
      </c>
      <c r="AM1354" s="11">
        <f>AL1354/(3.5*I1354*1000)*100</f>
        <v>0</v>
      </c>
      <c r="AN1354" s="25"/>
      <c r="AO1354" s="25"/>
      <c r="AP1354" s="22"/>
      <c r="AQ1354" s="22"/>
      <c r="AR1354" s="22"/>
      <c r="AS1354" s="22"/>
      <c r="AT1354" s="22"/>
      <c r="AU1354" s="22"/>
      <c r="AV1354" s="22"/>
      <c r="AW1354" s="22"/>
      <c r="AX1354" s="22"/>
      <c r="AY1354" s="22"/>
      <c r="AZ1354" s="22"/>
      <c r="BA1354" s="22"/>
      <c r="BB1354" s="22"/>
      <c r="BC1354" s="22"/>
      <c r="BD1354" s="22"/>
      <c r="BE1354" s="22"/>
      <c r="BF1354" s="22"/>
      <c r="BG1354" s="22"/>
      <c r="BH1354" s="22"/>
      <c r="BI1354" s="22"/>
      <c r="BJ1354" s="22"/>
      <c r="BK1354" s="22"/>
      <c r="BL1354" s="22"/>
      <c r="BM1354" s="22"/>
      <c r="BN1354" s="22"/>
      <c r="BO1354" s="22"/>
      <c r="BP1354" s="22"/>
      <c r="BQ1354" s="22"/>
      <c r="BR1354" s="22"/>
      <c r="BS1354" s="22"/>
      <c r="BT1354" s="22"/>
      <c r="BU1354" s="22"/>
      <c r="BV1354" s="22"/>
      <c r="BW1354" s="22"/>
      <c r="BX1354" s="22"/>
      <c r="BY1354" s="22"/>
      <c r="BZ1354" s="22"/>
      <c r="CA1354" s="22"/>
      <c r="CB1354" s="22"/>
      <c r="CC1354" s="22"/>
      <c r="CD1354" s="22"/>
      <c r="CE1354" s="22"/>
      <c r="CF1354" s="22"/>
      <c r="CG1354" s="22"/>
      <c r="CH1354" s="22"/>
      <c r="CI1354" s="22"/>
      <c r="CJ1354" s="22"/>
    </row>
    <row r="1355" spans="1:88">
      <c r="A1355" s="1">
        <v>524</v>
      </c>
      <c r="B1355" s="88" t="s">
        <v>871</v>
      </c>
      <c r="C1355" s="88">
        <v>557</v>
      </c>
      <c r="D1355" s="88">
        <v>1214</v>
      </c>
      <c r="E1355" s="88">
        <v>102</v>
      </c>
      <c r="F1355" s="88" t="s">
        <v>899</v>
      </c>
      <c r="G1355" s="88" t="s">
        <v>900</v>
      </c>
      <c r="H1355" s="88" t="s">
        <v>901</v>
      </c>
      <c r="I1355" s="115">
        <v>38.22</v>
      </c>
      <c r="J1355" s="88" t="s">
        <v>12</v>
      </c>
      <c r="K1355" s="88">
        <v>2</v>
      </c>
      <c r="L1355" s="116">
        <v>42270</v>
      </c>
      <c r="M1355" s="9" t="s">
        <v>191</v>
      </c>
      <c r="N1355" s="38">
        <v>25.25</v>
      </c>
      <c r="O1355" s="38">
        <v>9.125</v>
      </c>
      <c r="P1355" s="38">
        <v>2.4750000000000001</v>
      </c>
      <c r="Q1355" s="38">
        <v>1.3</v>
      </c>
      <c r="R1355" s="38">
        <v>2.4159299999999999</v>
      </c>
      <c r="S1355" s="38">
        <f t="shared" si="168"/>
        <v>2.5</v>
      </c>
      <c r="T1355" s="38">
        <v>36.725000000000001</v>
      </c>
      <c r="U1355" s="38">
        <v>1.175</v>
      </c>
      <c r="V1355" s="38">
        <f>0.225*1.162</f>
        <v>0.26145000000000002</v>
      </c>
      <c r="W1355" s="38">
        <f>0.025*1.162</f>
        <v>2.9049999999999999E-2</v>
      </c>
      <c r="X1355" s="38">
        <v>4.0083200000000003</v>
      </c>
      <c r="Y1355" s="38">
        <f t="shared" si="169"/>
        <v>4</v>
      </c>
      <c r="Z1355" s="117">
        <v>0</v>
      </c>
      <c r="AA1355" s="117">
        <v>0</v>
      </c>
      <c r="AB1355" s="117">
        <v>38.15</v>
      </c>
      <c r="AC1355" s="117">
        <v>1.17818</v>
      </c>
      <c r="AD1355" s="117">
        <v>82.54</v>
      </c>
      <c r="AE1355" s="117">
        <v>29.15</v>
      </c>
      <c r="AF1355" s="117">
        <v>7.2597999999999996E-2</v>
      </c>
      <c r="AG1355" s="38">
        <f t="shared" si="170"/>
        <v>0.1</v>
      </c>
      <c r="AH1355" s="117">
        <v>86.47</v>
      </c>
      <c r="AI1355" s="117">
        <v>6.4641000000000004E-2</v>
      </c>
      <c r="AJ1355" s="117">
        <v>0</v>
      </c>
      <c r="AK1355" s="117">
        <v>0</v>
      </c>
      <c r="AL1355" s="117">
        <v>0</v>
      </c>
      <c r="AM1355" s="117">
        <v>0</v>
      </c>
      <c r="AN1355" s="25"/>
      <c r="AO1355" s="25"/>
      <c r="AP1355" s="22"/>
      <c r="AQ1355" s="22"/>
    </row>
    <row r="1356" spans="1:88">
      <c r="A1356" s="1">
        <v>1490</v>
      </c>
      <c r="B1356" s="34" t="s">
        <v>2016</v>
      </c>
      <c r="C1356" s="34">
        <v>411</v>
      </c>
      <c r="D1356" s="69">
        <v>3702</v>
      </c>
      <c r="E1356" s="34">
        <v>100</v>
      </c>
      <c r="F1356" s="34" t="s">
        <v>2039</v>
      </c>
      <c r="G1356" s="20" t="s">
        <v>389</v>
      </c>
      <c r="H1356" s="20" t="s">
        <v>2051</v>
      </c>
      <c r="I1356" s="188">
        <v>0.435</v>
      </c>
      <c r="J1356" s="34">
        <v>2</v>
      </c>
      <c r="K1356" s="34" t="s">
        <v>12</v>
      </c>
      <c r="L1356" s="10">
        <v>42248</v>
      </c>
      <c r="M1356" s="9" t="s">
        <v>191</v>
      </c>
      <c r="N1356" s="38">
        <v>0.32100000000000001</v>
      </c>
      <c r="O1356" s="38">
        <v>9.2999999999999999E-2</v>
      </c>
      <c r="P1356" s="38">
        <v>2.1000000000000001E-2</v>
      </c>
      <c r="Q1356" s="38">
        <v>0</v>
      </c>
      <c r="R1356" s="38">
        <v>2.129</v>
      </c>
      <c r="S1356" s="38">
        <f t="shared" si="168"/>
        <v>2</v>
      </c>
      <c r="T1356" s="38">
        <v>0.32500000000000001</v>
      </c>
      <c r="U1356" s="38">
        <v>0.25</v>
      </c>
      <c r="V1356" s="38">
        <v>2.5000000000000001E-2</v>
      </c>
      <c r="W1356" s="38">
        <v>0</v>
      </c>
      <c r="X1356" s="38">
        <v>8.6219999999999999</v>
      </c>
      <c r="Y1356" s="38">
        <f t="shared" si="169"/>
        <v>8.5</v>
      </c>
      <c r="Z1356" s="38">
        <v>0</v>
      </c>
      <c r="AA1356" s="38">
        <v>0</v>
      </c>
      <c r="AB1356" s="38">
        <f>SUM(T1356:W1356)</f>
        <v>0.6</v>
      </c>
      <c r="AC1356" s="38">
        <v>1.339</v>
      </c>
      <c r="AD1356" s="38">
        <v>0</v>
      </c>
      <c r="AE1356" s="38">
        <v>2.21</v>
      </c>
      <c r="AF1356" s="38">
        <f>(AD1356+AE1356*0.5)/(3.5*I1356*1000)*100</f>
        <v>7.2577996715927753E-2</v>
      </c>
      <c r="AG1356" s="38">
        <f t="shared" si="170"/>
        <v>0.1</v>
      </c>
      <c r="AH1356" s="38">
        <v>16</v>
      </c>
      <c r="AI1356" s="38">
        <f>AH1356/(3.5*I1356*1000)*100</f>
        <v>1.0509031198686372</v>
      </c>
      <c r="AJ1356" s="38">
        <v>24.05</v>
      </c>
      <c r="AK1356" s="38">
        <f>AJ1356/(3.5*I1356*1000)*100</f>
        <v>1.5796387520525452</v>
      </c>
      <c r="AL1356" s="38">
        <v>4</v>
      </c>
      <c r="AM1356" s="38">
        <f>AL1356/(3.5*I1356*1000)*100</f>
        <v>0.26272577996715929</v>
      </c>
      <c r="AN1356" s="60"/>
      <c r="AO1356" s="60">
        <f>AE1356*0.5</f>
        <v>1.105</v>
      </c>
      <c r="AP1356" s="60">
        <f>(AD1356+AH1356+AJ1356+AL1356+AO1356)*I1356</f>
        <v>19.642424999999996</v>
      </c>
      <c r="AQ1356" s="60"/>
      <c r="AR1356" s="60"/>
      <c r="AS1356" s="60"/>
      <c r="AT1356" s="60"/>
      <c r="AU1356" s="61"/>
      <c r="AV1356" s="40"/>
      <c r="AW1356" s="40"/>
      <c r="AX1356" s="40"/>
      <c r="AY1356" s="40"/>
      <c r="AZ1356" s="61"/>
      <c r="BA1356" s="61"/>
      <c r="BB1356" s="61"/>
      <c r="BC1356" s="61"/>
      <c r="BD1356" s="61"/>
      <c r="BE1356" s="61"/>
      <c r="BF1356" s="61"/>
      <c r="BG1356" s="61"/>
      <c r="BH1356" s="61"/>
      <c r="BI1356" s="61"/>
      <c r="BJ1356" s="61"/>
      <c r="BK1356" s="61"/>
      <c r="BL1356" s="61"/>
      <c r="BM1356" s="61"/>
      <c r="BN1356" s="61"/>
      <c r="BO1356" s="61"/>
      <c r="BP1356" s="61"/>
      <c r="BQ1356" s="61"/>
      <c r="BR1356" s="61"/>
      <c r="BS1356" s="61"/>
      <c r="BT1356" s="61"/>
      <c r="BU1356" s="61"/>
      <c r="BV1356" s="61"/>
      <c r="BW1356" s="61"/>
      <c r="BX1356" s="61"/>
      <c r="BY1356" s="61"/>
      <c r="BZ1356" s="61"/>
      <c r="CA1356" s="61"/>
      <c r="CB1356" s="61"/>
      <c r="CC1356" s="61"/>
      <c r="CD1356" s="61"/>
      <c r="CE1356" s="61"/>
      <c r="CF1356" s="61"/>
      <c r="CG1356" s="61"/>
      <c r="CH1356" s="61"/>
      <c r="CI1356" s="61"/>
      <c r="CJ1356" s="61"/>
    </row>
    <row r="1357" spans="1:88">
      <c r="A1357" s="1">
        <v>1870</v>
      </c>
      <c r="B1357" s="34" t="s">
        <v>2495</v>
      </c>
      <c r="C1357" s="34">
        <v>335</v>
      </c>
      <c r="D1357" s="75">
        <v>3206</v>
      </c>
      <c r="E1357" s="8">
        <v>200</v>
      </c>
      <c r="F1357" s="9" t="s">
        <v>2502</v>
      </c>
      <c r="G1357" s="20">
        <v>102445</v>
      </c>
      <c r="H1357" s="20">
        <v>54104</v>
      </c>
      <c r="I1357" s="21">
        <v>48.341000000000001</v>
      </c>
      <c r="J1357" s="34">
        <v>2</v>
      </c>
      <c r="K1357" s="34" t="s">
        <v>12</v>
      </c>
      <c r="L1357" s="18">
        <v>42095</v>
      </c>
      <c r="M1357" s="207" t="s">
        <v>191</v>
      </c>
      <c r="N1357" s="38">
        <v>33.450000000000003</v>
      </c>
      <c r="O1357" s="38">
        <v>8.0399999999999991</v>
      </c>
      <c r="P1357" s="38">
        <v>4.22</v>
      </c>
      <c r="Q1357" s="38">
        <v>2.62</v>
      </c>
      <c r="R1357" s="38">
        <v>2.28973</v>
      </c>
      <c r="S1357" s="38">
        <f t="shared" si="168"/>
        <v>2.5</v>
      </c>
      <c r="T1357" s="38">
        <v>46.14</v>
      </c>
      <c r="U1357" s="38">
        <v>1.87</v>
      </c>
      <c r="V1357" s="38">
        <v>0.3</v>
      </c>
      <c r="W1357" s="38">
        <v>0.02</v>
      </c>
      <c r="X1357" s="38">
        <v>3.4217599999999999</v>
      </c>
      <c r="Y1357" s="38">
        <f t="shared" si="169"/>
        <v>3.5</v>
      </c>
      <c r="Z1357" s="38">
        <v>0</v>
      </c>
      <c r="AA1357" s="38">
        <v>0</v>
      </c>
      <c r="AB1357" s="38">
        <v>48.34</v>
      </c>
      <c r="AC1357" s="38">
        <v>1.4374499999999999</v>
      </c>
      <c r="AD1357" s="38">
        <v>118.39</v>
      </c>
      <c r="AE1357" s="38">
        <v>8.3000000000000007</v>
      </c>
      <c r="AF1357" s="38">
        <f>(AD1357+AE1357*0.5)/(3.5*I1357*1000)*100</f>
        <v>7.2425950169480502E-2</v>
      </c>
      <c r="AG1357" s="38">
        <f t="shared" si="170"/>
        <v>0.1</v>
      </c>
      <c r="AH1357" s="38">
        <v>96.37</v>
      </c>
      <c r="AI1357" s="38">
        <f>AH1357/(3.5*I1357*1000)*100</f>
        <v>5.6958452895649062E-2</v>
      </c>
      <c r="AJ1357" s="38">
        <v>0</v>
      </c>
      <c r="AK1357" s="38">
        <f>AJ1357/(3.5*I1357*1000)*100</f>
        <v>0</v>
      </c>
      <c r="AL1357" s="38">
        <v>0</v>
      </c>
      <c r="AM1357" s="38">
        <f>AL1357/(3.5*I1357*1000)*100</f>
        <v>0</v>
      </c>
      <c r="AN1357" s="73"/>
      <c r="AO1357" s="73"/>
      <c r="AP1357" s="73"/>
      <c r="AQ1357" s="41">
        <f>SUM(N1357:Q1357)</f>
        <v>48.33</v>
      </c>
      <c r="AR1357" s="41">
        <f>SUM(T1357:W1357)</f>
        <v>48.33</v>
      </c>
      <c r="AS1357" s="12">
        <f>SUM(Z1357:AB1357)</f>
        <v>48.34</v>
      </c>
      <c r="AT1357" s="22"/>
      <c r="AU1357" s="1">
        <f>I1357/AQ1357</f>
        <v>1.0002276019035796</v>
      </c>
      <c r="AV1357" s="1">
        <f>I1357/AR1357</f>
        <v>1.0002276019035796</v>
      </c>
      <c r="AW1357" s="1">
        <f>I1357/AS1357</f>
        <v>1.0000206868018204</v>
      </c>
      <c r="AX1357" s="22"/>
      <c r="AY1357" s="22"/>
      <c r="AZ1357" s="22"/>
      <c r="BA1357" s="22"/>
      <c r="BB1357" s="22"/>
      <c r="BC1357" s="22"/>
      <c r="BD1357" s="22"/>
      <c r="BE1357" s="22"/>
      <c r="BF1357" s="22"/>
      <c r="BG1357" s="22"/>
      <c r="BH1357" s="22"/>
      <c r="BI1357" s="22"/>
      <c r="BJ1357" s="22"/>
      <c r="BK1357" s="22"/>
      <c r="BL1357" s="22"/>
      <c r="BM1357" s="22"/>
      <c r="BN1357" s="22"/>
      <c r="BO1357" s="22"/>
      <c r="BP1357" s="22"/>
      <c r="BQ1357" s="22"/>
      <c r="BR1357" s="22"/>
      <c r="BS1357" s="22"/>
      <c r="BT1357" s="22"/>
      <c r="BU1357" s="22"/>
      <c r="BV1357" s="22"/>
      <c r="BW1357" s="22"/>
      <c r="BX1357" s="22"/>
      <c r="BY1357" s="22"/>
      <c r="BZ1357" s="22"/>
      <c r="CA1357" s="22"/>
      <c r="CB1357" s="22"/>
      <c r="CC1357" s="22"/>
      <c r="CD1357" s="22"/>
      <c r="CE1357" s="22"/>
      <c r="CF1357" s="22"/>
      <c r="CG1357" s="22"/>
      <c r="CH1357" s="22"/>
      <c r="CI1357" s="22"/>
      <c r="CJ1357" s="22"/>
    </row>
    <row r="1358" spans="1:88">
      <c r="A1358" s="1">
        <v>2153</v>
      </c>
      <c r="B1358" s="34" t="s">
        <v>2790</v>
      </c>
      <c r="C1358" s="34">
        <v>331</v>
      </c>
      <c r="D1358" s="209">
        <v>4006</v>
      </c>
      <c r="E1358" s="8">
        <v>100</v>
      </c>
      <c r="F1358" s="9" t="s">
        <v>2792</v>
      </c>
      <c r="G1358" s="20">
        <v>0</v>
      </c>
      <c r="H1358" s="210">
        <v>68100</v>
      </c>
      <c r="I1358" s="9">
        <v>68.099999999999994</v>
      </c>
      <c r="J1358" s="9">
        <v>2</v>
      </c>
      <c r="K1358" s="9" t="s">
        <v>238</v>
      </c>
      <c r="L1358" s="18">
        <v>42304</v>
      </c>
      <c r="M1358" s="9" t="s">
        <v>191</v>
      </c>
      <c r="N1358" s="38">
        <v>35.825000000000003</v>
      </c>
      <c r="O1358" s="38">
        <v>19.375</v>
      </c>
      <c r="P1358" s="38">
        <v>9.3000000000000007</v>
      </c>
      <c r="Q1358" s="38">
        <v>3.5249999999999999</v>
      </c>
      <c r="R1358" s="38">
        <v>2.7512400000000001</v>
      </c>
      <c r="S1358" s="38">
        <f t="shared" si="168"/>
        <v>3</v>
      </c>
      <c r="T1358" s="38">
        <v>67.150000000000006</v>
      </c>
      <c r="U1358" s="38">
        <v>0.75</v>
      </c>
      <c r="V1358" s="38">
        <v>7.4999999999999997E-2</v>
      </c>
      <c r="W1358" s="38">
        <v>0.05</v>
      </c>
      <c r="X1358" s="38">
        <v>2.2272599999999998</v>
      </c>
      <c r="Y1358" s="38">
        <f t="shared" si="169"/>
        <v>2</v>
      </c>
      <c r="Z1358" s="38">
        <v>0</v>
      </c>
      <c r="AA1358" s="38">
        <v>0</v>
      </c>
      <c r="AB1358" s="38">
        <v>68.025000000000006</v>
      </c>
      <c r="AC1358" s="38">
        <v>1.58599</v>
      </c>
      <c r="AD1358" s="38">
        <v>160.68</v>
      </c>
      <c r="AE1358" s="38">
        <v>23.48</v>
      </c>
      <c r="AF1358" s="38">
        <f>(AD1358+AE1358*0.5)/(3.5*I1358*1000)*100</f>
        <v>7.2338997272917996E-2</v>
      </c>
      <c r="AG1358" s="38">
        <f t="shared" si="170"/>
        <v>0.1</v>
      </c>
      <c r="AH1358" s="38">
        <v>163.84</v>
      </c>
      <c r="AI1358" s="38">
        <f>AH1358/(3.5*I1358*1000)*100</f>
        <v>6.8739249003566191E-2</v>
      </c>
      <c r="AJ1358" s="38">
        <v>1.38</v>
      </c>
      <c r="AK1358" s="38">
        <f>AJ1358/(3.5*I1358*1000)*100</f>
        <v>5.78980490874764E-4</v>
      </c>
      <c r="AL1358" s="38">
        <v>0</v>
      </c>
      <c r="AM1358" s="38">
        <f>AL1358/(3.5*I1358*1000)*100</f>
        <v>0</v>
      </c>
      <c r="AN1358" s="25"/>
      <c r="AO1358" s="25"/>
      <c r="AP1358" s="22"/>
      <c r="AQ1358" s="22"/>
      <c r="AR1358" s="22"/>
      <c r="AS1358" s="22"/>
      <c r="AT1358" s="22"/>
      <c r="AU1358" s="22"/>
      <c r="AV1358" s="22"/>
      <c r="AW1358" s="22"/>
      <c r="AX1358" s="22"/>
      <c r="AY1358" s="22"/>
      <c r="AZ1358" s="22"/>
      <c r="BA1358" s="22"/>
      <c r="BB1358" s="22"/>
      <c r="BC1358" s="22"/>
      <c r="BD1358" s="22"/>
      <c r="BE1358" s="22"/>
      <c r="BF1358" s="22"/>
      <c r="BG1358" s="22"/>
      <c r="BH1358" s="22"/>
      <c r="BI1358" s="22"/>
      <c r="BJ1358" s="22"/>
      <c r="BK1358" s="22"/>
      <c r="BL1358" s="22"/>
      <c r="BM1358" s="22"/>
      <c r="BN1358" s="22"/>
      <c r="BO1358" s="22"/>
      <c r="BP1358" s="22"/>
      <c r="BQ1358" s="22"/>
      <c r="BR1358" s="22"/>
      <c r="BS1358" s="22"/>
      <c r="BT1358" s="22"/>
      <c r="BU1358" s="22"/>
      <c r="BV1358" s="22"/>
      <c r="BW1358" s="22"/>
      <c r="BX1358" s="22"/>
      <c r="BY1358" s="22"/>
      <c r="BZ1358" s="22"/>
      <c r="CA1358" s="22"/>
      <c r="CB1358" s="22"/>
      <c r="CC1358" s="22"/>
      <c r="CD1358" s="22"/>
      <c r="CE1358" s="22"/>
      <c r="CF1358" s="22"/>
      <c r="CG1358" s="22"/>
      <c r="CH1358" s="22"/>
      <c r="CI1358" s="22"/>
      <c r="CJ1358" s="22"/>
    </row>
    <row r="1359" spans="1:88">
      <c r="A1359" s="1">
        <v>1887</v>
      </c>
      <c r="B1359" s="34" t="s">
        <v>2495</v>
      </c>
      <c r="C1359" s="34">
        <v>335</v>
      </c>
      <c r="D1359" s="75">
        <v>3525</v>
      </c>
      <c r="E1359" s="8">
        <v>100</v>
      </c>
      <c r="F1359" s="9" t="s">
        <v>2522</v>
      </c>
      <c r="G1359" s="20">
        <v>0</v>
      </c>
      <c r="H1359" s="20">
        <v>6519</v>
      </c>
      <c r="I1359" s="21">
        <v>6.5190000000000001</v>
      </c>
      <c r="J1359" s="34">
        <v>4</v>
      </c>
      <c r="K1359" s="34" t="s">
        <v>238</v>
      </c>
      <c r="L1359" s="18">
        <v>42093</v>
      </c>
      <c r="M1359" s="207" t="s">
        <v>191</v>
      </c>
      <c r="N1359" s="38">
        <v>2.79</v>
      </c>
      <c r="O1359" s="38">
        <v>2.4900000000000002</v>
      </c>
      <c r="P1359" s="38">
        <v>0.78</v>
      </c>
      <c r="Q1359" s="38">
        <v>0.46</v>
      </c>
      <c r="R1359" s="38">
        <v>3.1615199999999999</v>
      </c>
      <c r="S1359" s="38">
        <f t="shared" si="168"/>
        <v>3</v>
      </c>
      <c r="T1359" s="38">
        <v>5.53</v>
      </c>
      <c r="U1359" s="38">
        <v>0.86</v>
      </c>
      <c r="V1359" s="38">
        <v>0.11</v>
      </c>
      <c r="W1359" s="38">
        <v>0.03</v>
      </c>
      <c r="X1359" s="38">
        <v>6.1093200000000003</v>
      </c>
      <c r="Y1359" s="38">
        <f t="shared" si="169"/>
        <v>6</v>
      </c>
      <c r="Z1359" s="38">
        <v>0</v>
      </c>
      <c r="AA1359" s="38">
        <v>0</v>
      </c>
      <c r="AB1359" s="38">
        <v>6.52</v>
      </c>
      <c r="AC1359" s="38">
        <v>1.4059200000000001</v>
      </c>
      <c r="AD1359" s="38">
        <v>16.329999999999998</v>
      </c>
      <c r="AE1359" s="38">
        <v>0.26</v>
      </c>
      <c r="AF1359" s="38">
        <f>(AD1359+AE1359*0.5)/(3.5*I1359*1000)*100</f>
        <v>7.2140775316108949E-2</v>
      </c>
      <c r="AG1359" s="38">
        <f t="shared" si="170"/>
        <v>0.1</v>
      </c>
      <c r="AH1359" s="38">
        <v>38.94</v>
      </c>
      <c r="AI1359" s="38">
        <f>AH1359/(3.5*I1359*1000)*100</f>
        <v>0.17066596541976201</v>
      </c>
      <c r="AJ1359" s="38">
        <v>0</v>
      </c>
      <c r="AK1359" s="38">
        <f>AJ1359/(3.5*I1359*1000)*100</f>
        <v>0</v>
      </c>
      <c r="AL1359" s="38">
        <v>0</v>
      </c>
      <c r="AM1359" s="38">
        <f>AL1359/(3.5*I1359*1000)*100</f>
        <v>0</v>
      </c>
      <c r="AN1359" s="73"/>
      <c r="AO1359" s="73"/>
      <c r="AP1359" s="73"/>
      <c r="AQ1359" s="41">
        <f>SUM(N1359:Q1359)</f>
        <v>6.5200000000000005</v>
      </c>
      <c r="AR1359" s="41">
        <f>SUM(T1359:W1359)</f>
        <v>6.5300000000000011</v>
      </c>
      <c r="AS1359" s="12">
        <f>SUM(Z1359:AB1359)</f>
        <v>6.52</v>
      </c>
      <c r="AU1359" s="1">
        <f>I1359/AQ1359</f>
        <v>0.99984662576687111</v>
      </c>
      <c r="AV1359" s="1">
        <f>I1359/AR1359</f>
        <v>0.99831546707503815</v>
      </c>
      <c r="AW1359" s="1">
        <f>I1359/AS1359</f>
        <v>0.99984662576687122</v>
      </c>
    </row>
    <row r="1360" spans="1:88">
      <c r="A1360" s="1">
        <v>1157</v>
      </c>
      <c r="B1360" s="74" t="s">
        <v>1577</v>
      </c>
      <c r="C1360" s="34">
        <v>432</v>
      </c>
      <c r="D1360" s="34">
        <v>3222</v>
      </c>
      <c r="E1360" s="34">
        <v>100</v>
      </c>
      <c r="F1360" s="34" t="s">
        <v>1616</v>
      </c>
      <c r="G1360" s="34" t="s">
        <v>1617</v>
      </c>
      <c r="H1360" s="34" t="s">
        <v>92</v>
      </c>
      <c r="I1360" s="55">
        <v>26.219000000000001</v>
      </c>
      <c r="J1360" s="34">
        <v>2</v>
      </c>
      <c r="K1360" s="34" t="s">
        <v>12</v>
      </c>
      <c r="L1360" s="10">
        <v>42282</v>
      </c>
      <c r="M1360" s="9" t="s">
        <v>191</v>
      </c>
      <c r="N1360" s="38">
        <v>20.100000000000001</v>
      </c>
      <c r="O1360" s="38">
        <v>4.4249999999999998</v>
      </c>
      <c r="P1360" s="38">
        <v>1.5</v>
      </c>
      <c r="Q1360" s="38">
        <v>0.4</v>
      </c>
      <c r="R1360" s="38">
        <v>2.1555</v>
      </c>
      <c r="S1360" s="38">
        <f t="shared" si="168"/>
        <v>2</v>
      </c>
      <c r="T1360" s="38">
        <v>23.4</v>
      </c>
      <c r="U1360" s="38">
        <v>2.0750000000000002</v>
      </c>
      <c r="V1360" s="38">
        <v>0.65</v>
      </c>
      <c r="W1360" s="38">
        <v>0.3</v>
      </c>
      <c r="X1360" s="38">
        <v>5.2883599999999999</v>
      </c>
      <c r="Y1360" s="38">
        <f t="shared" si="169"/>
        <v>5.5</v>
      </c>
      <c r="Z1360" s="38">
        <v>0</v>
      </c>
      <c r="AA1360" s="38">
        <v>0</v>
      </c>
      <c r="AB1360" s="38">
        <v>26.425000000000001</v>
      </c>
      <c r="AC1360" s="38">
        <v>1.1682900000000001</v>
      </c>
      <c r="AD1360" s="38">
        <v>62.1</v>
      </c>
      <c r="AE1360" s="38">
        <v>8.0020000000000007</v>
      </c>
      <c r="AF1360" s="38">
        <v>7.2031999999999999E-2</v>
      </c>
      <c r="AG1360" s="38">
        <f t="shared" si="170"/>
        <v>0.1</v>
      </c>
      <c r="AH1360" s="38">
        <v>154.6</v>
      </c>
      <c r="AI1360" s="38">
        <v>0.16847100000000001</v>
      </c>
      <c r="AJ1360" s="38">
        <v>0</v>
      </c>
      <c r="AK1360" s="38">
        <v>0</v>
      </c>
      <c r="AL1360" s="38">
        <v>0</v>
      </c>
      <c r="AM1360" s="38">
        <v>0</v>
      </c>
      <c r="AN1360" s="114"/>
      <c r="AO1360" s="73"/>
    </row>
    <row r="1361" spans="1:88">
      <c r="A1361" s="1">
        <v>362</v>
      </c>
      <c r="B1361" s="71" t="s">
        <v>602</v>
      </c>
      <c r="C1361" s="78">
        <v>514</v>
      </c>
      <c r="D1361" s="79">
        <v>105</v>
      </c>
      <c r="E1361" s="80">
        <v>101</v>
      </c>
      <c r="F1361" s="78" t="s">
        <v>603</v>
      </c>
      <c r="G1361" s="81" t="s">
        <v>604</v>
      </c>
      <c r="H1361" s="81" t="s">
        <v>92</v>
      </c>
      <c r="I1361" s="78">
        <v>18.215</v>
      </c>
      <c r="J1361" s="78">
        <v>4</v>
      </c>
      <c r="K1361" s="78" t="s">
        <v>96</v>
      </c>
      <c r="L1361" s="82">
        <v>42254</v>
      </c>
      <c r="M1361" s="71" t="s">
        <v>191</v>
      </c>
      <c r="N1361" s="83">
        <v>9.9499999999999993</v>
      </c>
      <c r="O1361" s="83">
        <v>5.4249999999999998</v>
      </c>
      <c r="P1361" s="83">
        <v>2.1749999999999998</v>
      </c>
      <c r="Q1361" s="83">
        <v>0.67500000000000004</v>
      </c>
      <c r="R1361" s="83">
        <v>2.6669999999999998</v>
      </c>
      <c r="S1361" s="38">
        <f t="shared" si="168"/>
        <v>2.5</v>
      </c>
      <c r="T1361" s="83">
        <v>17.425000000000001</v>
      </c>
      <c r="U1361" s="83">
        <v>0.625</v>
      </c>
      <c r="V1361" s="83">
        <v>0.125</v>
      </c>
      <c r="W1361" s="83">
        <v>0.05</v>
      </c>
      <c r="X1361" s="83">
        <v>3.589</v>
      </c>
      <c r="Y1361" s="38">
        <f t="shared" si="169"/>
        <v>3.5</v>
      </c>
      <c r="Z1361" s="83">
        <v>0</v>
      </c>
      <c r="AA1361" s="83">
        <v>0</v>
      </c>
      <c r="AB1361" s="83">
        <v>18.225000000000001</v>
      </c>
      <c r="AC1361" s="83">
        <v>1.087</v>
      </c>
      <c r="AD1361" s="83">
        <v>31.5</v>
      </c>
      <c r="AE1361" s="83">
        <v>28.2</v>
      </c>
      <c r="AF1361" s="83">
        <f>(AD1361+AE1361*0.5)/(3.5*I1361*1000)*100</f>
        <v>7.1526606799733342E-2</v>
      </c>
      <c r="AG1361" s="38">
        <f t="shared" si="170"/>
        <v>0.1</v>
      </c>
      <c r="AH1361" s="83">
        <v>69.319999999999993</v>
      </c>
      <c r="AI1361" s="83">
        <f>AH1361/(3.5*I1361*1000)*100</f>
        <v>0.10873299086310341</v>
      </c>
      <c r="AJ1361" s="83">
        <v>12.26</v>
      </c>
      <c r="AK1361" s="83">
        <f>AJ1361/(3.5*I1361*1000)*100</f>
        <v>1.9230618407121289E-2</v>
      </c>
      <c r="AL1361" s="83">
        <v>0</v>
      </c>
      <c r="AM1361" s="83">
        <f>AL1361/(3.5*I1361*1000)*100</f>
        <v>0</v>
      </c>
      <c r="AN1361" s="84"/>
      <c r="AO1361" s="41"/>
      <c r="AP1361" s="41"/>
      <c r="AQ1361" s="85"/>
      <c r="AR1361" s="86"/>
      <c r="AS1361" s="86"/>
      <c r="AT1361" s="86"/>
      <c r="AU1361" s="86"/>
      <c r="AV1361" s="86"/>
      <c r="AW1361" s="86"/>
      <c r="AX1361" s="86"/>
      <c r="AY1361" s="86"/>
      <c r="AZ1361" s="86"/>
      <c r="BA1361" s="86"/>
      <c r="BB1361" s="86"/>
      <c r="BC1361" s="86"/>
      <c r="BD1361" s="86"/>
      <c r="BE1361" s="86"/>
      <c r="BF1361" s="86"/>
      <c r="BG1361" s="86"/>
      <c r="BH1361" s="86"/>
      <c r="BI1361" s="86"/>
      <c r="BJ1361" s="86"/>
      <c r="BK1361" s="86"/>
      <c r="BL1361" s="86"/>
      <c r="BM1361" s="86"/>
      <c r="BN1361" s="86"/>
      <c r="BO1361" s="86"/>
      <c r="BP1361" s="86"/>
      <c r="BQ1361" s="86"/>
      <c r="BR1361" s="86"/>
      <c r="BS1361" s="86"/>
      <c r="BT1361" s="86"/>
      <c r="BU1361" s="86"/>
      <c r="BV1361" s="86"/>
      <c r="BW1361" s="86"/>
      <c r="BX1361" s="86"/>
      <c r="BY1361" s="86"/>
      <c r="BZ1361" s="86"/>
      <c r="CA1361" s="86"/>
      <c r="CB1361" s="86"/>
      <c r="CC1361" s="86"/>
      <c r="CD1361" s="86"/>
      <c r="CE1361" s="86"/>
      <c r="CF1361" s="86"/>
      <c r="CG1361" s="86"/>
      <c r="CH1361" s="86"/>
      <c r="CI1361" s="86"/>
      <c r="CJ1361" s="86"/>
    </row>
    <row r="1362" spans="1:88">
      <c r="A1362" s="1">
        <v>1946</v>
      </c>
      <c r="B1362" s="34" t="s">
        <v>2586</v>
      </c>
      <c r="C1362" s="34">
        <v>321</v>
      </c>
      <c r="D1362" s="75">
        <v>408</v>
      </c>
      <c r="E1362" s="8">
        <v>101</v>
      </c>
      <c r="F1362" s="34" t="s">
        <v>2590</v>
      </c>
      <c r="G1362" s="58">
        <v>28721</v>
      </c>
      <c r="H1362" s="58">
        <v>284</v>
      </c>
      <c r="I1362" s="21">
        <v>28.437000000000001</v>
      </c>
      <c r="J1362" s="8">
        <v>4</v>
      </c>
      <c r="K1362" s="8" t="s">
        <v>96</v>
      </c>
      <c r="L1362" s="18">
        <v>42123</v>
      </c>
      <c r="M1362" s="9" t="s">
        <v>191</v>
      </c>
      <c r="N1362" s="38">
        <v>21.45</v>
      </c>
      <c r="O1362" s="38">
        <v>5.05</v>
      </c>
      <c r="P1362" s="38">
        <v>1.4</v>
      </c>
      <c r="Q1362" s="38">
        <v>0.45</v>
      </c>
      <c r="R1362" s="38">
        <v>2.1363400000000001</v>
      </c>
      <c r="S1362" s="38">
        <f t="shared" si="168"/>
        <v>2</v>
      </c>
      <c r="T1362" s="38">
        <v>28.2</v>
      </c>
      <c r="U1362" s="38">
        <v>0.125</v>
      </c>
      <c r="V1362" s="38">
        <v>2.5000000000000001E-2</v>
      </c>
      <c r="W1362" s="38">
        <v>0</v>
      </c>
      <c r="X1362" s="38">
        <v>2.9494400000000001</v>
      </c>
      <c r="Y1362" s="38">
        <f t="shared" si="169"/>
        <v>3</v>
      </c>
      <c r="Z1362" s="38">
        <v>0</v>
      </c>
      <c r="AA1362" s="38">
        <v>0</v>
      </c>
      <c r="AB1362" s="38">
        <v>28.349999999999998</v>
      </c>
      <c r="AC1362" s="38">
        <v>1.10764</v>
      </c>
      <c r="AD1362" s="38">
        <v>70.900000000000006</v>
      </c>
      <c r="AE1362" s="38">
        <v>0</v>
      </c>
      <c r="AF1362" s="38">
        <v>7.1235161434549568E-2</v>
      </c>
      <c r="AG1362" s="38">
        <f t="shared" si="170"/>
        <v>0.1</v>
      </c>
      <c r="AH1362" s="38">
        <v>0</v>
      </c>
      <c r="AI1362" s="38">
        <f>AH1362/(3.5*I1362*1000)*100</f>
        <v>0</v>
      </c>
      <c r="AJ1362" s="38">
        <v>20.66</v>
      </c>
      <c r="AK1362" s="38">
        <v>2.0757664812944908E-2</v>
      </c>
      <c r="AL1362" s="38">
        <v>0</v>
      </c>
      <c r="AM1362" s="38">
        <f>AL1362/(3.5*I1362*1000)*100</f>
        <v>0</v>
      </c>
      <c r="AN1362" s="73"/>
      <c r="AO1362" s="72"/>
      <c r="AP1362" s="41"/>
      <c r="AQ1362" s="41"/>
      <c r="AR1362" s="73"/>
      <c r="AS1362" s="73"/>
      <c r="AT1362" s="73"/>
      <c r="AU1362" s="73"/>
      <c r="AV1362" s="73"/>
      <c r="AW1362" s="73"/>
      <c r="AX1362" s="73"/>
      <c r="AY1362" s="73"/>
    </row>
    <row r="1363" spans="1:88">
      <c r="A1363" s="1">
        <v>1348</v>
      </c>
      <c r="B1363" s="74" t="s">
        <v>1851</v>
      </c>
      <c r="C1363" s="34">
        <v>444</v>
      </c>
      <c r="D1363" s="75">
        <v>3579</v>
      </c>
      <c r="E1363" s="69">
        <v>100</v>
      </c>
      <c r="F1363" s="34" t="s">
        <v>1899</v>
      </c>
      <c r="G1363" s="20">
        <v>0</v>
      </c>
      <c r="H1363" s="20">
        <v>9762</v>
      </c>
      <c r="I1363" s="21">
        <v>9.7620000000000005</v>
      </c>
      <c r="J1363" s="8">
        <v>2</v>
      </c>
      <c r="K1363" s="34" t="s">
        <v>238</v>
      </c>
      <c r="L1363" s="10">
        <v>42211</v>
      </c>
      <c r="M1363" s="9" t="s">
        <v>191</v>
      </c>
      <c r="N1363" s="38">
        <v>6.5</v>
      </c>
      <c r="O1363" s="38">
        <v>2.25</v>
      </c>
      <c r="P1363" s="38">
        <v>0.625</v>
      </c>
      <c r="Q1363" s="38">
        <v>0.4</v>
      </c>
      <c r="R1363" s="38">
        <v>2.5202300000000002</v>
      </c>
      <c r="S1363" s="38">
        <f t="shared" si="168"/>
        <v>2.5</v>
      </c>
      <c r="T1363" s="38">
        <v>9.6</v>
      </c>
      <c r="U1363" s="38">
        <v>0.15</v>
      </c>
      <c r="V1363" s="38">
        <v>2.5000000000000001E-2</v>
      </c>
      <c r="W1363" s="38">
        <v>0</v>
      </c>
      <c r="X1363" s="38">
        <v>3.5597599999999998</v>
      </c>
      <c r="Y1363" s="38">
        <f t="shared" si="169"/>
        <v>3.5</v>
      </c>
      <c r="Z1363" s="38">
        <v>0</v>
      </c>
      <c r="AA1363" s="38">
        <v>0</v>
      </c>
      <c r="AB1363" s="38">
        <v>9.7750000000000004</v>
      </c>
      <c r="AC1363" s="38">
        <v>1.2316400000000001</v>
      </c>
      <c r="AD1363" s="38">
        <v>0</v>
      </c>
      <c r="AE1363" s="38">
        <v>48</v>
      </c>
      <c r="AF1363" s="38">
        <v>7.0243217139344977E-2</v>
      </c>
      <c r="AG1363" s="38">
        <f t="shared" si="170"/>
        <v>0.1</v>
      </c>
      <c r="AH1363" s="38">
        <v>0</v>
      </c>
      <c r="AI1363" s="38">
        <v>0</v>
      </c>
      <c r="AJ1363" s="38">
        <v>10</v>
      </c>
      <c r="AK1363" s="38">
        <v>2.9268007141393746E-2</v>
      </c>
      <c r="AL1363" s="38">
        <v>0</v>
      </c>
      <c r="AM1363" s="38">
        <v>0</v>
      </c>
    </row>
    <row r="1364" spans="1:88">
      <c r="A1364" s="1">
        <v>608</v>
      </c>
      <c r="B1364" s="34" t="s">
        <v>994</v>
      </c>
      <c r="C1364" s="34">
        <v>554</v>
      </c>
      <c r="D1364" s="34">
        <v>2141</v>
      </c>
      <c r="E1364" s="34">
        <v>100</v>
      </c>
      <c r="F1364" s="9" t="s">
        <v>1010</v>
      </c>
      <c r="G1364" s="118">
        <v>0</v>
      </c>
      <c r="H1364" s="118">
        <v>44026</v>
      </c>
      <c r="I1364" s="35">
        <v>44.026000000000003</v>
      </c>
      <c r="J1364" s="71">
        <v>2</v>
      </c>
      <c r="K1364" s="34" t="s">
        <v>238</v>
      </c>
      <c r="L1364" s="10">
        <v>42182</v>
      </c>
      <c r="M1364" s="9" t="s">
        <v>191</v>
      </c>
      <c r="N1364" s="38">
        <v>20.93</v>
      </c>
      <c r="O1364" s="38">
        <v>13.46</v>
      </c>
      <c r="P1364" s="38">
        <v>6.64</v>
      </c>
      <c r="Q1364" s="38">
        <v>3</v>
      </c>
      <c r="R1364" s="38">
        <v>2.89527</v>
      </c>
      <c r="S1364" s="38">
        <f t="shared" si="168"/>
        <v>3</v>
      </c>
      <c r="T1364" s="38">
        <v>40.22</v>
      </c>
      <c r="U1364" s="38">
        <v>2.56</v>
      </c>
      <c r="V1364" s="38">
        <v>0.43</v>
      </c>
      <c r="W1364" s="38">
        <v>0.05</v>
      </c>
      <c r="X1364" s="38">
        <v>4.0038799999999997</v>
      </c>
      <c r="Y1364" s="38">
        <f t="shared" si="169"/>
        <v>4</v>
      </c>
      <c r="Z1364" s="38">
        <v>0</v>
      </c>
      <c r="AA1364" s="38">
        <v>0</v>
      </c>
      <c r="AB1364" s="38">
        <v>44.03</v>
      </c>
      <c r="AC1364" s="38">
        <v>1.17953</v>
      </c>
      <c r="AD1364" s="38">
        <v>108</v>
      </c>
      <c r="AE1364" s="38">
        <v>0</v>
      </c>
      <c r="AF1364" s="38">
        <v>7.0088454225100752E-2</v>
      </c>
      <c r="AG1364" s="38">
        <f t="shared" si="170"/>
        <v>0.1</v>
      </c>
      <c r="AH1364" s="38">
        <v>0</v>
      </c>
      <c r="AI1364" s="38">
        <v>0</v>
      </c>
      <c r="AJ1364" s="38">
        <v>0</v>
      </c>
      <c r="AK1364" s="38">
        <v>0</v>
      </c>
      <c r="AL1364" s="38">
        <v>0</v>
      </c>
      <c r="AM1364" s="38">
        <f>AL1364/(3.5*I1364*1000)*100</f>
        <v>0</v>
      </c>
      <c r="AN1364" s="60"/>
      <c r="AO1364" s="60">
        <f>AE1364*0.5</f>
        <v>0</v>
      </c>
      <c r="AP1364" s="60">
        <f>(AD1364+AH1364+AJ1364+AL1364+AO1364)*I1364</f>
        <v>4754.808</v>
      </c>
      <c r="AQ1364" s="25">
        <f>SUM(N1364:Q1364)</f>
        <v>44.03</v>
      </c>
      <c r="AR1364" s="25">
        <f>SUM(T1364:W1364)</f>
        <v>43.26</v>
      </c>
      <c r="AS1364" s="268">
        <v>44.026000000000003</v>
      </c>
      <c r="AT1364" s="40"/>
      <c r="AU1364" s="41">
        <f>SUM(N1364:Q1364)</f>
        <v>44.03</v>
      </c>
      <c r="AV1364" s="41">
        <f>SUM(T1364:W1364)</f>
        <v>43.26</v>
      </c>
      <c r="AW1364" s="41">
        <f>SUM(Z1364:AB1364)</f>
        <v>44.03</v>
      </c>
      <c r="AX1364" s="22"/>
      <c r="AY1364" s="22">
        <f>I1364/AU1364</f>
        <v>0.99990915285032933</v>
      </c>
      <c r="AZ1364" s="22">
        <f>I1364/AV1364</f>
        <v>1.017706888580675</v>
      </c>
      <c r="BA1364" s="22">
        <f>I1364/AW1364</f>
        <v>0.99990915285032933</v>
      </c>
      <c r="BB1364" s="61"/>
      <c r="BC1364" s="61"/>
      <c r="BD1364" s="61"/>
      <c r="BE1364" s="61"/>
      <c r="BF1364" s="61"/>
      <c r="BG1364" s="61"/>
      <c r="BH1364" s="61"/>
      <c r="BI1364" s="61"/>
      <c r="BJ1364" s="61"/>
      <c r="BK1364" s="61"/>
      <c r="BL1364" s="61"/>
      <c r="BM1364" s="61"/>
      <c r="BN1364" s="61"/>
      <c r="BO1364" s="61"/>
      <c r="BP1364" s="61"/>
      <c r="BQ1364" s="61"/>
      <c r="BR1364" s="61"/>
      <c r="BS1364" s="61"/>
      <c r="BT1364" s="61"/>
      <c r="BU1364" s="61"/>
      <c r="BV1364" s="61"/>
      <c r="BW1364" s="61"/>
      <c r="BX1364" s="61"/>
      <c r="BY1364" s="61"/>
      <c r="BZ1364" s="61"/>
      <c r="CA1364" s="61"/>
      <c r="CB1364" s="61"/>
      <c r="CC1364" s="61"/>
      <c r="CD1364" s="61"/>
      <c r="CE1364" s="61"/>
      <c r="CF1364" s="61"/>
      <c r="CG1364" s="61"/>
      <c r="CH1364" s="61"/>
      <c r="CI1364" s="61"/>
      <c r="CJ1364" s="61"/>
    </row>
    <row r="1365" spans="1:88">
      <c r="A1365" s="1">
        <v>1425</v>
      </c>
      <c r="B1365" s="34" t="s">
        <v>1957</v>
      </c>
      <c r="C1365" s="34">
        <v>447</v>
      </c>
      <c r="D1365" s="75">
        <v>3438</v>
      </c>
      <c r="E1365" s="69">
        <v>102</v>
      </c>
      <c r="F1365" s="184" t="s">
        <v>1976</v>
      </c>
      <c r="G1365" s="20" t="s">
        <v>1760</v>
      </c>
      <c r="H1365" s="20" t="s">
        <v>1979</v>
      </c>
      <c r="I1365" s="21">
        <v>35.994999999999997</v>
      </c>
      <c r="J1365" s="8">
        <v>2</v>
      </c>
      <c r="K1365" s="34" t="s">
        <v>12</v>
      </c>
      <c r="L1365" s="10">
        <v>42217</v>
      </c>
      <c r="M1365" s="9" t="s">
        <v>191</v>
      </c>
      <c r="N1365" s="38">
        <v>16.899999999999999</v>
      </c>
      <c r="O1365" s="38">
        <v>16</v>
      </c>
      <c r="P1365" s="38">
        <v>4.4000000000000004</v>
      </c>
      <c r="Q1365" s="38">
        <v>0.9</v>
      </c>
      <c r="R1365" s="38">
        <v>2.7900700000000001</v>
      </c>
      <c r="S1365" s="38">
        <f t="shared" si="168"/>
        <v>3</v>
      </c>
      <c r="T1365" s="38">
        <v>34.774999999999999</v>
      </c>
      <c r="U1365" s="38">
        <v>1.05</v>
      </c>
      <c r="V1365" s="38">
        <v>0.27500000000000002</v>
      </c>
      <c r="W1365" s="38">
        <v>0.05</v>
      </c>
      <c r="X1365" s="11">
        <v>4.1064800000000004</v>
      </c>
      <c r="Y1365" s="38">
        <f t="shared" si="169"/>
        <v>4</v>
      </c>
      <c r="Z1365" s="38">
        <v>0</v>
      </c>
      <c r="AA1365" s="38">
        <v>0</v>
      </c>
      <c r="AB1365" s="38">
        <v>38.199999999999996</v>
      </c>
      <c r="AC1365" s="11">
        <v>1.2471399999999999</v>
      </c>
      <c r="AD1365" s="38">
        <v>55.2</v>
      </c>
      <c r="AE1365" s="38">
        <v>65.36</v>
      </c>
      <c r="AF1365" s="38">
        <v>6.975572004048182E-2</v>
      </c>
      <c r="AG1365" s="38">
        <f t="shared" si="170"/>
        <v>0.1</v>
      </c>
      <c r="AH1365" s="38">
        <v>98.1</v>
      </c>
      <c r="AI1365" s="38">
        <f>AH1365/(3.5*I1365*1000)*100</f>
        <v>7.7867957851288874E-2</v>
      </c>
      <c r="AJ1365" s="38">
        <v>0</v>
      </c>
      <c r="AK1365" s="38">
        <f>AJ1365/(3.5*I1365*1000)*100</f>
        <v>0</v>
      </c>
      <c r="AL1365" s="38">
        <v>2.14</v>
      </c>
      <c r="AM1365" s="38">
        <f>AL1365/(3.5*I1365*1000)*100</f>
        <v>1.6986486218323977E-3</v>
      </c>
      <c r="AN1365" s="41"/>
      <c r="AO1365" s="22"/>
      <c r="AP1365" s="22"/>
      <c r="AQ1365" s="22"/>
      <c r="AR1365" s="22"/>
      <c r="AS1365" s="22"/>
      <c r="AT1365" s="22"/>
      <c r="AU1365" s="22"/>
      <c r="AV1365" s="22"/>
      <c r="AW1365" s="22"/>
      <c r="AX1365" s="22"/>
      <c r="AY1365" s="22"/>
      <c r="AZ1365" s="22"/>
      <c r="BA1365" s="22"/>
      <c r="BB1365" s="22"/>
      <c r="BC1365" s="22"/>
      <c r="BD1365" s="22"/>
      <c r="BE1365" s="22"/>
      <c r="BF1365" s="22"/>
      <c r="BG1365" s="22"/>
      <c r="BH1365" s="22"/>
      <c r="BI1365" s="22"/>
      <c r="BJ1365" s="22"/>
      <c r="BK1365" s="22"/>
      <c r="BL1365" s="22"/>
      <c r="BM1365" s="22"/>
      <c r="BN1365" s="22"/>
      <c r="BO1365" s="22"/>
      <c r="BP1365" s="22"/>
      <c r="BQ1365" s="22"/>
      <c r="BR1365" s="22"/>
      <c r="BS1365" s="22"/>
      <c r="BT1365" s="22"/>
      <c r="BU1365" s="22"/>
      <c r="BV1365" s="22"/>
      <c r="BW1365" s="22"/>
      <c r="BX1365" s="22"/>
      <c r="BY1365" s="22"/>
      <c r="BZ1365" s="22"/>
      <c r="CA1365" s="22"/>
      <c r="CB1365" s="22"/>
      <c r="CC1365" s="22"/>
      <c r="CD1365" s="22"/>
      <c r="CE1365" s="22"/>
      <c r="CF1365" s="22"/>
      <c r="CG1365" s="22"/>
      <c r="CH1365" s="22"/>
      <c r="CI1365" s="22"/>
      <c r="CJ1365" s="22"/>
    </row>
    <row r="1366" spans="1:88">
      <c r="A1366" s="1">
        <v>90</v>
      </c>
      <c r="B1366" s="4" t="s">
        <v>61</v>
      </c>
      <c r="C1366" s="14">
        <v>526</v>
      </c>
      <c r="D1366" s="19">
        <v>108</v>
      </c>
      <c r="E1366" s="16">
        <v>204</v>
      </c>
      <c r="F1366" s="14" t="s">
        <v>66</v>
      </c>
      <c r="G1366" s="27" t="s">
        <v>155</v>
      </c>
      <c r="H1366" s="27" t="s">
        <v>154</v>
      </c>
      <c r="I1366" s="28">
        <v>45.607999999999997</v>
      </c>
      <c r="J1366" s="16">
        <v>2</v>
      </c>
      <c r="K1366" s="14" t="s">
        <v>12</v>
      </c>
      <c r="L1366" s="29">
        <v>42244</v>
      </c>
      <c r="M1366" s="14" t="s">
        <v>191</v>
      </c>
      <c r="N1366" s="30">
        <v>15.39</v>
      </c>
      <c r="O1366" s="30">
        <v>17.010000000000002</v>
      </c>
      <c r="P1366" s="30">
        <v>9.81</v>
      </c>
      <c r="Q1366" s="30">
        <v>3.4</v>
      </c>
      <c r="R1366" s="30">
        <v>3.1401699999999999</v>
      </c>
      <c r="S1366" s="38">
        <f t="shared" si="168"/>
        <v>3</v>
      </c>
      <c r="T1366" s="30">
        <v>44.66</v>
      </c>
      <c r="U1366" s="30">
        <v>0.88</v>
      </c>
      <c r="V1366" s="30">
        <v>0.08</v>
      </c>
      <c r="W1366" s="30">
        <v>0</v>
      </c>
      <c r="X1366" s="30">
        <v>3.75848</v>
      </c>
      <c r="Y1366" s="38">
        <f t="shared" si="169"/>
        <v>4</v>
      </c>
      <c r="Z1366" s="30">
        <v>0</v>
      </c>
      <c r="AA1366" s="30">
        <v>0</v>
      </c>
      <c r="AB1366" s="30">
        <v>45.61</v>
      </c>
      <c r="AC1366" s="30">
        <v>1.3234399999999999</v>
      </c>
      <c r="AD1366" s="30">
        <v>110.36</v>
      </c>
      <c r="AE1366" s="30">
        <v>1.36</v>
      </c>
      <c r="AF1366" s="30">
        <f>(AD1366+AE1366*0.5)/(3.5*I1366*1000)*100</f>
        <v>6.956173102463227E-2</v>
      </c>
      <c r="AG1366" s="38">
        <f t="shared" si="170"/>
        <v>0.1</v>
      </c>
      <c r="AH1366" s="30">
        <v>15.3</v>
      </c>
      <c r="AI1366" s="30">
        <f>AH1366/(3.5*I1366*1000)*100</f>
        <v>9.5847846242513857E-3</v>
      </c>
      <c r="AJ1366" s="30">
        <v>0.96</v>
      </c>
      <c r="AK1366" s="30">
        <f>AJ1366/(3.5*I1366*1000)*100</f>
        <v>6.0139825093342015E-4</v>
      </c>
      <c r="AL1366" s="30">
        <v>0</v>
      </c>
      <c r="AM1366" s="30">
        <f>AL1366/(3.5*I1366*1000)*100</f>
        <v>0</v>
      </c>
      <c r="AN1366" s="22"/>
      <c r="AO1366" s="25"/>
      <c r="AP1366" s="25">
        <f>N1366+O1366+P1366+Q1366</f>
        <v>45.610000000000007</v>
      </c>
      <c r="AQ1366" s="25">
        <f>T1366+U1366+V1366+W1366</f>
        <v>45.62</v>
      </c>
      <c r="AR1366" s="25">
        <f>Z1366+AA1366+AB1366</f>
        <v>45.61</v>
      </c>
      <c r="AS1366" s="22"/>
      <c r="AT1366" s="22">
        <f>I1366/AP1366</f>
        <v>0.99995614996711224</v>
      </c>
      <c r="AU1366" s="22">
        <f>I1366/AQ1366</f>
        <v>0.99973695747479174</v>
      </c>
      <c r="AV1366" s="22">
        <f>I1366/AR1366</f>
        <v>0.99995614996711246</v>
      </c>
      <c r="AW1366" s="22"/>
      <c r="AX1366" s="22"/>
      <c r="AY1366" s="22"/>
      <c r="AZ1366" s="22"/>
      <c r="BA1366" s="22"/>
      <c r="BB1366" s="22"/>
      <c r="BC1366" s="22"/>
      <c r="BD1366" s="22"/>
      <c r="BE1366" s="22"/>
      <c r="BF1366" s="22"/>
      <c r="BG1366" s="22"/>
      <c r="BH1366" s="22"/>
      <c r="BI1366" s="22"/>
      <c r="BJ1366" s="22"/>
      <c r="BK1366" s="22"/>
      <c r="BL1366" s="22"/>
      <c r="BM1366" s="22"/>
      <c r="BN1366" s="22"/>
      <c r="BO1366" s="22"/>
      <c r="BP1366" s="22"/>
      <c r="BQ1366" s="22"/>
      <c r="BR1366" s="22"/>
      <c r="BS1366" s="22"/>
      <c r="BT1366" s="22"/>
      <c r="BU1366" s="22"/>
      <c r="BV1366" s="22"/>
      <c r="BW1366" s="22"/>
      <c r="BX1366" s="22"/>
      <c r="BY1366" s="22"/>
      <c r="BZ1366" s="22"/>
      <c r="CA1366" s="22"/>
      <c r="CB1366" s="22"/>
      <c r="CC1366" s="22"/>
      <c r="CD1366" s="22"/>
      <c r="CE1366" s="22"/>
      <c r="CF1366" s="22"/>
      <c r="CG1366" s="22"/>
      <c r="CH1366" s="22"/>
      <c r="CI1366" s="22"/>
      <c r="CJ1366" s="22"/>
    </row>
    <row r="1367" spans="1:88">
      <c r="A1367" s="1">
        <v>740</v>
      </c>
      <c r="B1367" s="34" t="s">
        <v>1138</v>
      </c>
      <c r="C1367" s="34">
        <v>628</v>
      </c>
      <c r="D1367" s="34">
        <v>2297</v>
      </c>
      <c r="E1367" s="34">
        <v>100</v>
      </c>
      <c r="F1367" s="34" t="s">
        <v>1145</v>
      </c>
      <c r="G1367" s="58">
        <v>0</v>
      </c>
      <c r="H1367" s="58">
        <v>16123</v>
      </c>
      <c r="I1367" s="51">
        <v>16.123000000000001</v>
      </c>
      <c r="J1367" s="34">
        <v>2</v>
      </c>
      <c r="K1367" s="34" t="s">
        <v>238</v>
      </c>
      <c r="L1367" s="10">
        <v>42173</v>
      </c>
      <c r="M1367" s="9" t="s">
        <v>191</v>
      </c>
      <c r="N1367" s="38">
        <v>12.025</v>
      </c>
      <c r="O1367" s="38">
        <v>3.1</v>
      </c>
      <c r="P1367" s="38">
        <v>0.85</v>
      </c>
      <c r="Q1367" s="38">
        <v>0.22500000000000001</v>
      </c>
      <c r="R1367" s="38">
        <v>2.22167</v>
      </c>
      <c r="S1367" s="38">
        <f t="shared" si="168"/>
        <v>2</v>
      </c>
      <c r="T1367" s="38">
        <v>16.074999999999999</v>
      </c>
      <c r="U1367" s="38">
        <v>0.1</v>
      </c>
      <c r="V1367" s="38">
        <v>2.5000000000000001E-2</v>
      </c>
      <c r="W1367" s="38">
        <v>0</v>
      </c>
      <c r="X1367" s="38">
        <v>3.5137499999999999</v>
      </c>
      <c r="Y1367" s="38">
        <f t="shared" si="169"/>
        <v>3.5</v>
      </c>
      <c r="Z1367" s="38">
        <v>0</v>
      </c>
      <c r="AA1367" s="38">
        <v>0</v>
      </c>
      <c r="AB1367" s="38">
        <f>N1367+O1367+P1367+Q1367</f>
        <v>16.2</v>
      </c>
      <c r="AC1367" s="38">
        <v>1.35198</v>
      </c>
      <c r="AD1367" s="38">
        <v>37.21</v>
      </c>
      <c r="AE1367" s="38">
        <v>3.94</v>
      </c>
      <c r="AF1367" s="38">
        <v>6.9430000000000006E-2</v>
      </c>
      <c r="AG1367" s="38">
        <f t="shared" si="170"/>
        <v>0.1</v>
      </c>
      <c r="AH1367" s="38">
        <v>0</v>
      </c>
      <c r="AI1367" s="38">
        <v>0</v>
      </c>
      <c r="AJ1367" s="38">
        <v>19.22</v>
      </c>
      <c r="AK1367" s="38">
        <v>3.4070000000000003E-2</v>
      </c>
      <c r="AL1367" s="38">
        <v>0</v>
      </c>
      <c r="AM1367" s="38">
        <v>0</v>
      </c>
      <c r="AN1367" s="25"/>
      <c r="AO1367" s="25">
        <f>AE1367*0.5</f>
        <v>1.97</v>
      </c>
      <c r="AP1367" s="25">
        <f>(AD1367+AH1367+AJ1367+AL1367+AO1367)*I1367</f>
        <v>941.58320000000003</v>
      </c>
      <c r="AQ1367" s="25">
        <f>SUM(N1367:Q1367)</f>
        <v>16.2</v>
      </c>
      <c r="AR1367" s="25">
        <f>SUM(T1367:W1367)</f>
        <v>16.2</v>
      </c>
      <c r="AS1367" s="22"/>
      <c r="AT1367" s="41"/>
      <c r="AU1367" s="41"/>
      <c r="AV1367" s="41"/>
      <c r="AW1367" s="41"/>
      <c r="AX1367" s="22"/>
      <c r="AY1367" s="22"/>
      <c r="AZ1367" s="22"/>
      <c r="BA1367" s="22"/>
      <c r="BB1367" s="22"/>
      <c r="BC1367" s="22"/>
      <c r="BD1367" s="22"/>
      <c r="BE1367" s="22"/>
      <c r="BF1367" s="22"/>
      <c r="BG1367" s="22"/>
      <c r="BH1367" s="22"/>
      <c r="BI1367" s="22"/>
      <c r="BJ1367" s="22"/>
      <c r="BK1367" s="22"/>
      <c r="BL1367" s="22"/>
      <c r="BM1367" s="22"/>
      <c r="BN1367" s="22"/>
      <c r="BO1367" s="22"/>
      <c r="BP1367" s="22"/>
      <c r="BQ1367" s="22"/>
      <c r="BR1367" s="22"/>
      <c r="BS1367" s="22"/>
      <c r="BT1367" s="22"/>
      <c r="BU1367" s="22"/>
      <c r="BV1367" s="22"/>
      <c r="BW1367" s="22"/>
      <c r="BX1367" s="22"/>
      <c r="BY1367" s="22"/>
      <c r="BZ1367" s="22"/>
      <c r="CA1367" s="22"/>
      <c r="CB1367" s="22"/>
      <c r="CC1367" s="22"/>
      <c r="CD1367" s="22"/>
      <c r="CE1367" s="22"/>
      <c r="CF1367" s="22"/>
      <c r="CG1367" s="22"/>
      <c r="CH1367" s="22"/>
      <c r="CI1367" s="22"/>
      <c r="CJ1367" s="22"/>
    </row>
    <row r="1368" spans="1:88">
      <c r="A1368" s="1">
        <v>493</v>
      </c>
      <c r="B1368" s="34" t="s">
        <v>821</v>
      </c>
      <c r="C1368" s="34">
        <v>519</v>
      </c>
      <c r="D1368" s="34">
        <v>117</v>
      </c>
      <c r="E1368" s="34">
        <v>202</v>
      </c>
      <c r="F1368" s="34" t="s">
        <v>840</v>
      </c>
      <c r="G1368" s="34" t="s">
        <v>841</v>
      </c>
      <c r="H1368" s="34" t="s">
        <v>839</v>
      </c>
      <c r="I1368" s="55">
        <v>18.899999999999999</v>
      </c>
      <c r="J1368" s="34" t="s">
        <v>96</v>
      </c>
      <c r="K1368" s="34">
        <v>4</v>
      </c>
      <c r="L1368" s="10">
        <v>42275</v>
      </c>
      <c r="M1368" s="9" t="s">
        <v>191</v>
      </c>
      <c r="N1368" s="38">
        <v>13.14</v>
      </c>
      <c r="O1368" s="38">
        <v>4.08</v>
      </c>
      <c r="P1368" s="38">
        <v>1.43</v>
      </c>
      <c r="Q1368" s="38">
        <v>0.25</v>
      </c>
      <c r="R1368" s="38">
        <v>3.2471299999999998</v>
      </c>
      <c r="S1368" s="38">
        <f t="shared" si="168"/>
        <v>3</v>
      </c>
      <c r="T1368" s="38">
        <v>18.75</v>
      </c>
      <c r="U1368" s="38">
        <v>0.15</v>
      </c>
      <c r="V1368" s="38">
        <v>0</v>
      </c>
      <c r="W1368" s="38">
        <v>0</v>
      </c>
      <c r="X1368" s="38">
        <v>4.3759199999999998</v>
      </c>
      <c r="Y1368" s="38">
        <f t="shared" si="169"/>
        <v>4.5</v>
      </c>
      <c r="Z1368" s="117">
        <v>0</v>
      </c>
      <c r="AA1368" s="117">
        <v>0</v>
      </c>
      <c r="AB1368" s="38">
        <v>18.899999999999999</v>
      </c>
      <c r="AC1368" s="38">
        <v>1.3816999999999999</v>
      </c>
      <c r="AD1368" s="38">
        <v>64.13</v>
      </c>
      <c r="AE1368" s="38">
        <v>24.65</v>
      </c>
      <c r="AF1368" s="38">
        <v>6.9237000000000007E-2</v>
      </c>
      <c r="AG1368" s="38">
        <f t="shared" si="170"/>
        <v>0.1</v>
      </c>
      <c r="AH1368" s="38">
        <v>134.19</v>
      </c>
      <c r="AI1368" s="38">
        <v>0.121521</v>
      </c>
      <c r="AJ1368" s="38">
        <v>0</v>
      </c>
      <c r="AK1368" s="38">
        <v>0</v>
      </c>
      <c r="AL1368" s="38">
        <v>0</v>
      </c>
      <c r="AM1368" s="38">
        <v>0</v>
      </c>
      <c r="AN1368" s="41"/>
      <c r="AO1368" s="41"/>
      <c r="AP1368" s="41"/>
      <c r="AQ1368" s="41">
        <f>SUM(N1368:Q1368)</f>
        <v>18.899999999999999</v>
      </c>
      <c r="AR1368" s="41">
        <f>SUM(T1368:W1368)</f>
        <v>18.899999999999999</v>
      </c>
      <c r="AS1368" s="41">
        <f>SUM(Z1368:AB1368)</f>
        <v>18.899999999999999</v>
      </c>
      <c r="AT1368" s="22"/>
      <c r="AU1368" s="22">
        <f>I1368/AQ1368</f>
        <v>1</v>
      </c>
      <c r="AV1368" s="22">
        <f>I1368/AR1368</f>
        <v>1</v>
      </c>
      <c r="AW1368" s="22">
        <f>I1368/AS1368</f>
        <v>1</v>
      </c>
      <c r="AX1368" s="22"/>
      <c r="AY1368" s="22"/>
      <c r="AZ1368" s="22"/>
      <c r="BA1368" s="22"/>
      <c r="BB1368" s="22"/>
      <c r="BC1368" s="22"/>
      <c r="BD1368" s="22"/>
      <c r="BE1368" s="22"/>
      <c r="BF1368" s="22"/>
      <c r="BG1368" s="22"/>
      <c r="BH1368" s="22"/>
      <c r="BI1368" s="22"/>
      <c r="BJ1368" s="22"/>
      <c r="BK1368" s="22"/>
      <c r="BL1368" s="22"/>
      <c r="BM1368" s="22"/>
      <c r="BN1368" s="22"/>
      <c r="BO1368" s="22"/>
      <c r="BP1368" s="22"/>
      <c r="BQ1368" s="22"/>
      <c r="BR1368" s="22"/>
      <c r="BS1368" s="22"/>
      <c r="BT1368" s="22"/>
      <c r="BU1368" s="22"/>
      <c r="BV1368" s="22"/>
      <c r="BW1368" s="22"/>
      <c r="BX1368" s="22"/>
      <c r="BY1368" s="22"/>
      <c r="BZ1368" s="22"/>
      <c r="CA1368" s="22"/>
      <c r="CB1368" s="22"/>
      <c r="CC1368" s="22"/>
      <c r="CD1368" s="22"/>
      <c r="CE1368" s="22"/>
      <c r="CF1368" s="22"/>
      <c r="CG1368" s="22"/>
      <c r="CH1368" s="22"/>
      <c r="CI1368" s="22"/>
      <c r="CJ1368" s="22"/>
    </row>
    <row r="1369" spans="1:88">
      <c r="A1369" s="1">
        <v>262</v>
      </c>
      <c r="B1369" s="34" t="s">
        <v>265</v>
      </c>
      <c r="C1369" s="34">
        <v>539</v>
      </c>
      <c r="D1369" s="34">
        <v>1188</v>
      </c>
      <c r="E1369" s="34">
        <v>200</v>
      </c>
      <c r="F1369" s="34" t="s">
        <v>287</v>
      </c>
      <c r="G1369" s="20" t="s">
        <v>288</v>
      </c>
      <c r="H1369" s="20" t="s">
        <v>289</v>
      </c>
      <c r="I1369" s="35">
        <v>4.6790000000000003</v>
      </c>
      <c r="J1369" s="36">
        <v>2</v>
      </c>
      <c r="K1369" s="34" t="s">
        <v>12</v>
      </c>
      <c r="L1369" s="10">
        <v>42212</v>
      </c>
      <c r="M1369" s="9" t="s">
        <v>191</v>
      </c>
      <c r="N1369" s="38">
        <v>0.28000000000000003</v>
      </c>
      <c r="O1369" s="38">
        <v>0.28000000000000003</v>
      </c>
      <c r="P1369" s="38">
        <v>1.87</v>
      </c>
      <c r="Q1369" s="38">
        <v>2.34</v>
      </c>
      <c r="R1369" s="38">
        <v>5.52</v>
      </c>
      <c r="S1369" s="38">
        <f t="shared" si="168"/>
        <v>5.5</v>
      </c>
      <c r="T1369" s="38">
        <v>4.21</v>
      </c>
      <c r="U1369" s="38">
        <v>0.47</v>
      </c>
      <c r="V1369" s="38">
        <v>0</v>
      </c>
      <c r="W1369" s="38">
        <v>0</v>
      </c>
      <c r="X1369" s="38">
        <v>5.9481000000000002</v>
      </c>
      <c r="Y1369" s="38">
        <f t="shared" si="169"/>
        <v>6</v>
      </c>
      <c r="Z1369" s="38">
        <v>0</v>
      </c>
      <c r="AA1369" s="38">
        <v>0</v>
      </c>
      <c r="AB1369" s="38">
        <v>4.68</v>
      </c>
      <c r="AC1369" s="38">
        <v>2.3241999999999998</v>
      </c>
      <c r="AD1369" s="38">
        <v>0</v>
      </c>
      <c r="AE1369" s="38">
        <v>22.63</v>
      </c>
      <c r="AF1369" s="38">
        <v>6.9092907519921837E-2</v>
      </c>
      <c r="AG1369" s="38">
        <f t="shared" si="170"/>
        <v>0.1</v>
      </c>
      <c r="AH1369" s="38">
        <v>9</v>
      </c>
      <c r="AI1369" s="38">
        <v>5.4956797850578575E-2</v>
      </c>
      <c r="AJ1369" s="38">
        <v>1537</v>
      </c>
      <c r="AK1369" s="38">
        <v>9.3853998107043637</v>
      </c>
      <c r="AL1369" s="38">
        <v>1</v>
      </c>
      <c r="AM1369" s="38">
        <v>6.106310872286508E-3</v>
      </c>
      <c r="AN1369" s="56"/>
      <c r="AO1369" s="56"/>
      <c r="AP1369" s="25">
        <f>SUM(N1369:Q1369)</f>
        <v>4.7699999999999996</v>
      </c>
      <c r="AQ1369" s="25">
        <f>SUM(T1369:W1369)</f>
        <v>4.68</v>
      </c>
      <c r="AR1369" s="22"/>
      <c r="AS1369" s="41"/>
      <c r="AT1369" s="41"/>
      <c r="AU1369" s="41"/>
      <c r="AV1369" s="41">
        <f>SUM(N1369:Q1369)</f>
        <v>4.7699999999999996</v>
      </c>
      <c r="AW1369" s="41">
        <f>SUM(T1369:W1369)</f>
        <v>4.68</v>
      </c>
      <c r="AX1369" s="41">
        <f>SUM(Z1369:AB1369)</f>
        <v>4.68</v>
      </c>
      <c r="AY1369" s="22"/>
      <c r="AZ1369" s="22">
        <f>I1369/AV1369</f>
        <v>0.98092243186582828</v>
      </c>
      <c r="BA1369" s="22">
        <f>I1369/AW1369</f>
        <v>0.9997863247863249</v>
      </c>
      <c r="BB1369" s="22">
        <f>I1369/AX1369</f>
        <v>0.9997863247863249</v>
      </c>
      <c r="BC1369" s="22"/>
      <c r="BD1369" s="22"/>
      <c r="BE1369" s="22"/>
      <c r="BF1369" s="22"/>
      <c r="BG1369" s="22"/>
      <c r="BH1369" s="22"/>
      <c r="BI1369" s="22"/>
      <c r="BJ1369" s="22"/>
      <c r="BK1369" s="22"/>
      <c r="BL1369" s="22"/>
      <c r="BM1369" s="22"/>
      <c r="BN1369" s="22"/>
      <c r="BO1369" s="22"/>
      <c r="BP1369" s="22"/>
      <c r="BQ1369" s="22"/>
      <c r="BR1369" s="22"/>
      <c r="BS1369" s="22"/>
      <c r="BT1369" s="22"/>
      <c r="BU1369" s="22"/>
      <c r="BV1369" s="22"/>
      <c r="BW1369" s="22"/>
      <c r="BX1369" s="22"/>
      <c r="BY1369" s="22"/>
      <c r="BZ1369" s="22"/>
      <c r="CA1369" s="22"/>
      <c r="CB1369" s="22"/>
      <c r="CC1369" s="22"/>
      <c r="CD1369" s="22"/>
      <c r="CE1369" s="22"/>
      <c r="CF1369" s="22"/>
      <c r="CG1369" s="22"/>
      <c r="CH1369" s="22"/>
      <c r="CI1369" s="22"/>
      <c r="CJ1369" s="22"/>
    </row>
    <row r="1370" spans="1:88">
      <c r="A1370" s="1">
        <v>1503</v>
      </c>
      <c r="B1370" s="88" t="s">
        <v>2069</v>
      </c>
      <c r="C1370" s="88">
        <v>413</v>
      </c>
      <c r="D1370" s="69">
        <v>309</v>
      </c>
      <c r="E1370" s="34">
        <v>103</v>
      </c>
      <c r="F1370" s="34" t="s">
        <v>2074</v>
      </c>
      <c r="G1370" s="197">
        <v>24637</v>
      </c>
      <c r="H1370" s="197">
        <v>37600</v>
      </c>
      <c r="I1370" s="198">
        <v>12.962999999999999</v>
      </c>
      <c r="J1370" s="34">
        <v>4</v>
      </c>
      <c r="K1370" s="34" t="s">
        <v>238</v>
      </c>
      <c r="L1370" s="10">
        <v>42264</v>
      </c>
      <c r="M1370" s="9" t="s">
        <v>191</v>
      </c>
      <c r="N1370" s="38">
        <v>9.2249999999999996</v>
      </c>
      <c r="O1370" s="38">
        <v>1.425</v>
      </c>
      <c r="P1370" s="38">
        <v>1</v>
      </c>
      <c r="Q1370" s="38">
        <v>1.375</v>
      </c>
      <c r="R1370" s="38">
        <v>2.8336800000000002</v>
      </c>
      <c r="S1370" s="38">
        <f t="shared" si="168"/>
        <v>3</v>
      </c>
      <c r="T1370" s="38">
        <v>11.45</v>
      </c>
      <c r="U1370" s="38">
        <v>1.2250000000000001</v>
      </c>
      <c r="V1370" s="38">
        <v>0.2</v>
      </c>
      <c r="W1370" s="38">
        <v>0.15</v>
      </c>
      <c r="X1370" s="38">
        <v>5.1648199999999997</v>
      </c>
      <c r="Y1370" s="38">
        <f t="shared" si="169"/>
        <v>5</v>
      </c>
      <c r="Z1370" s="38">
        <v>0</v>
      </c>
      <c r="AA1370" s="38">
        <v>0</v>
      </c>
      <c r="AB1370" s="147">
        <v>12.962999999999999</v>
      </c>
      <c r="AC1370" s="38">
        <v>0.966553</v>
      </c>
      <c r="AD1370" s="38">
        <v>0</v>
      </c>
      <c r="AE1370" s="38">
        <v>62.56</v>
      </c>
      <c r="AF1370" s="38">
        <f t="shared" ref="AF1370:AF1376" si="171">(AD1370+AE1370*0.5)/(3.5*I1370*1000)*100</f>
        <v>6.8943476488026373E-2</v>
      </c>
      <c r="AG1370" s="38">
        <f t="shared" si="170"/>
        <v>0.1</v>
      </c>
      <c r="AH1370" s="38">
        <v>0</v>
      </c>
      <c r="AI1370" s="38">
        <f t="shared" ref="AI1370:AI1376" si="172">AH1370/(3.5*I1370*1000)*100</f>
        <v>0</v>
      </c>
      <c r="AJ1370" s="38">
        <v>21.91</v>
      </c>
      <c r="AK1370" s="38">
        <f>AJ1370/(3.5*I1370*1000)*100</f>
        <v>4.8291290596312583E-2</v>
      </c>
      <c r="AL1370" s="38">
        <v>0</v>
      </c>
      <c r="AM1370" s="38">
        <f>AL1370/(3.5*I1370*1000)*100</f>
        <v>0</v>
      </c>
      <c r="AN1370" s="25"/>
      <c r="AO1370" s="25">
        <f>AE1370*0.5</f>
        <v>31.28</v>
      </c>
      <c r="AP1370" s="25">
        <f>(AD1370+AH1370+AJ1370+AL1370+AO1370)*I1370</f>
        <v>689.50196999999991</v>
      </c>
      <c r="AQ1370" s="25">
        <f>(AD1370+AH1370+AJ1370+AL1370)*I1370</f>
        <v>284.01932999999997</v>
      </c>
      <c r="AR1370" s="25">
        <f>SUM(N1370:Q1370)</f>
        <v>13.025</v>
      </c>
      <c r="AS1370" s="25">
        <f>SUM(T1370:W1370)</f>
        <v>13.024999999999999</v>
      </c>
      <c r="AT1370" s="22"/>
      <c r="AU1370" s="277">
        <v>12.962999999999999</v>
      </c>
      <c r="AV1370" s="41">
        <f>SUM(N1370:Q1370)</f>
        <v>13.025</v>
      </c>
      <c r="AW1370" s="41">
        <f>SUM(T1370:W1370)</f>
        <v>13.024999999999999</v>
      </c>
      <c r="AX1370" s="41">
        <f>SUM(Z1370:AB1370)</f>
        <v>12.962999999999999</v>
      </c>
      <c r="AY1370" s="22"/>
      <c r="AZ1370" s="22">
        <f>I1370/AV1370</f>
        <v>0.995239923224568</v>
      </c>
      <c r="BA1370" s="22">
        <f>I1370/AW1370</f>
        <v>0.99523992322456822</v>
      </c>
      <c r="BB1370" s="22">
        <f>I1370/AX1370</f>
        <v>1</v>
      </c>
    </row>
    <row r="1371" spans="1:88">
      <c r="A1371" s="1">
        <v>375</v>
      </c>
      <c r="B1371" s="71" t="s">
        <v>602</v>
      </c>
      <c r="C1371" s="78">
        <v>514</v>
      </c>
      <c r="D1371" s="79">
        <v>1288</v>
      </c>
      <c r="E1371" s="80">
        <v>100</v>
      </c>
      <c r="F1371" s="78" t="s">
        <v>622</v>
      </c>
      <c r="G1371" s="81">
        <v>0</v>
      </c>
      <c r="H1371" s="81" t="s">
        <v>623</v>
      </c>
      <c r="I1371" s="78">
        <v>39.1</v>
      </c>
      <c r="J1371" s="78">
        <v>2</v>
      </c>
      <c r="K1371" s="78" t="s">
        <v>238</v>
      </c>
      <c r="L1371" s="82">
        <v>42255</v>
      </c>
      <c r="M1371" s="71" t="s">
        <v>191</v>
      </c>
      <c r="N1371" s="83">
        <v>3.15</v>
      </c>
      <c r="O1371" s="83">
        <v>11.175000000000001</v>
      </c>
      <c r="P1371" s="83">
        <v>12.75</v>
      </c>
      <c r="Q1371" s="83">
        <v>12</v>
      </c>
      <c r="R1371" s="83">
        <v>4.7320000000000002</v>
      </c>
      <c r="S1371" s="38">
        <f t="shared" si="168"/>
        <v>4.5</v>
      </c>
      <c r="T1371" s="83">
        <v>32.625</v>
      </c>
      <c r="U1371" s="83">
        <v>4</v>
      </c>
      <c r="V1371" s="83">
        <v>1.35</v>
      </c>
      <c r="W1371" s="83">
        <v>1.1000000000000001</v>
      </c>
      <c r="X1371" s="83">
        <v>6.4701500000000003</v>
      </c>
      <c r="Y1371" s="38">
        <f t="shared" si="169"/>
        <v>6.5</v>
      </c>
      <c r="Z1371" s="83">
        <v>0</v>
      </c>
      <c r="AA1371" s="83">
        <v>0</v>
      </c>
      <c r="AB1371" s="83">
        <v>39.075000000000003</v>
      </c>
      <c r="AC1371" s="83">
        <v>1.7069300000000001</v>
      </c>
      <c r="AD1371" s="83">
        <v>94.25</v>
      </c>
      <c r="AE1371" s="83">
        <v>0</v>
      </c>
      <c r="AF1371" s="83">
        <f t="shared" si="171"/>
        <v>6.8871026671538174E-2</v>
      </c>
      <c r="AG1371" s="38">
        <f t="shared" si="170"/>
        <v>0.1</v>
      </c>
      <c r="AH1371" s="83">
        <v>146.32</v>
      </c>
      <c r="AI1371" s="83">
        <f t="shared" si="172"/>
        <v>0.10691998538545852</v>
      </c>
      <c r="AJ1371" s="83">
        <v>0</v>
      </c>
      <c r="AK1371" s="83">
        <f>AJ1371/(3.5*I1371*1000)*100</f>
        <v>0</v>
      </c>
      <c r="AL1371" s="83">
        <v>1.57</v>
      </c>
      <c r="AM1371" s="83">
        <f>AL1371/(3.5*I1371*1000)*100</f>
        <v>1.1472415052977713E-3</v>
      </c>
      <c r="AN1371" s="84"/>
      <c r="AO1371" s="41"/>
      <c r="AP1371" s="41"/>
      <c r="AQ1371" s="85"/>
      <c r="AR1371" s="86"/>
      <c r="AS1371" s="86"/>
      <c r="AT1371" s="86"/>
      <c r="AU1371" s="86"/>
      <c r="AV1371" s="86"/>
      <c r="AW1371" s="86"/>
      <c r="AX1371" s="86"/>
      <c r="AY1371" s="86"/>
      <c r="AZ1371" s="86"/>
      <c r="BA1371" s="86"/>
      <c r="BB1371" s="86"/>
      <c r="BC1371" s="86"/>
      <c r="BD1371" s="86"/>
      <c r="BE1371" s="86"/>
      <c r="BF1371" s="86"/>
      <c r="BG1371" s="86"/>
      <c r="BH1371" s="86"/>
      <c r="BI1371" s="86"/>
      <c r="BJ1371" s="86"/>
      <c r="BK1371" s="86"/>
      <c r="BL1371" s="86"/>
      <c r="BM1371" s="86"/>
      <c r="BN1371" s="86"/>
      <c r="BO1371" s="86"/>
      <c r="BP1371" s="86"/>
      <c r="BQ1371" s="86"/>
      <c r="BR1371" s="86"/>
      <c r="BS1371" s="86"/>
      <c r="BT1371" s="86"/>
      <c r="BU1371" s="86"/>
      <c r="BV1371" s="86"/>
      <c r="BW1371" s="86"/>
      <c r="BX1371" s="86"/>
      <c r="BY1371" s="86"/>
      <c r="BZ1371" s="86"/>
      <c r="CA1371" s="86"/>
      <c r="CB1371" s="86"/>
      <c r="CC1371" s="86"/>
      <c r="CD1371" s="86"/>
      <c r="CE1371" s="86"/>
      <c r="CF1371" s="86"/>
      <c r="CG1371" s="86"/>
      <c r="CH1371" s="86"/>
      <c r="CI1371" s="86"/>
      <c r="CJ1371" s="86"/>
    </row>
    <row r="1372" spans="1:88">
      <c r="A1372" s="1">
        <v>1453</v>
      </c>
      <c r="B1372" s="34" t="s">
        <v>1987</v>
      </c>
      <c r="C1372" s="34">
        <v>448</v>
      </c>
      <c r="D1372" s="75">
        <v>3064</v>
      </c>
      <c r="E1372" s="69">
        <v>100</v>
      </c>
      <c r="F1372" s="34" t="s">
        <v>2003</v>
      </c>
      <c r="G1372" s="20">
        <v>416</v>
      </c>
      <c r="H1372" s="20">
        <v>32587</v>
      </c>
      <c r="I1372" s="21">
        <v>32.170999999999999</v>
      </c>
      <c r="J1372" s="8">
        <v>2</v>
      </c>
      <c r="K1372" s="34" t="s">
        <v>238</v>
      </c>
      <c r="L1372" s="10">
        <v>42182</v>
      </c>
      <c r="M1372" s="9" t="s">
        <v>191</v>
      </c>
      <c r="N1372" s="38">
        <v>20.625</v>
      </c>
      <c r="O1372" s="38">
        <v>7.1</v>
      </c>
      <c r="P1372" s="38">
        <v>3.1</v>
      </c>
      <c r="Q1372" s="38">
        <v>1.3</v>
      </c>
      <c r="R1372" s="38">
        <v>2.5070899999999998</v>
      </c>
      <c r="S1372" s="38">
        <f t="shared" si="168"/>
        <v>2.5</v>
      </c>
      <c r="T1372" s="38">
        <v>31.024999999999999</v>
      </c>
      <c r="U1372" s="38">
        <v>0.875</v>
      </c>
      <c r="V1372" s="38">
        <v>0.125</v>
      </c>
      <c r="W1372" s="38">
        <v>0.1</v>
      </c>
      <c r="X1372" s="38">
        <v>3.8902600000000001</v>
      </c>
      <c r="Y1372" s="38">
        <f t="shared" si="169"/>
        <v>4</v>
      </c>
      <c r="Z1372" s="38">
        <v>0</v>
      </c>
      <c r="AA1372" s="38">
        <v>0</v>
      </c>
      <c r="AB1372" s="38">
        <v>32.125</v>
      </c>
      <c r="AC1372" s="38">
        <v>1.06332</v>
      </c>
      <c r="AD1372" s="38">
        <v>3</v>
      </c>
      <c r="AE1372" s="38">
        <v>149</v>
      </c>
      <c r="AF1372" s="38">
        <f t="shared" si="171"/>
        <v>6.8828625603360616E-2</v>
      </c>
      <c r="AG1372" s="38">
        <f t="shared" si="170"/>
        <v>0.1</v>
      </c>
      <c r="AH1372" s="38">
        <v>8</v>
      </c>
      <c r="AI1372" s="38">
        <f t="shared" si="172"/>
        <v>7.1048903848630312E-3</v>
      </c>
      <c r="AJ1372" s="38">
        <v>4</v>
      </c>
      <c r="AK1372" s="38">
        <f>AJ1372/(3.5*I1372*1000)*100</f>
        <v>3.5524451924315156E-3</v>
      </c>
      <c r="AL1372" s="38">
        <v>0</v>
      </c>
      <c r="AM1372" s="38">
        <f>AL1372/(3.5*I1372*1000)*100</f>
        <v>0</v>
      </c>
      <c r="AN1372" s="72"/>
      <c r="AO1372" s="41"/>
      <c r="AP1372" s="41"/>
      <c r="AQ1372" s="73"/>
      <c r="AR1372" s="73"/>
      <c r="AS1372" s="73"/>
      <c r="AT1372" s="73"/>
      <c r="AU1372" s="73"/>
      <c r="AV1372" s="73"/>
      <c r="AW1372" s="22"/>
      <c r="AX1372" s="22"/>
      <c r="AY1372" s="22"/>
      <c r="AZ1372" s="22"/>
      <c r="BA1372" s="22"/>
      <c r="BB1372" s="22"/>
      <c r="BC1372" s="22"/>
      <c r="BD1372" s="22"/>
      <c r="BE1372" s="22"/>
      <c r="BF1372" s="22"/>
      <c r="BG1372" s="22"/>
      <c r="BH1372" s="22"/>
      <c r="BI1372" s="22"/>
      <c r="BJ1372" s="22"/>
      <c r="BK1372" s="22"/>
      <c r="BL1372" s="22"/>
      <c r="BM1372" s="22"/>
      <c r="BN1372" s="22"/>
      <c r="BO1372" s="22"/>
      <c r="BP1372" s="22"/>
      <c r="BQ1372" s="22"/>
      <c r="BR1372" s="22"/>
      <c r="BS1372" s="22"/>
      <c r="BT1372" s="22"/>
      <c r="BU1372" s="22"/>
      <c r="BV1372" s="22"/>
      <c r="BW1372" s="22"/>
      <c r="BX1372" s="22"/>
      <c r="BY1372" s="22"/>
      <c r="BZ1372" s="22"/>
      <c r="CA1372" s="22"/>
      <c r="CB1372" s="22"/>
      <c r="CC1372" s="22"/>
      <c r="CD1372" s="22"/>
      <c r="CE1372" s="22"/>
      <c r="CF1372" s="22"/>
      <c r="CG1372" s="22"/>
      <c r="CH1372" s="22"/>
      <c r="CI1372" s="22"/>
      <c r="CJ1372" s="22"/>
    </row>
    <row r="1373" spans="1:88">
      <c r="A1373" s="1">
        <v>1258</v>
      </c>
      <c r="B1373" s="34" t="s">
        <v>1775</v>
      </c>
      <c r="C1373" s="88">
        <v>438</v>
      </c>
      <c r="D1373" s="88">
        <v>1145</v>
      </c>
      <c r="E1373" s="88">
        <v>100</v>
      </c>
      <c r="F1373" s="88" t="s">
        <v>1785</v>
      </c>
      <c r="G1373" s="88" t="s">
        <v>1786</v>
      </c>
      <c r="H1373" s="88" t="s">
        <v>92</v>
      </c>
      <c r="I1373" s="115">
        <v>28.666</v>
      </c>
      <c r="J1373" s="88">
        <v>2</v>
      </c>
      <c r="K1373" s="88" t="s">
        <v>12</v>
      </c>
      <c r="L1373" s="116">
        <v>42282</v>
      </c>
      <c r="M1373" s="9" t="s">
        <v>191</v>
      </c>
      <c r="N1373" s="117">
        <v>16.524999999999999</v>
      </c>
      <c r="O1373" s="117">
        <v>6.3</v>
      </c>
      <c r="P1373" s="117">
        <v>3.125</v>
      </c>
      <c r="Q1373" s="117">
        <v>2.7</v>
      </c>
      <c r="R1373" s="117">
        <v>2.7988599999999999</v>
      </c>
      <c r="S1373" s="38">
        <f t="shared" si="168"/>
        <v>3</v>
      </c>
      <c r="T1373" s="117">
        <v>27.175000000000001</v>
      </c>
      <c r="U1373" s="117">
        <v>1.2749999999999999</v>
      </c>
      <c r="V1373" s="117">
        <v>0.17499999999999999</v>
      </c>
      <c r="W1373" s="117">
        <v>2.5000000000000001E-2</v>
      </c>
      <c r="X1373" s="117">
        <v>4.2610799999999998</v>
      </c>
      <c r="Y1373" s="38">
        <f t="shared" si="169"/>
        <v>4.5</v>
      </c>
      <c r="Z1373" s="117">
        <v>0</v>
      </c>
      <c r="AA1373" s="117">
        <v>0</v>
      </c>
      <c r="AB1373" s="115">
        <v>28.666</v>
      </c>
      <c r="AC1373" s="117">
        <v>1.3281799999999999</v>
      </c>
      <c r="AD1373" s="117">
        <v>61.558</v>
      </c>
      <c r="AE1373" s="117">
        <v>14.326000000000001</v>
      </c>
      <c r="AF1373" s="117">
        <f t="shared" si="171"/>
        <v>6.8494283920224053E-2</v>
      </c>
      <c r="AG1373" s="38">
        <f t="shared" si="170"/>
        <v>0.1</v>
      </c>
      <c r="AH1373" s="117">
        <v>21.56</v>
      </c>
      <c r="AI1373" s="117">
        <f t="shared" si="172"/>
        <v>2.14888718342287E-2</v>
      </c>
      <c r="AJ1373" s="117">
        <v>0</v>
      </c>
      <c r="AK1373" s="117">
        <v>0</v>
      </c>
      <c r="AL1373" s="117">
        <v>1.5580000000000001</v>
      </c>
      <c r="AM1373" s="117">
        <v>1.5529999999999999E-3</v>
      </c>
      <c r="AN1373" s="12"/>
    </row>
    <row r="1374" spans="1:88">
      <c r="A1374" s="1">
        <v>466</v>
      </c>
      <c r="B1374" s="74" t="s">
        <v>780</v>
      </c>
      <c r="C1374" s="34">
        <v>515</v>
      </c>
      <c r="D1374" s="34">
        <v>1143</v>
      </c>
      <c r="E1374" s="34">
        <v>102</v>
      </c>
      <c r="F1374" s="34" t="s">
        <v>796</v>
      </c>
      <c r="G1374" s="34" t="s">
        <v>795</v>
      </c>
      <c r="H1374" s="34" t="s">
        <v>797</v>
      </c>
      <c r="I1374" s="55">
        <v>42.7</v>
      </c>
      <c r="J1374" s="5" t="s">
        <v>238</v>
      </c>
      <c r="K1374" s="34">
        <v>2</v>
      </c>
      <c r="L1374" s="10">
        <v>42268</v>
      </c>
      <c r="M1374" s="9" t="s">
        <v>191</v>
      </c>
      <c r="N1374" s="38">
        <v>30.5</v>
      </c>
      <c r="O1374" s="38">
        <v>9.1</v>
      </c>
      <c r="P1374" s="38">
        <v>2.5499999999999998</v>
      </c>
      <c r="Q1374" s="38">
        <v>0.48</v>
      </c>
      <c r="R1374" s="38">
        <v>2.2521300000000002</v>
      </c>
      <c r="S1374" s="38">
        <f t="shared" si="168"/>
        <v>2.5</v>
      </c>
      <c r="T1374" s="38">
        <v>42</v>
      </c>
      <c r="U1374" s="38">
        <v>0.57499999999999996</v>
      </c>
      <c r="V1374" s="38">
        <v>0.05</v>
      </c>
      <c r="W1374" s="38">
        <v>0</v>
      </c>
      <c r="X1374" s="38">
        <v>2.74248</v>
      </c>
      <c r="Y1374" s="38">
        <f t="shared" si="169"/>
        <v>2.5</v>
      </c>
      <c r="Z1374" s="38">
        <v>0</v>
      </c>
      <c r="AA1374" s="38">
        <v>0</v>
      </c>
      <c r="AB1374" s="38">
        <v>42.629999999999995</v>
      </c>
      <c r="AC1374" s="38">
        <v>1.2943</v>
      </c>
      <c r="AD1374" s="38">
        <v>98.48</v>
      </c>
      <c r="AE1374" s="38">
        <v>7.15</v>
      </c>
      <c r="AF1374" s="38">
        <f t="shared" si="171"/>
        <v>6.8287052525928385E-2</v>
      </c>
      <c r="AG1374" s="38">
        <f t="shared" si="170"/>
        <v>0.1</v>
      </c>
      <c r="AH1374" s="38">
        <v>73.64</v>
      </c>
      <c r="AI1374" s="38">
        <f t="shared" si="172"/>
        <v>4.9274004683840737E-2</v>
      </c>
      <c r="AJ1374" s="38">
        <v>0.94</v>
      </c>
      <c r="AK1374" s="38">
        <f>AJ1374/(3.5*I1374*1000)*100</f>
        <v>6.2897290063566392E-4</v>
      </c>
      <c r="AL1374" s="38">
        <v>0</v>
      </c>
      <c r="AM1374" s="38">
        <f>AL1374/(3.5*I1374*1000)*100</f>
        <v>0</v>
      </c>
      <c r="AN1374" s="41"/>
      <c r="AO1374" s="41"/>
      <c r="AP1374" s="114"/>
      <c r="AQ1374" s="73"/>
      <c r="AR1374" s="73"/>
      <c r="AS1374" s="73"/>
      <c r="AT1374" s="22"/>
      <c r="AU1374" s="22"/>
      <c r="AV1374" s="22"/>
      <c r="AW1374" s="22"/>
      <c r="AX1374" s="22"/>
      <c r="AY1374" s="22"/>
      <c r="AZ1374" s="22"/>
      <c r="BA1374" s="22"/>
      <c r="BB1374" s="22"/>
      <c r="BC1374" s="22"/>
      <c r="BD1374" s="22"/>
      <c r="BE1374" s="22"/>
      <c r="BF1374" s="22"/>
      <c r="BG1374" s="22"/>
      <c r="BH1374" s="22"/>
      <c r="BI1374" s="22"/>
      <c r="BJ1374" s="22"/>
      <c r="BK1374" s="22"/>
      <c r="BL1374" s="22"/>
      <c r="BM1374" s="22"/>
      <c r="BN1374" s="22"/>
      <c r="BO1374" s="22"/>
      <c r="BP1374" s="22"/>
      <c r="BQ1374" s="22"/>
      <c r="BR1374" s="22"/>
      <c r="BS1374" s="22"/>
      <c r="BT1374" s="22"/>
      <c r="BU1374" s="22"/>
      <c r="BV1374" s="22"/>
      <c r="BW1374" s="22"/>
      <c r="BX1374" s="22"/>
      <c r="BY1374" s="22"/>
      <c r="BZ1374" s="22"/>
      <c r="CA1374" s="22"/>
      <c r="CB1374" s="22"/>
      <c r="CC1374" s="22"/>
      <c r="CD1374" s="22"/>
      <c r="CE1374" s="22"/>
      <c r="CF1374" s="22"/>
      <c r="CG1374" s="22"/>
      <c r="CH1374" s="22"/>
      <c r="CI1374" s="22"/>
      <c r="CJ1374" s="22"/>
    </row>
    <row r="1375" spans="1:88">
      <c r="A1375" s="1">
        <v>181</v>
      </c>
      <c r="B1375" s="34" t="s">
        <v>332</v>
      </c>
      <c r="C1375" s="34">
        <v>533</v>
      </c>
      <c r="D1375" s="34">
        <v>1232</v>
      </c>
      <c r="E1375" s="34">
        <v>100</v>
      </c>
      <c r="F1375" s="34" t="s">
        <v>366</v>
      </c>
      <c r="G1375" s="20">
        <v>0</v>
      </c>
      <c r="H1375" s="20" t="s">
        <v>367</v>
      </c>
      <c r="I1375" s="35">
        <v>12.467000000000001</v>
      </c>
      <c r="J1375" s="51">
        <v>2</v>
      </c>
      <c r="K1375" s="34" t="s">
        <v>238</v>
      </c>
      <c r="L1375" s="10">
        <v>42203</v>
      </c>
      <c r="M1375" s="9" t="s">
        <v>191</v>
      </c>
      <c r="N1375" s="38">
        <v>6.92</v>
      </c>
      <c r="O1375" s="38">
        <v>4.29</v>
      </c>
      <c r="P1375" s="38">
        <v>1.08</v>
      </c>
      <c r="Q1375" s="38">
        <v>0.18</v>
      </c>
      <c r="R1375" s="38">
        <v>2.9018299999999999</v>
      </c>
      <c r="S1375" s="38">
        <f t="shared" si="168"/>
        <v>3</v>
      </c>
      <c r="T1375" s="38">
        <v>12.08</v>
      </c>
      <c r="U1375" s="38">
        <v>0.36</v>
      </c>
      <c r="V1375" s="38">
        <v>0.03</v>
      </c>
      <c r="W1375" s="38">
        <v>0</v>
      </c>
      <c r="X1375" s="38">
        <v>4.4801200000000003</v>
      </c>
      <c r="Y1375" s="38">
        <f t="shared" si="169"/>
        <v>4.5</v>
      </c>
      <c r="Z1375" s="38">
        <v>0</v>
      </c>
      <c r="AA1375" s="38">
        <v>0</v>
      </c>
      <c r="AB1375" s="38">
        <v>12.47</v>
      </c>
      <c r="AC1375" s="38">
        <v>1.0178100000000001</v>
      </c>
      <c r="AD1375" s="38">
        <v>20</v>
      </c>
      <c r="AE1375" s="38">
        <v>19.010000000000002</v>
      </c>
      <c r="AF1375" s="38">
        <f t="shared" si="171"/>
        <v>6.7618512873987333E-2</v>
      </c>
      <c r="AG1375" s="38">
        <f t="shared" si="170"/>
        <v>0.1</v>
      </c>
      <c r="AH1375" s="38">
        <v>0</v>
      </c>
      <c r="AI1375" s="38">
        <f t="shared" si="172"/>
        <v>0</v>
      </c>
      <c r="AJ1375" s="38">
        <v>0</v>
      </c>
      <c r="AK1375" s="38">
        <f>AJ1375/(3.5*I1375*1000)*100</f>
        <v>0</v>
      </c>
      <c r="AL1375" s="38">
        <v>0</v>
      </c>
      <c r="AM1375" s="38">
        <f>AL1375/(3.5*I1375*1000)*100</f>
        <v>0</v>
      </c>
      <c r="AN1375" s="25"/>
      <c r="AO1375" s="25">
        <f>AE1375*0.5</f>
        <v>9.5050000000000008</v>
      </c>
      <c r="AP1375" s="25">
        <f>(AD1375+AH1375+AJ1375+AL1375+AO1375)*I1375</f>
        <v>367.83883500000007</v>
      </c>
      <c r="AQ1375" s="25"/>
      <c r="AR1375" s="25">
        <f>SUM(N1375:Q1375)</f>
        <v>12.47</v>
      </c>
      <c r="AS1375" s="25">
        <f>SUM(T1375:W1375)</f>
        <v>12.469999999999999</v>
      </c>
      <c r="AT1375" s="22"/>
      <c r="AU1375" s="41">
        <f>SUM(N1375:Q1375)</f>
        <v>12.47</v>
      </c>
      <c r="AV1375" s="41">
        <f>SUM(T1375:W1375)</f>
        <v>12.469999999999999</v>
      </c>
      <c r="AW1375" s="41">
        <f>SUM(Z1375:AB1375)</f>
        <v>12.47</v>
      </c>
      <c r="AX1375" s="41"/>
      <c r="AY1375" s="22">
        <f>I1375/AU1375</f>
        <v>0.9997594226142742</v>
      </c>
      <c r="AZ1375" s="22">
        <f>I1375/AV1375</f>
        <v>0.99975942261427442</v>
      </c>
      <c r="BA1375" s="22">
        <f>I1375/AW1375</f>
        <v>0.9997594226142742</v>
      </c>
      <c r="BB1375" s="22"/>
      <c r="BC1375" s="22"/>
      <c r="BD1375" s="22"/>
      <c r="BE1375" s="22"/>
      <c r="BF1375" s="22"/>
      <c r="BG1375" s="22"/>
      <c r="BH1375" s="22"/>
      <c r="BI1375" s="22"/>
      <c r="BJ1375" s="22"/>
      <c r="BK1375" s="22"/>
      <c r="BL1375" s="22"/>
      <c r="BM1375" s="22"/>
      <c r="BN1375" s="22"/>
      <c r="BO1375" s="22"/>
      <c r="BP1375" s="22"/>
      <c r="BQ1375" s="22"/>
      <c r="BR1375" s="22"/>
      <c r="BS1375" s="22"/>
      <c r="BT1375" s="22"/>
      <c r="BU1375" s="22"/>
      <c r="BV1375" s="22"/>
      <c r="BW1375" s="22"/>
      <c r="BX1375" s="22"/>
      <c r="BY1375" s="22"/>
      <c r="BZ1375" s="22"/>
      <c r="CA1375" s="22"/>
      <c r="CB1375" s="22"/>
      <c r="CC1375" s="22"/>
      <c r="CD1375" s="22"/>
      <c r="CE1375" s="22"/>
      <c r="CF1375" s="22"/>
      <c r="CG1375" s="22"/>
      <c r="CH1375" s="22"/>
      <c r="CI1375" s="22"/>
      <c r="CJ1375" s="22"/>
    </row>
    <row r="1376" spans="1:88">
      <c r="A1376" s="1">
        <v>1754</v>
      </c>
      <c r="B1376" s="34" t="s">
        <v>2348</v>
      </c>
      <c r="C1376" s="34">
        <v>425</v>
      </c>
      <c r="D1376" s="8">
        <v>3157</v>
      </c>
      <c r="E1376" s="34">
        <v>101</v>
      </c>
      <c r="F1376" s="34" t="s">
        <v>2351</v>
      </c>
      <c r="G1376" s="58">
        <v>0</v>
      </c>
      <c r="H1376" s="58">
        <v>34650</v>
      </c>
      <c r="I1376" s="35">
        <v>34.65</v>
      </c>
      <c r="J1376" s="9">
        <v>2</v>
      </c>
      <c r="K1376" s="34" t="s">
        <v>12</v>
      </c>
      <c r="L1376" s="10">
        <v>42236</v>
      </c>
      <c r="M1376" s="9" t="s">
        <v>191</v>
      </c>
      <c r="N1376" s="38">
        <v>8.4749999999999996</v>
      </c>
      <c r="O1376" s="38">
        <v>9.625</v>
      </c>
      <c r="P1376" s="38">
        <v>10.6</v>
      </c>
      <c r="Q1376" s="38">
        <v>6.4249999999999998</v>
      </c>
      <c r="R1376" s="38">
        <v>3.8286899999999999</v>
      </c>
      <c r="S1376" s="38">
        <f t="shared" si="168"/>
        <v>4</v>
      </c>
      <c r="T1376" s="38">
        <v>24.6</v>
      </c>
      <c r="U1376" s="38">
        <v>7</v>
      </c>
      <c r="V1376" s="38">
        <v>1.825</v>
      </c>
      <c r="W1376" s="38">
        <v>1.7</v>
      </c>
      <c r="X1376" s="38">
        <v>8.6662199999999991</v>
      </c>
      <c r="Y1376" s="38">
        <f t="shared" si="169"/>
        <v>8.5</v>
      </c>
      <c r="Z1376" s="38">
        <v>0</v>
      </c>
      <c r="AA1376" s="38">
        <v>0</v>
      </c>
      <c r="AB1376" s="38">
        <f>SUM(T1376:W1376)</f>
        <v>35.125000000000007</v>
      </c>
      <c r="AC1376" s="38">
        <v>1.2379199999999999</v>
      </c>
      <c r="AD1376" s="38">
        <v>80.27</v>
      </c>
      <c r="AE1376" s="38">
        <v>2.36</v>
      </c>
      <c r="AF1376" s="38">
        <f t="shared" si="171"/>
        <v>6.7161410018552886E-2</v>
      </c>
      <c r="AG1376" s="38">
        <f t="shared" si="170"/>
        <v>0.1</v>
      </c>
      <c r="AH1376" s="38">
        <v>174.06</v>
      </c>
      <c r="AI1376" s="38">
        <f t="shared" si="172"/>
        <v>0.14352504638218927</v>
      </c>
      <c r="AJ1376" s="38">
        <v>5</v>
      </c>
      <c r="AK1376" s="38">
        <f>AJ1376/(3.5*I1376*1000)*100</f>
        <v>4.1228612657184093E-3</v>
      </c>
      <c r="AL1376" s="38">
        <v>203.89</v>
      </c>
      <c r="AM1376" s="55">
        <f>AL1376/(3.5*I1376*1000)*100</f>
        <v>0.16812203669346529</v>
      </c>
      <c r="AN1376" s="25"/>
      <c r="AO1376" s="25">
        <f>AE1376*0.5</f>
        <v>1.18</v>
      </c>
      <c r="AP1376" s="25">
        <f>(AD1376+AH1376+AJ1376+AL1376+AO1376)*I1376</f>
        <v>16091.46</v>
      </c>
      <c r="AQ1376" s="25">
        <f>SUM(N1376:Q1376)</f>
        <v>35.125</v>
      </c>
      <c r="AR1376" s="25">
        <f>SUM(T1376:W1376)</f>
        <v>35.125000000000007</v>
      </c>
      <c r="AS1376" s="22"/>
      <c r="AT1376" s="41"/>
      <c r="AU1376" s="41"/>
      <c r="AV1376" s="41"/>
      <c r="AW1376" s="41"/>
      <c r="AX1376" s="22"/>
      <c r="AY1376" s="22"/>
      <c r="AZ1376" s="22"/>
      <c r="BA1376" s="22"/>
      <c r="BB1376" s="22"/>
      <c r="BC1376" s="22"/>
      <c r="BD1376" s="22"/>
      <c r="BE1376" s="22"/>
      <c r="BF1376" s="22"/>
      <c r="BG1376" s="22"/>
      <c r="BH1376" s="22"/>
      <c r="BI1376" s="22"/>
      <c r="BJ1376" s="22"/>
      <c r="BK1376" s="22"/>
      <c r="BL1376" s="22"/>
      <c r="BM1376" s="22"/>
      <c r="BN1376" s="22"/>
      <c r="BO1376" s="22"/>
      <c r="BP1376" s="22"/>
      <c r="BQ1376" s="22"/>
      <c r="BR1376" s="22"/>
      <c r="BS1376" s="22"/>
      <c r="BT1376" s="22"/>
      <c r="BU1376" s="22"/>
      <c r="BV1376" s="22"/>
      <c r="BW1376" s="22"/>
      <c r="BX1376" s="22"/>
      <c r="BY1376" s="22"/>
      <c r="BZ1376" s="22"/>
      <c r="CA1376" s="22"/>
      <c r="CB1376" s="22"/>
      <c r="CC1376" s="22"/>
      <c r="CD1376" s="22"/>
      <c r="CE1376" s="22"/>
      <c r="CF1376" s="22"/>
      <c r="CG1376" s="22"/>
      <c r="CH1376" s="22"/>
      <c r="CI1376" s="22"/>
      <c r="CJ1376" s="22"/>
    </row>
    <row r="1377" spans="1:88">
      <c r="A1377" s="1">
        <v>645</v>
      </c>
      <c r="B1377" s="34" t="s">
        <v>1050</v>
      </c>
      <c r="C1377" s="34">
        <v>621</v>
      </c>
      <c r="D1377" s="34">
        <v>2109</v>
      </c>
      <c r="E1377" s="34">
        <v>100</v>
      </c>
      <c r="F1377" s="34" t="s">
        <v>1053</v>
      </c>
      <c r="G1377" s="58">
        <v>0</v>
      </c>
      <c r="H1377" s="58">
        <v>25224</v>
      </c>
      <c r="I1377" s="35">
        <v>25.224</v>
      </c>
      <c r="J1377" s="127">
        <v>2</v>
      </c>
      <c r="K1377" s="34" t="s">
        <v>238</v>
      </c>
      <c r="L1377" s="10">
        <v>42172</v>
      </c>
      <c r="M1377" s="9" t="s">
        <v>191</v>
      </c>
      <c r="N1377" s="38">
        <v>13.225</v>
      </c>
      <c r="O1377" s="38">
        <v>6.9749999999999996</v>
      </c>
      <c r="P1377" s="38">
        <v>3.875</v>
      </c>
      <c r="Q1377" s="38">
        <v>1.2250000000000001</v>
      </c>
      <c r="R1377" s="38">
        <v>2.8511299999999999</v>
      </c>
      <c r="S1377" s="38">
        <f t="shared" si="168"/>
        <v>3</v>
      </c>
      <c r="T1377" s="38">
        <v>23.975000000000001</v>
      </c>
      <c r="U1377" s="38">
        <v>1.2250000000000001</v>
      </c>
      <c r="V1377" s="38">
        <v>7.4999999999999997E-2</v>
      </c>
      <c r="W1377" s="38">
        <v>2.5000000000000001E-2</v>
      </c>
      <c r="X1377" s="38">
        <v>4.1410400000000003</v>
      </c>
      <c r="Y1377" s="38">
        <f t="shared" si="169"/>
        <v>4</v>
      </c>
      <c r="Z1377" s="38">
        <v>0</v>
      </c>
      <c r="AA1377" s="38">
        <v>0</v>
      </c>
      <c r="AB1377" s="38">
        <f>T1377+U1377+V1377+W1377</f>
        <v>25.3</v>
      </c>
      <c r="AC1377" s="38">
        <v>1.0944</v>
      </c>
      <c r="AD1377" s="38">
        <v>59.19</v>
      </c>
      <c r="AE1377" s="38">
        <v>0</v>
      </c>
      <c r="AF1377" s="38">
        <v>6.7044991164876985E-2</v>
      </c>
      <c r="AG1377" s="38">
        <f t="shared" si="170"/>
        <v>0.1</v>
      </c>
      <c r="AH1377" s="38">
        <v>58.98</v>
      </c>
      <c r="AI1377" s="38">
        <v>6.6807122468397442E-2</v>
      </c>
      <c r="AJ1377" s="38">
        <v>11.86</v>
      </c>
      <c r="AK1377" s="55">
        <v>1.3433917810701825E-2</v>
      </c>
      <c r="AL1377" s="55">
        <v>9.2100000000000009</v>
      </c>
      <c r="AM1377" s="55">
        <v>1.0432241402745686E-2</v>
      </c>
      <c r="AN1377" s="25">
        <f>SUM(N1377:Q1377)</f>
        <v>25.3</v>
      </c>
      <c r="AO1377" s="25">
        <f>SUM(T1377:W1377)</f>
        <v>25.3</v>
      </c>
      <c r="AP1377" s="22"/>
      <c r="AQ1377" s="41"/>
      <c r="AR1377" s="41"/>
      <c r="AS1377" s="41"/>
      <c r="AT1377" s="41"/>
      <c r="AU1377" s="22"/>
      <c r="AV1377" s="22"/>
      <c r="AW1377" s="22"/>
      <c r="AX1377" s="22"/>
      <c r="AY1377" s="22"/>
      <c r="AZ1377" s="22"/>
      <c r="BA1377" s="22"/>
      <c r="BB1377" s="22"/>
      <c r="BC1377" s="22"/>
      <c r="BD1377" s="22"/>
      <c r="BE1377" s="22"/>
      <c r="BF1377" s="22"/>
      <c r="BG1377" s="22"/>
      <c r="BH1377" s="22"/>
      <c r="BI1377" s="22"/>
      <c r="BJ1377" s="22"/>
      <c r="BK1377" s="22"/>
      <c r="BL1377" s="22"/>
      <c r="BM1377" s="22"/>
      <c r="BN1377" s="22"/>
      <c r="BO1377" s="22"/>
      <c r="BP1377" s="22"/>
      <c r="BQ1377" s="22"/>
      <c r="BR1377" s="22"/>
      <c r="BS1377" s="22"/>
      <c r="BT1377" s="22"/>
      <c r="BU1377" s="22"/>
      <c r="BV1377" s="22"/>
      <c r="BW1377" s="22"/>
      <c r="BX1377" s="22"/>
      <c r="BY1377" s="22"/>
      <c r="BZ1377" s="22"/>
      <c r="CA1377" s="22"/>
      <c r="CB1377" s="22"/>
      <c r="CC1377" s="22"/>
      <c r="CD1377" s="22"/>
      <c r="CE1377" s="22"/>
      <c r="CF1377" s="22"/>
      <c r="CG1377" s="22"/>
      <c r="CH1377" s="22"/>
      <c r="CI1377" s="22"/>
      <c r="CJ1377" s="22"/>
    </row>
    <row r="1378" spans="1:88">
      <c r="A1378" s="1">
        <v>1653</v>
      </c>
      <c r="B1378" s="170" t="s">
        <v>2182</v>
      </c>
      <c r="C1378" s="170">
        <v>417</v>
      </c>
      <c r="D1378" s="89">
        <v>3901</v>
      </c>
      <c r="E1378" s="9">
        <v>700</v>
      </c>
      <c r="F1378" s="170" t="s">
        <v>2248</v>
      </c>
      <c r="G1378" s="6" t="s">
        <v>2067</v>
      </c>
      <c r="H1378" s="6" t="s">
        <v>2249</v>
      </c>
      <c r="I1378" s="35">
        <v>2.0499999999999998</v>
      </c>
      <c r="J1378" s="170">
        <v>2</v>
      </c>
      <c r="K1378" s="170" t="s">
        <v>238</v>
      </c>
      <c r="L1378" s="172">
        <v>42240</v>
      </c>
      <c r="M1378" s="9" t="s">
        <v>191</v>
      </c>
      <c r="N1378" s="11">
        <v>1.4</v>
      </c>
      <c r="O1378" s="11">
        <v>1</v>
      </c>
      <c r="P1378" s="11">
        <v>0.22500000000000001</v>
      </c>
      <c r="Q1378" s="11">
        <v>0.27500000000000002</v>
      </c>
      <c r="R1378" s="11">
        <v>2.944</v>
      </c>
      <c r="S1378" s="38">
        <f t="shared" si="168"/>
        <v>3</v>
      </c>
      <c r="T1378" s="11">
        <v>2.5499999999999998</v>
      </c>
      <c r="U1378" s="11">
        <v>0.15</v>
      </c>
      <c r="V1378" s="11">
        <v>0.1</v>
      </c>
      <c r="W1378" s="11">
        <v>0.1</v>
      </c>
      <c r="X1378" s="11">
        <v>5.8529999999999998</v>
      </c>
      <c r="Y1378" s="38">
        <f t="shared" si="169"/>
        <v>6</v>
      </c>
      <c r="Z1378" s="11">
        <v>0</v>
      </c>
      <c r="AA1378" s="11">
        <v>0</v>
      </c>
      <c r="AB1378" s="11">
        <f>SUM(N1378:Q1378)</f>
        <v>2.9</v>
      </c>
      <c r="AC1378" s="11">
        <v>1.139</v>
      </c>
      <c r="AD1378" s="11">
        <v>3.14</v>
      </c>
      <c r="AE1378" s="11">
        <v>3.33</v>
      </c>
      <c r="AF1378" s="11">
        <f>(AD1378+AE1378*0.5)/(3.5*I1378*1000)*100</f>
        <v>6.6968641114982588E-2</v>
      </c>
      <c r="AG1378" s="38">
        <f t="shared" si="170"/>
        <v>0.1</v>
      </c>
      <c r="AH1378" s="11">
        <v>0</v>
      </c>
      <c r="AI1378" s="11">
        <f>AH1378/(3.5*I1378*1000)*100</f>
        <v>0</v>
      </c>
      <c r="AJ1378" s="11">
        <v>46.4</v>
      </c>
      <c r="AK1378" s="38">
        <f>AJ1378/(3.5*I1378*1000)*100</f>
        <v>0.64668989547038336</v>
      </c>
      <c r="AL1378" s="11">
        <v>0</v>
      </c>
      <c r="AM1378" s="38">
        <f t="shared" ref="AM1378:AM1383" si="173">AL1378/(3.5*I1378*1000)*100</f>
        <v>0</v>
      </c>
      <c r="AN1378" s="25">
        <f>IF(G1378=G1379,1,0)</f>
        <v>0</v>
      </c>
      <c r="AO1378" s="25">
        <f>AE1378*0.5</f>
        <v>1.665</v>
      </c>
      <c r="AP1378" s="25">
        <f>(AD1378+AH1378+AJ1378+AL1378+AO1378)*I1378</f>
        <v>104.97024999999999</v>
      </c>
      <c r="AQ1378" s="25">
        <f>(AD1378+AH1378+AJ1378+AL1378)*I1378</f>
        <v>101.55699999999999</v>
      </c>
      <c r="AR1378" s="25">
        <f>SUM(N1378:Q1378)</f>
        <v>2.9</v>
      </c>
      <c r="AS1378" s="25">
        <f>SUM(T1378:W1378)</f>
        <v>2.9</v>
      </c>
      <c r="AU1378" s="41"/>
      <c r="AV1378" s="275">
        <v>2.0499999999999998</v>
      </c>
      <c r="AW1378" s="41"/>
      <c r="AX1378" s="41"/>
    </row>
    <row r="1379" spans="1:88">
      <c r="A1379" s="1">
        <v>598</v>
      </c>
      <c r="B1379" s="34" t="s">
        <v>994</v>
      </c>
      <c r="C1379" s="34">
        <v>554</v>
      </c>
      <c r="D1379" s="34">
        <v>201</v>
      </c>
      <c r="E1379" s="34">
        <v>404</v>
      </c>
      <c r="F1379" s="9" t="s">
        <v>1000</v>
      </c>
      <c r="G1379" s="118" t="s">
        <v>1001</v>
      </c>
      <c r="H1379" s="118" t="s">
        <v>998</v>
      </c>
      <c r="I1379" s="35">
        <v>19.204999999999998</v>
      </c>
      <c r="J1379" s="71">
        <v>4</v>
      </c>
      <c r="K1379" s="34" t="s">
        <v>96</v>
      </c>
      <c r="L1379" s="10">
        <v>42182</v>
      </c>
      <c r="M1379" s="9" t="s">
        <v>191</v>
      </c>
      <c r="N1379" s="38">
        <v>13.42</v>
      </c>
      <c r="O1379" s="38">
        <v>3.17</v>
      </c>
      <c r="P1379" s="38">
        <v>1.89</v>
      </c>
      <c r="Q1379" s="38">
        <v>0.73</v>
      </c>
      <c r="R1379" s="38">
        <v>2.7281</v>
      </c>
      <c r="S1379" s="38">
        <f t="shared" si="168"/>
        <v>2.5</v>
      </c>
      <c r="T1379" s="38">
        <v>16.34</v>
      </c>
      <c r="U1379" s="38">
        <v>2.16</v>
      </c>
      <c r="V1379" s="38">
        <v>0.55000000000000004</v>
      </c>
      <c r="W1379" s="38">
        <v>0.15</v>
      </c>
      <c r="X1379" s="38">
        <v>7.3077699999999997</v>
      </c>
      <c r="Y1379" s="38">
        <f t="shared" si="169"/>
        <v>7.5</v>
      </c>
      <c r="Z1379" s="38">
        <v>0</v>
      </c>
      <c r="AA1379" s="38">
        <v>0</v>
      </c>
      <c r="AB1379" s="38">
        <v>19.2</v>
      </c>
      <c r="AC1379" s="38">
        <v>1.04009</v>
      </c>
      <c r="AD1379" s="38">
        <v>45</v>
      </c>
      <c r="AE1379" s="38">
        <v>0</v>
      </c>
      <c r="AF1379" s="38">
        <v>6.6946851638338231E-2</v>
      </c>
      <c r="AG1379" s="38">
        <f t="shared" si="170"/>
        <v>0.1</v>
      </c>
      <c r="AH1379" s="38">
        <v>0</v>
      </c>
      <c r="AI1379" s="38">
        <v>0</v>
      </c>
      <c r="AJ1379" s="38">
        <v>0</v>
      </c>
      <c r="AK1379" s="38">
        <v>0</v>
      </c>
      <c r="AL1379" s="38">
        <v>0</v>
      </c>
      <c r="AM1379" s="38">
        <f t="shared" si="173"/>
        <v>0</v>
      </c>
      <c r="AN1379" s="60"/>
      <c r="AO1379" s="60">
        <f>AE1379*0.5</f>
        <v>0</v>
      </c>
      <c r="AP1379" s="60">
        <f>(AD1379+AH1379+AJ1379+AL1379+AO1379)*I1379</f>
        <v>864.22499999999991</v>
      </c>
      <c r="AQ1379" s="25">
        <f>SUM(N1379:Q1379)</f>
        <v>19.21</v>
      </c>
      <c r="AR1379" s="25">
        <f>SUM(T1379:W1379)</f>
        <v>19.2</v>
      </c>
      <c r="AS1379" s="268">
        <v>19.204999999999998</v>
      </c>
      <c r="AT1379" s="40"/>
      <c r="AU1379" s="41">
        <f>SUM(N1379:Q1379)</f>
        <v>19.21</v>
      </c>
      <c r="AV1379" s="41">
        <f>SUM(T1379:W1379)</f>
        <v>19.2</v>
      </c>
      <c r="AW1379" s="41">
        <f>SUM(Z1379:AB1379)</f>
        <v>19.2</v>
      </c>
      <c r="AX1379" s="22"/>
      <c r="AY1379" s="22">
        <f>I1379/AU1379</f>
        <v>0.999739718896408</v>
      </c>
      <c r="AZ1379" s="22">
        <f>I1379/AV1379</f>
        <v>1.0002604166666667</v>
      </c>
      <c r="BA1379" s="22">
        <f>I1379/AW1379</f>
        <v>1.0002604166666667</v>
      </c>
      <c r="BB1379" s="61"/>
      <c r="BC1379" s="61"/>
      <c r="BD1379" s="61"/>
      <c r="BE1379" s="61"/>
      <c r="BF1379" s="61"/>
      <c r="BG1379" s="61"/>
      <c r="BH1379" s="61"/>
      <c r="BI1379" s="61"/>
      <c r="BJ1379" s="61"/>
      <c r="BK1379" s="61"/>
      <c r="BL1379" s="61"/>
      <c r="BM1379" s="61"/>
      <c r="BN1379" s="61"/>
      <c r="BO1379" s="61"/>
      <c r="BP1379" s="61"/>
      <c r="BQ1379" s="61"/>
      <c r="BR1379" s="61"/>
      <c r="BS1379" s="61"/>
      <c r="BT1379" s="61"/>
      <c r="BU1379" s="61"/>
      <c r="BV1379" s="61"/>
      <c r="BW1379" s="61"/>
      <c r="BX1379" s="61"/>
      <c r="BY1379" s="61"/>
      <c r="BZ1379" s="61"/>
      <c r="CA1379" s="61"/>
      <c r="CB1379" s="61"/>
      <c r="CC1379" s="61"/>
      <c r="CD1379" s="61"/>
      <c r="CE1379" s="61"/>
      <c r="CF1379" s="61"/>
      <c r="CG1379" s="61"/>
      <c r="CH1379" s="61"/>
      <c r="CI1379" s="61"/>
      <c r="CJ1379" s="61"/>
    </row>
    <row r="1380" spans="1:88">
      <c r="A1380" s="1">
        <v>2223</v>
      </c>
      <c r="B1380" s="34" t="s">
        <v>2853</v>
      </c>
      <c r="C1380" s="34">
        <v>318</v>
      </c>
      <c r="D1380" s="75">
        <v>4125</v>
      </c>
      <c r="E1380" s="8">
        <v>100</v>
      </c>
      <c r="F1380" s="9" t="s">
        <v>2869</v>
      </c>
      <c r="G1380" s="20">
        <v>26933</v>
      </c>
      <c r="H1380" s="20">
        <v>0</v>
      </c>
      <c r="I1380" s="21">
        <v>26.933</v>
      </c>
      <c r="J1380" s="8">
        <v>2</v>
      </c>
      <c r="K1380" s="8" t="s">
        <v>12</v>
      </c>
      <c r="L1380" s="18">
        <v>42150</v>
      </c>
      <c r="M1380" s="9" t="s">
        <v>191</v>
      </c>
      <c r="N1380" s="38">
        <v>18.524999999999999</v>
      </c>
      <c r="O1380" s="38">
        <v>5.7249999999999996</v>
      </c>
      <c r="P1380" s="38">
        <v>2.0750000000000002</v>
      </c>
      <c r="Q1380" s="38">
        <v>0.6</v>
      </c>
      <c r="R1380" s="38">
        <v>2.3372799999999998</v>
      </c>
      <c r="S1380" s="38">
        <f t="shared" si="168"/>
        <v>2.5</v>
      </c>
      <c r="T1380" s="38">
        <v>26.9</v>
      </c>
      <c r="U1380" s="38">
        <v>2.5000000000000001E-2</v>
      </c>
      <c r="V1380" s="38">
        <v>0</v>
      </c>
      <c r="W1380" s="38">
        <v>0</v>
      </c>
      <c r="X1380" s="38">
        <v>1.74535</v>
      </c>
      <c r="Y1380" s="38">
        <f t="shared" si="169"/>
        <v>1.5</v>
      </c>
      <c r="Z1380" s="38">
        <v>0</v>
      </c>
      <c r="AA1380" s="38">
        <v>0</v>
      </c>
      <c r="AB1380" s="38">
        <v>26.925000000000001</v>
      </c>
      <c r="AC1380" s="38">
        <v>1.3182499999999999</v>
      </c>
      <c r="AD1380" s="38">
        <v>63.09</v>
      </c>
      <c r="AE1380" s="38">
        <v>0</v>
      </c>
      <c r="AF1380" s="38">
        <v>6.6927985318064404E-2</v>
      </c>
      <c r="AG1380" s="38">
        <f t="shared" si="170"/>
        <v>0.1</v>
      </c>
      <c r="AH1380" s="38">
        <v>22</v>
      </c>
      <c r="AI1380" s="38">
        <v>2.3338336931326944E-2</v>
      </c>
      <c r="AJ1380" s="38">
        <v>0</v>
      </c>
      <c r="AK1380" s="38">
        <v>0</v>
      </c>
      <c r="AL1380" s="38">
        <v>0</v>
      </c>
      <c r="AM1380" s="38">
        <f t="shared" si="173"/>
        <v>0</v>
      </c>
      <c r="AN1380" s="22"/>
      <c r="AO1380" s="25"/>
      <c r="AP1380" s="25"/>
      <c r="AQ1380" s="22"/>
      <c r="AR1380" s="22"/>
      <c r="AS1380" s="22"/>
    </row>
    <row r="1381" spans="1:88">
      <c r="A1381" s="1">
        <v>2206</v>
      </c>
      <c r="B1381" s="34" t="s">
        <v>2827</v>
      </c>
      <c r="C1381" s="34">
        <v>314</v>
      </c>
      <c r="D1381" s="75">
        <v>4285</v>
      </c>
      <c r="E1381" s="8">
        <v>100</v>
      </c>
      <c r="F1381" s="9" t="s">
        <v>2851</v>
      </c>
      <c r="G1381" s="20">
        <v>0</v>
      </c>
      <c r="H1381" s="20">
        <v>3188</v>
      </c>
      <c r="I1381" s="21">
        <v>3.1880000000000002</v>
      </c>
      <c r="J1381" s="8">
        <v>2</v>
      </c>
      <c r="K1381" s="8" t="s">
        <v>238</v>
      </c>
      <c r="L1381" s="18">
        <v>42144</v>
      </c>
      <c r="M1381" s="9" t="s">
        <v>191</v>
      </c>
      <c r="N1381" s="38">
        <v>1.625</v>
      </c>
      <c r="O1381" s="38">
        <v>0.5</v>
      </c>
      <c r="P1381" s="38">
        <v>0.625</v>
      </c>
      <c r="Q1381" s="38">
        <v>0.4</v>
      </c>
      <c r="R1381" s="38">
        <v>3.2455599999999998</v>
      </c>
      <c r="S1381" s="38">
        <f t="shared" si="168"/>
        <v>3</v>
      </c>
      <c r="T1381" s="38">
        <v>3.15</v>
      </c>
      <c r="U1381" s="38">
        <v>0</v>
      </c>
      <c r="V1381" s="38">
        <v>0</v>
      </c>
      <c r="W1381" s="38">
        <v>0</v>
      </c>
      <c r="X1381" s="38">
        <v>2.7038600000000002</v>
      </c>
      <c r="Y1381" s="38">
        <f t="shared" si="169"/>
        <v>2.5</v>
      </c>
      <c r="Z1381" s="38">
        <v>0</v>
      </c>
      <c r="AA1381" s="38">
        <v>0</v>
      </c>
      <c r="AB1381" s="38">
        <v>3.15</v>
      </c>
      <c r="AC1381" s="38">
        <v>1.3266</v>
      </c>
      <c r="AD1381" s="38">
        <v>0</v>
      </c>
      <c r="AE1381" s="38">
        <v>14.82</v>
      </c>
      <c r="AF1381" s="38">
        <f>(AD1381+AE1381*0.5)/(3.5*I1381*1000)*100</f>
        <v>6.6409750851407046E-2</v>
      </c>
      <c r="AG1381" s="38">
        <f t="shared" si="170"/>
        <v>0.1</v>
      </c>
      <c r="AH1381" s="38">
        <v>0</v>
      </c>
      <c r="AI1381" s="38">
        <f>AH1381/(3.5*I1381*1000)*100</f>
        <v>0</v>
      </c>
      <c r="AJ1381" s="38">
        <v>7.91</v>
      </c>
      <c r="AK1381" s="38">
        <v>7.0890840652446663E-2</v>
      </c>
      <c r="AL1381" s="38">
        <v>0</v>
      </c>
      <c r="AM1381" s="38">
        <f t="shared" si="173"/>
        <v>0</v>
      </c>
      <c r="AN1381" s="72"/>
      <c r="AO1381" s="41"/>
      <c r="AP1381" s="41"/>
      <c r="AQ1381" s="73"/>
      <c r="AR1381" s="73"/>
      <c r="AS1381" s="73"/>
      <c r="AT1381" s="73"/>
    </row>
    <row r="1382" spans="1:88">
      <c r="A1382" s="1">
        <v>1500</v>
      </c>
      <c r="B1382" s="88" t="s">
        <v>2069</v>
      </c>
      <c r="C1382" s="88">
        <v>413</v>
      </c>
      <c r="D1382" s="69">
        <v>308</v>
      </c>
      <c r="E1382" s="34">
        <v>100</v>
      </c>
      <c r="F1382" s="34" t="s">
        <v>2070</v>
      </c>
      <c r="G1382" s="58" t="s">
        <v>2071</v>
      </c>
      <c r="H1382" s="58" t="s">
        <v>92</v>
      </c>
      <c r="I1382" s="35">
        <v>6.55</v>
      </c>
      <c r="J1382" s="34">
        <v>6</v>
      </c>
      <c r="K1382" s="34" t="s">
        <v>12</v>
      </c>
      <c r="L1382" s="10">
        <v>42263</v>
      </c>
      <c r="M1382" s="9" t="s">
        <v>191</v>
      </c>
      <c r="N1382" s="38">
        <v>2.8</v>
      </c>
      <c r="O1382" s="38">
        <v>2.5249999999999999</v>
      </c>
      <c r="P1382" s="38">
        <v>0.97499999999999998</v>
      </c>
      <c r="Q1382" s="38">
        <v>0.32500000000000001</v>
      </c>
      <c r="R1382" s="38">
        <v>3.2608999999999999</v>
      </c>
      <c r="S1382" s="38">
        <f t="shared" si="168"/>
        <v>3.5</v>
      </c>
      <c r="T1382" s="38">
        <v>5.8250000000000002</v>
      </c>
      <c r="U1382" s="38">
        <v>0.65</v>
      </c>
      <c r="V1382" s="38">
        <v>7.4999999999999997E-2</v>
      </c>
      <c r="W1382" s="38">
        <v>7.4999999999999997E-2</v>
      </c>
      <c r="X1382" s="38">
        <v>4.6947000000000001</v>
      </c>
      <c r="Y1382" s="38">
        <f t="shared" si="169"/>
        <v>4.5</v>
      </c>
      <c r="Z1382" s="38">
        <v>0</v>
      </c>
      <c r="AA1382" s="38">
        <v>0</v>
      </c>
      <c r="AB1382" s="196">
        <v>6.55</v>
      </c>
      <c r="AC1382" s="38">
        <v>1.101</v>
      </c>
      <c r="AD1382" s="38">
        <v>6</v>
      </c>
      <c r="AE1382" s="38">
        <v>18.34</v>
      </c>
      <c r="AF1382" s="38">
        <f>(AD1382+AE1382*0.5)/(3.5*I1382*1000)*100</f>
        <v>6.6172300981461291E-2</v>
      </c>
      <c r="AG1382" s="38">
        <f t="shared" si="170"/>
        <v>0.1</v>
      </c>
      <c r="AH1382" s="38">
        <v>0</v>
      </c>
      <c r="AI1382" s="38">
        <f>AH1382/(3.5*I1382*1000)*100</f>
        <v>0</v>
      </c>
      <c r="AJ1382" s="38">
        <v>0</v>
      </c>
      <c r="AK1382" s="38">
        <f>AJ1382/(3.5*I1382*1000)*100</f>
        <v>0</v>
      </c>
      <c r="AL1382" s="38">
        <v>0</v>
      </c>
      <c r="AM1382" s="38">
        <f t="shared" si="173"/>
        <v>0</v>
      </c>
      <c r="AN1382" s="25"/>
      <c r="AO1382" s="25">
        <f>AE1382*0.5</f>
        <v>9.17</v>
      </c>
      <c r="AP1382" s="25">
        <f>(AD1382+AH1382+AJ1382+AL1382+AO1382)*I1382</f>
        <v>99.363500000000002</v>
      </c>
      <c r="AQ1382" s="25">
        <f>(AD1382+AH1382+AJ1382+AL1382)*I1382</f>
        <v>39.299999999999997</v>
      </c>
      <c r="AR1382" s="25">
        <f>SUM(N1382:Q1382)</f>
        <v>6.6249999999999991</v>
      </c>
      <c r="AS1382" s="25">
        <f>SUM(T1382:W1382)</f>
        <v>6.6250000000000009</v>
      </c>
      <c r="AT1382" s="22"/>
      <c r="AU1382" s="275">
        <v>6.55</v>
      </c>
      <c r="AV1382" s="41">
        <f>SUM(N1382:Q1382)</f>
        <v>6.6249999999999991</v>
      </c>
      <c r="AW1382" s="41">
        <f>SUM(T1382:W1382)</f>
        <v>6.6250000000000009</v>
      </c>
      <c r="AX1382" s="41">
        <f>SUM(Z1382:AB1382)</f>
        <v>6.55</v>
      </c>
      <c r="AY1382" s="22"/>
      <c r="AZ1382" s="22">
        <f>I1382/AV1382</f>
        <v>0.98867924528301898</v>
      </c>
      <c r="BA1382" s="22">
        <f>I1382/AW1382</f>
        <v>0.98867924528301876</v>
      </c>
      <c r="BB1382" s="22">
        <f>I1382/AX1382</f>
        <v>1</v>
      </c>
    </row>
    <row r="1383" spans="1:88">
      <c r="A1383" s="1">
        <v>1098</v>
      </c>
      <c r="B1383" s="9" t="s">
        <v>1513</v>
      </c>
      <c r="C1383" s="34">
        <v>431</v>
      </c>
      <c r="D1383" s="75">
        <v>205</v>
      </c>
      <c r="E1383" s="69">
        <v>102</v>
      </c>
      <c r="F1383" s="34" t="s">
        <v>1516</v>
      </c>
      <c r="G1383" s="20" t="s">
        <v>1518</v>
      </c>
      <c r="H1383" s="20" t="s">
        <v>1519</v>
      </c>
      <c r="I1383" s="21">
        <v>28.545000000000002</v>
      </c>
      <c r="J1383" s="8">
        <v>4</v>
      </c>
      <c r="K1383" s="5" t="s">
        <v>1520</v>
      </c>
      <c r="L1383" s="18">
        <v>42282</v>
      </c>
      <c r="M1383" s="9" t="s">
        <v>191</v>
      </c>
      <c r="N1383" s="38">
        <v>12.475</v>
      </c>
      <c r="O1383" s="38">
        <v>11.025</v>
      </c>
      <c r="P1383" s="38">
        <v>4.1500000000000004</v>
      </c>
      <c r="Q1383" s="38">
        <v>1.0249999999999999</v>
      </c>
      <c r="R1383" s="38">
        <v>2.8504200000000002</v>
      </c>
      <c r="S1383" s="38">
        <f t="shared" si="168"/>
        <v>3</v>
      </c>
      <c r="T1383" s="38">
        <v>23.45</v>
      </c>
      <c r="U1383" s="38">
        <v>3.625</v>
      </c>
      <c r="V1383" s="38">
        <v>1.175</v>
      </c>
      <c r="W1383" s="38">
        <v>0.42499999999999999</v>
      </c>
      <c r="X1383" s="38">
        <v>6.6724500000000004</v>
      </c>
      <c r="Y1383" s="38">
        <f t="shared" si="169"/>
        <v>6.5</v>
      </c>
      <c r="Z1383" s="38">
        <v>0</v>
      </c>
      <c r="AA1383" s="38">
        <v>0</v>
      </c>
      <c r="AB1383" s="38">
        <v>28.674999999999997</v>
      </c>
      <c r="AC1383" s="38">
        <v>1.2528999999999999</v>
      </c>
      <c r="AD1383" s="38">
        <v>64.319999999999993</v>
      </c>
      <c r="AE1383" s="38">
        <v>3.11</v>
      </c>
      <c r="AF1383" s="38">
        <f>(AD1383+AE1383*0.5)/(3.5*I1383*1000)*100</f>
        <v>6.5935990791482116E-2</v>
      </c>
      <c r="AG1383" s="38">
        <f t="shared" si="170"/>
        <v>0.1</v>
      </c>
      <c r="AH1383" s="38">
        <v>45.69</v>
      </c>
      <c r="AI1383" s="38">
        <f>AH1383/(3.5*I1383*1000)*100</f>
        <v>4.5732302379701217E-2</v>
      </c>
      <c r="AJ1383" s="38">
        <v>15.3</v>
      </c>
      <c r="AK1383" s="38">
        <f>AJ1383/(3.5*I1383*1000)*100</f>
        <v>1.5314165603182946E-2</v>
      </c>
      <c r="AL1383" s="38">
        <v>0</v>
      </c>
      <c r="AM1383" s="38">
        <f t="shared" si="173"/>
        <v>0</v>
      </c>
      <c r="AN1383" s="41"/>
      <c r="AO1383" s="72"/>
      <c r="AP1383" s="73"/>
      <c r="AQ1383" s="73"/>
      <c r="AR1383" s="22"/>
      <c r="AS1383" s="22"/>
      <c r="AT1383" s="22"/>
      <c r="AU1383" s="22"/>
      <c r="AV1383" s="22"/>
      <c r="AW1383" s="22"/>
      <c r="AX1383" s="22"/>
      <c r="AY1383" s="22"/>
      <c r="AZ1383" s="22"/>
      <c r="BA1383" s="22"/>
      <c r="BB1383" s="22"/>
      <c r="BC1383" s="22"/>
      <c r="BD1383" s="22"/>
      <c r="BE1383" s="22"/>
      <c r="BF1383" s="22"/>
      <c r="BG1383" s="22"/>
      <c r="BH1383" s="22"/>
      <c r="BI1383" s="22"/>
      <c r="BJ1383" s="22"/>
      <c r="BK1383" s="22"/>
      <c r="BL1383" s="22"/>
      <c r="BM1383" s="22"/>
      <c r="BN1383" s="22"/>
      <c r="BO1383" s="22"/>
      <c r="BP1383" s="22"/>
      <c r="BQ1383" s="22"/>
      <c r="BR1383" s="22"/>
      <c r="BS1383" s="22"/>
      <c r="BT1383" s="22"/>
      <c r="BU1383" s="22"/>
      <c r="BV1383" s="22"/>
      <c r="BW1383" s="22"/>
      <c r="BX1383" s="22"/>
      <c r="BY1383" s="22"/>
      <c r="BZ1383" s="22"/>
      <c r="CA1383" s="22"/>
      <c r="CB1383" s="22"/>
      <c r="CC1383" s="22"/>
      <c r="CD1383" s="22"/>
      <c r="CE1383" s="22"/>
      <c r="CF1383" s="22"/>
      <c r="CG1383" s="22"/>
      <c r="CH1383" s="22"/>
      <c r="CI1383" s="22"/>
      <c r="CJ1383" s="22"/>
    </row>
    <row r="1384" spans="1:88">
      <c r="A1384" s="1">
        <v>1215</v>
      </c>
      <c r="B1384" s="34" t="s">
        <v>1674</v>
      </c>
      <c r="C1384" s="34">
        <v>435</v>
      </c>
      <c r="D1384" s="34">
        <v>2282</v>
      </c>
      <c r="E1384" s="34">
        <v>100</v>
      </c>
      <c r="F1384" s="34" t="s">
        <v>1711</v>
      </c>
      <c r="G1384" s="34" t="s">
        <v>1712</v>
      </c>
      <c r="H1384" s="34" t="s">
        <v>1713</v>
      </c>
      <c r="I1384" s="55">
        <v>18.210999999999999</v>
      </c>
      <c r="J1384" s="34">
        <v>2</v>
      </c>
      <c r="K1384" s="34" t="s">
        <v>12</v>
      </c>
      <c r="L1384" s="10">
        <v>42282</v>
      </c>
      <c r="M1384" s="9" t="s">
        <v>191</v>
      </c>
      <c r="N1384" s="38">
        <v>10.199999999999999</v>
      </c>
      <c r="O1384" s="38">
        <v>4.2249999999999996</v>
      </c>
      <c r="P1384" s="38">
        <v>2.7</v>
      </c>
      <c r="Q1384" s="38">
        <v>1.0249999999999999</v>
      </c>
      <c r="R1384" s="38">
        <v>2.6592099999999999</v>
      </c>
      <c r="S1384" s="38">
        <f t="shared" si="168"/>
        <v>2.5</v>
      </c>
      <c r="T1384" s="38">
        <v>17.074999999999999</v>
      </c>
      <c r="U1384" s="38">
        <v>0.6</v>
      </c>
      <c r="V1384" s="38">
        <v>0.375</v>
      </c>
      <c r="W1384" s="38">
        <v>0.1</v>
      </c>
      <c r="X1384" s="38">
        <v>3.8275899999999998</v>
      </c>
      <c r="Y1384" s="38">
        <f t="shared" si="169"/>
        <v>4</v>
      </c>
      <c r="Z1384" s="38">
        <v>0</v>
      </c>
      <c r="AA1384" s="38">
        <v>0</v>
      </c>
      <c r="AB1384" s="55">
        <v>18.210999999999999</v>
      </c>
      <c r="AC1384" s="38">
        <v>1.3101</v>
      </c>
      <c r="AD1384" s="38">
        <v>31.64</v>
      </c>
      <c r="AE1384" s="38">
        <v>20.32</v>
      </c>
      <c r="AF1384" s="38">
        <f>(AD1384+AE1384*0.5)/(3.5*I1384*1000)*100</f>
        <v>6.5580457651184143E-2</v>
      </c>
      <c r="AG1384" s="38">
        <f t="shared" si="170"/>
        <v>0.1</v>
      </c>
      <c r="AH1384" s="38">
        <v>23.69</v>
      </c>
      <c r="AI1384" s="38">
        <v>3.7166999999999999E-2</v>
      </c>
      <c r="AJ1384" s="38">
        <v>0</v>
      </c>
      <c r="AK1384" s="38">
        <v>0</v>
      </c>
      <c r="AL1384" s="38">
        <v>0</v>
      </c>
      <c r="AM1384" s="38">
        <v>0</v>
      </c>
      <c r="AN1384" s="12"/>
    </row>
    <row r="1385" spans="1:88">
      <c r="A1385" s="1">
        <v>692</v>
      </c>
      <c r="B1385" s="34" t="s">
        <v>1084</v>
      </c>
      <c r="C1385" s="34">
        <v>624</v>
      </c>
      <c r="D1385" s="34">
        <v>2350</v>
      </c>
      <c r="E1385" s="34">
        <v>100</v>
      </c>
      <c r="F1385" s="9" t="s">
        <v>1102</v>
      </c>
      <c r="G1385" s="58">
        <v>0</v>
      </c>
      <c r="H1385" s="20">
        <v>34072</v>
      </c>
      <c r="I1385" s="35">
        <v>34.072000000000003</v>
      </c>
      <c r="J1385" s="127">
        <v>2</v>
      </c>
      <c r="K1385" s="34" t="s">
        <v>238</v>
      </c>
      <c r="L1385" s="10">
        <v>42171</v>
      </c>
      <c r="M1385" s="9" t="s">
        <v>191</v>
      </c>
      <c r="N1385" s="38">
        <v>19.024999999999999</v>
      </c>
      <c r="O1385" s="38">
        <v>10.15</v>
      </c>
      <c r="P1385" s="38">
        <v>3.125</v>
      </c>
      <c r="Q1385" s="38">
        <v>1.575</v>
      </c>
      <c r="R1385" s="38">
        <v>2.6363699999999999</v>
      </c>
      <c r="S1385" s="38">
        <f t="shared" si="168"/>
        <v>2.5</v>
      </c>
      <c r="T1385" s="38">
        <v>32.125</v>
      </c>
      <c r="U1385" s="38">
        <v>1.6</v>
      </c>
      <c r="V1385" s="38">
        <v>0.1</v>
      </c>
      <c r="W1385" s="38">
        <v>0.05</v>
      </c>
      <c r="X1385" s="38">
        <v>4.6734799999999996</v>
      </c>
      <c r="Y1385" s="38">
        <f t="shared" si="169"/>
        <v>4.5</v>
      </c>
      <c r="Z1385" s="38">
        <v>0</v>
      </c>
      <c r="AA1385" s="38">
        <v>0</v>
      </c>
      <c r="AB1385" s="38">
        <f>N1385+O1385+P1385+Q1385</f>
        <v>33.875</v>
      </c>
      <c r="AC1385" s="38">
        <v>1.1995100000000001</v>
      </c>
      <c r="AD1385" s="38">
        <v>68.040000000000006</v>
      </c>
      <c r="AE1385" s="38">
        <v>18.899999999999999</v>
      </c>
      <c r="AF1385" s="38">
        <v>6.4979999999999996E-2</v>
      </c>
      <c r="AG1385" s="38">
        <f t="shared" si="170"/>
        <v>0.1</v>
      </c>
      <c r="AH1385" s="38">
        <v>357.54</v>
      </c>
      <c r="AI1385" s="38">
        <v>0.29981999999999998</v>
      </c>
      <c r="AJ1385" s="38">
        <v>88.52</v>
      </c>
      <c r="AK1385" s="38">
        <v>7.4229000000000003E-2</v>
      </c>
      <c r="AL1385" s="38">
        <v>26.97</v>
      </c>
      <c r="AM1385" s="38">
        <v>2.2620000000000001E-2</v>
      </c>
      <c r="AN1385" s="25"/>
      <c r="AO1385" s="25">
        <f>AE1385*0.5</f>
        <v>9.4499999999999993</v>
      </c>
      <c r="AP1385" s="25">
        <f>(AD1385+AH1385+AJ1385+AL1385+AO1385)*I1385</f>
        <v>18757.317440000006</v>
      </c>
      <c r="AQ1385" s="25">
        <f>SUM(N1385:Q1385)</f>
        <v>33.875</v>
      </c>
      <c r="AR1385" s="25">
        <f>SUM(T1385:W1385)</f>
        <v>33.875</v>
      </c>
      <c r="AS1385" s="22"/>
      <c r="AT1385" s="41"/>
      <c r="AU1385" s="41"/>
      <c r="AV1385" s="41"/>
      <c r="AW1385" s="41"/>
      <c r="AX1385" s="22"/>
      <c r="AY1385" s="22"/>
      <c r="AZ1385" s="22"/>
      <c r="BA1385" s="22"/>
      <c r="BB1385" s="22"/>
      <c r="BC1385" s="22"/>
      <c r="BD1385" s="22"/>
      <c r="BE1385" s="22"/>
      <c r="BF1385" s="22"/>
      <c r="BG1385" s="22"/>
      <c r="BH1385" s="22"/>
      <c r="BI1385" s="22"/>
      <c r="BJ1385" s="22"/>
      <c r="BK1385" s="22"/>
      <c r="BL1385" s="22"/>
      <c r="BM1385" s="22"/>
      <c r="BN1385" s="22"/>
      <c r="BO1385" s="22"/>
      <c r="BP1385" s="22"/>
      <c r="BQ1385" s="22"/>
      <c r="BR1385" s="22"/>
      <c r="BS1385" s="22"/>
      <c r="BT1385" s="22"/>
      <c r="BU1385" s="22"/>
      <c r="BV1385" s="22"/>
      <c r="BW1385" s="22"/>
      <c r="BX1385" s="22"/>
      <c r="BY1385" s="22"/>
      <c r="BZ1385" s="22"/>
      <c r="CA1385" s="22"/>
      <c r="CB1385" s="22"/>
      <c r="CC1385" s="22"/>
      <c r="CD1385" s="22"/>
      <c r="CE1385" s="22"/>
      <c r="CF1385" s="22"/>
      <c r="CG1385" s="22"/>
      <c r="CH1385" s="22"/>
      <c r="CI1385" s="22"/>
      <c r="CJ1385" s="22"/>
    </row>
    <row r="1386" spans="1:88">
      <c r="A1386" s="1">
        <v>85</v>
      </c>
      <c r="B1386" s="4" t="s">
        <v>61</v>
      </c>
      <c r="C1386" s="14">
        <v>526</v>
      </c>
      <c r="D1386" s="19">
        <v>108</v>
      </c>
      <c r="E1386" s="16">
        <v>201</v>
      </c>
      <c r="F1386" s="14" t="s">
        <v>63</v>
      </c>
      <c r="G1386" s="27" t="s">
        <v>149</v>
      </c>
      <c r="H1386" s="27" t="s">
        <v>150</v>
      </c>
      <c r="I1386" s="28">
        <v>50.375</v>
      </c>
      <c r="J1386" s="16">
        <v>2</v>
      </c>
      <c r="K1386" s="14" t="s">
        <v>12</v>
      </c>
      <c r="L1386" s="29">
        <v>42244</v>
      </c>
      <c r="M1386" s="14" t="s">
        <v>191</v>
      </c>
      <c r="N1386" s="30">
        <v>23.1</v>
      </c>
      <c r="O1386" s="30">
        <v>13.73</v>
      </c>
      <c r="P1386" s="30">
        <v>8.85</v>
      </c>
      <c r="Q1386" s="30">
        <v>4.68</v>
      </c>
      <c r="R1386" s="30">
        <v>2.99871</v>
      </c>
      <c r="S1386" s="38">
        <f t="shared" si="168"/>
        <v>3</v>
      </c>
      <c r="T1386" s="30">
        <v>47.73</v>
      </c>
      <c r="U1386" s="30">
        <v>2.06</v>
      </c>
      <c r="V1386" s="30">
        <v>0.32</v>
      </c>
      <c r="W1386" s="30">
        <v>0.27</v>
      </c>
      <c r="X1386" s="30">
        <v>4.0692399999999997</v>
      </c>
      <c r="Y1386" s="38">
        <f t="shared" si="169"/>
        <v>4</v>
      </c>
      <c r="Z1386" s="30">
        <v>0</v>
      </c>
      <c r="AA1386" s="30">
        <v>0</v>
      </c>
      <c r="AB1386" s="30">
        <v>50.38</v>
      </c>
      <c r="AC1386" s="30">
        <v>1.2317800000000001</v>
      </c>
      <c r="AD1386" s="30">
        <v>114.25</v>
      </c>
      <c r="AE1386" s="30">
        <v>0</v>
      </c>
      <c r="AF1386" s="30">
        <f>(AD1386+AE1386*0.5)/(3.5*I1386*1000)*100</f>
        <v>6.479971641261964E-2</v>
      </c>
      <c r="AG1386" s="38">
        <f t="shared" si="170"/>
        <v>0.1</v>
      </c>
      <c r="AH1386" s="30">
        <v>0</v>
      </c>
      <c r="AI1386" s="30">
        <f>AH1386/(3.5*I1386*1000)*100</f>
        <v>0</v>
      </c>
      <c r="AJ1386" s="30">
        <v>20.95</v>
      </c>
      <c r="AK1386" s="30">
        <f>AJ1386/(3.5*I1386*1000)*100</f>
        <v>1.1882311237149945E-2</v>
      </c>
      <c r="AL1386" s="30">
        <v>0</v>
      </c>
      <c r="AM1386" s="30">
        <f>AL1386/(3.5*I1386*1000)*100</f>
        <v>0</v>
      </c>
      <c r="AN1386" s="22"/>
      <c r="AO1386" s="25"/>
      <c r="AP1386" s="25">
        <f>N1386+O1386+P1386+Q1386</f>
        <v>50.36</v>
      </c>
      <c r="AQ1386" s="25">
        <f>T1386+U1386+V1386+W1386</f>
        <v>50.38</v>
      </c>
      <c r="AR1386" s="25">
        <f>Z1386+AA1386+AB1386</f>
        <v>50.38</v>
      </c>
      <c r="AS1386" s="22"/>
      <c r="AT1386" s="22">
        <f>I1386/AP1386</f>
        <v>1.0002978554408262</v>
      </c>
      <c r="AU1386" s="22">
        <f>I1386/AQ1386</f>
        <v>0.99990075426756642</v>
      </c>
      <c r="AV1386" s="22">
        <f>I1386/AR1386</f>
        <v>0.99990075426756642</v>
      </c>
      <c r="AW1386" s="22"/>
      <c r="AX1386" s="22"/>
      <c r="AY1386" s="22"/>
      <c r="AZ1386" s="22"/>
      <c r="BA1386" s="22"/>
      <c r="BB1386" s="22"/>
      <c r="BC1386" s="22"/>
      <c r="BD1386" s="22"/>
      <c r="BE1386" s="22"/>
      <c r="BF1386" s="22"/>
      <c r="BG1386" s="22"/>
      <c r="BH1386" s="22"/>
      <c r="BI1386" s="22"/>
      <c r="BJ1386" s="22"/>
      <c r="BK1386" s="22"/>
      <c r="BL1386" s="22"/>
      <c r="BM1386" s="22"/>
      <c r="BN1386" s="22"/>
      <c r="BO1386" s="22"/>
      <c r="BP1386" s="22"/>
      <c r="BQ1386" s="22"/>
      <c r="BR1386" s="22"/>
      <c r="BS1386" s="22"/>
      <c r="BT1386" s="22"/>
      <c r="BU1386" s="22"/>
      <c r="BV1386" s="22"/>
      <c r="BW1386" s="22"/>
      <c r="BX1386" s="22"/>
      <c r="BY1386" s="22"/>
      <c r="BZ1386" s="22"/>
      <c r="CA1386" s="22"/>
      <c r="CB1386" s="22"/>
      <c r="CC1386" s="22"/>
      <c r="CD1386" s="22"/>
      <c r="CE1386" s="22"/>
      <c r="CF1386" s="22"/>
      <c r="CG1386" s="22"/>
      <c r="CH1386" s="22"/>
      <c r="CI1386" s="22"/>
      <c r="CJ1386" s="22"/>
    </row>
    <row r="1387" spans="1:88">
      <c r="A1387" s="1">
        <v>1469</v>
      </c>
      <c r="B1387" s="34" t="s">
        <v>2016</v>
      </c>
      <c r="C1387" s="34">
        <v>411</v>
      </c>
      <c r="D1387" s="69">
        <v>31</v>
      </c>
      <c r="E1387" s="34">
        <v>101</v>
      </c>
      <c r="F1387" s="34" t="s">
        <v>2018</v>
      </c>
      <c r="G1387" s="58" t="s">
        <v>2019</v>
      </c>
      <c r="H1387" s="58" t="s">
        <v>2020</v>
      </c>
      <c r="I1387" s="35">
        <v>9.7100000000000009</v>
      </c>
      <c r="J1387" s="239">
        <v>10</v>
      </c>
      <c r="K1387" s="34" t="s">
        <v>96</v>
      </c>
      <c r="L1387" s="10">
        <v>42247</v>
      </c>
      <c r="M1387" s="9" t="s">
        <v>191</v>
      </c>
      <c r="N1387" s="38">
        <v>5.95</v>
      </c>
      <c r="O1387" s="38">
        <v>1.5</v>
      </c>
      <c r="P1387" s="38">
        <v>1.1499999999999999</v>
      </c>
      <c r="Q1387" s="38">
        <v>0.8</v>
      </c>
      <c r="R1387" s="38">
        <v>3.5019999999999998</v>
      </c>
      <c r="S1387" s="38">
        <f t="shared" si="168"/>
        <v>3.5</v>
      </c>
      <c r="T1387" s="38">
        <v>9.3000000000000007</v>
      </c>
      <c r="U1387" s="38">
        <v>0.1</v>
      </c>
      <c r="V1387" s="38">
        <v>0</v>
      </c>
      <c r="W1387" s="38">
        <v>0</v>
      </c>
      <c r="X1387" s="38">
        <v>3.6560000000000001</v>
      </c>
      <c r="Y1387" s="38">
        <f t="shared" si="169"/>
        <v>3.5</v>
      </c>
      <c r="Z1387" s="38">
        <v>0</v>
      </c>
      <c r="AA1387" s="38">
        <v>0</v>
      </c>
      <c r="AB1387" s="38">
        <f>SUM(T1387:W1387)</f>
        <v>9.4</v>
      </c>
      <c r="AC1387" s="38">
        <v>1.375</v>
      </c>
      <c r="AD1387" s="38">
        <v>0</v>
      </c>
      <c r="AE1387" s="38">
        <v>44</v>
      </c>
      <c r="AF1387" s="38">
        <f>(AD1387+AE1387*0.5)/(3.5*I1387*1000)*100</f>
        <v>6.4734441665440637E-2</v>
      </c>
      <c r="AG1387" s="38">
        <f t="shared" si="170"/>
        <v>0.1</v>
      </c>
      <c r="AH1387" s="38">
        <v>0</v>
      </c>
      <c r="AI1387" s="38">
        <f>AH1387/(3.5*I1387*1000)*100</f>
        <v>0</v>
      </c>
      <c r="AJ1387" s="38">
        <v>0</v>
      </c>
      <c r="AK1387" s="38">
        <f>AJ1387/(3.5*I1387*1000)*100</f>
        <v>0</v>
      </c>
      <c r="AL1387" s="38">
        <v>0</v>
      </c>
      <c r="AM1387" s="38">
        <f>AL1387/(3.5*I1387*1000)*100</f>
        <v>0</v>
      </c>
      <c r="AN1387" s="60"/>
      <c r="AO1387" s="60">
        <f>AE1387*0.5</f>
        <v>22</v>
      </c>
      <c r="AP1387" s="60">
        <f>(AD1387+AH1387+AJ1387+AL1387+AO1387)*I1387</f>
        <v>213.62</v>
      </c>
      <c r="AQ1387" s="60"/>
      <c r="AR1387" s="60"/>
      <c r="AS1387" s="60"/>
      <c r="AT1387" s="60"/>
      <c r="AU1387" s="61"/>
      <c r="AV1387" s="40"/>
      <c r="AW1387" s="40"/>
      <c r="AX1387" s="40"/>
      <c r="AY1387" s="40"/>
      <c r="AZ1387" s="61"/>
      <c r="BA1387" s="61"/>
      <c r="BB1387" s="61"/>
      <c r="BC1387" s="61"/>
      <c r="BD1387" s="61"/>
      <c r="BE1387" s="61"/>
      <c r="BF1387" s="61"/>
      <c r="BG1387" s="61"/>
      <c r="BH1387" s="61"/>
      <c r="BI1387" s="61"/>
      <c r="BJ1387" s="61"/>
      <c r="BK1387" s="61"/>
      <c r="BL1387" s="61"/>
      <c r="BM1387" s="61"/>
      <c r="BN1387" s="61"/>
      <c r="BO1387" s="61"/>
      <c r="BP1387" s="61"/>
      <c r="BQ1387" s="61"/>
      <c r="BR1387" s="61"/>
      <c r="BS1387" s="61"/>
      <c r="BT1387" s="61"/>
      <c r="BU1387" s="61"/>
      <c r="BV1387" s="61"/>
      <c r="BW1387" s="61"/>
      <c r="BX1387" s="61"/>
      <c r="BY1387" s="61"/>
      <c r="BZ1387" s="61"/>
      <c r="CA1387" s="61"/>
      <c r="CB1387" s="61"/>
      <c r="CC1387" s="61"/>
      <c r="CD1387" s="61"/>
      <c r="CE1387" s="61"/>
      <c r="CF1387" s="61"/>
      <c r="CG1387" s="61"/>
      <c r="CH1387" s="61"/>
      <c r="CI1387" s="61"/>
      <c r="CJ1387" s="61"/>
    </row>
    <row r="1388" spans="1:88">
      <c r="A1388" s="1">
        <v>1519</v>
      </c>
      <c r="B1388" s="34" t="s">
        <v>2069</v>
      </c>
      <c r="C1388" s="34">
        <v>413</v>
      </c>
      <c r="D1388" s="69">
        <v>3412</v>
      </c>
      <c r="E1388" s="34">
        <v>102</v>
      </c>
      <c r="F1388" s="34" t="s">
        <v>2091</v>
      </c>
      <c r="G1388" s="58">
        <v>8943</v>
      </c>
      <c r="H1388" s="58">
        <v>25892</v>
      </c>
      <c r="I1388" s="35">
        <v>16.949000000000002</v>
      </c>
      <c r="J1388" s="34">
        <v>2</v>
      </c>
      <c r="K1388" s="34" t="s">
        <v>12</v>
      </c>
      <c r="L1388" s="10">
        <v>42264</v>
      </c>
      <c r="M1388" s="9" t="s">
        <v>191</v>
      </c>
      <c r="N1388" s="38">
        <v>12.1</v>
      </c>
      <c r="O1388" s="38">
        <v>2.5</v>
      </c>
      <c r="P1388" s="38">
        <v>1.4750000000000001</v>
      </c>
      <c r="Q1388" s="38">
        <v>0.9</v>
      </c>
      <c r="R1388" s="38">
        <v>2.6693600000000002</v>
      </c>
      <c r="S1388" s="38">
        <f t="shared" si="168"/>
        <v>2.5</v>
      </c>
      <c r="T1388" s="38">
        <v>16</v>
      </c>
      <c r="U1388" s="38">
        <v>0.625</v>
      </c>
      <c r="V1388" s="38">
        <v>0.15</v>
      </c>
      <c r="W1388" s="38">
        <v>0.2</v>
      </c>
      <c r="X1388" s="38">
        <v>4.78064</v>
      </c>
      <c r="Y1388" s="38">
        <f t="shared" si="169"/>
        <v>5</v>
      </c>
      <c r="Z1388" s="38">
        <v>0</v>
      </c>
      <c r="AA1388" s="38">
        <v>0</v>
      </c>
      <c r="AB1388" s="196">
        <v>16.949000000000002</v>
      </c>
      <c r="AC1388" s="38">
        <v>1.0624499999999999</v>
      </c>
      <c r="AD1388" s="38">
        <v>8</v>
      </c>
      <c r="AE1388" s="38">
        <v>60.57</v>
      </c>
      <c r="AF1388" s="38">
        <f>(AD1388+AE1388*0.5)/(3.5*I1388*1000)*100</f>
        <v>6.4538152271941859E-2</v>
      </c>
      <c r="AG1388" s="38">
        <f t="shared" si="170"/>
        <v>0.1</v>
      </c>
      <c r="AH1388" s="38">
        <v>3</v>
      </c>
      <c r="AI1388" s="38">
        <f>AH1388/(3.5*I1388*1000)*100</f>
        <v>5.0571883718382032E-3</v>
      </c>
      <c r="AJ1388" s="38">
        <v>0</v>
      </c>
      <c r="AK1388" s="38">
        <f>AJ1388/(3.5*I1388*1000)*100</f>
        <v>0</v>
      </c>
      <c r="AL1388" s="38">
        <v>0</v>
      </c>
      <c r="AM1388" s="38">
        <f>AL1388/(3.5*I1388*1000)*100</f>
        <v>0</v>
      </c>
      <c r="AN1388" s="25"/>
      <c r="AO1388" s="25">
        <f>AE1388*0.5</f>
        <v>30.285</v>
      </c>
      <c r="AP1388" s="25">
        <f>(AD1388+AH1388+AJ1388+AL1388+AO1388)*I1388</f>
        <v>699.739465</v>
      </c>
      <c r="AQ1388" s="25">
        <f>(AD1388+AH1388+AJ1388+AL1388)*I1388</f>
        <v>186.43900000000002</v>
      </c>
      <c r="AR1388" s="25">
        <f>SUM(N1388:Q1388)</f>
        <v>16.974999999999998</v>
      </c>
      <c r="AS1388" s="25">
        <f>SUM(T1388:W1388)</f>
        <v>16.974999999999998</v>
      </c>
      <c r="AT1388" s="22"/>
      <c r="AU1388" s="275">
        <v>16.949000000000002</v>
      </c>
      <c r="AV1388" s="41">
        <f>SUM(N1388:Q1388)</f>
        <v>16.974999999999998</v>
      </c>
      <c r="AW1388" s="41">
        <f>SUM(T1388:W1388)</f>
        <v>16.974999999999998</v>
      </c>
      <c r="AX1388" s="41">
        <f>SUM(Z1388:AB1388)</f>
        <v>16.949000000000002</v>
      </c>
      <c r="AY1388" s="22"/>
      <c r="AZ1388" s="22">
        <f>I1388/AV1388</f>
        <v>0.9984683357879236</v>
      </c>
      <c r="BA1388" s="22">
        <f>I1388/AW1388</f>
        <v>0.9984683357879236</v>
      </c>
      <c r="BB1388" s="22">
        <f>I1388/AX1388</f>
        <v>1</v>
      </c>
      <c r="BC1388" s="22"/>
      <c r="BD1388" s="22"/>
      <c r="BE1388" s="22"/>
      <c r="BF1388" s="22"/>
      <c r="BG1388" s="22"/>
      <c r="BH1388" s="22"/>
      <c r="BI1388" s="22"/>
      <c r="BJ1388" s="22"/>
      <c r="BK1388" s="22"/>
      <c r="BL1388" s="22"/>
      <c r="BM1388" s="22"/>
      <c r="BN1388" s="22"/>
      <c r="BO1388" s="22"/>
      <c r="BP1388" s="22"/>
      <c r="BQ1388" s="22"/>
      <c r="BR1388" s="22"/>
      <c r="BS1388" s="22"/>
      <c r="BT1388" s="22"/>
      <c r="BU1388" s="22"/>
      <c r="BV1388" s="22"/>
      <c r="BW1388" s="22"/>
      <c r="BX1388" s="22"/>
      <c r="BY1388" s="22"/>
      <c r="BZ1388" s="22"/>
      <c r="CA1388" s="22"/>
      <c r="CB1388" s="22"/>
      <c r="CC1388" s="22"/>
      <c r="CD1388" s="22"/>
      <c r="CE1388" s="22"/>
      <c r="CF1388" s="22"/>
      <c r="CG1388" s="22"/>
      <c r="CH1388" s="22"/>
      <c r="CI1388" s="22"/>
      <c r="CJ1388" s="22"/>
    </row>
    <row r="1389" spans="1:88">
      <c r="A1389" s="1">
        <v>1873</v>
      </c>
      <c r="B1389" s="34" t="s">
        <v>2495</v>
      </c>
      <c r="C1389" s="34">
        <v>335</v>
      </c>
      <c r="D1389" s="75">
        <v>3208</v>
      </c>
      <c r="E1389" s="8">
        <v>1000</v>
      </c>
      <c r="F1389" s="9" t="s">
        <v>2504</v>
      </c>
      <c r="G1389" s="20" t="s">
        <v>2506</v>
      </c>
      <c r="H1389" s="20" t="s">
        <v>2507</v>
      </c>
      <c r="I1389" s="21">
        <v>26.972000000000001</v>
      </c>
      <c r="J1389" s="9">
        <v>2</v>
      </c>
      <c r="K1389" s="9" t="s">
        <v>12</v>
      </c>
      <c r="L1389" s="18">
        <v>42093</v>
      </c>
      <c r="M1389" s="207" t="s">
        <v>191</v>
      </c>
      <c r="N1389" s="38">
        <v>24.95</v>
      </c>
      <c r="O1389" s="38">
        <v>1.85</v>
      </c>
      <c r="P1389" s="38">
        <v>0.18</v>
      </c>
      <c r="Q1389" s="38">
        <v>0</v>
      </c>
      <c r="R1389" s="38">
        <v>1.83402</v>
      </c>
      <c r="S1389" s="38">
        <f t="shared" si="168"/>
        <v>2</v>
      </c>
      <c r="T1389" s="38">
        <v>25.48</v>
      </c>
      <c r="U1389" s="38">
        <v>1.1100000000000001</v>
      </c>
      <c r="V1389" s="38">
        <v>0.3</v>
      </c>
      <c r="W1389" s="38">
        <v>0.08</v>
      </c>
      <c r="X1389" s="38">
        <v>3.33284</v>
      </c>
      <c r="Y1389" s="38">
        <f t="shared" si="169"/>
        <v>3.5</v>
      </c>
      <c r="Z1389" s="38">
        <v>0</v>
      </c>
      <c r="AA1389" s="38">
        <v>0</v>
      </c>
      <c r="AB1389" s="38">
        <v>26.97</v>
      </c>
      <c r="AC1389" s="38">
        <v>1.2296</v>
      </c>
      <c r="AD1389" s="38">
        <v>44.62</v>
      </c>
      <c r="AE1389" s="38">
        <v>32.299999999999997</v>
      </c>
      <c r="AF1389" s="38">
        <f>(AD1389+AE1389*0.5)/(3.5*I1389*1000)*100</f>
        <v>6.4373636151776437E-2</v>
      </c>
      <c r="AG1389" s="38">
        <f t="shared" si="170"/>
        <v>0.1</v>
      </c>
      <c r="AH1389" s="38">
        <v>102.55</v>
      </c>
      <c r="AI1389" s="38">
        <f>AH1389/(3.5*I1389*1000)*100</f>
        <v>0.1086311730683672</v>
      </c>
      <c r="AJ1389" s="38">
        <v>8.36</v>
      </c>
      <c r="AK1389" s="38">
        <f>AJ1389/(3.5*I1389*1000)*100</f>
        <v>8.8557445816825897E-3</v>
      </c>
      <c r="AL1389" s="38">
        <v>0</v>
      </c>
      <c r="AM1389" s="38">
        <f>AL1389/(3.5*I1389*1000)*100</f>
        <v>0</v>
      </c>
      <c r="AN1389" s="73"/>
      <c r="AO1389" s="73"/>
      <c r="AP1389" s="73"/>
      <c r="AQ1389" s="41">
        <f>SUM(N1389:Q1389)</f>
        <v>26.98</v>
      </c>
      <c r="AR1389" s="41">
        <f>SUM(T1389:W1389)</f>
        <v>26.97</v>
      </c>
      <c r="AS1389" s="12">
        <f>SUM(Z1389:AB1389)</f>
        <v>26.97</v>
      </c>
      <c r="AU1389" s="1">
        <f>I1389/AQ1389</f>
        <v>0.99970348406226839</v>
      </c>
      <c r="AV1389" s="1">
        <f>I1389/AR1389</f>
        <v>1.0000741564701521</v>
      </c>
      <c r="AW1389" s="1">
        <f>I1389/AS1389</f>
        <v>1.0000741564701521</v>
      </c>
    </row>
    <row r="1390" spans="1:88">
      <c r="A1390" s="1">
        <v>1549</v>
      </c>
      <c r="B1390" s="34" t="s">
        <v>2121</v>
      </c>
      <c r="C1390" s="34">
        <v>415</v>
      </c>
      <c r="D1390" s="69">
        <v>3316</v>
      </c>
      <c r="E1390" s="34">
        <v>100</v>
      </c>
      <c r="F1390" s="34" t="s">
        <v>2130</v>
      </c>
      <c r="G1390" s="58" t="s">
        <v>2131</v>
      </c>
      <c r="H1390" s="58" t="s">
        <v>686</v>
      </c>
      <c r="I1390" s="51">
        <v>11.361000000000001</v>
      </c>
      <c r="J1390" s="34">
        <v>2</v>
      </c>
      <c r="K1390" s="34" t="s">
        <v>238</v>
      </c>
      <c r="L1390" s="10">
        <v>42242</v>
      </c>
      <c r="M1390" s="9" t="s">
        <v>191</v>
      </c>
      <c r="N1390" s="38">
        <v>5.9749999999999996</v>
      </c>
      <c r="O1390" s="38">
        <v>1.95</v>
      </c>
      <c r="P1390" s="38">
        <v>1.825</v>
      </c>
      <c r="Q1390" s="38">
        <v>2.2250000000000001</v>
      </c>
      <c r="R1390" s="38">
        <v>3.36</v>
      </c>
      <c r="S1390" s="38">
        <f t="shared" si="168"/>
        <v>3.5</v>
      </c>
      <c r="T1390" s="38">
        <v>11.15</v>
      </c>
      <c r="U1390" s="38">
        <v>0.8</v>
      </c>
      <c r="V1390" s="38">
        <v>2.5000000000000001E-2</v>
      </c>
      <c r="W1390" s="38">
        <v>0</v>
      </c>
      <c r="X1390" s="38">
        <v>6.97248</v>
      </c>
      <c r="Y1390" s="38">
        <f t="shared" si="169"/>
        <v>7</v>
      </c>
      <c r="Z1390" s="117">
        <v>0</v>
      </c>
      <c r="AA1390" s="117">
        <v>0</v>
      </c>
      <c r="AB1390" s="117">
        <f>SUM(N1390:Q1390)</f>
        <v>11.975</v>
      </c>
      <c r="AC1390" s="38">
        <v>1.0208699999999999</v>
      </c>
      <c r="AD1390" s="38">
        <v>17</v>
      </c>
      <c r="AE1390" s="38">
        <v>16.989999999999998</v>
      </c>
      <c r="AF1390" s="38">
        <v>6.4119999999999996E-2</v>
      </c>
      <c r="AG1390" s="38">
        <f t="shared" si="170"/>
        <v>0.1</v>
      </c>
      <c r="AH1390" s="38">
        <v>0</v>
      </c>
      <c r="AI1390" s="38">
        <v>0</v>
      </c>
      <c r="AJ1390" s="38">
        <v>0</v>
      </c>
      <c r="AK1390" s="38">
        <v>0</v>
      </c>
      <c r="AL1390" s="38">
        <v>2</v>
      </c>
      <c r="AM1390" s="38">
        <v>5.0299999999999997E-3</v>
      </c>
      <c r="AN1390" s="25"/>
      <c r="AO1390" s="12">
        <f>AE1390*0.5</f>
        <v>8.4949999999999992</v>
      </c>
      <c r="AP1390" s="12">
        <f>(AD1390+AH1390+AJ1390+AL1390+AO1390)*I1390</f>
        <v>312.37069500000001</v>
      </c>
      <c r="AQ1390" s="25">
        <f>SUM(N1390:Q1390)</f>
        <v>11.975</v>
      </c>
      <c r="AR1390" s="25">
        <f>SUM(T1390:W1390)</f>
        <v>11.975000000000001</v>
      </c>
      <c r="AS1390" s="25"/>
      <c r="AT1390" s="22"/>
      <c r="AU1390" s="41"/>
      <c r="AV1390" s="41"/>
      <c r="AW1390" s="41"/>
      <c r="AX1390" s="41"/>
      <c r="AY1390" s="22"/>
      <c r="AZ1390" s="22"/>
      <c r="BA1390" s="22"/>
      <c r="BB1390" s="22"/>
      <c r="BC1390" s="22"/>
      <c r="BD1390" s="22"/>
      <c r="BE1390" s="22"/>
      <c r="BF1390" s="22"/>
      <c r="BG1390" s="22"/>
      <c r="BH1390" s="22"/>
      <c r="BI1390" s="22"/>
      <c r="BJ1390" s="22"/>
      <c r="BK1390" s="22"/>
      <c r="BL1390" s="22"/>
      <c r="BM1390" s="22"/>
      <c r="BN1390" s="22"/>
      <c r="BO1390" s="22"/>
      <c r="BP1390" s="22"/>
      <c r="BQ1390" s="22"/>
      <c r="BR1390" s="22"/>
      <c r="BS1390" s="22"/>
      <c r="BT1390" s="22"/>
      <c r="BU1390" s="22"/>
      <c r="BV1390" s="22"/>
      <c r="BW1390" s="22"/>
      <c r="BX1390" s="22"/>
      <c r="BY1390" s="22"/>
      <c r="BZ1390" s="22"/>
      <c r="CA1390" s="22"/>
      <c r="CB1390" s="22"/>
      <c r="CC1390" s="22"/>
      <c r="CD1390" s="22"/>
      <c r="CE1390" s="22"/>
      <c r="CF1390" s="22"/>
      <c r="CG1390" s="22"/>
      <c r="CH1390" s="22"/>
      <c r="CI1390" s="22"/>
      <c r="CJ1390" s="22"/>
    </row>
    <row r="1391" spans="1:88">
      <c r="A1391" s="1">
        <v>39</v>
      </c>
      <c r="B1391" s="4" t="s">
        <v>21</v>
      </c>
      <c r="C1391" s="14">
        <v>522</v>
      </c>
      <c r="D1391" s="19">
        <v>1269</v>
      </c>
      <c r="E1391" s="16">
        <v>101</v>
      </c>
      <c r="F1391" s="16" t="s">
        <v>34</v>
      </c>
      <c r="G1391" s="20" t="s">
        <v>200</v>
      </c>
      <c r="H1391" s="20" t="s">
        <v>92</v>
      </c>
      <c r="I1391" s="21">
        <v>6.9829999999999997</v>
      </c>
      <c r="J1391" s="8">
        <v>4</v>
      </c>
      <c r="K1391" s="9" t="s">
        <v>238</v>
      </c>
      <c r="L1391" s="24">
        <v>42236</v>
      </c>
      <c r="M1391" s="9" t="s">
        <v>191</v>
      </c>
      <c r="N1391" s="11">
        <v>0.52500000000000002</v>
      </c>
      <c r="O1391" s="11">
        <v>2.375</v>
      </c>
      <c r="P1391" s="11">
        <v>2.7</v>
      </c>
      <c r="Q1391" s="11">
        <v>1.175</v>
      </c>
      <c r="R1391" s="11">
        <v>4.0007400000000004</v>
      </c>
      <c r="S1391" s="38">
        <f t="shared" si="168"/>
        <v>4</v>
      </c>
      <c r="T1391" s="11">
        <v>6.6</v>
      </c>
      <c r="U1391" s="11">
        <v>0.17499999999999999</v>
      </c>
      <c r="V1391" s="11">
        <v>0</v>
      </c>
      <c r="W1391" s="11">
        <v>0</v>
      </c>
      <c r="X1391" s="11">
        <v>4.2140399999999998</v>
      </c>
      <c r="Y1391" s="38">
        <f t="shared" si="169"/>
        <v>4</v>
      </c>
      <c r="Z1391" s="11">
        <v>0</v>
      </c>
      <c r="AA1391" s="11">
        <v>0</v>
      </c>
      <c r="AB1391" s="11">
        <f>SUM(N1391:Q1391)</f>
        <v>6.7749999999999995</v>
      </c>
      <c r="AC1391" s="11">
        <v>1.41805</v>
      </c>
      <c r="AD1391" s="11">
        <v>15.663</v>
      </c>
      <c r="AE1391" s="11">
        <v>0</v>
      </c>
      <c r="AF1391" s="11">
        <f>(AD1391+AE1391*0.5)/(3.5*I1391*1000)*100</f>
        <v>6.4086250281295387E-2</v>
      </c>
      <c r="AG1391" s="38">
        <f t="shared" si="170"/>
        <v>0.1</v>
      </c>
      <c r="AH1391" s="11">
        <v>14.45</v>
      </c>
      <c r="AI1391" s="11">
        <f>AH1391/(3.5*I1391*1000)*100</f>
        <v>5.9123176694421138E-2</v>
      </c>
      <c r="AJ1391" s="11">
        <v>0</v>
      </c>
      <c r="AK1391" s="11">
        <f>AJ1391/(3.5*I1391*1000)*100</f>
        <v>0</v>
      </c>
      <c r="AL1391" s="11">
        <v>0</v>
      </c>
      <c r="AM1391" s="11">
        <f>AL1391/(3.5*I1391*1000)*100</f>
        <v>0</v>
      </c>
      <c r="AN1391" s="22"/>
      <c r="AO1391" s="25"/>
      <c r="AP1391" s="25"/>
      <c r="AQ1391" s="22"/>
      <c r="AR1391" s="22"/>
      <c r="AS1391" s="22"/>
      <c r="AT1391" s="22"/>
      <c r="AU1391" s="22"/>
      <c r="AV1391" s="22"/>
      <c r="AW1391" s="22"/>
      <c r="AX1391" s="22"/>
      <c r="AY1391" s="22"/>
      <c r="AZ1391" s="22"/>
      <c r="BA1391" s="22"/>
      <c r="BB1391" s="22"/>
      <c r="BC1391" s="22"/>
      <c r="BD1391" s="22"/>
      <c r="BE1391" s="22"/>
      <c r="BF1391" s="22"/>
      <c r="BG1391" s="22"/>
      <c r="BH1391" s="22"/>
      <c r="BI1391" s="22"/>
      <c r="BJ1391" s="22"/>
      <c r="BK1391" s="22"/>
      <c r="BL1391" s="22"/>
      <c r="BM1391" s="22"/>
      <c r="BN1391" s="22"/>
      <c r="BO1391" s="22"/>
      <c r="BP1391" s="22"/>
      <c r="BQ1391" s="22"/>
      <c r="BR1391" s="22"/>
      <c r="BS1391" s="22"/>
      <c r="BT1391" s="22"/>
      <c r="BU1391" s="22"/>
      <c r="BV1391" s="22"/>
      <c r="BW1391" s="22"/>
      <c r="BX1391" s="22"/>
      <c r="BY1391" s="22"/>
      <c r="BZ1391" s="22"/>
      <c r="CA1391" s="22"/>
      <c r="CB1391" s="22"/>
      <c r="CC1391" s="22"/>
      <c r="CD1391" s="22"/>
      <c r="CE1391" s="22"/>
      <c r="CF1391" s="22"/>
      <c r="CG1391" s="22"/>
      <c r="CH1391" s="22"/>
      <c r="CI1391" s="22"/>
      <c r="CJ1391" s="22"/>
    </row>
    <row r="1392" spans="1:88">
      <c r="A1392" s="1">
        <v>1767</v>
      </c>
      <c r="B1392" s="34" t="s">
        <v>2369</v>
      </c>
      <c r="C1392" s="34">
        <v>426</v>
      </c>
      <c r="D1392" s="8">
        <v>364</v>
      </c>
      <c r="E1392" s="34">
        <v>100</v>
      </c>
      <c r="F1392" s="34" t="s">
        <v>2370</v>
      </c>
      <c r="G1392" s="58">
        <v>0</v>
      </c>
      <c r="H1392" s="58">
        <v>3909</v>
      </c>
      <c r="I1392" s="35">
        <v>3.9089999999999998</v>
      </c>
      <c r="J1392" s="9">
        <v>4</v>
      </c>
      <c r="K1392" s="34" t="s">
        <v>237</v>
      </c>
      <c r="L1392" s="10">
        <v>42233</v>
      </c>
      <c r="M1392" s="9" t="s">
        <v>191</v>
      </c>
      <c r="N1392" s="38">
        <v>2.1749999999999998</v>
      </c>
      <c r="O1392" s="38">
        <v>1.0249999999999999</v>
      </c>
      <c r="P1392" s="38">
        <v>0.42499999999999999</v>
      </c>
      <c r="Q1392" s="38">
        <v>0.27500000000000002</v>
      </c>
      <c r="R1392" s="38">
        <v>2.7354500000000002</v>
      </c>
      <c r="S1392" s="38">
        <f t="shared" si="168"/>
        <v>2.5</v>
      </c>
      <c r="T1392" s="38">
        <v>3.4750000000000001</v>
      </c>
      <c r="U1392" s="38">
        <v>0.27500000000000002</v>
      </c>
      <c r="V1392" s="38">
        <v>0.1</v>
      </c>
      <c r="W1392" s="38">
        <v>0.05</v>
      </c>
      <c r="X1392" s="38">
        <v>4.9311699999999998</v>
      </c>
      <c r="Y1392" s="38">
        <f t="shared" si="169"/>
        <v>5</v>
      </c>
      <c r="Z1392" s="38">
        <v>0</v>
      </c>
      <c r="AA1392" s="38">
        <v>0</v>
      </c>
      <c r="AB1392" s="38">
        <f>SUM(T1392:W1392)</f>
        <v>3.9</v>
      </c>
      <c r="AC1392" s="38">
        <v>1.1330499999999999</v>
      </c>
      <c r="AD1392" s="38">
        <v>6.73</v>
      </c>
      <c r="AE1392" s="38">
        <v>4.07</v>
      </c>
      <c r="AF1392" s="38">
        <v>6.4060000000000006E-2</v>
      </c>
      <c r="AG1392" s="38">
        <f t="shared" si="170"/>
        <v>0.1</v>
      </c>
      <c r="AH1392" s="38">
        <v>88.27</v>
      </c>
      <c r="AI1392" s="38">
        <v>0.64517999999999998</v>
      </c>
      <c r="AJ1392" s="38">
        <v>25</v>
      </c>
      <c r="AK1392" s="38">
        <v>0.182729</v>
      </c>
      <c r="AL1392" s="38">
        <v>92.97</v>
      </c>
      <c r="AM1392" s="38">
        <v>0.67952999999999997</v>
      </c>
      <c r="AN1392" s="25"/>
      <c r="AO1392" s="25">
        <f>AE1392*0.5</f>
        <v>2.0350000000000001</v>
      </c>
      <c r="AP1392" s="25">
        <f>(AD1392+AH1392+AJ1392+AL1392+AO1392)*I1392</f>
        <v>840.45454499999994</v>
      </c>
      <c r="AQ1392" s="136">
        <f>SUM(N1392:Q1392)</f>
        <v>3.8999999999999995</v>
      </c>
      <c r="AR1392" s="12">
        <f>SUM(T1392:W1392)</f>
        <v>3.9</v>
      </c>
      <c r="AS1392" s="22"/>
      <c r="AT1392" s="41"/>
      <c r="AU1392" s="41"/>
      <c r="AV1392" s="41"/>
      <c r="AW1392" s="41"/>
      <c r="AX1392" s="22"/>
      <c r="AY1392" s="22"/>
      <c r="AZ1392" s="22"/>
      <c r="BA1392" s="22"/>
      <c r="BB1392" s="22"/>
      <c r="BC1392" s="22"/>
      <c r="BD1392" s="22"/>
      <c r="BE1392" s="22"/>
      <c r="BF1392" s="22"/>
      <c r="BG1392" s="22"/>
      <c r="BH1392" s="22"/>
      <c r="BI1392" s="22"/>
      <c r="BJ1392" s="22"/>
      <c r="BK1392" s="22"/>
      <c r="BL1392" s="22"/>
      <c r="BM1392" s="22"/>
      <c r="BN1392" s="22"/>
      <c r="BO1392" s="22"/>
      <c r="BP1392" s="22"/>
      <c r="BQ1392" s="22"/>
      <c r="BR1392" s="22"/>
      <c r="BS1392" s="22"/>
      <c r="BT1392" s="22"/>
      <c r="BU1392" s="22"/>
      <c r="BV1392" s="22"/>
      <c r="BW1392" s="22"/>
      <c r="BX1392" s="22"/>
      <c r="BY1392" s="22"/>
      <c r="BZ1392" s="22"/>
      <c r="CA1392" s="22"/>
      <c r="CB1392" s="22"/>
      <c r="CC1392" s="22"/>
      <c r="CD1392" s="22"/>
      <c r="CE1392" s="22"/>
      <c r="CF1392" s="22"/>
      <c r="CG1392" s="22"/>
      <c r="CH1392" s="22"/>
      <c r="CI1392" s="22"/>
      <c r="CJ1392" s="22"/>
    </row>
    <row r="1393" spans="1:88">
      <c r="A1393" s="1">
        <v>1508</v>
      </c>
      <c r="B1393" s="34" t="s">
        <v>2069</v>
      </c>
      <c r="C1393" s="34">
        <v>413</v>
      </c>
      <c r="D1393" s="69">
        <v>347</v>
      </c>
      <c r="E1393" s="34">
        <v>200</v>
      </c>
      <c r="F1393" s="34" t="s">
        <v>2076</v>
      </c>
      <c r="G1393" s="58" t="s">
        <v>2078</v>
      </c>
      <c r="H1393" s="58" t="s">
        <v>1999</v>
      </c>
      <c r="I1393" s="35">
        <v>28.498000000000001</v>
      </c>
      <c r="J1393" s="34">
        <v>4</v>
      </c>
      <c r="K1393" s="34" t="s">
        <v>237</v>
      </c>
      <c r="L1393" s="10">
        <v>42264</v>
      </c>
      <c r="M1393" s="9" t="s">
        <v>191</v>
      </c>
      <c r="N1393" s="38">
        <v>12.275</v>
      </c>
      <c r="O1393" s="38">
        <v>6.95</v>
      </c>
      <c r="P1393" s="38">
        <v>5.3</v>
      </c>
      <c r="Q1393" s="38">
        <v>3.85</v>
      </c>
      <c r="R1393" s="38">
        <v>3.1160000000000001</v>
      </c>
      <c r="S1393" s="38">
        <f t="shared" si="168"/>
        <v>3</v>
      </c>
      <c r="T1393" s="38">
        <v>14</v>
      </c>
      <c r="U1393" s="38">
        <v>6.2249999999999996</v>
      </c>
      <c r="V1393" s="38">
        <v>5.5750000000000002</v>
      </c>
      <c r="W1393" s="38">
        <v>2.5750000000000002</v>
      </c>
      <c r="X1393" s="38">
        <v>9.8610000000000007</v>
      </c>
      <c r="Y1393" s="38">
        <f t="shared" si="169"/>
        <v>10</v>
      </c>
      <c r="Z1393" s="38">
        <v>0</v>
      </c>
      <c r="AA1393" s="38">
        <v>0</v>
      </c>
      <c r="AB1393" s="196">
        <v>28.498000000000001</v>
      </c>
      <c r="AC1393" s="38">
        <v>1.302</v>
      </c>
      <c r="AD1393" s="38">
        <v>62</v>
      </c>
      <c r="AE1393" s="38">
        <v>3.39</v>
      </c>
      <c r="AF1393" s="38">
        <f>(AD1393+AE1393*0.5)/(3.5*I1393*1000)*100</f>
        <v>6.385911793308803E-2</v>
      </c>
      <c r="AG1393" s="38">
        <f t="shared" si="170"/>
        <v>0.1</v>
      </c>
      <c r="AH1393" s="38">
        <v>0</v>
      </c>
      <c r="AI1393" s="38">
        <f>AH1393/(3.5*I1393*1000)*100</f>
        <v>0</v>
      </c>
      <c r="AJ1393" s="38">
        <v>19.13</v>
      </c>
      <c r="AK1393" s="38">
        <f>AJ1393/(3.5*I1393*1000)*100</f>
        <v>1.9179290777297651E-2</v>
      </c>
      <c r="AL1393" s="38">
        <v>0</v>
      </c>
      <c r="AM1393" s="38">
        <f>AL1393/(3.5*I1393*1000)*100</f>
        <v>0</v>
      </c>
      <c r="AN1393" s="25"/>
      <c r="AO1393" s="25">
        <f>AE1393*0.5</f>
        <v>1.6950000000000001</v>
      </c>
      <c r="AP1393" s="25">
        <f>(AD1393+AH1393+AJ1393+AL1393+AO1393)*I1393</f>
        <v>2360.3468499999999</v>
      </c>
      <c r="AQ1393" s="25">
        <f>(AD1393+AH1393+AJ1393+AL1393)*I1393</f>
        <v>2312.0427399999999</v>
      </c>
      <c r="AR1393" s="25"/>
      <c r="AS1393" s="25"/>
      <c r="AT1393" s="22"/>
      <c r="AU1393" s="275">
        <v>28.498000000000001</v>
      </c>
      <c r="AV1393" s="41">
        <f>SUM(N1393:Q1393)</f>
        <v>28.375000000000004</v>
      </c>
      <c r="AW1393" s="41">
        <f>SUM(T1393:W1393)</f>
        <v>28.375</v>
      </c>
      <c r="AX1393" s="41">
        <f>SUM(Z1393:AB1393)</f>
        <v>28.498000000000001</v>
      </c>
      <c r="AY1393" s="22"/>
      <c r="AZ1393" s="22">
        <f>I1393/AV1393</f>
        <v>1.0043348017621145</v>
      </c>
      <c r="BA1393" s="22">
        <f>I1393/AW1393</f>
        <v>1.0043348017621145</v>
      </c>
      <c r="BB1393" s="22">
        <f>I1393/AX1393</f>
        <v>1</v>
      </c>
      <c r="BC1393" s="22"/>
      <c r="BD1393" s="22"/>
      <c r="BE1393" s="22"/>
      <c r="BF1393" s="22"/>
      <c r="BG1393" s="22"/>
      <c r="BH1393" s="22"/>
      <c r="BI1393" s="22"/>
      <c r="BJ1393" s="22"/>
      <c r="BK1393" s="22"/>
      <c r="BL1393" s="22"/>
      <c r="BM1393" s="22"/>
      <c r="BN1393" s="22"/>
      <c r="BO1393" s="22"/>
      <c r="BP1393" s="22"/>
      <c r="BQ1393" s="22"/>
      <c r="BR1393" s="22"/>
      <c r="BS1393" s="22"/>
      <c r="BT1393" s="22"/>
      <c r="BU1393" s="22"/>
      <c r="BV1393" s="22"/>
      <c r="BW1393" s="22"/>
      <c r="BX1393" s="22"/>
      <c r="BY1393" s="22"/>
      <c r="BZ1393" s="22"/>
      <c r="CA1393" s="22"/>
      <c r="CB1393" s="22"/>
      <c r="CC1393" s="22"/>
      <c r="CD1393" s="22"/>
      <c r="CE1393" s="22"/>
      <c r="CF1393" s="22"/>
      <c r="CG1393" s="22"/>
      <c r="CH1393" s="22"/>
      <c r="CI1393" s="22"/>
      <c r="CJ1393" s="22"/>
    </row>
    <row r="1394" spans="1:88">
      <c r="A1394" s="1">
        <v>850</v>
      </c>
      <c r="B1394" s="34" t="s">
        <v>1231</v>
      </c>
      <c r="C1394" s="34">
        <v>615</v>
      </c>
      <c r="D1394" s="34">
        <v>2076</v>
      </c>
      <c r="E1394" s="34">
        <v>102</v>
      </c>
      <c r="F1394" s="34" t="s">
        <v>1244</v>
      </c>
      <c r="G1394" s="58">
        <v>18848</v>
      </c>
      <c r="H1394" s="58">
        <v>36513</v>
      </c>
      <c r="I1394" s="35">
        <v>17.664999999999999</v>
      </c>
      <c r="J1394" s="9">
        <v>2</v>
      </c>
      <c r="K1394" s="34" t="s">
        <v>238</v>
      </c>
      <c r="L1394" s="10">
        <v>42135</v>
      </c>
      <c r="M1394" s="9" t="s">
        <v>191</v>
      </c>
      <c r="N1394" s="38">
        <v>10.55</v>
      </c>
      <c r="O1394" s="38">
        <v>5.1749999999999998</v>
      </c>
      <c r="P1394" s="38">
        <v>1.325</v>
      </c>
      <c r="Q1394" s="38">
        <v>0.57499999999999996</v>
      </c>
      <c r="R1394" s="38">
        <v>2.6629999999999998</v>
      </c>
      <c r="S1394" s="38">
        <f t="shared" si="168"/>
        <v>2.5</v>
      </c>
      <c r="T1394" s="38">
        <v>17.05</v>
      </c>
      <c r="U1394" s="38">
        <v>0.52500000000000002</v>
      </c>
      <c r="V1394" s="38">
        <v>0.05</v>
      </c>
      <c r="W1394" s="38">
        <v>0</v>
      </c>
      <c r="X1394" s="38">
        <v>5.181</v>
      </c>
      <c r="Y1394" s="38">
        <f t="shared" si="169"/>
        <v>5</v>
      </c>
      <c r="Z1394" s="38">
        <v>0</v>
      </c>
      <c r="AA1394" s="38">
        <v>0</v>
      </c>
      <c r="AB1394" s="38">
        <f>N1394+O1394+P1394+Q1394</f>
        <v>17.625</v>
      </c>
      <c r="AC1394" s="38">
        <v>1.33</v>
      </c>
      <c r="AD1394" s="38">
        <v>21.28</v>
      </c>
      <c r="AE1394" s="38">
        <v>36.08</v>
      </c>
      <c r="AF1394" s="38">
        <v>6.3600000000000004E-2</v>
      </c>
      <c r="AG1394" s="38">
        <f t="shared" si="170"/>
        <v>0.1</v>
      </c>
      <c r="AH1394" s="38">
        <v>175.61</v>
      </c>
      <c r="AI1394" s="38">
        <v>0.28403</v>
      </c>
      <c r="AJ1394" s="38">
        <v>7.73</v>
      </c>
      <c r="AK1394" s="38">
        <v>1.2503E-2</v>
      </c>
      <c r="AL1394" s="38">
        <v>39.799999999999997</v>
      </c>
      <c r="AM1394" s="38">
        <v>6.4369999999999997E-2</v>
      </c>
      <c r="AN1394" s="25"/>
      <c r="AO1394" s="25">
        <f>AE1394*0.5</f>
        <v>18.04</v>
      </c>
      <c r="AP1394" s="25">
        <f>(AD1394+AH1394+AJ1394+AL1394+AO1394)*I1394</f>
        <v>4636.3559000000005</v>
      </c>
      <c r="AQ1394" s="25">
        <f>SUM(N1394:Q1394)</f>
        <v>17.625</v>
      </c>
      <c r="AR1394" s="25">
        <f>SUM(T1394:W1394)</f>
        <v>17.625</v>
      </c>
      <c r="AS1394" s="268">
        <v>17.664999999999999</v>
      </c>
      <c r="AT1394" s="41"/>
      <c r="AU1394" s="41"/>
      <c r="AV1394" s="41"/>
      <c r="AW1394" s="41"/>
      <c r="AX1394" s="22"/>
      <c r="AY1394" s="22"/>
      <c r="AZ1394" s="22"/>
      <c r="BA1394" s="22"/>
      <c r="BB1394" s="22"/>
      <c r="BC1394" s="22"/>
      <c r="BD1394" s="22"/>
      <c r="BE1394" s="22"/>
      <c r="BF1394" s="22"/>
      <c r="BG1394" s="22"/>
      <c r="BH1394" s="22"/>
      <c r="BI1394" s="22"/>
      <c r="BJ1394" s="22"/>
      <c r="BK1394" s="22"/>
      <c r="BL1394" s="22"/>
      <c r="BM1394" s="22"/>
      <c r="BN1394" s="22"/>
      <c r="BO1394" s="22"/>
      <c r="BP1394" s="22"/>
      <c r="BQ1394" s="22"/>
      <c r="BR1394" s="22"/>
      <c r="BS1394" s="22"/>
      <c r="BT1394" s="22"/>
      <c r="BU1394" s="22"/>
      <c r="BV1394" s="22"/>
      <c r="BW1394" s="22"/>
      <c r="BX1394" s="22"/>
      <c r="BY1394" s="22"/>
      <c r="BZ1394" s="22"/>
      <c r="CA1394" s="22"/>
      <c r="CB1394" s="22"/>
      <c r="CC1394" s="22"/>
      <c r="CD1394" s="22"/>
      <c r="CE1394" s="22"/>
      <c r="CF1394" s="22"/>
      <c r="CG1394" s="22"/>
      <c r="CH1394" s="22"/>
      <c r="CI1394" s="22"/>
      <c r="CJ1394" s="22"/>
    </row>
    <row r="1395" spans="1:88">
      <c r="A1395" s="1">
        <v>64</v>
      </c>
      <c r="B1395" s="4" t="s">
        <v>44</v>
      </c>
      <c r="C1395" s="14">
        <v>524</v>
      </c>
      <c r="D1395" s="19">
        <v>106</v>
      </c>
      <c r="E1395" s="16">
        <v>202</v>
      </c>
      <c r="F1395" s="14" t="s">
        <v>46</v>
      </c>
      <c r="G1395" s="20" t="s">
        <v>129</v>
      </c>
      <c r="H1395" s="20" t="s">
        <v>130</v>
      </c>
      <c r="I1395" s="21">
        <v>66.533000000000001</v>
      </c>
      <c r="J1395" s="8">
        <v>2</v>
      </c>
      <c r="K1395" s="9" t="s">
        <v>238</v>
      </c>
      <c r="L1395" s="18">
        <v>42228</v>
      </c>
      <c r="M1395" s="9" t="s">
        <v>191</v>
      </c>
      <c r="N1395" s="11">
        <v>37.975000000000001</v>
      </c>
      <c r="O1395" s="11">
        <v>17.25</v>
      </c>
      <c r="P1395" s="11">
        <v>8.4250000000000007</v>
      </c>
      <c r="Q1395" s="11">
        <v>3.1</v>
      </c>
      <c r="R1395" s="11">
        <v>2.62507</v>
      </c>
      <c r="S1395" s="38">
        <f t="shared" si="168"/>
        <v>2.5</v>
      </c>
      <c r="T1395" s="11">
        <v>65.875</v>
      </c>
      <c r="U1395" s="11">
        <v>0.85</v>
      </c>
      <c r="V1395" s="11">
        <v>2.5000000000000001E-2</v>
      </c>
      <c r="W1395" s="11">
        <v>0</v>
      </c>
      <c r="X1395" s="11">
        <v>2.72593</v>
      </c>
      <c r="Y1395" s="38">
        <f t="shared" si="169"/>
        <v>2.5</v>
      </c>
      <c r="Z1395" s="11">
        <v>0</v>
      </c>
      <c r="AA1395" s="11">
        <v>0</v>
      </c>
      <c r="AB1395" s="11">
        <v>66.75</v>
      </c>
      <c r="AC1395" s="11">
        <v>1.1854199999999999</v>
      </c>
      <c r="AD1395" s="11">
        <v>147.35</v>
      </c>
      <c r="AE1395" s="11">
        <v>1.05</v>
      </c>
      <c r="AF1395" s="11">
        <f>(AD1395+AE1395*0.5)/(3.5*I1395*1000)*100</f>
        <v>6.3502322155922622E-2</v>
      </c>
      <c r="AG1395" s="38">
        <f t="shared" si="170"/>
        <v>0.1</v>
      </c>
      <c r="AH1395" s="11">
        <v>15.32</v>
      </c>
      <c r="AI1395" s="11">
        <f>AH1395/(3.5*I1395*1000)*100</f>
        <v>6.5789049902196754E-3</v>
      </c>
      <c r="AJ1395" s="11">
        <v>0</v>
      </c>
      <c r="AK1395" s="11">
        <f>AJ1395/(3.5*I1395*1000)*100</f>
        <v>0</v>
      </c>
      <c r="AL1395" s="11">
        <v>2.36</v>
      </c>
      <c r="AM1395" s="11">
        <f>AL1395/(3.5*I1395*1000)*100</f>
        <v>1.0134605598510727E-3</v>
      </c>
      <c r="AN1395" s="25"/>
      <c r="AO1395" s="25"/>
      <c r="AP1395" s="22"/>
      <c r="AQ1395" s="22"/>
      <c r="AR1395" s="22"/>
      <c r="AS1395" s="22"/>
      <c r="AT1395" s="22"/>
      <c r="AU1395" s="22"/>
      <c r="AV1395" s="22"/>
      <c r="AW1395" s="22"/>
      <c r="AX1395" s="22"/>
      <c r="AY1395" s="22"/>
      <c r="AZ1395" s="22"/>
      <c r="BA1395" s="22"/>
      <c r="BB1395" s="22"/>
      <c r="BC1395" s="22"/>
      <c r="BD1395" s="22"/>
      <c r="BE1395" s="22"/>
      <c r="BF1395" s="22"/>
      <c r="BG1395" s="22"/>
      <c r="BH1395" s="22"/>
      <c r="BI1395" s="22"/>
      <c r="BJ1395" s="22"/>
      <c r="BK1395" s="22"/>
      <c r="BL1395" s="22"/>
      <c r="BM1395" s="22"/>
      <c r="BN1395" s="22"/>
      <c r="BO1395" s="22"/>
      <c r="BP1395" s="22"/>
      <c r="BQ1395" s="22"/>
      <c r="BR1395" s="22"/>
      <c r="BS1395" s="22"/>
      <c r="BT1395" s="22"/>
      <c r="BU1395" s="22"/>
      <c r="BV1395" s="22"/>
      <c r="BW1395" s="22"/>
      <c r="BX1395" s="22"/>
      <c r="BY1395" s="22"/>
      <c r="BZ1395" s="22"/>
      <c r="CA1395" s="22"/>
      <c r="CB1395" s="22"/>
      <c r="CC1395" s="22"/>
      <c r="CD1395" s="22"/>
      <c r="CE1395" s="22"/>
      <c r="CF1395" s="22"/>
      <c r="CG1395" s="22"/>
      <c r="CH1395" s="22"/>
      <c r="CI1395" s="22"/>
      <c r="CJ1395" s="22"/>
    </row>
    <row r="1396" spans="1:88">
      <c r="A1396" s="1">
        <v>1317</v>
      </c>
      <c r="B1396" s="74" t="s">
        <v>1851</v>
      </c>
      <c r="C1396" s="34">
        <v>444</v>
      </c>
      <c r="D1396" s="75">
        <v>324</v>
      </c>
      <c r="E1396" s="69">
        <v>100</v>
      </c>
      <c r="F1396" s="34" t="s">
        <v>1860</v>
      </c>
      <c r="G1396" s="20">
        <v>11000</v>
      </c>
      <c r="H1396" s="20">
        <v>2000</v>
      </c>
      <c r="I1396" s="21">
        <v>9</v>
      </c>
      <c r="J1396" s="8">
        <v>4</v>
      </c>
      <c r="K1396" s="34" t="s">
        <v>96</v>
      </c>
      <c r="L1396" s="10">
        <v>42211</v>
      </c>
      <c r="M1396" s="9" t="s">
        <v>191</v>
      </c>
      <c r="N1396" s="38">
        <v>6.125</v>
      </c>
      <c r="O1396" s="38">
        <v>1.9</v>
      </c>
      <c r="P1396" s="38">
        <v>0.7</v>
      </c>
      <c r="Q1396" s="38">
        <v>0.32500000000000001</v>
      </c>
      <c r="R1396" s="38">
        <v>2.4482599999999999</v>
      </c>
      <c r="S1396" s="38">
        <f t="shared" si="168"/>
        <v>2.5</v>
      </c>
      <c r="T1396" s="38">
        <v>8.625</v>
      </c>
      <c r="U1396" s="38">
        <v>0.4</v>
      </c>
      <c r="V1396" s="38">
        <v>2.5000000000000001E-2</v>
      </c>
      <c r="W1396" s="38">
        <v>0</v>
      </c>
      <c r="X1396" s="38">
        <v>5.1886299999999999</v>
      </c>
      <c r="Y1396" s="38">
        <f t="shared" si="169"/>
        <v>5</v>
      </c>
      <c r="Z1396" s="38">
        <v>0</v>
      </c>
      <c r="AA1396" s="38">
        <v>0</v>
      </c>
      <c r="AB1396" s="38">
        <v>9.0499999999999989</v>
      </c>
      <c r="AC1396" s="38">
        <v>1.09799</v>
      </c>
      <c r="AD1396" s="38">
        <v>20</v>
      </c>
      <c r="AE1396" s="38">
        <v>0</v>
      </c>
      <c r="AF1396" s="38">
        <v>6.3492063492063489E-2</v>
      </c>
      <c r="AG1396" s="38">
        <f t="shared" si="170"/>
        <v>0.1</v>
      </c>
      <c r="AH1396" s="38">
        <v>0</v>
      </c>
      <c r="AI1396" s="38">
        <v>0</v>
      </c>
      <c r="AJ1396" s="38">
        <v>11</v>
      </c>
      <c r="AK1396" s="38">
        <v>3.4920634920634921E-2</v>
      </c>
      <c r="AL1396" s="38">
        <v>0</v>
      </c>
      <c r="AM1396" s="38">
        <v>0</v>
      </c>
    </row>
    <row r="1397" spans="1:88">
      <c r="A1397" s="1">
        <v>1618</v>
      </c>
      <c r="B1397" s="9" t="s">
        <v>2182</v>
      </c>
      <c r="C1397" s="9">
        <v>417</v>
      </c>
      <c r="D1397" s="8">
        <v>34</v>
      </c>
      <c r="E1397" s="9">
        <v>102</v>
      </c>
      <c r="F1397" s="9" t="s">
        <v>2184</v>
      </c>
      <c r="G1397" s="20" t="s">
        <v>2186</v>
      </c>
      <c r="H1397" s="20" t="s">
        <v>2185</v>
      </c>
      <c r="I1397" s="35">
        <v>18.399999999999999</v>
      </c>
      <c r="J1397" s="9">
        <v>4</v>
      </c>
      <c r="K1397" s="9" t="s">
        <v>96</v>
      </c>
      <c r="L1397" s="18">
        <v>42241</v>
      </c>
      <c r="M1397" s="9" t="s">
        <v>191</v>
      </c>
      <c r="N1397" s="11">
        <v>8.7750000000000004</v>
      </c>
      <c r="O1397" s="11">
        <v>4.9249999999999998</v>
      </c>
      <c r="P1397" s="11">
        <v>2.6749999999999998</v>
      </c>
      <c r="Q1397" s="11">
        <v>2.125</v>
      </c>
      <c r="R1397" s="11">
        <v>3.2840400000000001</v>
      </c>
      <c r="S1397" s="38">
        <f t="shared" si="168"/>
        <v>3.5</v>
      </c>
      <c r="T1397" s="11">
        <v>17.074999999999999</v>
      </c>
      <c r="U1397" s="11">
        <v>1.35</v>
      </c>
      <c r="V1397" s="11">
        <v>7.4999999999999997E-2</v>
      </c>
      <c r="W1397" s="11">
        <v>0</v>
      </c>
      <c r="X1397" s="11">
        <v>6.2627899999999999</v>
      </c>
      <c r="Y1397" s="38">
        <f t="shared" si="169"/>
        <v>6.5</v>
      </c>
      <c r="Z1397" s="11">
        <v>0</v>
      </c>
      <c r="AA1397" s="11">
        <v>0</v>
      </c>
      <c r="AB1397" s="11">
        <f>SUM(N1397:Q1397)</f>
        <v>18.5</v>
      </c>
      <c r="AC1397" s="11">
        <v>1.23394</v>
      </c>
      <c r="AD1397" s="11">
        <v>26.45</v>
      </c>
      <c r="AE1397" s="11">
        <v>28.86</v>
      </c>
      <c r="AF1397" s="11">
        <f>(AD1397+AE1397*0.5)/(3.5*I1397*1000)*100</f>
        <v>6.347826086956522E-2</v>
      </c>
      <c r="AG1397" s="38">
        <f t="shared" si="170"/>
        <v>0.1</v>
      </c>
      <c r="AH1397" s="11">
        <v>56.59</v>
      </c>
      <c r="AI1397" s="11">
        <f>AH1397/(3.5*I1397*1000)*100</f>
        <v>8.7872670807453437E-2</v>
      </c>
      <c r="AJ1397" s="11">
        <v>17.489999999999998</v>
      </c>
      <c r="AK1397" s="38">
        <f>AJ1397/(3.5*I1397*1000)*100</f>
        <v>2.7158385093167699E-2</v>
      </c>
      <c r="AL1397" s="11">
        <v>12.89</v>
      </c>
      <c r="AM1397" s="38">
        <f>AL1397/(3.5*I1397*1000)*100</f>
        <v>2.0015527950310561E-2</v>
      </c>
      <c r="AN1397" s="25">
        <f>IF(G1397=G1398,1,0)</f>
        <v>0</v>
      </c>
      <c r="AO1397" s="25">
        <f>AE1397*0.5</f>
        <v>14.43</v>
      </c>
      <c r="AP1397" s="25">
        <f>(AD1397+AH1397+AJ1397+AL1397+AO1397)*I1397</f>
        <v>2352.4399999999996</v>
      </c>
      <c r="AQ1397" s="25">
        <f>(AD1397+AH1397+AJ1397+AL1397)*I1397</f>
        <v>2086.9279999999999</v>
      </c>
      <c r="AR1397" s="25">
        <f>SUM(N1397:Q1397)</f>
        <v>18.5</v>
      </c>
      <c r="AS1397" s="25">
        <f>SUM(T1397:W1397)</f>
        <v>18.5</v>
      </c>
      <c r="AT1397" s="22"/>
      <c r="AU1397" s="41"/>
      <c r="AV1397" s="275">
        <v>18.399999999999999</v>
      </c>
      <c r="AW1397" s="41"/>
      <c r="AX1397" s="41"/>
      <c r="AY1397" s="22"/>
      <c r="AZ1397" s="22"/>
      <c r="BA1397" s="22"/>
      <c r="BB1397" s="22"/>
      <c r="BC1397" s="22"/>
      <c r="BD1397" s="22"/>
      <c r="BE1397" s="22"/>
      <c r="BF1397" s="22"/>
      <c r="BG1397" s="22"/>
      <c r="BH1397" s="22"/>
      <c r="BI1397" s="22"/>
      <c r="BJ1397" s="22"/>
      <c r="BK1397" s="22"/>
      <c r="BL1397" s="22"/>
      <c r="BM1397" s="22"/>
      <c r="BN1397" s="22"/>
      <c r="BO1397" s="22"/>
      <c r="BP1397" s="22"/>
      <c r="BQ1397" s="22"/>
      <c r="BR1397" s="22"/>
      <c r="BS1397" s="22"/>
      <c r="BT1397" s="22"/>
      <c r="BU1397" s="22"/>
      <c r="BV1397" s="22"/>
      <c r="BW1397" s="22"/>
      <c r="BX1397" s="22"/>
      <c r="BY1397" s="22"/>
      <c r="BZ1397" s="22"/>
      <c r="CA1397" s="22"/>
      <c r="CB1397" s="22"/>
      <c r="CC1397" s="22"/>
      <c r="CD1397" s="22"/>
      <c r="CE1397" s="22"/>
      <c r="CF1397" s="22"/>
      <c r="CG1397" s="22"/>
      <c r="CH1397" s="22"/>
      <c r="CI1397" s="22"/>
      <c r="CJ1397" s="22"/>
    </row>
    <row r="1398" spans="1:88">
      <c r="A1398" s="1">
        <v>543</v>
      </c>
      <c r="B1398" s="34" t="s">
        <v>915</v>
      </c>
      <c r="C1398" s="34">
        <v>558</v>
      </c>
      <c r="D1398" s="34">
        <v>1339</v>
      </c>
      <c r="E1398" s="34">
        <v>101</v>
      </c>
      <c r="F1398" s="34" t="s">
        <v>939</v>
      </c>
      <c r="G1398" s="34" t="s">
        <v>92</v>
      </c>
      <c r="H1398" s="34" t="s">
        <v>940</v>
      </c>
      <c r="I1398" s="34">
        <v>46.862000000000002</v>
      </c>
      <c r="J1398" s="34" t="s">
        <v>238</v>
      </c>
      <c r="K1398" s="34">
        <v>2</v>
      </c>
      <c r="L1398" s="10">
        <v>42273</v>
      </c>
      <c r="M1398" s="9" t="s">
        <v>191</v>
      </c>
      <c r="N1398" s="38">
        <v>6.7750000000000004</v>
      </c>
      <c r="O1398" s="38">
        <v>14.55</v>
      </c>
      <c r="P1398" s="38">
        <v>17.100000000000001</v>
      </c>
      <c r="Q1398" s="38">
        <v>7.85</v>
      </c>
      <c r="R1398" s="38">
        <v>3.8839700000000001</v>
      </c>
      <c r="S1398" s="38">
        <f t="shared" si="168"/>
        <v>4</v>
      </c>
      <c r="T1398" s="38">
        <v>38.825000000000003</v>
      </c>
      <c r="U1398" s="38">
        <v>3.8</v>
      </c>
      <c r="V1398" s="38">
        <v>1.25</v>
      </c>
      <c r="W1398" s="38">
        <v>2.4</v>
      </c>
      <c r="X1398" s="38">
        <v>6.70974</v>
      </c>
      <c r="Y1398" s="38">
        <f t="shared" si="169"/>
        <v>6.5</v>
      </c>
      <c r="Z1398" s="38">
        <v>0</v>
      </c>
      <c r="AA1398" s="38">
        <v>2.5000000000000001E-2</v>
      </c>
      <c r="AB1398" s="38">
        <v>46.25</v>
      </c>
      <c r="AC1398" s="38">
        <v>1.3914899999999999</v>
      </c>
      <c r="AD1398" s="38">
        <v>95.313999999999993</v>
      </c>
      <c r="AE1398" s="38">
        <v>17.457999999999998</v>
      </c>
      <c r="AF1398" s="38">
        <v>6.3434000000000004E-2</v>
      </c>
      <c r="AG1398" s="38">
        <f t="shared" si="170"/>
        <v>0.1</v>
      </c>
      <c r="AH1398" s="38">
        <v>54.97</v>
      </c>
      <c r="AI1398" s="38">
        <v>3.3515000000000003E-2</v>
      </c>
      <c r="AJ1398" s="38">
        <v>0</v>
      </c>
      <c r="AK1398" s="38">
        <v>0</v>
      </c>
      <c r="AL1398" s="38">
        <v>0</v>
      </c>
      <c r="AM1398" s="38">
        <v>0</v>
      </c>
      <c r="AN1398" s="41"/>
      <c r="AO1398" s="41"/>
      <c r="AP1398" s="73"/>
      <c r="AQ1398" s="73"/>
      <c r="AR1398" s="22"/>
      <c r="AS1398" s="22"/>
      <c r="AT1398" s="22"/>
      <c r="AU1398" s="22"/>
      <c r="AV1398" s="22"/>
      <c r="AW1398" s="22"/>
      <c r="AX1398" s="22"/>
      <c r="AY1398" s="22"/>
      <c r="AZ1398" s="22"/>
      <c r="BA1398" s="22"/>
      <c r="BB1398" s="22"/>
      <c r="BC1398" s="22"/>
      <c r="BD1398" s="22"/>
      <c r="BE1398" s="22"/>
      <c r="BF1398" s="22"/>
      <c r="BG1398" s="22"/>
      <c r="BH1398" s="22"/>
      <c r="BI1398" s="22"/>
      <c r="BJ1398" s="22"/>
      <c r="BK1398" s="22"/>
      <c r="BL1398" s="22"/>
      <c r="BM1398" s="22"/>
      <c r="BN1398" s="22"/>
      <c r="BO1398" s="22"/>
      <c r="BP1398" s="22"/>
      <c r="BQ1398" s="22"/>
      <c r="BR1398" s="22"/>
      <c r="BS1398" s="22"/>
      <c r="BT1398" s="22"/>
      <c r="BU1398" s="22"/>
      <c r="BV1398" s="22"/>
      <c r="BW1398" s="22"/>
      <c r="BX1398" s="22"/>
      <c r="BY1398" s="22"/>
      <c r="BZ1398" s="22"/>
      <c r="CA1398" s="22"/>
      <c r="CB1398" s="22"/>
      <c r="CC1398" s="22"/>
      <c r="CD1398" s="22"/>
      <c r="CE1398" s="22"/>
      <c r="CF1398" s="22"/>
      <c r="CG1398" s="22"/>
      <c r="CH1398" s="22"/>
      <c r="CI1398" s="22"/>
      <c r="CJ1398" s="22"/>
    </row>
    <row r="1399" spans="1:88">
      <c r="A1399" s="1">
        <v>772</v>
      </c>
      <c r="B1399" s="34" t="s">
        <v>1149</v>
      </c>
      <c r="C1399" s="34">
        <v>622</v>
      </c>
      <c r="D1399" s="8">
        <v>2300</v>
      </c>
      <c r="E1399" s="34">
        <v>100</v>
      </c>
      <c r="F1399" s="34" t="s">
        <v>1164</v>
      </c>
      <c r="G1399" s="58">
        <v>0</v>
      </c>
      <c r="H1399" s="58">
        <v>29570</v>
      </c>
      <c r="I1399" s="35">
        <v>29.57</v>
      </c>
      <c r="J1399" s="9">
        <v>2</v>
      </c>
      <c r="K1399" s="34" t="s">
        <v>238</v>
      </c>
      <c r="L1399" s="10">
        <v>42152</v>
      </c>
      <c r="M1399" s="9" t="s">
        <v>191</v>
      </c>
      <c r="N1399" s="38">
        <v>25.774999999999999</v>
      </c>
      <c r="O1399" s="38">
        <v>2.95</v>
      </c>
      <c r="P1399" s="38">
        <v>0.92500000000000004</v>
      </c>
      <c r="Q1399" s="38">
        <v>0.55000000000000004</v>
      </c>
      <c r="R1399" s="38">
        <v>2.0296400000000001</v>
      </c>
      <c r="S1399" s="38">
        <f t="shared" si="168"/>
        <v>2</v>
      </c>
      <c r="T1399" s="38">
        <v>28.93</v>
      </c>
      <c r="U1399" s="38">
        <v>0.47</v>
      </c>
      <c r="V1399" s="38">
        <v>0.13</v>
      </c>
      <c r="W1399" s="38">
        <v>0.05</v>
      </c>
      <c r="X1399" s="38">
        <v>3.5362399999999998</v>
      </c>
      <c r="Y1399" s="38">
        <f t="shared" si="169"/>
        <v>3.5</v>
      </c>
      <c r="Z1399" s="38">
        <v>0</v>
      </c>
      <c r="AA1399" s="38">
        <v>0</v>
      </c>
      <c r="AB1399" s="38">
        <v>29.57</v>
      </c>
      <c r="AC1399" s="38">
        <v>1.2396</v>
      </c>
      <c r="AD1399" s="38">
        <v>53</v>
      </c>
      <c r="AE1399" s="38">
        <v>25</v>
      </c>
      <c r="AF1399" s="38">
        <f>(AD1399+AE1399*0.5)/(3.5*I1399*1000)*100</f>
        <v>6.3288081549833328E-2</v>
      </c>
      <c r="AG1399" s="38">
        <f t="shared" si="170"/>
        <v>0.1</v>
      </c>
      <c r="AH1399" s="38">
        <v>164</v>
      </c>
      <c r="AI1399" s="38">
        <f>AH1399/(3.5*I1399*1000)*100</f>
        <v>0.15846176143775062</v>
      </c>
      <c r="AJ1399" s="38">
        <v>28</v>
      </c>
      <c r="AK1399" s="38">
        <f>AJ1399/(3.5*I1399*1000)*100</f>
        <v>2.7054447074737913E-2</v>
      </c>
      <c r="AL1399" s="38">
        <v>16</v>
      </c>
      <c r="AM1399" s="38">
        <f>AL1399/(3.5*I1399*1000)*100</f>
        <v>1.5459684042707379E-2</v>
      </c>
      <c r="AN1399" s="25"/>
      <c r="AO1399" s="25">
        <f>AE1399*0.5</f>
        <v>12.5</v>
      </c>
      <c r="AP1399" s="25">
        <f>(AD1399+AH1399+AJ1399+AL1399+AO1399)*I1399</f>
        <v>8087.3950000000004</v>
      </c>
      <c r="AQ1399" s="25">
        <f>SUM(N1399:Q1399)</f>
        <v>30.2</v>
      </c>
      <c r="AR1399" s="25">
        <f>SUM(T1399:W1399)</f>
        <v>29.58</v>
      </c>
      <c r="AS1399" s="268">
        <v>29.57</v>
      </c>
      <c r="AT1399" s="41"/>
      <c r="AU1399" s="41">
        <f>SUM(N1399:Q1399)</f>
        <v>30.2</v>
      </c>
      <c r="AV1399" s="41">
        <f>SUM(T1399:W1399)</f>
        <v>29.58</v>
      </c>
      <c r="AW1399" s="41">
        <f>SUM(Z1399:AB1399)</f>
        <v>29.57</v>
      </c>
      <c r="AX1399" s="22"/>
      <c r="AY1399" s="22">
        <f>I1399/AU1399</f>
        <v>0.9791390728476822</v>
      </c>
      <c r="AZ1399" s="22">
        <f>I1399/AV1399</f>
        <v>0.99966193373901291</v>
      </c>
      <c r="BA1399" s="22">
        <f>I1399/AW1399</f>
        <v>1</v>
      </c>
      <c r="BB1399" s="22"/>
      <c r="BC1399" s="22"/>
      <c r="BD1399" s="22"/>
      <c r="BE1399" s="22"/>
      <c r="BF1399" s="22"/>
      <c r="BG1399" s="22"/>
      <c r="BH1399" s="22"/>
      <c r="BI1399" s="22"/>
      <c r="BJ1399" s="22"/>
      <c r="BK1399" s="22"/>
      <c r="BL1399" s="22"/>
      <c r="BM1399" s="22"/>
      <c r="BN1399" s="22"/>
      <c r="BO1399" s="22"/>
      <c r="BP1399" s="22"/>
      <c r="BQ1399" s="22"/>
      <c r="BR1399" s="22"/>
      <c r="BS1399" s="22"/>
      <c r="BT1399" s="22"/>
      <c r="BU1399" s="22"/>
      <c r="BV1399" s="22"/>
      <c r="BW1399" s="22"/>
      <c r="BX1399" s="22"/>
      <c r="BY1399" s="22"/>
      <c r="BZ1399" s="22"/>
      <c r="CA1399" s="22"/>
      <c r="CB1399" s="22"/>
      <c r="CC1399" s="22"/>
      <c r="CD1399" s="22"/>
      <c r="CE1399" s="22"/>
      <c r="CF1399" s="22"/>
      <c r="CG1399" s="22"/>
      <c r="CH1399" s="22"/>
      <c r="CI1399" s="22"/>
      <c r="CJ1399" s="22"/>
    </row>
    <row r="1400" spans="1:88">
      <c r="A1400" s="1">
        <v>1687</v>
      </c>
      <c r="B1400" s="34" t="s">
        <v>2279</v>
      </c>
      <c r="C1400" s="34">
        <v>421</v>
      </c>
      <c r="D1400" s="8">
        <v>3076</v>
      </c>
      <c r="E1400" s="34">
        <v>301</v>
      </c>
      <c r="F1400" s="34" t="s">
        <v>2287</v>
      </c>
      <c r="G1400" s="58">
        <v>43521</v>
      </c>
      <c r="H1400" s="58">
        <v>58921</v>
      </c>
      <c r="I1400" s="35">
        <v>15.4</v>
      </c>
      <c r="J1400" s="9">
        <v>2</v>
      </c>
      <c r="K1400" s="34" t="s">
        <v>238</v>
      </c>
      <c r="L1400" s="10">
        <v>42226</v>
      </c>
      <c r="M1400" s="9" t="s">
        <v>191</v>
      </c>
      <c r="N1400" s="38">
        <v>12.43</v>
      </c>
      <c r="O1400" s="38">
        <v>1.9</v>
      </c>
      <c r="P1400" s="38">
        <v>0.77500000000000002</v>
      </c>
      <c r="Q1400" s="38">
        <v>0.27500000000000002</v>
      </c>
      <c r="R1400" s="38">
        <v>2.4900899999999999</v>
      </c>
      <c r="S1400" s="38">
        <f t="shared" si="168"/>
        <v>2.5</v>
      </c>
      <c r="T1400" s="38">
        <v>7.9</v>
      </c>
      <c r="U1400" s="38">
        <v>4.7249999999999996</v>
      </c>
      <c r="V1400" s="38">
        <v>1.675</v>
      </c>
      <c r="W1400" s="38">
        <v>1.075</v>
      </c>
      <c r="X1400" s="38">
        <v>9.3908799999999992</v>
      </c>
      <c r="Y1400" s="38">
        <f t="shared" si="169"/>
        <v>9.5</v>
      </c>
      <c r="Z1400" s="38">
        <v>0</v>
      </c>
      <c r="AA1400" s="38">
        <v>0</v>
      </c>
      <c r="AB1400" s="38">
        <v>15.4</v>
      </c>
      <c r="AC1400" s="38">
        <v>1.17178</v>
      </c>
      <c r="AD1400" s="38">
        <v>26.77</v>
      </c>
      <c r="AE1400" s="38">
        <v>14.36</v>
      </c>
      <c r="AF1400" s="38">
        <f>(AD1400+AE1400*0.5)/(3.5*I1400*1000)*100</f>
        <v>6.2987012987012994E-2</v>
      </c>
      <c r="AG1400" s="38">
        <f t="shared" si="170"/>
        <v>0.1</v>
      </c>
      <c r="AH1400" s="38">
        <v>0</v>
      </c>
      <c r="AI1400" s="38">
        <f>AH1400/(3.5*I1400*1000)*100</f>
        <v>0</v>
      </c>
      <c r="AJ1400" s="38">
        <v>107</v>
      </c>
      <c r="AK1400" s="38">
        <f>AJ1400/(3.5*I1400*1000)*100</f>
        <v>0.19851576994434136</v>
      </c>
      <c r="AL1400" s="38">
        <v>0</v>
      </c>
      <c r="AM1400" s="38">
        <f>AL1400/(3.5*I1400*1000)*100</f>
        <v>0</v>
      </c>
      <c r="AN1400" s="25"/>
      <c r="AO1400" s="25">
        <f>AE1400*0.5</f>
        <v>7.18</v>
      </c>
      <c r="AP1400" s="25">
        <f>(AD1400+AH1400+AJ1400+AL1400+AO1400)*I1400</f>
        <v>2170.63</v>
      </c>
      <c r="AQ1400" s="25">
        <f>SUM(N1400:Q1400)</f>
        <v>15.38</v>
      </c>
      <c r="AR1400" s="25">
        <f>SUM(T1400:W1400)</f>
        <v>15.375</v>
      </c>
      <c r="AS1400" s="22"/>
      <c r="AT1400" s="41"/>
      <c r="AU1400" s="41"/>
      <c r="AV1400" s="41"/>
      <c r="AW1400" s="41"/>
      <c r="AX1400" s="22"/>
      <c r="AY1400" s="22"/>
      <c r="AZ1400" s="22"/>
      <c r="BA1400" s="22"/>
      <c r="BB1400" s="22"/>
      <c r="BC1400" s="22"/>
      <c r="BD1400" s="22"/>
      <c r="BE1400" s="22"/>
      <c r="BF1400" s="22"/>
      <c r="BG1400" s="22"/>
      <c r="BH1400" s="22"/>
      <c r="BI1400" s="22"/>
      <c r="BJ1400" s="22"/>
      <c r="BK1400" s="22"/>
      <c r="BL1400" s="22"/>
      <c r="BM1400" s="22"/>
      <c r="BN1400" s="22"/>
      <c r="BO1400" s="22"/>
      <c r="BP1400" s="22"/>
      <c r="BQ1400" s="22"/>
      <c r="BR1400" s="22"/>
      <c r="BS1400" s="22"/>
      <c r="BT1400" s="22"/>
      <c r="BU1400" s="22"/>
      <c r="BV1400" s="22"/>
      <c r="BW1400" s="22"/>
      <c r="BX1400" s="22"/>
      <c r="BY1400" s="22"/>
      <c r="BZ1400" s="22"/>
      <c r="CA1400" s="22"/>
      <c r="CB1400" s="22"/>
      <c r="CC1400" s="22"/>
      <c r="CD1400" s="22"/>
      <c r="CE1400" s="22"/>
      <c r="CF1400" s="22"/>
      <c r="CG1400" s="22"/>
      <c r="CH1400" s="22"/>
      <c r="CI1400" s="22"/>
      <c r="CJ1400" s="22"/>
    </row>
    <row r="1401" spans="1:88">
      <c r="A1401" s="1">
        <v>544</v>
      </c>
      <c r="B1401" s="34" t="s">
        <v>915</v>
      </c>
      <c r="C1401" s="34">
        <v>558</v>
      </c>
      <c r="D1401" s="34">
        <v>1339</v>
      </c>
      <c r="E1401" s="34">
        <v>102</v>
      </c>
      <c r="F1401" s="34" t="s">
        <v>941</v>
      </c>
      <c r="G1401" s="34" t="s">
        <v>942</v>
      </c>
      <c r="H1401" s="34" t="s">
        <v>943</v>
      </c>
      <c r="I1401" s="34">
        <v>52.582999999999998</v>
      </c>
      <c r="J1401" s="34" t="s">
        <v>238</v>
      </c>
      <c r="K1401" s="34">
        <v>2</v>
      </c>
      <c r="L1401" s="10">
        <v>42272</v>
      </c>
      <c r="M1401" s="9" t="s">
        <v>191</v>
      </c>
      <c r="N1401" s="38">
        <v>14.4</v>
      </c>
      <c r="O1401" s="38">
        <v>20.149999999999999</v>
      </c>
      <c r="P1401" s="38">
        <v>12.5</v>
      </c>
      <c r="Q1401" s="38">
        <v>5.25</v>
      </c>
      <c r="R1401" s="38">
        <v>3.3586399999999998</v>
      </c>
      <c r="S1401" s="38">
        <f t="shared" si="168"/>
        <v>3.5</v>
      </c>
      <c r="T1401" s="38">
        <v>51.05</v>
      </c>
      <c r="U1401" s="38">
        <v>0.97499999999999998</v>
      </c>
      <c r="V1401" s="38">
        <v>0.25</v>
      </c>
      <c r="W1401" s="38">
        <v>2.5000000000000001E-2</v>
      </c>
      <c r="X1401" s="38">
        <v>3.6347200000000002</v>
      </c>
      <c r="Y1401" s="38">
        <f t="shared" si="169"/>
        <v>3.5</v>
      </c>
      <c r="Z1401" s="38">
        <v>0</v>
      </c>
      <c r="AA1401" s="38">
        <v>0</v>
      </c>
      <c r="AB1401" s="38">
        <v>52.3</v>
      </c>
      <c r="AC1401" s="38">
        <v>1.5304599999999999</v>
      </c>
      <c r="AD1401" s="38">
        <v>114.456</v>
      </c>
      <c r="AE1401" s="38">
        <v>2.34</v>
      </c>
      <c r="AF1401" s="38">
        <v>6.2826000000000007E-2</v>
      </c>
      <c r="AG1401" s="38">
        <f t="shared" si="170"/>
        <v>0.1</v>
      </c>
      <c r="AH1401" s="38">
        <v>69.498000000000005</v>
      </c>
      <c r="AI1401" s="38">
        <v>3.7761999999999997E-2</v>
      </c>
      <c r="AJ1401" s="38">
        <v>0</v>
      </c>
      <c r="AK1401" s="38">
        <v>0</v>
      </c>
      <c r="AL1401" s="38">
        <v>0.78</v>
      </c>
      <c r="AM1401" s="38">
        <v>4.2400000000000001E-4</v>
      </c>
      <c r="AN1401" s="41"/>
      <c r="AO1401" s="41"/>
      <c r="AP1401" s="73"/>
      <c r="AQ1401" s="73"/>
      <c r="AR1401" s="22"/>
      <c r="AS1401" s="22"/>
      <c r="AT1401" s="22"/>
      <c r="AU1401" s="22"/>
      <c r="AV1401" s="22"/>
      <c r="AW1401" s="22"/>
      <c r="AX1401" s="22"/>
      <c r="AY1401" s="22"/>
      <c r="AZ1401" s="22"/>
      <c r="BA1401" s="22"/>
      <c r="BB1401" s="22"/>
      <c r="BC1401" s="22"/>
      <c r="BD1401" s="22"/>
      <c r="BE1401" s="22"/>
      <c r="BF1401" s="22"/>
      <c r="BG1401" s="22"/>
      <c r="BH1401" s="22"/>
      <c r="BI1401" s="22"/>
      <c r="BJ1401" s="22"/>
      <c r="BK1401" s="22"/>
      <c r="BL1401" s="22"/>
      <c r="BM1401" s="22"/>
      <c r="BN1401" s="22"/>
      <c r="BO1401" s="22"/>
      <c r="BP1401" s="22"/>
      <c r="BQ1401" s="22"/>
      <c r="BR1401" s="22"/>
      <c r="BS1401" s="22"/>
      <c r="BT1401" s="22"/>
      <c r="BU1401" s="22"/>
      <c r="BV1401" s="22"/>
      <c r="BW1401" s="22"/>
      <c r="BX1401" s="22"/>
      <c r="BY1401" s="22"/>
      <c r="BZ1401" s="22"/>
      <c r="CA1401" s="22"/>
      <c r="CB1401" s="22"/>
      <c r="CC1401" s="22"/>
      <c r="CD1401" s="22"/>
      <c r="CE1401" s="22"/>
      <c r="CF1401" s="22"/>
      <c r="CG1401" s="22"/>
      <c r="CH1401" s="22"/>
      <c r="CI1401" s="22"/>
      <c r="CJ1401" s="22"/>
    </row>
    <row r="1402" spans="1:88">
      <c r="A1402" s="1">
        <v>58</v>
      </c>
      <c r="B1402" s="4" t="s">
        <v>37</v>
      </c>
      <c r="C1402" s="14">
        <v>523</v>
      </c>
      <c r="D1402" s="19">
        <v>1348</v>
      </c>
      <c r="E1402" s="16">
        <v>100</v>
      </c>
      <c r="F1402" s="14" t="s">
        <v>124</v>
      </c>
      <c r="G1402" s="20" t="s">
        <v>111</v>
      </c>
      <c r="H1402" s="20" t="s">
        <v>92</v>
      </c>
      <c r="I1402" s="8">
        <v>17.213000000000001</v>
      </c>
      <c r="J1402" s="8">
        <v>4</v>
      </c>
      <c r="K1402" s="9" t="s">
        <v>96</v>
      </c>
      <c r="L1402" s="18">
        <v>42222</v>
      </c>
      <c r="M1402" s="9" t="s">
        <v>191</v>
      </c>
      <c r="N1402" s="26">
        <v>10.3</v>
      </c>
      <c r="O1402" s="26">
        <v>3.9750000000000001</v>
      </c>
      <c r="P1402" s="26">
        <v>1.75</v>
      </c>
      <c r="Q1402" s="26">
        <v>1.2250000000000001</v>
      </c>
      <c r="R1402" s="26">
        <v>2.6710400000000001</v>
      </c>
      <c r="S1402" s="38">
        <f t="shared" si="168"/>
        <v>2.5</v>
      </c>
      <c r="T1402" s="26">
        <v>15.3</v>
      </c>
      <c r="U1402" s="26">
        <v>1.35</v>
      </c>
      <c r="V1402" s="26">
        <v>0.5</v>
      </c>
      <c r="W1402" s="26">
        <v>0.1</v>
      </c>
      <c r="X1402" s="26">
        <v>5.8779399999999997</v>
      </c>
      <c r="Y1402" s="38">
        <f t="shared" si="169"/>
        <v>6</v>
      </c>
      <c r="Z1402" s="26">
        <v>0</v>
      </c>
      <c r="AA1402" s="26">
        <v>0</v>
      </c>
      <c r="AB1402" s="26">
        <f>SUM(N1402:Q1402)</f>
        <v>17.25</v>
      </c>
      <c r="AC1402" s="26">
        <v>1.1050899999999999</v>
      </c>
      <c r="AD1402" s="26">
        <v>32.4</v>
      </c>
      <c r="AE1402" s="26">
        <v>10.81</v>
      </c>
      <c r="AF1402" s="26">
        <f>(AD1402+AE1402*0.5)/(3.5*I1402*1000)*100</f>
        <v>6.2751574806417063E-2</v>
      </c>
      <c r="AG1402" s="38">
        <f t="shared" si="170"/>
        <v>0.1</v>
      </c>
      <c r="AH1402" s="26">
        <v>262.89</v>
      </c>
      <c r="AI1402" s="26">
        <f>AH1402/(3.5*I1402*1000)*100</f>
        <v>0.43636454175000616</v>
      </c>
      <c r="AJ1402" s="26">
        <v>88</v>
      </c>
      <c r="AK1402" s="26">
        <f>AJ1402/(3.5*I1402*1000)*100</f>
        <v>0.14606900100422437</v>
      </c>
      <c r="AL1402" s="26">
        <v>2.23</v>
      </c>
      <c r="AM1402" s="26">
        <f>AL1402/(3.5*I1402*1000)*100</f>
        <v>3.7015212754479584E-3</v>
      </c>
      <c r="AN1402" s="22"/>
      <c r="AO1402" s="25"/>
      <c r="AP1402" s="25"/>
      <c r="AQ1402" s="22"/>
      <c r="AR1402" s="22"/>
      <c r="AS1402" s="22"/>
      <c r="AT1402" s="22"/>
      <c r="AU1402" s="22"/>
      <c r="AV1402" s="22"/>
      <c r="AW1402" s="22"/>
      <c r="AX1402" s="22"/>
      <c r="AY1402" s="22"/>
      <c r="AZ1402" s="22"/>
      <c r="BA1402" s="22"/>
      <c r="BB1402" s="22"/>
      <c r="BC1402" s="22"/>
      <c r="BD1402" s="22"/>
      <c r="BE1402" s="22"/>
      <c r="BF1402" s="22"/>
      <c r="BG1402" s="22"/>
      <c r="BH1402" s="22"/>
      <c r="BI1402" s="22"/>
      <c r="BJ1402" s="22"/>
      <c r="BK1402" s="22"/>
      <c r="BL1402" s="22"/>
      <c r="BM1402" s="22"/>
      <c r="BN1402" s="22"/>
      <c r="BO1402" s="22"/>
      <c r="BP1402" s="22"/>
      <c r="BQ1402" s="22"/>
      <c r="BR1402" s="22"/>
      <c r="BS1402" s="22"/>
      <c r="BT1402" s="22"/>
      <c r="BU1402" s="22"/>
      <c r="BV1402" s="22"/>
      <c r="BW1402" s="22"/>
      <c r="BX1402" s="22"/>
      <c r="BY1402" s="22"/>
      <c r="BZ1402" s="22"/>
      <c r="CA1402" s="22"/>
      <c r="CB1402" s="22"/>
      <c r="CC1402" s="22"/>
      <c r="CD1402" s="22"/>
      <c r="CE1402" s="22"/>
      <c r="CF1402" s="22"/>
      <c r="CG1402" s="22"/>
      <c r="CH1402" s="22"/>
      <c r="CI1402" s="22"/>
      <c r="CJ1402" s="22"/>
    </row>
    <row r="1403" spans="1:88" s="22" customFormat="1">
      <c r="A1403" s="1">
        <v>396</v>
      </c>
      <c r="B1403" s="74" t="s">
        <v>655</v>
      </c>
      <c r="C1403" s="34">
        <v>511</v>
      </c>
      <c r="D1403" s="75">
        <v>126</v>
      </c>
      <c r="E1403" s="69">
        <v>100</v>
      </c>
      <c r="F1403" s="34" t="s">
        <v>661</v>
      </c>
      <c r="G1403" s="20" t="s">
        <v>92</v>
      </c>
      <c r="H1403" s="20" t="s">
        <v>662</v>
      </c>
      <c r="I1403" s="21">
        <v>21.297000000000001</v>
      </c>
      <c r="J1403" s="8" t="s">
        <v>237</v>
      </c>
      <c r="K1403" s="34">
        <v>4</v>
      </c>
      <c r="L1403" s="18">
        <v>42265</v>
      </c>
      <c r="M1403" s="9" t="s">
        <v>191</v>
      </c>
      <c r="N1403" s="38">
        <v>14.26</v>
      </c>
      <c r="O1403" s="38">
        <v>3.19</v>
      </c>
      <c r="P1403" s="38">
        <v>2.19</v>
      </c>
      <c r="Q1403" s="38">
        <v>1.66</v>
      </c>
      <c r="R1403" s="38">
        <v>2.51539</v>
      </c>
      <c r="S1403" s="38">
        <f t="shared" si="168"/>
        <v>2.5</v>
      </c>
      <c r="T1403" s="38">
        <v>19.760000000000002</v>
      </c>
      <c r="U1403" s="38">
        <v>1.1200000000000001</v>
      </c>
      <c r="V1403" s="38">
        <v>0.41</v>
      </c>
      <c r="W1403" s="38">
        <v>0</v>
      </c>
      <c r="X1403" s="38">
        <v>4.4261400000000002</v>
      </c>
      <c r="Y1403" s="38">
        <f t="shared" si="169"/>
        <v>4.5</v>
      </c>
      <c r="Z1403" s="38">
        <v>0</v>
      </c>
      <c r="AA1403" s="38">
        <v>0</v>
      </c>
      <c r="AB1403" s="38">
        <v>21.3</v>
      </c>
      <c r="AC1403" s="38">
        <v>1.1972499999999999</v>
      </c>
      <c r="AD1403" s="38">
        <v>12.3</v>
      </c>
      <c r="AE1403" s="38">
        <v>14.581</v>
      </c>
      <c r="AF1403" s="38">
        <v>6.2375E-2</v>
      </c>
      <c r="AG1403" s="38">
        <f t="shared" si="170"/>
        <v>0.1</v>
      </c>
      <c r="AH1403" s="38">
        <v>23.654</v>
      </c>
      <c r="AI1403" s="38">
        <v>7.5313000000000005E-2</v>
      </c>
      <c r="AJ1403" s="38">
        <v>1.59</v>
      </c>
      <c r="AK1403" s="38">
        <v>5.0619999999999997E-3</v>
      </c>
      <c r="AL1403" s="38">
        <v>0</v>
      </c>
      <c r="AM1403" s="38">
        <v>0</v>
      </c>
      <c r="AN1403" s="72"/>
      <c r="AO1403" s="41"/>
      <c r="AP1403" s="41"/>
      <c r="AQ1403" s="41">
        <f>SUM(N1403:Q1403)</f>
        <v>21.3</v>
      </c>
      <c r="AR1403" s="41">
        <f>SUM(T1403:W1403)</f>
        <v>21.290000000000003</v>
      </c>
      <c r="AS1403" s="41">
        <f>SUM(Z1403:AB1403)</f>
        <v>21.3</v>
      </c>
      <c r="AU1403" s="22">
        <f>I1403/AQ1403</f>
        <v>0.99985915492957744</v>
      </c>
      <c r="AV1403" s="22">
        <f>I1403/AR1403</f>
        <v>1.0003287928604978</v>
      </c>
      <c r="AW1403" s="22">
        <f>I1403/AS1403</f>
        <v>0.99985915492957744</v>
      </c>
    </row>
    <row r="1404" spans="1:88" s="22" customFormat="1">
      <c r="A1404" s="1">
        <v>436</v>
      </c>
      <c r="B1404" s="74" t="s">
        <v>699</v>
      </c>
      <c r="C1404" s="34">
        <v>513</v>
      </c>
      <c r="D1404" s="75">
        <v>1180</v>
      </c>
      <c r="E1404" s="69">
        <v>100</v>
      </c>
      <c r="F1404" s="76" t="s">
        <v>738</v>
      </c>
      <c r="G1404" s="58" t="s">
        <v>92</v>
      </c>
      <c r="H1404" s="58" t="s">
        <v>739</v>
      </c>
      <c r="I1404" s="55">
        <v>30.65</v>
      </c>
      <c r="J1404" s="5" t="s">
        <v>238</v>
      </c>
      <c r="K1404" s="34">
        <v>2</v>
      </c>
      <c r="L1404" s="18">
        <v>42264</v>
      </c>
      <c r="M1404" s="9" t="s">
        <v>191</v>
      </c>
      <c r="N1404" s="38">
        <v>22.35</v>
      </c>
      <c r="O1404" s="38">
        <v>4.21</v>
      </c>
      <c r="P1404" s="38">
        <v>2.46</v>
      </c>
      <c r="Q1404" s="38">
        <v>1.63</v>
      </c>
      <c r="R1404" s="38">
        <v>2.2866499999999998</v>
      </c>
      <c r="S1404" s="38">
        <f t="shared" si="168"/>
        <v>2.5</v>
      </c>
      <c r="T1404" s="38">
        <v>28.94</v>
      </c>
      <c r="U1404" s="38">
        <v>1.18</v>
      </c>
      <c r="V1404" s="38">
        <v>0.38</v>
      </c>
      <c r="W1404" s="38">
        <v>0.15</v>
      </c>
      <c r="X1404" s="38">
        <v>3.5354399999999999</v>
      </c>
      <c r="Y1404" s="38">
        <f t="shared" si="169"/>
        <v>3.5</v>
      </c>
      <c r="Z1404" s="38">
        <v>0</v>
      </c>
      <c r="AA1404" s="38">
        <v>0</v>
      </c>
      <c r="AB1404" s="38">
        <v>30.65</v>
      </c>
      <c r="AC1404" s="38">
        <v>1.1404700000000001</v>
      </c>
      <c r="AD1404" s="38">
        <v>64.209999999999994</v>
      </c>
      <c r="AE1404" s="38">
        <v>5.34</v>
      </c>
      <c r="AF1404" s="38">
        <f>(AD1404+AE1404*0.5)/(3.5*I1404*1000)*100</f>
        <v>6.2344441855045452E-2</v>
      </c>
      <c r="AG1404" s="38">
        <f t="shared" si="170"/>
        <v>0.1</v>
      </c>
      <c r="AH1404" s="38">
        <v>126.57</v>
      </c>
      <c r="AI1404" s="38">
        <f>AH1404/(3.5*I1404*1000)*100</f>
        <v>0.11798648333721742</v>
      </c>
      <c r="AJ1404" s="38">
        <v>0</v>
      </c>
      <c r="AK1404" s="38">
        <f>AJ1404/(3.5*I1404*1000)*100</f>
        <v>0</v>
      </c>
      <c r="AL1404" s="38">
        <v>0</v>
      </c>
      <c r="AM1404" s="38">
        <f>AL1404/(3.5*I1404*1000)*100</f>
        <v>0</v>
      </c>
      <c r="AN1404" s="41"/>
      <c r="AO1404" s="41"/>
      <c r="AP1404" s="73"/>
      <c r="AQ1404" s="41">
        <f>SUM(N1404:Q1404)</f>
        <v>30.650000000000002</v>
      </c>
      <c r="AR1404" s="41">
        <f>SUM(T1404:W1404)</f>
        <v>30.65</v>
      </c>
      <c r="AS1404" s="41">
        <f>SUM(Z1404:AB1404)</f>
        <v>30.65</v>
      </c>
      <c r="AU1404" s="22">
        <f>I1404/AQ1404</f>
        <v>0.99999999999999989</v>
      </c>
      <c r="AV1404" s="22">
        <f>I1404/AR1404</f>
        <v>1</v>
      </c>
      <c r="AW1404" s="22">
        <f>I1404/AS1404</f>
        <v>1</v>
      </c>
      <c r="AX1404" s="73"/>
      <c r="AY1404" s="73"/>
      <c r="AZ1404" s="73"/>
      <c r="BA1404" s="73"/>
      <c r="BB1404" s="73"/>
      <c r="BC1404" s="73"/>
      <c r="BD1404" s="73"/>
      <c r="BE1404" s="73"/>
      <c r="BF1404" s="73"/>
      <c r="BG1404" s="73"/>
      <c r="BH1404" s="73"/>
      <c r="BI1404" s="73"/>
      <c r="BJ1404" s="73"/>
      <c r="BK1404" s="73"/>
      <c r="BL1404" s="73"/>
      <c r="BM1404" s="73"/>
      <c r="BN1404" s="73"/>
      <c r="BO1404" s="73"/>
      <c r="BP1404" s="73"/>
      <c r="BQ1404" s="73"/>
      <c r="BR1404" s="73"/>
      <c r="BS1404" s="73"/>
      <c r="BT1404" s="73"/>
      <c r="BU1404" s="73"/>
      <c r="BV1404" s="73"/>
      <c r="BW1404" s="73"/>
      <c r="BX1404" s="73"/>
      <c r="BY1404" s="73"/>
      <c r="BZ1404" s="73"/>
      <c r="CA1404" s="73"/>
      <c r="CB1404" s="73"/>
      <c r="CC1404" s="73"/>
      <c r="CD1404" s="73"/>
      <c r="CE1404" s="73"/>
      <c r="CF1404" s="73"/>
      <c r="CG1404" s="73"/>
      <c r="CH1404" s="73"/>
      <c r="CI1404" s="73"/>
      <c r="CJ1404" s="73"/>
    </row>
    <row r="1405" spans="1:88" s="22" customFormat="1">
      <c r="A1405" s="1">
        <v>238</v>
      </c>
      <c r="B1405" s="34" t="s">
        <v>436</v>
      </c>
      <c r="C1405" s="34">
        <v>537</v>
      </c>
      <c r="D1405" s="34">
        <v>1152</v>
      </c>
      <c r="E1405" s="34">
        <v>202</v>
      </c>
      <c r="F1405" s="34" t="s">
        <v>454</v>
      </c>
      <c r="G1405" s="20">
        <v>39500</v>
      </c>
      <c r="H1405" s="20">
        <v>49427</v>
      </c>
      <c r="I1405" s="35">
        <v>9.9269999999999996</v>
      </c>
      <c r="J1405" s="33">
        <v>2</v>
      </c>
      <c r="K1405" s="34" t="s">
        <v>12</v>
      </c>
      <c r="L1405" s="10">
        <v>42198</v>
      </c>
      <c r="M1405" s="9" t="s">
        <v>191</v>
      </c>
      <c r="N1405" s="38">
        <v>5.77</v>
      </c>
      <c r="O1405" s="38">
        <v>2.89</v>
      </c>
      <c r="P1405" s="38">
        <v>0.95</v>
      </c>
      <c r="Q1405" s="38">
        <v>0.33</v>
      </c>
      <c r="R1405" s="38">
        <v>2.5630799999999998</v>
      </c>
      <c r="S1405" s="38">
        <f t="shared" si="168"/>
        <v>2.5</v>
      </c>
      <c r="T1405" s="38">
        <v>9.7799999999999994</v>
      </c>
      <c r="U1405" s="38">
        <v>0.15</v>
      </c>
      <c r="V1405" s="38">
        <v>0</v>
      </c>
      <c r="W1405" s="38">
        <v>0</v>
      </c>
      <c r="X1405" s="38">
        <v>4.0742900000000004</v>
      </c>
      <c r="Y1405" s="38">
        <f t="shared" si="169"/>
        <v>4</v>
      </c>
      <c r="Z1405" s="38">
        <v>0</v>
      </c>
      <c r="AA1405" s="38">
        <v>0</v>
      </c>
      <c r="AB1405" s="38">
        <v>9.93</v>
      </c>
      <c r="AC1405" s="38">
        <v>1.0750500000000001</v>
      </c>
      <c r="AD1405" s="38">
        <v>19</v>
      </c>
      <c r="AE1405" s="38">
        <v>5.31</v>
      </c>
      <c r="AF1405" s="38">
        <v>6.2326411374462147E-2</v>
      </c>
      <c r="AG1405" s="38">
        <f t="shared" si="170"/>
        <v>0.1</v>
      </c>
      <c r="AH1405" s="38">
        <v>71</v>
      </c>
      <c r="AI1405" s="38">
        <v>0.20434888975233489</v>
      </c>
      <c r="AJ1405" s="38">
        <v>0</v>
      </c>
      <c r="AK1405" s="55">
        <v>0</v>
      </c>
      <c r="AL1405" s="55">
        <v>3</v>
      </c>
      <c r="AM1405" s="55">
        <v>8.6344601303803472E-3</v>
      </c>
      <c r="AN1405" s="40"/>
      <c r="AO1405" s="25">
        <f>SUM(N1405:Q1405)</f>
        <v>9.94</v>
      </c>
      <c r="AP1405" s="25">
        <f>SUM(T1405:W1405)</f>
        <v>9.93</v>
      </c>
      <c r="AQ1405" s="268">
        <v>9.9269999999999996</v>
      </c>
      <c r="AR1405" s="41"/>
      <c r="AS1405" s="41"/>
      <c r="AT1405" s="41"/>
      <c r="AU1405" s="41">
        <f>SUM(N1405:Q1405)</f>
        <v>9.94</v>
      </c>
      <c r="AV1405" s="41">
        <f>SUM(T1405:W1405)</f>
        <v>9.93</v>
      </c>
      <c r="AW1405" s="41">
        <f>SUM(Z1405:AB1405)</f>
        <v>9.93</v>
      </c>
      <c r="AY1405" s="22">
        <f>I1405/AU1405</f>
        <v>0.99869215291750502</v>
      </c>
      <c r="AZ1405" s="22">
        <f>I1405/AV1405</f>
        <v>0.99969788519637459</v>
      </c>
      <c r="BA1405" s="22">
        <f>I1405/AW1405</f>
        <v>0.99969788519637459</v>
      </c>
    </row>
    <row r="1406" spans="1:88" s="22" customFormat="1">
      <c r="A1406" s="1">
        <v>242</v>
      </c>
      <c r="B1406" s="42" t="s">
        <v>436</v>
      </c>
      <c r="C1406" s="42">
        <v>537</v>
      </c>
      <c r="D1406" s="42">
        <v>1202</v>
      </c>
      <c r="E1406" s="42">
        <v>200</v>
      </c>
      <c r="F1406" s="42" t="s">
        <v>459</v>
      </c>
      <c r="G1406" s="43">
        <v>33922</v>
      </c>
      <c r="H1406" s="43">
        <v>45462</v>
      </c>
      <c r="I1406" s="44">
        <v>11.54</v>
      </c>
      <c r="J1406" s="236">
        <v>2</v>
      </c>
      <c r="K1406" s="42" t="s">
        <v>238</v>
      </c>
      <c r="L1406" s="45">
        <v>42198</v>
      </c>
      <c r="M1406" s="186" t="s">
        <v>191</v>
      </c>
      <c r="N1406" s="46">
        <v>10.18</v>
      </c>
      <c r="O1406" s="46">
        <v>0.6</v>
      </c>
      <c r="P1406" s="46">
        <v>0.53</v>
      </c>
      <c r="Q1406" s="46">
        <v>0.23</v>
      </c>
      <c r="R1406" s="46">
        <v>1.82779</v>
      </c>
      <c r="S1406" s="38">
        <f t="shared" si="168"/>
        <v>2</v>
      </c>
      <c r="T1406" s="46">
        <v>11.37</v>
      </c>
      <c r="U1406" s="46">
        <v>0.13</v>
      </c>
      <c r="V1406" s="46">
        <v>0.05</v>
      </c>
      <c r="W1406" s="46">
        <v>0</v>
      </c>
      <c r="X1406" s="46">
        <v>3.1464400000000001</v>
      </c>
      <c r="Y1406" s="38">
        <f t="shared" si="169"/>
        <v>3</v>
      </c>
      <c r="Z1406" s="38">
        <v>0</v>
      </c>
      <c r="AA1406" s="38">
        <v>0</v>
      </c>
      <c r="AB1406" s="46">
        <v>11.54</v>
      </c>
      <c r="AC1406" s="46">
        <v>1.4370700000000001</v>
      </c>
      <c r="AD1406" s="46">
        <v>25</v>
      </c>
      <c r="AE1406" s="46">
        <v>0</v>
      </c>
      <c r="AF1406" s="46">
        <v>6.189650903689032E-2</v>
      </c>
      <c r="AG1406" s="38">
        <f t="shared" si="170"/>
        <v>0.1</v>
      </c>
      <c r="AH1406" s="46">
        <v>0</v>
      </c>
      <c r="AI1406" s="38">
        <v>0</v>
      </c>
      <c r="AJ1406" s="46">
        <v>0</v>
      </c>
      <c r="AK1406" s="55">
        <v>0</v>
      </c>
      <c r="AL1406" s="183">
        <v>0</v>
      </c>
      <c r="AM1406" s="55">
        <v>0</v>
      </c>
      <c r="AN1406" s="40"/>
      <c r="AO1406" s="25">
        <f>SUM(N1406:Q1406)</f>
        <v>11.54</v>
      </c>
      <c r="AP1406" s="25">
        <f>SUM(T1406:W1406)</f>
        <v>11.55</v>
      </c>
      <c r="AQ1406" s="268">
        <v>11.54</v>
      </c>
      <c r="AR1406" s="41"/>
      <c r="AS1406" s="41"/>
      <c r="AT1406" s="41"/>
      <c r="AU1406" s="41">
        <f>SUM(N1406:Q1406)</f>
        <v>11.54</v>
      </c>
      <c r="AV1406" s="41">
        <f>SUM(T1406:W1406)</f>
        <v>11.55</v>
      </c>
      <c r="AW1406" s="41">
        <f>SUM(Z1406:AB1406)</f>
        <v>11.54</v>
      </c>
      <c r="AY1406" s="22">
        <f>I1406/AU1406</f>
        <v>1</v>
      </c>
      <c r="AZ1406" s="22">
        <f>I1406/AV1406</f>
        <v>0.99913419913419899</v>
      </c>
      <c r="BA1406" s="22">
        <f>I1406/AW1406</f>
        <v>1</v>
      </c>
    </row>
    <row r="1407" spans="1:88" s="34" customFormat="1">
      <c r="A1407" s="1">
        <v>418</v>
      </c>
      <c r="B1407" s="220" t="s">
        <v>699</v>
      </c>
      <c r="C1407" s="34">
        <v>513</v>
      </c>
      <c r="D1407" s="75">
        <v>101</v>
      </c>
      <c r="E1407" s="69">
        <v>304</v>
      </c>
      <c r="F1407" s="76" t="s">
        <v>706</v>
      </c>
      <c r="G1407" s="20" t="s">
        <v>705</v>
      </c>
      <c r="H1407" s="20" t="s">
        <v>707</v>
      </c>
      <c r="I1407" s="21">
        <v>35.475000000000001</v>
      </c>
      <c r="J1407" s="5" t="s">
        <v>238</v>
      </c>
      <c r="K1407" s="34">
        <v>2</v>
      </c>
      <c r="L1407" s="18">
        <v>42264</v>
      </c>
      <c r="M1407" s="186" t="s">
        <v>191</v>
      </c>
      <c r="N1407" s="38">
        <v>29.64</v>
      </c>
      <c r="O1407" s="38">
        <v>4.04</v>
      </c>
      <c r="P1407" s="38">
        <v>1.35</v>
      </c>
      <c r="Q1407" s="38">
        <v>0.45</v>
      </c>
      <c r="R1407" s="38">
        <v>1.95</v>
      </c>
      <c r="S1407" s="38">
        <f t="shared" si="168"/>
        <v>2</v>
      </c>
      <c r="T1407" s="38">
        <v>34.93</v>
      </c>
      <c r="U1407" s="38">
        <v>0.35</v>
      </c>
      <c r="V1407" s="38">
        <v>0.2</v>
      </c>
      <c r="W1407" s="38">
        <v>0</v>
      </c>
      <c r="X1407" s="38">
        <v>2.9780000000000002</v>
      </c>
      <c r="Y1407" s="38">
        <f t="shared" si="169"/>
        <v>3</v>
      </c>
      <c r="Z1407" s="38">
        <v>0</v>
      </c>
      <c r="AA1407" s="38">
        <v>0</v>
      </c>
      <c r="AB1407" s="38">
        <v>35.47</v>
      </c>
      <c r="AC1407" s="38">
        <v>1.0609999999999999</v>
      </c>
      <c r="AD1407" s="38">
        <v>68.319999999999993</v>
      </c>
      <c r="AE1407" s="38">
        <v>15.9</v>
      </c>
      <c r="AF1407" s="38">
        <f>(AD1407+AE1407*0.5)/(3.5*I1407*1000)*100</f>
        <v>6.1427564683378622E-2</v>
      </c>
      <c r="AG1407" s="38">
        <f t="shared" si="170"/>
        <v>0.1</v>
      </c>
      <c r="AH1407" s="38">
        <v>212.3</v>
      </c>
      <c r="AI1407" s="38">
        <f>AH1407/(3.5*I1407*1000)*100</f>
        <v>0.17098560354374306</v>
      </c>
      <c r="AJ1407" s="38">
        <v>128.6</v>
      </c>
      <c r="AK1407" s="38">
        <f>AJ1407/(3.5*I1407*1000)*100</f>
        <v>0.10357394543441052</v>
      </c>
      <c r="AL1407" s="38">
        <v>0</v>
      </c>
      <c r="AM1407" s="38">
        <f>AL1407/(3.5*I1407*1000)*100</f>
        <v>0</v>
      </c>
      <c r="AN1407" s="41"/>
      <c r="AO1407" s="49"/>
      <c r="AP1407" s="48"/>
      <c r="AQ1407" s="49">
        <f>SUM(N1407:Q1407)</f>
        <v>35.480000000000004</v>
      </c>
      <c r="AR1407" s="49">
        <f>SUM(T1407:W1407)</f>
        <v>35.480000000000004</v>
      </c>
      <c r="AS1407" s="49">
        <f>SUM(Z1407:AB1407)</f>
        <v>35.47</v>
      </c>
      <c r="AT1407" s="48"/>
      <c r="AU1407" s="48">
        <f>I1407/AQ1407</f>
        <v>0.9998590755355129</v>
      </c>
      <c r="AV1407" s="48">
        <f>I1407/AR1407</f>
        <v>0.9998590755355129</v>
      </c>
      <c r="AW1407" s="48">
        <f>I1407/AS1407</f>
        <v>1.0001409641950945</v>
      </c>
      <c r="AX1407" s="48"/>
      <c r="AY1407" s="48"/>
      <c r="AZ1407" s="48"/>
      <c r="BA1407" s="48"/>
      <c r="BB1407" s="48"/>
      <c r="BC1407" s="48"/>
      <c r="BD1407" s="48"/>
      <c r="BE1407" s="48"/>
      <c r="BF1407" s="48"/>
      <c r="BG1407" s="48"/>
      <c r="BH1407" s="48"/>
      <c r="BI1407" s="48"/>
      <c r="BJ1407" s="48"/>
      <c r="BK1407" s="48"/>
      <c r="BL1407" s="48"/>
      <c r="BM1407" s="48"/>
      <c r="BN1407" s="48"/>
      <c r="BO1407" s="48"/>
      <c r="BP1407" s="48"/>
      <c r="BQ1407" s="48"/>
      <c r="BR1407" s="48"/>
      <c r="BS1407" s="48"/>
      <c r="BT1407" s="48"/>
      <c r="BU1407" s="48"/>
      <c r="BV1407" s="48"/>
      <c r="BW1407" s="48"/>
      <c r="BX1407" s="48"/>
      <c r="BY1407" s="48"/>
      <c r="BZ1407" s="48"/>
      <c r="CA1407" s="48"/>
      <c r="CB1407" s="48"/>
      <c r="CC1407" s="48"/>
      <c r="CD1407" s="48"/>
      <c r="CE1407" s="48"/>
      <c r="CF1407" s="48"/>
      <c r="CG1407" s="48"/>
      <c r="CH1407" s="48"/>
      <c r="CI1407" s="48"/>
      <c r="CJ1407" s="48"/>
    </row>
    <row r="1408" spans="1:88" s="22" customFormat="1">
      <c r="A1408" s="1">
        <v>844</v>
      </c>
      <c r="B1408" s="109" t="s">
        <v>1231</v>
      </c>
      <c r="C1408" s="109">
        <v>615</v>
      </c>
      <c r="D1408" s="109">
        <v>219</v>
      </c>
      <c r="E1408" s="109">
        <v>200</v>
      </c>
      <c r="F1408" s="109" t="s">
        <v>1238</v>
      </c>
      <c r="G1408" s="231">
        <v>79889</v>
      </c>
      <c r="H1408" s="231">
        <v>97604</v>
      </c>
      <c r="I1408" s="233">
        <v>17.715</v>
      </c>
      <c r="J1408" s="238">
        <v>4</v>
      </c>
      <c r="K1408" s="109" t="s">
        <v>238</v>
      </c>
      <c r="L1408" s="113">
        <v>42135</v>
      </c>
      <c r="M1408" s="107" t="s">
        <v>191</v>
      </c>
      <c r="N1408" s="52">
        <v>11.824999999999999</v>
      </c>
      <c r="O1408" s="52">
        <v>3.6</v>
      </c>
      <c r="P1408" s="52">
        <v>1.65</v>
      </c>
      <c r="Q1408" s="52">
        <v>0.7</v>
      </c>
      <c r="R1408" s="52">
        <v>2.363</v>
      </c>
      <c r="S1408" s="38">
        <f t="shared" si="168"/>
        <v>2.5</v>
      </c>
      <c r="T1408" s="52">
        <v>14.3</v>
      </c>
      <c r="U1408" s="52">
        <v>2.35</v>
      </c>
      <c r="V1408" s="52">
        <v>0.82499999999999996</v>
      </c>
      <c r="W1408" s="52">
        <v>0.3</v>
      </c>
      <c r="X1408" s="52">
        <v>6.0330000000000004</v>
      </c>
      <c r="Y1408" s="38">
        <f t="shared" si="169"/>
        <v>6</v>
      </c>
      <c r="Z1408" s="38">
        <v>0</v>
      </c>
      <c r="AA1408" s="38">
        <v>0</v>
      </c>
      <c r="AB1408" s="52">
        <f>N1408+O1408+P1408+Q1408</f>
        <v>17.774999999999999</v>
      </c>
      <c r="AC1408" s="52">
        <v>1.1759999999999999</v>
      </c>
      <c r="AD1408" s="52">
        <v>20.11</v>
      </c>
      <c r="AE1408" s="52">
        <v>35.75</v>
      </c>
      <c r="AF1408" s="52">
        <v>6.1260000000000002E-2</v>
      </c>
      <c r="AG1408" s="38">
        <f t="shared" si="170"/>
        <v>0.1</v>
      </c>
      <c r="AH1408" s="52">
        <v>48.91</v>
      </c>
      <c r="AI1408" s="38">
        <v>7.8880000000000006E-2</v>
      </c>
      <c r="AJ1408" s="52">
        <v>45.2</v>
      </c>
      <c r="AK1408" s="38">
        <v>7.2900000000000006E-2</v>
      </c>
      <c r="AL1408" s="52">
        <v>13.07</v>
      </c>
      <c r="AM1408" s="38">
        <v>2.1080000000000002E-2</v>
      </c>
      <c r="AN1408" s="25"/>
      <c r="AO1408" s="25">
        <f>AE1408*0.5</f>
        <v>17.875</v>
      </c>
      <c r="AP1408" s="25">
        <f>(AD1408+AH1408+AJ1408+AL1408+AO1408)*I1408</f>
        <v>2571.5979749999997</v>
      </c>
      <c r="AQ1408" s="25">
        <f>SUM(N1408:Q1408)</f>
        <v>17.774999999999999</v>
      </c>
      <c r="AR1408" s="25">
        <f>SUM(T1408:W1408)</f>
        <v>17.775000000000002</v>
      </c>
      <c r="AS1408" s="268">
        <v>17.715</v>
      </c>
      <c r="AT1408" s="41"/>
      <c r="AU1408" s="41"/>
      <c r="AV1408" s="41"/>
      <c r="AW1408" s="41"/>
    </row>
    <row r="1409" spans="1:88" s="22" customFormat="1">
      <c r="A1409" s="1">
        <v>964</v>
      </c>
      <c r="B1409" s="9" t="s">
        <v>1359</v>
      </c>
      <c r="C1409" s="9">
        <v>612</v>
      </c>
      <c r="D1409" s="8">
        <v>2090</v>
      </c>
      <c r="E1409" s="9">
        <v>100</v>
      </c>
      <c r="F1409" s="9" t="s">
        <v>1363</v>
      </c>
      <c r="G1409" s="20">
        <v>0</v>
      </c>
      <c r="H1409" s="20">
        <v>23442</v>
      </c>
      <c r="I1409" s="35">
        <v>23.442</v>
      </c>
      <c r="J1409" s="9">
        <v>2</v>
      </c>
      <c r="K1409" s="9" t="s">
        <v>238</v>
      </c>
      <c r="L1409" s="18">
        <v>42116</v>
      </c>
      <c r="M1409" s="9" t="s">
        <v>191</v>
      </c>
      <c r="N1409" s="11">
        <v>18.38</v>
      </c>
      <c r="O1409" s="11">
        <v>3.35</v>
      </c>
      <c r="P1409" s="11">
        <v>1.2</v>
      </c>
      <c r="Q1409" s="11">
        <v>0.45</v>
      </c>
      <c r="R1409" s="11">
        <v>1.94791</v>
      </c>
      <c r="S1409" s="38">
        <f t="shared" si="168"/>
        <v>2</v>
      </c>
      <c r="T1409" s="11">
        <v>23.024999999999999</v>
      </c>
      <c r="U1409" s="11">
        <v>0.2</v>
      </c>
      <c r="V1409" s="11">
        <v>0.15</v>
      </c>
      <c r="W1409" s="11">
        <v>0</v>
      </c>
      <c r="X1409" s="11">
        <v>3.7818700000000001</v>
      </c>
      <c r="Y1409" s="38">
        <f t="shared" si="169"/>
        <v>4</v>
      </c>
      <c r="Z1409" s="11">
        <v>0</v>
      </c>
      <c r="AA1409" s="11">
        <v>0</v>
      </c>
      <c r="AB1409" s="11">
        <f>SUM(N1409:Q1409)</f>
        <v>23.38</v>
      </c>
      <c r="AC1409" s="11">
        <v>1.1303399999999999</v>
      </c>
      <c r="AD1409" s="11">
        <v>50.01</v>
      </c>
      <c r="AE1409" s="11">
        <v>0</v>
      </c>
      <c r="AF1409" s="11">
        <v>6.0949999999999997E-2</v>
      </c>
      <c r="AG1409" s="38">
        <f t="shared" si="170"/>
        <v>0.1</v>
      </c>
      <c r="AH1409" s="11">
        <v>214</v>
      </c>
      <c r="AI1409" s="11">
        <v>0.26083000000000001</v>
      </c>
      <c r="AJ1409" s="11">
        <v>0</v>
      </c>
      <c r="AK1409" s="11">
        <v>0</v>
      </c>
      <c r="AL1409" s="11">
        <v>1</v>
      </c>
      <c r="AM1409" s="11">
        <v>1.2199999999999999E-3</v>
      </c>
      <c r="AN1409" s="72"/>
      <c r="AO1409" s="72"/>
      <c r="AP1409" s="72">
        <f>AE1409*0.5</f>
        <v>0</v>
      </c>
      <c r="AQ1409" s="25">
        <f>(AD1408+AH1408+AJ1408+AL1408+AP1409)*I1408</f>
        <v>2254.9423499999998</v>
      </c>
      <c r="AR1409" s="25"/>
      <c r="AS1409" s="25"/>
      <c r="AT1409" s="25"/>
      <c r="AU1409" s="25">
        <f>SUM(N1409:Q1409)</f>
        <v>23.38</v>
      </c>
      <c r="AV1409" s="41">
        <f>SUM(T1409:W1409)</f>
        <v>23.374999999999996</v>
      </c>
      <c r="AW1409" s="41"/>
      <c r="AX1409" s="41"/>
      <c r="AY1409" s="4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</row>
    <row r="1410" spans="1:88" s="22" customFormat="1">
      <c r="A1410" s="1">
        <v>2001</v>
      </c>
      <c r="B1410" s="34" t="s">
        <v>2615</v>
      </c>
      <c r="C1410" s="34">
        <v>322</v>
      </c>
      <c r="D1410" s="75">
        <v>4320</v>
      </c>
      <c r="E1410" s="8">
        <v>100</v>
      </c>
      <c r="F1410" s="34" t="s">
        <v>2644</v>
      </c>
      <c r="G1410" s="58">
        <v>0</v>
      </c>
      <c r="H1410" s="58">
        <v>1172</v>
      </c>
      <c r="I1410" s="21">
        <v>1.1719999999999999</v>
      </c>
      <c r="J1410" s="8">
        <v>2</v>
      </c>
      <c r="K1410" s="8" t="s">
        <v>237</v>
      </c>
      <c r="L1410" s="18">
        <v>42130</v>
      </c>
      <c r="M1410" s="9" t="s">
        <v>191</v>
      </c>
      <c r="N1410" s="38">
        <v>0.98</v>
      </c>
      <c r="O1410" s="38">
        <v>0.1</v>
      </c>
      <c r="P1410" s="38">
        <v>0.1</v>
      </c>
      <c r="Q1410" s="38">
        <v>0.04</v>
      </c>
      <c r="R1410" s="38">
        <v>1.7658100000000001</v>
      </c>
      <c r="S1410" s="38">
        <f t="shared" si="168"/>
        <v>2</v>
      </c>
      <c r="T1410" s="38">
        <v>1.075</v>
      </c>
      <c r="U1410" s="38">
        <v>0</v>
      </c>
      <c r="V1410" s="38">
        <v>0</v>
      </c>
      <c r="W1410" s="38">
        <v>0</v>
      </c>
      <c r="X1410" s="38">
        <v>1.30291</v>
      </c>
      <c r="Y1410" s="38">
        <f t="shared" si="169"/>
        <v>1.5</v>
      </c>
      <c r="Z1410" s="38">
        <v>0</v>
      </c>
      <c r="AA1410" s="38">
        <v>0</v>
      </c>
      <c r="AB1410" s="38">
        <v>1.075</v>
      </c>
      <c r="AC1410" s="38">
        <v>1.15893</v>
      </c>
      <c r="AD1410" s="38">
        <v>2.5</v>
      </c>
      <c r="AE1410" s="38">
        <v>0</v>
      </c>
      <c r="AF1410" s="38">
        <v>6.0945880058508053E-2</v>
      </c>
      <c r="AG1410" s="38">
        <f t="shared" si="170"/>
        <v>0.1</v>
      </c>
      <c r="AH1410" s="38">
        <v>1.98</v>
      </c>
      <c r="AI1410" s="38">
        <v>4.8269137006338385E-2</v>
      </c>
      <c r="AJ1410" s="38">
        <v>0</v>
      </c>
      <c r="AK1410" s="38">
        <v>0</v>
      </c>
      <c r="AL1410" s="38">
        <v>0</v>
      </c>
      <c r="AM1410" s="38">
        <f>AL1410/(3.5*I1410*1000)*100</f>
        <v>0</v>
      </c>
      <c r="AN1410" s="72"/>
      <c r="AO1410" s="41"/>
      <c r="AP1410" s="41"/>
      <c r="AQ1410" s="73"/>
      <c r="AR1410" s="73"/>
      <c r="AS1410" s="73"/>
      <c r="AT1410" s="73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</row>
    <row r="1411" spans="1:88" s="22" customFormat="1">
      <c r="A1411" s="1">
        <v>443</v>
      </c>
      <c r="B1411" s="74" t="s">
        <v>699</v>
      </c>
      <c r="C1411" s="34">
        <v>513</v>
      </c>
      <c r="D1411" s="75">
        <v>1294</v>
      </c>
      <c r="E1411" s="69">
        <v>100</v>
      </c>
      <c r="F1411" s="76" t="s">
        <v>752</v>
      </c>
      <c r="G1411" s="58" t="s">
        <v>92</v>
      </c>
      <c r="H1411" s="58" t="s">
        <v>753</v>
      </c>
      <c r="I1411" s="55">
        <v>51.771999999999998</v>
      </c>
      <c r="J1411" s="5" t="s">
        <v>238</v>
      </c>
      <c r="K1411" s="34">
        <v>2</v>
      </c>
      <c r="L1411" s="18">
        <v>42263</v>
      </c>
      <c r="M1411" s="9" t="s">
        <v>191</v>
      </c>
      <c r="N1411" s="38">
        <v>25.72</v>
      </c>
      <c r="O1411" s="38">
        <v>17.7</v>
      </c>
      <c r="P1411" s="38">
        <v>6.19</v>
      </c>
      <c r="Q1411" s="38">
        <v>2.16</v>
      </c>
      <c r="R1411" s="38">
        <v>2.7516099999999999</v>
      </c>
      <c r="S1411" s="38">
        <f t="shared" ref="S1411:S1474" si="174">ROUND(R1411/5,1)*5</f>
        <v>3</v>
      </c>
      <c r="T1411" s="38">
        <v>50.47</v>
      </c>
      <c r="U1411" s="38">
        <v>1.1499999999999999</v>
      </c>
      <c r="V1411" s="38">
        <v>0.15</v>
      </c>
      <c r="W1411" s="38">
        <v>0</v>
      </c>
      <c r="X1411" s="38">
        <v>4.0528000000000004</v>
      </c>
      <c r="Y1411" s="38">
        <f t="shared" ref="Y1411:Y1474" si="175">ROUND(X1411/5,1)*5</f>
        <v>4</v>
      </c>
      <c r="Z1411" s="38">
        <v>0</v>
      </c>
      <c r="AA1411" s="38">
        <v>0</v>
      </c>
      <c r="AB1411" s="38">
        <v>51.77</v>
      </c>
      <c r="AC1411" s="38">
        <v>1.6101000000000001</v>
      </c>
      <c r="AD1411" s="38">
        <v>110.214</v>
      </c>
      <c r="AE1411" s="38">
        <v>0</v>
      </c>
      <c r="AF1411" s="38">
        <f>(AD1411+AE1411*0.5)/(3.5*I1411*1000)*100</f>
        <v>6.0823831966534583E-2</v>
      </c>
      <c r="AG1411" s="38">
        <f t="shared" ref="AG1411:AG1474" si="176">ROUND(AF1411,1)</f>
        <v>0.1</v>
      </c>
      <c r="AH1411" s="38">
        <v>124.29</v>
      </c>
      <c r="AI1411" s="38">
        <f>AH1411/(3.5*I1411*1000)*100</f>
        <v>6.8591958146157331E-2</v>
      </c>
      <c r="AJ1411" s="38">
        <v>0</v>
      </c>
      <c r="AK1411" s="38">
        <f>AJ1411/(3.5*I1411*1000)*100</f>
        <v>0</v>
      </c>
      <c r="AL1411" s="38">
        <v>0</v>
      </c>
      <c r="AM1411" s="38">
        <f>AL1411/(3.5*I1411*1000)*100</f>
        <v>0</v>
      </c>
      <c r="AN1411" s="41"/>
      <c r="AO1411" s="41"/>
      <c r="AP1411" s="73"/>
      <c r="AQ1411" s="41">
        <f>SUM(N1411:Q1411)</f>
        <v>51.769999999999996</v>
      </c>
      <c r="AR1411" s="41">
        <f>SUM(T1411:W1411)</f>
        <v>51.769999999999996</v>
      </c>
      <c r="AS1411" s="41">
        <f>SUM(Z1411:AB1411)</f>
        <v>51.77</v>
      </c>
      <c r="AU1411" s="22">
        <f>I1411/AQ1411</f>
        <v>1.0000386324125943</v>
      </c>
      <c r="AV1411" s="22">
        <f>I1411/AR1411</f>
        <v>1.0000386324125943</v>
      </c>
      <c r="AW1411" s="22">
        <f>I1411/AS1411</f>
        <v>1.0000386324125941</v>
      </c>
      <c r="AX1411" s="73"/>
      <c r="AY1411" s="73"/>
      <c r="AZ1411" s="73"/>
      <c r="BA1411" s="73"/>
      <c r="BB1411" s="73"/>
      <c r="BC1411" s="73"/>
      <c r="BD1411" s="73"/>
      <c r="BE1411" s="73"/>
      <c r="BF1411" s="73"/>
      <c r="BG1411" s="73"/>
      <c r="BH1411" s="73"/>
      <c r="BI1411" s="73"/>
      <c r="BJ1411" s="73"/>
      <c r="BK1411" s="73"/>
      <c r="BL1411" s="73"/>
      <c r="BM1411" s="73"/>
      <c r="BN1411" s="73"/>
      <c r="BO1411" s="73"/>
      <c r="BP1411" s="73"/>
      <c r="BQ1411" s="73"/>
      <c r="BR1411" s="73"/>
      <c r="BS1411" s="73"/>
      <c r="BT1411" s="73"/>
      <c r="BU1411" s="73"/>
      <c r="BV1411" s="73"/>
      <c r="BW1411" s="73"/>
      <c r="BX1411" s="73"/>
      <c r="BY1411" s="73"/>
      <c r="BZ1411" s="73"/>
      <c r="CA1411" s="73"/>
      <c r="CB1411" s="73"/>
      <c r="CC1411" s="73"/>
      <c r="CD1411" s="73"/>
      <c r="CE1411" s="73"/>
      <c r="CF1411" s="73"/>
      <c r="CG1411" s="73"/>
      <c r="CH1411" s="73"/>
      <c r="CI1411" s="73"/>
      <c r="CJ1411" s="73"/>
    </row>
    <row r="1412" spans="1:88" s="22" customFormat="1">
      <c r="A1412" s="1">
        <v>1680</v>
      </c>
      <c r="B1412" s="34" t="s">
        <v>2279</v>
      </c>
      <c r="C1412" s="34">
        <v>421</v>
      </c>
      <c r="D1412" s="8">
        <v>314</v>
      </c>
      <c r="E1412" s="34">
        <v>101</v>
      </c>
      <c r="F1412" s="34" t="s">
        <v>2281</v>
      </c>
      <c r="G1412" s="58">
        <v>7475</v>
      </c>
      <c r="H1412" s="58">
        <v>0</v>
      </c>
      <c r="I1412" s="35">
        <v>7.4749999999999996</v>
      </c>
      <c r="J1412" s="9">
        <v>4</v>
      </c>
      <c r="K1412" s="34" t="s">
        <v>96</v>
      </c>
      <c r="L1412" s="10">
        <v>42227</v>
      </c>
      <c r="M1412" s="9" t="s">
        <v>191</v>
      </c>
      <c r="N1412" s="38">
        <v>1.1000000000000001</v>
      </c>
      <c r="O1412" s="38">
        <v>1.75</v>
      </c>
      <c r="P1412" s="38">
        <v>2.0499999999999998</v>
      </c>
      <c r="Q1412" s="38">
        <v>2.5750000000000002</v>
      </c>
      <c r="R1412" s="38">
        <v>4.4801799999999998</v>
      </c>
      <c r="S1412" s="38">
        <f t="shared" si="174"/>
        <v>4.5</v>
      </c>
      <c r="T1412" s="38">
        <v>6.35</v>
      </c>
      <c r="U1412" s="38">
        <v>0.8</v>
      </c>
      <c r="V1412" s="38">
        <v>0.2</v>
      </c>
      <c r="W1412" s="38">
        <v>0.125</v>
      </c>
      <c r="X1412" s="38">
        <v>7.6209699999999998</v>
      </c>
      <c r="Y1412" s="38">
        <f t="shared" si="175"/>
        <v>7.5</v>
      </c>
      <c r="Z1412" s="38">
        <v>0</v>
      </c>
      <c r="AA1412" s="38">
        <v>0</v>
      </c>
      <c r="AB1412" s="38">
        <v>7.4749999999999996</v>
      </c>
      <c r="AC1412" s="38">
        <v>1.4111800000000001</v>
      </c>
      <c r="AD1412" s="38">
        <v>0</v>
      </c>
      <c r="AE1412" s="38">
        <v>31.71</v>
      </c>
      <c r="AF1412" s="38">
        <f>(AD1412+AE1412*0.5)/(3.5*I1412*1000)*100</f>
        <v>6.0602006688963213E-2</v>
      </c>
      <c r="AG1412" s="38">
        <f t="shared" si="176"/>
        <v>0.1</v>
      </c>
      <c r="AH1412" s="38">
        <v>25.96</v>
      </c>
      <c r="AI1412" s="38">
        <f>AH1412/(3.5*I1412*1000)*100</f>
        <v>9.9225991399904456E-2</v>
      </c>
      <c r="AJ1412" s="38">
        <v>20</v>
      </c>
      <c r="AK1412" s="38">
        <f>AJ1412/(3.5*I1412*1000)*100</f>
        <v>7.6445293836598191E-2</v>
      </c>
      <c r="AL1412" s="38">
        <v>0</v>
      </c>
      <c r="AM1412" s="38">
        <f>AL1412/(3.5*I1412*1000)*100</f>
        <v>0</v>
      </c>
      <c r="AN1412" s="25"/>
      <c r="AO1412" s="25">
        <f>AE1412*0.5</f>
        <v>15.855</v>
      </c>
      <c r="AP1412" s="25">
        <f>(AD1412+AH1412+AJ1412+AL1412+AO1412)*I1412</f>
        <v>462.06712499999998</v>
      </c>
      <c r="AQ1412" s="25">
        <f>SUM(N1412:Q1412)</f>
        <v>7.4750000000000005</v>
      </c>
      <c r="AR1412" s="25">
        <f>SUM(T1412:W1412)</f>
        <v>7.4749999999999996</v>
      </c>
      <c r="AT1412" s="41"/>
      <c r="AU1412" s="41"/>
      <c r="AV1412" s="41"/>
      <c r="AW1412" s="41"/>
    </row>
    <row r="1413" spans="1:88" s="22" customFormat="1">
      <c r="A1413" s="1">
        <v>107</v>
      </c>
      <c r="B1413" s="4" t="s">
        <v>78</v>
      </c>
      <c r="C1413" s="14">
        <v>527</v>
      </c>
      <c r="D1413" s="19">
        <v>107</v>
      </c>
      <c r="E1413" s="16">
        <v>203</v>
      </c>
      <c r="F1413" s="31" t="s">
        <v>209</v>
      </c>
      <c r="G1413" s="20" t="s">
        <v>212</v>
      </c>
      <c r="H1413" s="20" t="s">
        <v>213</v>
      </c>
      <c r="I1413" s="21">
        <v>54.255000000000003</v>
      </c>
      <c r="J1413" s="8">
        <v>2</v>
      </c>
      <c r="K1413" s="9" t="s">
        <v>238</v>
      </c>
      <c r="L1413" s="18">
        <v>42239</v>
      </c>
      <c r="M1413" s="9" t="s">
        <v>191</v>
      </c>
      <c r="N1413" s="11">
        <v>30.39</v>
      </c>
      <c r="O1413" s="11">
        <v>12.66</v>
      </c>
      <c r="P1413" s="11">
        <v>7.35</v>
      </c>
      <c r="Q1413" s="11">
        <v>3.86</v>
      </c>
      <c r="R1413" s="11">
        <v>2.7237800000000001</v>
      </c>
      <c r="S1413" s="38">
        <f t="shared" si="174"/>
        <v>2.5</v>
      </c>
      <c r="T1413" s="11">
        <v>52.63</v>
      </c>
      <c r="U1413" s="11">
        <v>1.25</v>
      </c>
      <c r="V1413" s="11">
        <v>0.28000000000000003</v>
      </c>
      <c r="W1413" s="11">
        <v>0.1</v>
      </c>
      <c r="X1413" s="11">
        <v>3.7184300000000001</v>
      </c>
      <c r="Y1413" s="38">
        <f t="shared" si="175"/>
        <v>3.5</v>
      </c>
      <c r="Z1413" s="11">
        <v>0</v>
      </c>
      <c r="AA1413" s="11">
        <v>0</v>
      </c>
      <c r="AB1413" s="11">
        <v>54.26</v>
      </c>
      <c r="AC1413" s="11">
        <v>1.08266</v>
      </c>
      <c r="AD1413" s="11">
        <v>87.15</v>
      </c>
      <c r="AE1413" s="11">
        <v>54.6</v>
      </c>
      <c r="AF1413" s="11">
        <f>(AD1413+AE1413*0.5)/(3.5*I1413*1000)*100</f>
        <v>6.0270942770251586E-2</v>
      </c>
      <c r="AG1413" s="38">
        <f t="shared" si="176"/>
        <v>0.1</v>
      </c>
      <c r="AH1413" s="11">
        <v>18.899999999999999</v>
      </c>
      <c r="AI1413" s="11">
        <f>AH1413/(3.5*I1413*1000)*100</f>
        <v>9.9529997235277851E-3</v>
      </c>
      <c r="AJ1413" s="11">
        <v>5.89</v>
      </c>
      <c r="AK1413" s="11">
        <f>AJ1413/(3.5*I1413*1000)*100</f>
        <v>3.1017549402951664E-3</v>
      </c>
      <c r="AL1413" s="11">
        <v>1.5</v>
      </c>
      <c r="AM1413" s="11">
        <f>AL1413/(3.5*I1413*1000)*100</f>
        <v>7.8992061297839574E-4</v>
      </c>
      <c r="AO1413" s="25"/>
      <c r="AP1413" s="25">
        <f>SUM(N1413:Q1413)</f>
        <v>54.26</v>
      </c>
      <c r="AQ1413" s="25">
        <f>SUM(T1413:W1413)</f>
        <v>54.260000000000005</v>
      </c>
      <c r="AR1413" s="25">
        <f>SUM(Z1413:AB1413)</f>
        <v>54.26</v>
      </c>
      <c r="AT1413" s="22">
        <f>I1413/AP1413</f>
        <v>0.99990785108735725</v>
      </c>
      <c r="AU1413" s="22">
        <f>I1413/AQ1413</f>
        <v>0.99990785108735714</v>
      </c>
      <c r="AV1413" s="22">
        <f>I1413/AR1413</f>
        <v>0.99990785108735725</v>
      </c>
    </row>
    <row r="1414" spans="1:88" s="22" customFormat="1">
      <c r="A1414" s="1">
        <v>2031</v>
      </c>
      <c r="B1414" s="34" t="s">
        <v>2678</v>
      </c>
      <c r="C1414" s="34">
        <v>326</v>
      </c>
      <c r="D1414" s="75">
        <v>403</v>
      </c>
      <c r="E1414" s="8">
        <v>201</v>
      </c>
      <c r="F1414" s="34" t="s">
        <v>2679</v>
      </c>
      <c r="G1414" s="58">
        <v>32352</v>
      </c>
      <c r="H1414" s="58">
        <v>14276</v>
      </c>
      <c r="I1414" s="21">
        <v>18.076000000000001</v>
      </c>
      <c r="J1414" s="8">
        <v>4</v>
      </c>
      <c r="K1414" s="8" t="s">
        <v>96</v>
      </c>
      <c r="L1414" s="18">
        <v>42124</v>
      </c>
      <c r="M1414" s="9" t="s">
        <v>191</v>
      </c>
      <c r="N1414" s="38">
        <v>9.85</v>
      </c>
      <c r="O1414" s="38">
        <v>3.65</v>
      </c>
      <c r="P1414" s="38">
        <v>2.75</v>
      </c>
      <c r="Q1414" s="38">
        <v>1.85</v>
      </c>
      <c r="R1414" s="38">
        <v>2.8201399999999999</v>
      </c>
      <c r="S1414" s="38">
        <f t="shared" si="174"/>
        <v>3</v>
      </c>
      <c r="T1414" s="38">
        <v>12.425000000000001</v>
      </c>
      <c r="U1414" s="38">
        <v>3.3250000000000002</v>
      </c>
      <c r="V1414" s="38">
        <v>1.65</v>
      </c>
      <c r="W1414" s="38">
        <v>0.7</v>
      </c>
      <c r="X1414" s="38">
        <v>8.3898100000000007</v>
      </c>
      <c r="Y1414" s="38">
        <f t="shared" si="175"/>
        <v>8.5</v>
      </c>
      <c r="Z1414" s="38">
        <v>0</v>
      </c>
      <c r="AA1414" s="38">
        <v>0</v>
      </c>
      <c r="AB1414" s="38">
        <v>18.100000000000001</v>
      </c>
      <c r="AC1414" s="38">
        <v>1.0919300000000001</v>
      </c>
      <c r="AD1414" s="38">
        <v>37.75</v>
      </c>
      <c r="AE1414" s="38">
        <v>0</v>
      </c>
      <c r="AF1414" s="38">
        <f>(AD1414+AE1414*0.5)/(3.5*I1414*1000)*100</f>
        <v>5.9668700407801978E-2</v>
      </c>
      <c r="AG1414" s="38">
        <f t="shared" si="176"/>
        <v>0.1</v>
      </c>
      <c r="AH1414" s="38">
        <v>31.63</v>
      </c>
      <c r="AI1414" s="38">
        <v>4.9995258116523875E-2</v>
      </c>
      <c r="AJ1414" s="55">
        <v>63.87</v>
      </c>
      <c r="AK1414" s="55">
        <v>0.10095469920652482</v>
      </c>
      <c r="AL1414" s="55">
        <v>0</v>
      </c>
      <c r="AM1414" s="55">
        <f>AL1414/(3.5*I1414*1000)*100</f>
        <v>0</v>
      </c>
      <c r="AN1414" s="1"/>
      <c r="AO1414" s="12"/>
      <c r="AP1414" s="12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</row>
    <row r="1415" spans="1:88" s="22" customFormat="1">
      <c r="A1415" s="1">
        <v>606</v>
      </c>
      <c r="B1415" s="34" t="s">
        <v>994</v>
      </c>
      <c r="C1415" s="34">
        <v>554</v>
      </c>
      <c r="D1415" s="34">
        <v>2138</v>
      </c>
      <c r="E1415" s="34">
        <v>100</v>
      </c>
      <c r="F1415" s="9" t="s">
        <v>1008</v>
      </c>
      <c r="G1415" s="118">
        <v>0</v>
      </c>
      <c r="H1415" s="118">
        <v>34773</v>
      </c>
      <c r="I1415" s="35">
        <v>34.773000000000003</v>
      </c>
      <c r="J1415" s="71">
        <v>2</v>
      </c>
      <c r="K1415" s="34" t="s">
        <v>237</v>
      </c>
      <c r="L1415" s="10">
        <v>42186</v>
      </c>
      <c r="M1415" s="9" t="s">
        <v>191</v>
      </c>
      <c r="N1415" s="38">
        <v>20.8</v>
      </c>
      <c r="O1415" s="38">
        <v>9.48</v>
      </c>
      <c r="P1415" s="38">
        <v>3.36</v>
      </c>
      <c r="Q1415" s="38">
        <v>1.1299999999999999</v>
      </c>
      <c r="R1415" s="38">
        <v>2.7229999999999999</v>
      </c>
      <c r="S1415" s="38">
        <f t="shared" si="174"/>
        <v>2.5</v>
      </c>
      <c r="T1415" s="38">
        <v>33.200000000000003</v>
      </c>
      <c r="U1415" s="38">
        <v>0.85</v>
      </c>
      <c r="V1415" s="38">
        <v>0.2</v>
      </c>
      <c r="W1415" s="38">
        <v>0.05</v>
      </c>
      <c r="X1415" s="38">
        <v>3.6840000000000002</v>
      </c>
      <c r="Y1415" s="38">
        <f t="shared" si="175"/>
        <v>3.5</v>
      </c>
      <c r="Z1415" s="38">
        <v>0</v>
      </c>
      <c r="AA1415" s="38">
        <v>0</v>
      </c>
      <c r="AB1415" s="38">
        <v>34.770000000000003</v>
      </c>
      <c r="AC1415" s="38">
        <v>1.27</v>
      </c>
      <c r="AD1415" s="38">
        <v>72.36</v>
      </c>
      <c r="AE1415" s="38">
        <v>0</v>
      </c>
      <c r="AF1415" s="38">
        <v>5.9455000000000001E-2</v>
      </c>
      <c r="AG1415" s="38">
        <f t="shared" si="176"/>
        <v>0.1</v>
      </c>
      <c r="AH1415" s="38">
        <v>0</v>
      </c>
      <c r="AI1415" s="38">
        <v>0</v>
      </c>
      <c r="AJ1415" s="38">
        <v>0</v>
      </c>
      <c r="AK1415" s="38">
        <v>0</v>
      </c>
      <c r="AL1415" s="38">
        <v>0</v>
      </c>
      <c r="AM1415" s="38">
        <v>0</v>
      </c>
      <c r="AN1415" s="60"/>
      <c r="AO1415" s="60">
        <f>AE1415*0.5</f>
        <v>0</v>
      </c>
      <c r="AP1415" s="60">
        <f>(AD1415+AH1415+AJ1415+AL1415+AO1415)*I1415</f>
        <v>2516.1742800000002</v>
      </c>
      <c r="AQ1415" s="25">
        <f>SUM(N1415:Q1415)</f>
        <v>34.770000000000003</v>
      </c>
      <c r="AR1415" s="25">
        <f>SUM(T1415:W1415)</f>
        <v>34.300000000000004</v>
      </c>
      <c r="AS1415" s="268">
        <v>34.773000000000003</v>
      </c>
      <c r="AT1415" s="40"/>
      <c r="AU1415" s="41">
        <f>SUM(N1415:Q1415)</f>
        <v>34.770000000000003</v>
      </c>
      <c r="AV1415" s="41">
        <f>SUM(T1415:W1415)</f>
        <v>34.300000000000004</v>
      </c>
      <c r="AW1415" s="41">
        <f>SUM(Z1415:AB1415)</f>
        <v>34.770000000000003</v>
      </c>
      <c r="AY1415" s="22">
        <f>I1415/AU1415</f>
        <v>1.0000862812769629</v>
      </c>
      <c r="AZ1415" s="22">
        <f>I1415/AV1415</f>
        <v>1.0137900874635568</v>
      </c>
      <c r="BA1415" s="22">
        <f>I1415/AW1415</f>
        <v>1.0000862812769629</v>
      </c>
      <c r="BB1415" s="61"/>
      <c r="BC1415" s="61"/>
      <c r="BD1415" s="61"/>
      <c r="BE1415" s="61"/>
      <c r="BF1415" s="61"/>
      <c r="BG1415" s="61"/>
      <c r="BH1415" s="61"/>
      <c r="BI1415" s="61"/>
      <c r="BJ1415" s="61"/>
      <c r="BK1415" s="61"/>
      <c r="BL1415" s="61"/>
      <c r="BM1415" s="61"/>
      <c r="BN1415" s="61"/>
      <c r="BO1415" s="61"/>
      <c r="BP1415" s="61"/>
      <c r="BQ1415" s="61"/>
      <c r="BR1415" s="61"/>
      <c r="BS1415" s="61"/>
      <c r="BT1415" s="61"/>
      <c r="BU1415" s="61"/>
      <c r="BV1415" s="61"/>
      <c r="BW1415" s="61"/>
      <c r="BX1415" s="61"/>
      <c r="BY1415" s="61"/>
      <c r="BZ1415" s="61"/>
      <c r="CA1415" s="61"/>
      <c r="CB1415" s="61"/>
      <c r="CC1415" s="61"/>
      <c r="CD1415" s="61"/>
      <c r="CE1415" s="61"/>
      <c r="CF1415" s="61"/>
      <c r="CG1415" s="61"/>
      <c r="CH1415" s="61"/>
      <c r="CI1415" s="61"/>
      <c r="CJ1415" s="61"/>
    </row>
    <row r="1416" spans="1:88" s="22" customFormat="1">
      <c r="A1416" s="1">
        <v>888</v>
      </c>
      <c r="B1416" s="34" t="s">
        <v>1271</v>
      </c>
      <c r="C1416" s="34">
        <v>632</v>
      </c>
      <c r="D1416" s="162">
        <v>2296</v>
      </c>
      <c r="E1416" s="34">
        <v>100</v>
      </c>
      <c r="F1416" s="34" t="s">
        <v>1281</v>
      </c>
      <c r="G1416" s="58">
        <v>0</v>
      </c>
      <c r="H1416" s="58">
        <v>2600</v>
      </c>
      <c r="I1416" s="35">
        <v>2.6</v>
      </c>
      <c r="J1416" s="9">
        <v>2</v>
      </c>
      <c r="K1416" s="34" t="s">
        <v>238</v>
      </c>
      <c r="L1416" s="10">
        <v>42143</v>
      </c>
      <c r="M1416" s="9" t="s">
        <v>191</v>
      </c>
      <c r="N1416" s="38">
        <v>0</v>
      </c>
      <c r="O1416" s="38">
        <v>0.27500000000000002</v>
      </c>
      <c r="P1416" s="38">
        <v>1.325</v>
      </c>
      <c r="Q1416" s="38">
        <v>1.0249999999999999</v>
      </c>
      <c r="R1416" s="38">
        <v>5.0742900000000004</v>
      </c>
      <c r="S1416" s="38">
        <f t="shared" si="174"/>
        <v>5</v>
      </c>
      <c r="T1416" s="38">
        <v>2.625</v>
      </c>
      <c r="U1416" s="38">
        <v>0</v>
      </c>
      <c r="V1416" s="38">
        <v>0</v>
      </c>
      <c r="W1416" s="38">
        <v>0</v>
      </c>
      <c r="X1416" s="38">
        <v>3.0887500000000001</v>
      </c>
      <c r="Y1416" s="38">
        <f t="shared" si="175"/>
        <v>3</v>
      </c>
      <c r="Z1416" s="38">
        <v>2.5000000000000001E-2</v>
      </c>
      <c r="AA1416" s="38">
        <v>0</v>
      </c>
      <c r="AB1416" s="38">
        <v>2.6</v>
      </c>
      <c r="AC1416" s="38">
        <v>2.9600499999999998</v>
      </c>
      <c r="AD1416" s="38">
        <v>0</v>
      </c>
      <c r="AE1416" s="38">
        <v>10.82</v>
      </c>
      <c r="AF1416" s="38">
        <v>5.9450999999999997E-2</v>
      </c>
      <c r="AG1416" s="38">
        <f t="shared" si="176"/>
        <v>0.1</v>
      </c>
      <c r="AH1416" s="38">
        <v>366.34</v>
      </c>
      <c r="AI1416" s="38">
        <v>4.0257139999999998</v>
      </c>
      <c r="AJ1416" s="38">
        <v>0</v>
      </c>
      <c r="AK1416" s="38">
        <v>0</v>
      </c>
      <c r="AL1416" s="38">
        <v>9.9499999999999993</v>
      </c>
      <c r="AM1416" s="38">
        <v>0.10934099999999999</v>
      </c>
      <c r="AN1416" s="25"/>
      <c r="AO1416" s="25">
        <f>AE1416*0.5</f>
        <v>5.41</v>
      </c>
      <c r="AP1416" s="25">
        <f>(AD1416+AH1416+AJ1416+AL1416+AO1416)*I1416</f>
        <v>992.42</v>
      </c>
      <c r="AQ1416" s="25">
        <f>SUM(N1416:Q1416)</f>
        <v>2.625</v>
      </c>
      <c r="AR1416" s="25">
        <f>SUM(T1416:W1416)</f>
        <v>2.625</v>
      </c>
      <c r="AT1416" s="41"/>
      <c r="AU1416" s="41"/>
      <c r="AV1416" s="41"/>
      <c r="AW1416" s="41"/>
    </row>
    <row r="1417" spans="1:88" s="22" customFormat="1">
      <c r="A1417" s="1">
        <v>989</v>
      </c>
      <c r="B1417" s="34" t="s">
        <v>1380</v>
      </c>
      <c r="C1417" s="34">
        <v>614</v>
      </c>
      <c r="D1417" s="8">
        <v>2162</v>
      </c>
      <c r="E1417" s="34">
        <v>100</v>
      </c>
      <c r="F1417" s="34" t="s">
        <v>1385</v>
      </c>
      <c r="G1417" s="58" t="s">
        <v>1387</v>
      </c>
      <c r="H1417" s="58">
        <v>2277</v>
      </c>
      <c r="I1417" s="35">
        <v>0.71</v>
      </c>
      <c r="J1417" s="9">
        <v>3</v>
      </c>
      <c r="K1417" s="34" t="s">
        <v>237</v>
      </c>
      <c r="L1417" s="10">
        <v>42126</v>
      </c>
      <c r="M1417" s="9" t="s">
        <v>191</v>
      </c>
      <c r="N1417" s="38">
        <v>0.375</v>
      </c>
      <c r="O1417" s="38">
        <v>0.15</v>
      </c>
      <c r="P1417" s="38">
        <v>0.125</v>
      </c>
      <c r="Q1417" s="38">
        <v>0</v>
      </c>
      <c r="R1417" s="38">
        <v>2.5670000000000002</v>
      </c>
      <c r="S1417" s="38">
        <f t="shared" si="174"/>
        <v>2.5</v>
      </c>
      <c r="T1417" s="38">
        <v>0.625</v>
      </c>
      <c r="U1417" s="38">
        <v>2.5000000000000001E-2</v>
      </c>
      <c r="V1417" s="38">
        <v>0</v>
      </c>
      <c r="W1417" s="38">
        <v>0</v>
      </c>
      <c r="X1417" s="38">
        <v>3.9940000000000002</v>
      </c>
      <c r="Y1417" s="38">
        <f t="shared" si="175"/>
        <v>4</v>
      </c>
      <c r="Z1417" s="38">
        <v>0</v>
      </c>
      <c r="AA1417" s="38">
        <v>0</v>
      </c>
      <c r="AB1417" s="38">
        <f>SUM(N1417:Q1417)</f>
        <v>0.65</v>
      </c>
      <c r="AC1417" s="38">
        <v>1.0389999999999999</v>
      </c>
      <c r="AD1417" s="38">
        <v>1.47</v>
      </c>
      <c r="AE1417" s="38">
        <v>0</v>
      </c>
      <c r="AF1417" s="11">
        <f>(AD1417+AE1417*0.5)/(3.5*I1417*1000)*100</f>
        <v>5.9154929577464786E-2</v>
      </c>
      <c r="AG1417" s="38">
        <f t="shared" si="176"/>
        <v>0.1</v>
      </c>
      <c r="AH1417" s="38">
        <v>0</v>
      </c>
      <c r="AI1417" s="38">
        <f>AH1417/(3.5*I1417*1000)*100</f>
        <v>0</v>
      </c>
      <c r="AJ1417" s="38">
        <v>0</v>
      </c>
      <c r="AK1417" s="38">
        <f>AJ1417/(3.5*I1417*1000)*100</f>
        <v>0</v>
      </c>
      <c r="AL1417" s="38">
        <v>0</v>
      </c>
      <c r="AM1417" s="38">
        <f>AL1417/(3.5*I1417*1000)*100</f>
        <v>0</v>
      </c>
      <c r="AN1417" s="25"/>
      <c r="AO1417" s="25">
        <f>(AD1417+AH1417+AJ1417+AL1417)*I1417</f>
        <v>1.0436999999999999</v>
      </c>
      <c r="AP1417" s="25"/>
      <c r="AQ1417" s="25"/>
      <c r="AR1417" s="25"/>
      <c r="AS1417" s="268"/>
      <c r="AT1417" s="41"/>
      <c r="AU1417" s="41"/>
      <c r="AV1417" s="41"/>
    </row>
    <row r="1418" spans="1:88" s="22" customFormat="1">
      <c r="A1418" s="1">
        <v>1254</v>
      </c>
      <c r="B1418" s="34" t="s">
        <v>1775</v>
      </c>
      <c r="C1418" s="88">
        <v>438</v>
      </c>
      <c r="D1418" s="88">
        <v>225</v>
      </c>
      <c r="E1418" s="88">
        <v>202</v>
      </c>
      <c r="F1418" s="88" t="s">
        <v>1778</v>
      </c>
      <c r="G1418" s="88" t="s">
        <v>1777</v>
      </c>
      <c r="H1418" s="88" t="s">
        <v>1779</v>
      </c>
      <c r="I1418" s="115">
        <v>59.99</v>
      </c>
      <c r="J1418" s="88">
        <v>2</v>
      </c>
      <c r="K1418" s="181" t="s">
        <v>238</v>
      </c>
      <c r="L1418" s="116">
        <v>42282</v>
      </c>
      <c r="M1418" s="9" t="s">
        <v>191</v>
      </c>
      <c r="N1418" s="117">
        <v>30.5</v>
      </c>
      <c r="O1418" s="117">
        <v>15.125</v>
      </c>
      <c r="P1418" s="117">
        <v>9.1750000000000007</v>
      </c>
      <c r="Q1418" s="117">
        <v>4.7249999999999996</v>
      </c>
      <c r="R1418" s="117">
        <v>2.8480099999999999</v>
      </c>
      <c r="S1418" s="38">
        <f t="shared" si="174"/>
        <v>3</v>
      </c>
      <c r="T1418" s="117">
        <v>52</v>
      </c>
      <c r="U1418" s="117">
        <v>4.8250000000000002</v>
      </c>
      <c r="V1418" s="117">
        <v>1.7749999999999999</v>
      </c>
      <c r="W1418" s="117">
        <v>0.92500000000000004</v>
      </c>
      <c r="X1418" s="117">
        <v>5.3104500000000003</v>
      </c>
      <c r="Y1418" s="38">
        <f t="shared" si="175"/>
        <v>5.5</v>
      </c>
      <c r="Z1418" s="117">
        <v>0</v>
      </c>
      <c r="AA1418" s="117">
        <v>0</v>
      </c>
      <c r="AB1418" s="115">
        <v>59.99</v>
      </c>
      <c r="AC1418" s="117">
        <v>1.46994</v>
      </c>
      <c r="AD1418" s="117">
        <v>99.647000000000006</v>
      </c>
      <c r="AE1418" s="117">
        <v>48.23</v>
      </c>
      <c r="AF1418" s="117">
        <f>(AD1418+AE1418*0.5)/(3.5*I1418*1000)*100</f>
        <v>5.8944109732574482E-2</v>
      </c>
      <c r="AG1418" s="38">
        <f t="shared" si="176"/>
        <v>0.1</v>
      </c>
      <c r="AH1418" s="117">
        <v>85.6</v>
      </c>
      <c r="AI1418" s="117">
        <f>AH1418/(3.5*I1418*1000)*100</f>
        <v>4.0768699545162289E-2</v>
      </c>
      <c r="AJ1418" s="117">
        <v>2.48</v>
      </c>
      <c r="AK1418" s="117">
        <v>1.181E-3</v>
      </c>
      <c r="AL1418" s="117">
        <v>0</v>
      </c>
      <c r="AM1418" s="117">
        <v>0</v>
      </c>
      <c r="AN1418" s="12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</row>
    <row r="1419" spans="1:88" s="22" customFormat="1">
      <c r="A1419" s="1">
        <v>1987</v>
      </c>
      <c r="B1419" s="34" t="s">
        <v>2615</v>
      </c>
      <c r="C1419" s="34">
        <v>322</v>
      </c>
      <c r="D1419" s="75">
        <v>4158</v>
      </c>
      <c r="E1419" s="8">
        <v>100</v>
      </c>
      <c r="F1419" s="34" t="s">
        <v>2628</v>
      </c>
      <c r="G1419" s="58">
        <v>16075</v>
      </c>
      <c r="H1419" s="58">
        <v>0</v>
      </c>
      <c r="I1419" s="21">
        <v>16.074999999999999</v>
      </c>
      <c r="J1419" s="8">
        <v>2</v>
      </c>
      <c r="K1419" s="8" t="s">
        <v>672</v>
      </c>
      <c r="L1419" s="18">
        <v>42130</v>
      </c>
      <c r="M1419" s="9" t="s">
        <v>191</v>
      </c>
      <c r="N1419" s="38">
        <v>9.9250000000000007</v>
      </c>
      <c r="O1419" s="38">
        <v>3.5249999999999999</v>
      </c>
      <c r="P1419" s="38">
        <v>1.85</v>
      </c>
      <c r="Q1419" s="38">
        <v>0.77500000000000002</v>
      </c>
      <c r="R1419" s="38">
        <v>2.5810399999999998</v>
      </c>
      <c r="S1419" s="38">
        <f t="shared" si="174"/>
        <v>2.5</v>
      </c>
      <c r="T1419" s="38">
        <v>16.024999999999999</v>
      </c>
      <c r="U1419" s="38">
        <v>2.5000000000000001E-2</v>
      </c>
      <c r="V1419" s="38">
        <v>0</v>
      </c>
      <c r="W1419" s="38">
        <v>2.5000000000000001E-2</v>
      </c>
      <c r="X1419" s="38">
        <v>2.3509600000000002</v>
      </c>
      <c r="Y1419" s="38">
        <f t="shared" si="175"/>
        <v>2.5</v>
      </c>
      <c r="Z1419" s="38">
        <v>0</v>
      </c>
      <c r="AA1419" s="38">
        <v>0</v>
      </c>
      <c r="AB1419" s="38">
        <v>16.074999999999999</v>
      </c>
      <c r="AC1419" s="38">
        <v>1.20207</v>
      </c>
      <c r="AD1419" s="38">
        <v>33.119999999999997</v>
      </c>
      <c r="AE1419" s="38">
        <v>0</v>
      </c>
      <c r="AF1419" s="38">
        <v>5.886691846256388E-2</v>
      </c>
      <c r="AG1419" s="38">
        <f t="shared" si="176"/>
        <v>0.1</v>
      </c>
      <c r="AH1419" s="38">
        <v>0</v>
      </c>
      <c r="AI1419" s="38">
        <v>0</v>
      </c>
      <c r="AJ1419" s="38">
        <v>0</v>
      </c>
      <c r="AK1419" s="38">
        <v>0</v>
      </c>
      <c r="AL1419" s="38">
        <v>0</v>
      </c>
      <c r="AM1419" s="38">
        <f>AL1419/(3.5*I1419*1000)*100</f>
        <v>0</v>
      </c>
      <c r="AN1419" s="72"/>
      <c r="AO1419" s="41"/>
      <c r="AP1419" s="41"/>
      <c r="AQ1419" s="73"/>
      <c r="AR1419" s="73"/>
      <c r="AS1419" s="73"/>
      <c r="AT1419" s="73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</row>
    <row r="1420" spans="1:88" s="22" customFormat="1">
      <c r="A1420" s="1">
        <v>1283</v>
      </c>
      <c r="B1420" s="74" t="s">
        <v>1820</v>
      </c>
      <c r="C1420" s="34">
        <v>441</v>
      </c>
      <c r="D1420" s="75">
        <v>3260</v>
      </c>
      <c r="E1420" s="69">
        <v>200</v>
      </c>
      <c r="F1420" s="34" t="s">
        <v>1827</v>
      </c>
      <c r="G1420" s="58">
        <v>31856</v>
      </c>
      <c r="H1420" s="58">
        <v>42057</v>
      </c>
      <c r="I1420" s="55">
        <v>10.201000000000001</v>
      </c>
      <c r="J1420" s="34">
        <v>2</v>
      </c>
      <c r="K1420" s="34" t="s">
        <v>238</v>
      </c>
      <c r="L1420" s="10">
        <v>42187</v>
      </c>
      <c r="M1420" s="9" t="s">
        <v>191</v>
      </c>
      <c r="N1420" s="38">
        <v>6.2249999999999996</v>
      </c>
      <c r="O1420" s="38">
        <v>2.875</v>
      </c>
      <c r="P1420" s="38">
        <v>0.8</v>
      </c>
      <c r="Q1420" s="38">
        <v>0.22500000000000001</v>
      </c>
      <c r="R1420" s="38">
        <v>2.4408599999999998</v>
      </c>
      <c r="S1420" s="38">
        <f t="shared" si="174"/>
        <v>2.5</v>
      </c>
      <c r="T1420" s="38">
        <v>9.4250000000000007</v>
      </c>
      <c r="U1420" s="38">
        <v>0.6</v>
      </c>
      <c r="V1420" s="38">
        <v>0.1</v>
      </c>
      <c r="W1420" s="38">
        <v>0</v>
      </c>
      <c r="X1420" s="38">
        <v>4.26084</v>
      </c>
      <c r="Y1420" s="38">
        <f t="shared" si="175"/>
        <v>4.5</v>
      </c>
      <c r="Z1420" s="38">
        <v>0</v>
      </c>
      <c r="AA1420" s="38">
        <v>0</v>
      </c>
      <c r="AB1420" s="38">
        <v>10.125</v>
      </c>
      <c r="AC1420" s="38">
        <v>1.0176499999999999</v>
      </c>
      <c r="AD1420" s="38">
        <v>21</v>
      </c>
      <c r="AE1420" s="38">
        <v>0</v>
      </c>
      <c r="AF1420" s="38">
        <v>5.8817762964415238E-2</v>
      </c>
      <c r="AG1420" s="38">
        <f t="shared" si="176"/>
        <v>0.1</v>
      </c>
      <c r="AH1420" s="38">
        <v>0</v>
      </c>
      <c r="AI1420" s="38">
        <v>0.63364327979712609</v>
      </c>
      <c r="AJ1420" s="38">
        <v>0</v>
      </c>
      <c r="AK1420" s="38">
        <v>0</v>
      </c>
      <c r="AL1420" s="38">
        <v>0</v>
      </c>
      <c r="AM1420" s="38">
        <v>2.4</v>
      </c>
      <c r="AN1420" s="40"/>
      <c r="AO1420" s="12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</row>
    <row r="1421" spans="1:88" s="22" customFormat="1">
      <c r="A1421" s="1">
        <v>421</v>
      </c>
      <c r="B1421" s="74" t="s">
        <v>699</v>
      </c>
      <c r="C1421" s="34">
        <v>513</v>
      </c>
      <c r="D1421" s="75">
        <v>125</v>
      </c>
      <c r="E1421" s="69">
        <v>101</v>
      </c>
      <c r="F1421" s="76" t="s">
        <v>713</v>
      </c>
      <c r="G1421" s="20" t="s">
        <v>92</v>
      </c>
      <c r="H1421" s="20" t="s">
        <v>714</v>
      </c>
      <c r="I1421" s="21">
        <v>7</v>
      </c>
      <c r="J1421" s="5" t="s">
        <v>237</v>
      </c>
      <c r="K1421" s="34">
        <v>4</v>
      </c>
      <c r="L1421" s="18">
        <v>42263</v>
      </c>
      <c r="M1421" s="9" t="s">
        <v>191</v>
      </c>
      <c r="N1421" s="38">
        <v>3.2</v>
      </c>
      <c r="O1421" s="38">
        <v>1.93</v>
      </c>
      <c r="P1421" s="38">
        <v>1.33</v>
      </c>
      <c r="Q1421" s="38">
        <v>0.55000000000000004</v>
      </c>
      <c r="R1421" s="38">
        <v>2.919</v>
      </c>
      <c r="S1421" s="38">
        <f t="shared" si="174"/>
        <v>3</v>
      </c>
      <c r="T1421" s="38">
        <v>3.13</v>
      </c>
      <c r="U1421" s="38">
        <v>1.85</v>
      </c>
      <c r="V1421" s="38">
        <v>1.28</v>
      </c>
      <c r="W1421" s="38">
        <v>0.75</v>
      </c>
      <c r="X1421" s="38">
        <v>11.839</v>
      </c>
      <c r="Y1421" s="38">
        <f t="shared" si="175"/>
        <v>12</v>
      </c>
      <c r="Z1421" s="38">
        <v>0</v>
      </c>
      <c r="AA1421" s="38">
        <v>0</v>
      </c>
      <c r="AB1421" s="38">
        <v>7</v>
      </c>
      <c r="AC1421" s="38">
        <v>1.133</v>
      </c>
      <c r="AD1421" s="38">
        <v>12.6</v>
      </c>
      <c r="AE1421" s="38">
        <v>3.6</v>
      </c>
      <c r="AF1421" s="38">
        <f t="shared" ref="AF1421:AF1429" si="177">(AD1421+AE1421*0.5)/(3.5*I1421*1000)*100</f>
        <v>5.8775510204081637E-2</v>
      </c>
      <c r="AG1421" s="38">
        <f t="shared" si="176"/>
        <v>0.1</v>
      </c>
      <c r="AH1421" s="38">
        <v>5.6479999999999997</v>
      </c>
      <c r="AI1421" s="38">
        <f t="shared" ref="AI1421:AI1426" si="178">AH1421/(3.5*I1421*1000)*100</f>
        <v>2.3053061224489795E-2</v>
      </c>
      <c r="AJ1421" s="38">
        <v>6.2</v>
      </c>
      <c r="AK1421" s="38">
        <f t="shared" ref="AK1421:AK1426" si="179">AJ1421/(3.5*I1421*1000)*100</f>
        <v>2.530612244897959E-2</v>
      </c>
      <c r="AL1421" s="38">
        <v>0</v>
      </c>
      <c r="AM1421" s="38">
        <f t="shared" ref="AM1421:AM1426" si="180">AL1421/(3.5*I1421*1000)*100</f>
        <v>0</v>
      </c>
      <c r="AN1421" s="41"/>
      <c r="AO1421" s="41"/>
      <c r="AP1421" s="73"/>
      <c r="AQ1421" s="41">
        <f>SUM(N1421:Q1421)</f>
        <v>7.01</v>
      </c>
      <c r="AR1421" s="41">
        <f>SUM(T1421:W1421)</f>
        <v>7.0100000000000007</v>
      </c>
      <c r="AS1421" s="41">
        <f>SUM(Z1421:AB1421)</f>
        <v>7</v>
      </c>
      <c r="AU1421" s="22">
        <f>I1421/AQ1421</f>
        <v>0.99857346647646228</v>
      </c>
      <c r="AV1421" s="22">
        <f>I1421/AR1421</f>
        <v>0.99857346647646206</v>
      </c>
      <c r="AW1421" s="22">
        <f>I1421/AS1421</f>
        <v>1</v>
      </c>
      <c r="AX1421" s="73"/>
      <c r="AY1421" s="73"/>
      <c r="AZ1421" s="73"/>
      <c r="BA1421" s="73"/>
      <c r="BB1421" s="73"/>
      <c r="BC1421" s="73"/>
      <c r="BD1421" s="73"/>
      <c r="BE1421" s="73"/>
      <c r="BF1421" s="73"/>
      <c r="BG1421" s="73"/>
      <c r="BH1421" s="73"/>
      <c r="BI1421" s="73"/>
      <c r="BJ1421" s="73"/>
      <c r="BK1421" s="73"/>
      <c r="BL1421" s="73"/>
      <c r="BM1421" s="73"/>
      <c r="BN1421" s="73"/>
      <c r="BO1421" s="73"/>
      <c r="BP1421" s="73"/>
      <c r="BQ1421" s="73"/>
      <c r="BR1421" s="73"/>
      <c r="BS1421" s="73"/>
      <c r="BT1421" s="73"/>
      <c r="BU1421" s="73"/>
      <c r="BV1421" s="73"/>
      <c r="BW1421" s="73"/>
      <c r="BX1421" s="73"/>
      <c r="BY1421" s="73"/>
      <c r="BZ1421" s="73"/>
      <c r="CA1421" s="73"/>
      <c r="CB1421" s="73"/>
      <c r="CC1421" s="73"/>
      <c r="CD1421" s="73"/>
      <c r="CE1421" s="73"/>
      <c r="CF1421" s="73"/>
      <c r="CG1421" s="73"/>
      <c r="CH1421" s="73"/>
      <c r="CI1421" s="73"/>
      <c r="CJ1421" s="73"/>
    </row>
    <row r="1422" spans="1:88" s="22" customFormat="1">
      <c r="A1422" s="1">
        <v>217</v>
      </c>
      <c r="B1422" s="34" t="s">
        <v>413</v>
      </c>
      <c r="C1422" s="34">
        <v>536</v>
      </c>
      <c r="D1422" s="34">
        <v>1091</v>
      </c>
      <c r="E1422" s="34">
        <v>200</v>
      </c>
      <c r="F1422" s="34" t="s">
        <v>420</v>
      </c>
      <c r="G1422" s="20" t="s">
        <v>421</v>
      </c>
      <c r="H1422" s="20" t="s">
        <v>422</v>
      </c>
      <c r="I1422" s="35">
        <v>64.825000000000003</v>
      </c>
      <c r="J1422" s="36">
        <v>2</v>
      </c>
      <c r="K1422" s="34" t="s">
        <v>238</v>
      </c>
      <c r="L1422" s="10">
        <v>42210</v>
      </c>
      <c r="M1422" s="9" t="s">
        <v>191</v>
      </c>
      <c r="N1422" s="38">
        <v>41.67</v>
      </c>
      <c r="O1422" s="38">
        <v>14.86</v>
      </c>
      <c r="P1422" s="38">
        <v>6.33</v>
      </c>
      <c r="Q1422" s="38">
        <v>1.98</v>
      </c>
      <c r="R1422" s="38">
        <v>2.4790000000000001</v>
      </c>
      <c r="S1422" s="38">
        <f t="shared" si="174"/>
        <v>2.5</v>
      </c>
      <c r="T1422" s="38">
        <v>60.01</v>
      </c>
      <c r="U1422" s="38">
        <v>4.01</v>
      </c>
      <c r="V1422" s="38">
        <v>0.71</v>
      </c>
      <c r="W1422" s="38">
        <v>0.1</v>
      </c>
      <c r="X1422" s="38">
        <v>6.4950000000000001</v>
      </c>
      <c r="Y1422" s="38">
        <f t="shared" si="175"/>
        <v>6.5</v>
      </c>
      <c r="Z1422" s="38">
        <v>0.2</v>
      </c>
      <c r="AA1422" s="38">
        <v>0.68</v>
      </c>
      <c r="AB1422" s="38">
        <v>63.95</v>
      </c>
      <c r="AC1422" s="38">
        <v>1.208</v>
      </c>
      <c r="AD1422" s="38">
        <v>128.69999999999999</v>
      </c>
      <c r="AE1422" s="38">
        <v>7.19</v>
      </c>
      <c r="AF1422" s="38">
        <f t="shared" si="177"/>
        <v>5.8308633133160689E-2</v>
      </c>
      <c r="AG1422" s="38">
        <f t="shared" si="176"/>
        <v>0.1</v>
      </c>
      <c r="AH1422" s="38">
        <v>0</v>
      </c>
      <c r="AI1422" s="38">
        <f t="shared" si="178"/>
        <v>0</v>
      </c>
      <c r="AJ1422" s="38">
        <v>53.04</v>
      </c>
      <c r="AK1422" s="38">
        <f t="shared" si="179"/>
        <v>2.3377224395350116E-2</v>
      </c>
      <c r="AL1422" s="38">
        <v>0</v>
      </c>
      <c r="AM1422" s="38">
        <f t="shared" si="180"/>
        <v>0</v>
      </c>
      <c r="AN1422" s="25"/>
      <c r="AO1422" s="25">
        <f>AE1422*0.5</f>
        <v>3.5950000000000002</v>
      </c>
      <c r="AP1422" s="25">
        <f>(AD1422+AH1422+AJ1422+AL1422+AO1422)*I1422</f>
        <v>12014.341375</v>
      </c>
      <c r="AQ1422" s="25">
        <f>SUM(N1422:Q1422)</f>
        <v>64.84</v>
      </c>
      <c r="AR1422" s="25">
        <f>SUM(T1422:W1422)</f>
        <v>64.829999999999984</v>
      </c>
      <c r="AT1422" s="41"/>
      <c r="AU1422" s="41">
        <f>SUM(N1422:Q1422)</f>
        <v>64.84</v>
      </c>
      <c r="AV1422" s="41">
        <f>SUM(T1422:W1422)</f>
        <v>64.829999999999984</v>
      </c>
      <c r="AW1422" s="41">
        <f>SUM(Z1422:AB1422)</f>
        <v>64.83</v>
      </c>
      <c r="AY1422" s="22">
        <f>I1422/AU1422</f>
        <v>0.99976866132017272</v>
      </c>
      <c r="AZ1422" s="22">
        <f>I1422/AV1422</f>
        <v>0.99992287521209344</v>
      </c>
      <c r="BA1422" s="22">
        <f>I1422/AW1422</f>
        <v>0.99992287521209322</v>
      </c>
    </row>
    <row r="1423" spans="1:88" s="22" customFormat="1">
      <c r="A1423" s="1">
        <v>2169</v>
      </c>
      <c r="B1423" s="34" t="s">
        <v>2798</v>
      </c>
      <c r="C1423" s="34">
        <v>311</v>
      </c>
      <c r="D1423" s="75">
        <v>414</v>
      </c>
      <c r="E1423" s="8">
        <v>102</v>
      </c>
      <c r="F1423" s="9" t="s">
        <v>2807</v>
      </c>
      <c r="G1423" s="20" t="s">
        <v>2808</v>
      </c>
      <c r="H1423" s="20" t="s">
        <v>2809</v>
      </c>
      <c r="I1423" s="21">
        <v>13.88</v>
      </c>
      <c r="J1423" s="8">
        <v>8</v>
      </c>
      <c r="K1423" s="8" t="s">
        <v>237</v>
      </c>
      <c r="L1423" s="18">
        <v>42147</v>
      </c>
      <c r="M1423" s="9" t="s">
        <v>191</v>
      </c>
      <c r="N1423" s="38">
        <v>8.125</v>
      </c>
      <c r="O1423" s="38">
        <v>3.2749999999999999</v>
      </c>
      <c r="P1423" s="38">
        <v>1.7250000000000001</v>
      </c>
      <c r="Q1423" s="38">
        <v>0.625</v>
      </c>
      <c r="R1423" s="38">
        <v>2.6436899999999999</v>
      </c>
      <c r="S1423" s="38">
        <f t="shared" si="174"/>
        <v>2.5</v>
      </c>
      <c r="T1423" s="38">
        <v>13.225</v>
      </c>
      <c r="U1423" s="38">
        <v>0.27500000000000002</v>
      </c>
      <c r="V1423" s="38">
        <v>0.05</v>
      </c>
      <c r="W1423" s="38">
        <v>0.2</v>
      </c>
      <c r="X1423" s="38">
        <v>4.2122000000000002</v>
      </c>
      <c r="Y1423" s="38">
        <f t="shared" si="175"/>
        <v>4</v>
      </c>
      <c r="Z1423" s="38">
        <v>0</v>
      </c>
      <c r="AA1423" s="38">
        <v>0</v>
      </c>
      <c r="AB1423" s="38">
        <v>13.75</v>
      </c>
      <c r="AC1423" s="38">
        <v>1.32863</v>
      </c>
      <c r="AD1423" s="38">
        <v>20.2</v>
      </c>
      <c r="AE1423" s="38">
        <v>16.100000000000001</v>
      </c>
      <c r="AF1423" s="38">
        <f t="shared" si="177"/>
        <v>5.8151502675998348E-2</v>
      </c>
      <c r="AG1423" s="38">
        <f t="shared" si="176"/>
        <v>0.1</v>
      </c>
      <c r="AH1423" s="38">
        <v>40.96</v>
      </c>
      <c r="AI1423" s="38">
        <f t="shared" si="178"/>
        <v>8.4314532729518304E-2</v>
      </c>
      <c r="AJ1423" s="38">
        <v>0</v>
      </c>
      <c r="AK1423" s="38">
        <f t="shared" si="179"/>
        <v>0</v>
      </c>
      <c r="AL1423" s="38">
        <v>0</v>
      </c>
      <c r="AM1423" s="38">
        <f t="shared" si="180"/>
        <v>0</v>
      </c>
      <c r="AN1423" s="72"/>
      <c r="AO1423" s="41"/>
      <c r="AP1423" s="41"/>
      <c r="AQ1423" s="41">
        <f>SUM(N1423:Q1423)</f>
        <v>13.75</v>
      </c>
      <c r="AR1423" s="41">
        <f>SUM(T1423:W1423)</f>
        <v>13.75</v>
      </c>
      <c r="AS1423" s="12">
        <f>SUM(Z1423:AB1423)</f>
        <v>13.75</v>
      </c>
      <c r="AT1423" s="1"/>
      <c r="AU1423" s="1">
        <f>I1423/AQ1423</f>
        <v>1.0094545454545456</v>
      </c>
      <c r="AV1423" s="1">
        <f>I1423/AR1423</f>
        <v>1.0094545454545456</v>
      </c>
      <c r="AW1423" s="1">
        <f>I1423/AS1423</f>
        <v>1.0094545454545456</v>
      </c>
    </row>
    <row r="1424" spans="1:88" s="22" customFormat="1">
      <c r="A1424" s="1">
        <v>710</v>
      </c>
      <c r="B1424" s="34" t="s">
        <v>1106</v>
      </c>
      <c r="C1424" s="34">
        <v>626</v>
      </c>
      <c r="D1424" s="34">
        <v>2354</v>
      </c>
      <c r="E1424" s="34">
        <v>101</v>
      </c>
      <c r="F1424" s="34" t="s">
        <v>1119</v>
      </c>
      <c r="G1424" s="58">
        <v>0</v>
      </c>
      <c r="H1424" s="58">
        <v>49560</v>
      </c>
      <c r="I1424" s="35">
        <v>49.56</v>
      </c>
      <c r="J1424" s="127">
        <v>2</v>
      </c>
      <c r="K1424" s="34" t="s">
        <v>238</v>
      </c>
      <c r="L1424" s="10">
        <v>42175</v>
      </c>
      <c r="M1424" s="9" t="s">
        <v>191</v>
      </c>
      <c r="N1424" s="38">
        <v>19.875</v>
      </c>
      <c r="O1424" s="38">
        <v>15.1</v>
      </c>
      <c r="P1424" s="38">
        <v>9.8000000000000007</v>
      </c>
      <c r="Q1424" s="38">
        <v>4.3</v>
      </c>
      <c r="R1424" s="38">
        <v>3.03756</v>
      </c>
      <c r="S1424" s="38">
        <f t="shared" si="174"/>
        <v>3</v>
      </c>
      <c r="T1424" s="38">
        <v>45.8</v>
      </c>
      <c r="U1424" s="38">
        <v>2.75</v>
      </c>
      <c r="V1424" s="38">
        <v>0.32500000000000001</v>
      </c>
      <c r="W1424" s="38">
        <v>0.2</v>
      </c>
      <c r="X1424" s="38">
        <v>4.8277700000000001</v>
      </c>
      <c r="Y1424" s="38">
        <f t="shared" si="175"/>
        <v>5</v>
      </c>
      <c r="Z1424" s="38">
        <v>0</v>
      </c>
      <c r="AA1424" s="38">
        <v>0</v>
      </c>
      <c r="AB1424" s="38">
        <f>N1424+O1424+P1424+Q1424</f>
        <v>49.075000000000003</v>
      </c>
      <c r="AC1424" s="38">
        <v>1.36557</v>
      </c>
      <c r="AD1424" s="38">
        <v>99.9</v>
      </c>
      <c r="AE1424" s="38">
        <v>1.73</v>
      </c>
      <c r="AF1424" s="38">
        <f t="shared" si="177"/>
        <v>5.8091202582728006E-2</v>
      </c>
      <c r="AG1424" s="38">
        <f t="shared" si="176"/>
        <v>0.1</v>
      </c>
      <c r="AH1424" s="38">
        <v>0</v>
      </c>
      <c r="AI1424" s="38">
        <f t="shared" si="178"/>
        <v>0</v>
      </c>
      <c r="AJ1424" s="38">
        <v>0</v>
      </c>
      <c r="AK1424" s="38">
        <f t="shared" si="179"/>
        <v>0</v>
      </c>
      <c r="AL1424" s="38">
        <v>0</v>
      </c>
      <c r="AM1424" s="38">
        <f t="shared" si="180"/>
        <v>0</v>
      </c>
      <c r="AN1424" s="25"/>
      <c r="AO1424" s="25">
        <f>AE1424*0.5</f>
        <v>0.86499999999999999</v>
      </c>
      <c r="AP1424" s="25">
        <f>(AD1424+AH1424+AJ1424+AL1424+AO1424)*I1424</f>
        <v>4993.9134000000004</v>
      </c>
      <c r="AQ1424" s="25">
        <f>SUM(N1424:Q1424)</f>
        <v>49.075000000000003</v>
      </c>
      <c r="AR1424" s="25">
        <f>SUM(T1424:W1424)</f>
        <v>49.075000000000003</v>
      </c>
      <c r="AS1424" s="268">
        <v>49.56</v>
      </c>
      <c r="AT1424" s="41"/>
      <c r="AU1424" s="41"/>
      <c r="AV1424" s="41"/>
      <c r="AW1424" s="41"/>
    </row>
    <row r="1425" spans="1:88" s="22" customFormat="1">
      <c r="A1425" s="1">
        <v>758</v>
      </c>
      <c r="B1425" s="34" t="s">
        <v>1106</v>
      </c>
      <c r="C1425" s="34">
        <v>626</v>
      </c>
      <c r="D1425" s="34">
        <v>2354</v>
      </c>
      <c r="E1425" s="34">
        <v>101</v>
      </c>
      <c r="F1425" s="34" t="s">
        <v>1119</v>
      </c>
      <c r="G1425" s="58">
        <v>0</v>
      </c>
      <c r="H1425" s="58">
        <v>49560</v>
      </c>
      <c r="I1425" s="35">
        <v>49.56</v>
      </c>
      <c r="J1425" s="127">
        <v>2</v>
      </c>
      <c r="K1425" s="34" t="s">
        <v>238</v>
      </c>
      <c r="L1425" s="10">
        <v>42175</v>
      </c>
      <c r="M1425" s="9" t="s">
        <v>191</v>
      </c>
      <c r="N1425" s="38">
        <v>19.875</v>
      </c>
      <c r="O1425" s="38">
        <v>15.1</v>
      </c>
      <c r="P1425" s="38">
        <v>9.8000000000000007</v>
      </c>
      <c r="Q1425" s="38">
        <v>4.3</v>
      </c>
      <c r="R1425" s="38">
        <v>3.03756</v>
      </c>
      <c r="S1425" s="38">
        <f t="shared" si="174"/>
        <v>3</v>
      </c>
      <c r="T1425" s="38">
        <v>45.8</v>
      </c>
      <c r="U1425" s="38">
        <v>2.75</v>
      </c>
      <c r="V1425" s="38">
        <v>0.32500000000000001</v>
      </c>
      <c r="W1425" s="38">
        <v>0.2</v>
      </c>
      <c r="X1425" s="38">
        <v>4.8277700000000001</v>
      </c>
      <c r="Y1425" s="38">
        <f t="shared" si="175"/>
        <v>5</v>
      </c>
      <c r="Z1425" s="38">
        <v>0</v>
      </c>
      <c r="AA1425" s="38">
        <v>0</v>
      </c>
      <c r="AB1425" s="38">
        <f>N1425+O1425+P1425+Q1425</f>
        <v>49.075000000000003</v>
      </c>
      <c r="AC1425" s="38">
        <v>1.36557</v>
      </c>
      <c r="AD1425" s="38">
        <v>99.9</v>
      </c>
      <c r="AE1425" s="38">
        <v>1.73</v>
      </c>
      <c r="AF1425" s="38">
        <f t="shared" si="177"/>
        <v>5.8091202582728006E-2</v>
      </c>
      <c r="AG1425" s="38">
        <f t="shared" si="176"/>
        <v>0.1</v>
      </c>
      <c r="AH1425" s="38">
        <v>0</v>
      </c>
      <c r="AI1425" s="38">
        <f t="shared" si="178"/>
        <v>0</v>
      </c>
      <c r="AJ1425" s="38">
        <v>0</v>
      </c>
      <c r="AK1425" s="38">
        <f t="shared" si="179"/>
        <v>0</v>
      </c>
      <c r="AL1425" s="38">
        <v>0</v>
      </c>
      <c r="AM1425" s="38">
        <f t="shared" si="180"/>
        <v>0</v>
      </c>
      <c r="AN1425" s="25"/>
      <c r="AO1425" s="25">
        <f>AE1425*0.5</f>
        <v>0.86499999999999999</v>
      </c>
      <c r="AP1425" s="25">
        <f>(AD1425+AH1425+AJ1425+AL1425+AO1425)*I1425</f>
        <v>4993.9134000000004</v>
      </c>
      <c r="AQ1425" s="25">
        <f>SUM(N1425:Q1425)</f>
        <v>49.075000000000003</v>
      </c>
      <c r="AR1425" s="25">
        <f>SUM(T1425:W1425)</f>
        <v>49.075000000000003</v>
      </c>
      <c r="AS1425" s="268">
        <v>49.56</v>
      </c>
      <c r="AT1425" s="41"/>
      <c r="AU1425" s="41"/>
      <c r="AV1425" s="41"/>
      <c r="AW1425" s="41"/>
    </row>
    <row r="1426" spans="1:88" s="22" customFormat="1">
      <c r="A1426" s="1">
        <v>42</v>
      </c>
      <c r="B1426" s="4" t="s">
        <v>21</v>
      </c>
      <c r="C1426" s="14">
        <v>522</v>
      </c>
      <c r="D1426" s="19">
        <v>1364</v>
      </c>
      <c r="E1426" s="16">
        <v>100</v>
      </c>
      <c r="F1426" s="14" t="s">
        <v>35</v>
      </c>
      <c r="G1426" s="20" t="s">
        <v>202</v>
      </c>
      <c r="H1426" s="20" t="s">
        <v>92</v>
      </c>
      <c r="I1426" s="21">
        <v>0.97099999999999997</v>
      </c>
      <c r="J1426" s="8">
        <v>4</v>
      </c>
      <c r="K1426" s="9" t="s">
        <v>237</v>
      </c>
      <c r="L1426" s="24">
        <v>42236</v>
      </c>
      <c r="M1426" s="9" t="s">
        <v>191</v>
      </c>
      <c r="N1426" s="26">
        <v>0.8</v>
      </c>
      <c r="O1426" s="26">
        <v>7.4999999999999997E-2</v>
      </c>
      <c r="P1426" s="26">
        <v>0</v>
      </c>
      <c r="Q1426" s="26">
        <v>7.4999999999999997E-2</v>
      </c>
      <c r="R1426" s="26">
        <v>2.2976299999999998</v>
      </c>
      <c r="S1426" s="38">
        <f t="shared" si="174"/>
        <v>2.5</v>
      </c>
      <c r="T1426" s="26">
        <v>0.92500000000000004</v>
      </c>
      <c r="U1426" s="26">
        <v>2.5000000000000001E-2</v>
      </c>
      <c r="V1426" s="26">
        <v>0</v>
      </c>
      <c r="W1426" s="26">
        <v>0</v>
      </c>
      <c r="X1426" s="26">
        <v>2.68492</v>
      </c>
      <c r="Y1426" s="38">
        <f t="shared" si="175"/>
        <v>2.5</v>
      </c>
      <c r="Z1426" s="11">
        <v>0</v>
      </c>
      <c r="AA1426" s="11">
        <v>0</v>
      </c>
      <c r="AB1426" s="11">
        <f>SUM(N1426:Q1426)</f>
        <v>0.95</v>
      </c>
      <c r="AC1426" s="26">
        <v>1.12324</v>
      </c>
      <c r="AD1426" s="26">
        <v>0.55000000000000004</v>
      </c>
      <c r="AE1426" s="26">
        <v>2.81</v>
      </c>
      <c r="AF1426" s="11">
        <f t="shared" si="177"/>
        <v>5.7525378843607478E-2</v>
      </c>
      <c r="AG1426" s="38">
        <f t="shared" si="176"/>
        <v>0.1</v>
      </c>
      <c r="AH1426" s="26">
        <v>0.51</v>
      </c>
      <c r="AI1426" s="11">
        <f t="shared" si="178"/>
        <v>1.5006620567897602E-2</v>
      </c>
      <c r="AJ1426" s="26">
        <v>0.32</v>
      </c>
      <c r="AK1426" s="11">
        <f t="shared" si="179"/>
        <v>9.4159187877004575E-3</v>
      </c>
      <c r="AL1426" s="26">
        <v>0.28000000000000003</v>
      </c>
      <c r="AM1426" s="11">
        <f t="shared" si="180"/>
        <v>8.2389289392379005E-3</v>
      </c>
      <c r="AO1426" s="25"/>
      <c r="AP1426" s="25"/>
    </row>
    <row r="1427" spans="1:88" s="22" customFormat="1">
      <c r="A1427" s="1">
        <v>1197</v>
      </c>
      <c r="B1427" s="34" t="s">
        <v>1674</v>
      </c>
      <c r="C1427" s="34">
        <v>435</v>
      </c>
      <c r="D1427" s="34">
        <v>2089</v>
      </c>
      <c r="E1427" s="34">
        <v>302</v>
      </c>
      <c r="F1427" s="34" t="s">
        <v>1682</v>
      </c>
      <c r="G1427" s="34" t="s">
        <v>1681</v>
      </c>
      <c r="H1427" s="34" t="s">
        <v>1683</v>
      </c>
      <c r="I1427" s="55">
        <v>31.925000000000001</v>
      </c>
      <c r="J1427" s="34">
        <v>2</v>
      </c>
      <c r="K1427" s="181" t="s">
        <v>238</v>
      </c>
      <c r="L1427" s="10">
        <v>42282</v>
      </c>
      <c r="M1427" s="9" t="s">
        <v>191</v>
      </c>
      <c r="N1427" s="38">
        <v>18.100000000000001</v>
      </c>
      <c r="O1427" s="38">
        <v>8.1750000000000007</v>
      </c>
      <c r="P1427" s="38">
        <v>4.25</v>
      </c>
      <c r="Q1427" s="38">
        <v>1.45</v>
      </c>
      <c r="R1427" s="38">
        <v>2.6886199999999998</v>
      </c>
      <c r="S1427" s="38">
        <f t="shared" si="174"/>
        <v>2.5</v>
      </c>
      <c r="T1427" s="38">
        <v>30.25</v>
      </c>
      <c r="U1427" s="38">
        <v>1.325</v>
      </c>
      <c r="V1427" s="38">
        <v>0.25</v>
      </c>
      <c r="W1427" s="38">
        <v>0.15</v>
      </c>
      <c r="X1427" s="38">
        <v>3.98549</v>
      </c>
      <c r="Y1427" s="38">
        <f t="shared" si="175"/>
        <v>4</v>
      </c>
      <c r="Z1427" s="38">
        <v>0</v>
      </c>
      <c r="AA1427" s="38">
        <v>0</v>
      </c>
      <c r="AB1427" s="55">
        <v>31.925000000000001</v>
      </c>
      <c r="AC1427" s="38">
        <v>1.25512</v>
      </c>
      <c r="AD1427" s="38">
        <v>62.331000000000003</v>
      </c>
      <c r="AE1427" s="38">
        <v>3.4889999999999999</v>
      </c>
      <c r="AF1427" s="38">
        <f t="shared" si="177"/>
        <v>5.7344669426110308E-2</v>
      </c>
      <c r="AG1427" s="38">
        <f t="shared" si="176"/>
        <v>0.1</v>
      </c>
      <c r="AH1427" s="38">
        <v>9.65</v>
      </c>
      <c r="AI1427" s="38">
        <v>8.6359999999999996E-3</v>
      </c>
      <c r="AJ1427" s="38">
        <v>0</v>
      </c>
      <c r="AK1427" s="38">
        <v>0</v>
      </c>
      <c r="AL1427" s="38">
        <v>0</v>
      </c>
      <c r="AM1427" s="38">
        <v>0</v>
      </c>
      <c r="AN1427" s="12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</row>
    <row r="1428" spans="1:88" s="22" customFormat="1">
      <c r="A1428" s="1">
        <v>1253</v>
      </c>
      <c r="B1428" s="34" t="s">
        <v>1775</v>
      </c>
      <c r="C1428" s="88">
        <v>438</v>
      </c>
      <c r="D1428" s="88">
        <v>225</v>
      </c>
      <c r="E1428" s="88">
        <v>101</v>
      </c>
      <c r="F1428" s="88" t="s">
        <v>1776</v>
      </c>
      <c r="G1428" s="88" t="s">
        <v>279</v>
      </c>
      <c r="H1428" s="88" t="s">
        <v>1777</v>
      </c>
      <c r="I1428" s="115">
        <v>23.2</v>
      </c>
      <c r="J1428" s="88">
        <v>2</v>
      </c>
      <c r="K1428" s="181" t="s">
        <v>238</v>
      </c>
      <c r="L1428" s="116">
        <v>42282</v>
      </c>
      <c r="M1428" s="9" t="s">
        <v>191</v>
      </c>
      <c r="N1428" s="117">
        <v>16.475000000000001</v>
      </c>
      <c r="O1428" s="117">
        <v>5.55</v>
      </c>
      <c r="P1428" s="117">
        <v>1.05</v>
      </c>
      <c r="Q1428" s="117">
        <v>0.15</v>
      </c>
      <c r="R1428" s="117">
        <v>2.2240000000000002</v>
      </c>
      <c r="S1428" s="38">
        <f t="shared" si="174"/>
        <v>2</v>
      </c>
      <c r="T1428" s="117">
        <v>23.074999999999999</v>
      </c>
      <c r="U1428" s="117">
        <v>0.125</v>
      </c>
      <c r="V1428" s="117">
        <v>2.5000000000000001E-2</v>
      </c>
      <c r="W1428" s="117">
        <v>0</v>
      </c>
      <c r="X1428" s="117">
        <v>2.5019999999999998</v>
      </c>
      <c r="Y1428" s="38">
        <f t="shared" si="175"/>
        <v>2.5</v>
      </c>
      <c r="Z1428" s="117">
        <v>0</v>
      </c>
      <c r="AA1428" s="117">
        <v>0</v>
      </c>
      <c r="AB1428" s="115">
        <v>23.2</v>
      </c>
      <c r="AC1428" s="117">
        <v>1.351</v>
      </c>
      <c r="AD1428" s="117">
        <v>28.411999999999999</v>
      </c>
      <c r="AE1428" s="117">
        <v>36.26</v>
      </c>
      <c r="AF1428" s="117">
        <f t="shared" si="177"/>
        <v>5.7317733990147786E-2</v>
      </c>
      <c r="AG1428" s="38">
        <f t="shared" si="176"/>
        <v>0.1</v>
      </c>
      <c r="AH1428" s="117">
        <v>26.984999999999999</v>
      </c>
      <c r="AI1428" s="117">
        <f>AH1428/(3.5*I1428*1000)*100</f>
        <v>3.3232758620689654E-2</v>
      </c>
      <c r="AJ1428" s="117">
        <v>0</v>
      </c>
      <c r="AK1428" s="117">
        <v>0</v>
      </c>
      <c r="AL1428" s="117">
        <v>0</v>
      </c>
      <c r="AM1428" s="117">
        <v>0</v>
      </c>
      <c r="AN1428" s="12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</row>
    <row r="1429" spans="1:88" s="22" customFormat="1">
      <c r="A1429" s="1">
        <v>558</v>
      </c>
      <c r="B1429" s="34" t="s">
        <v>948</v>
      </c>
      <c r="C1429" s="34">
        <v>551</v>
      </c>
      <c r="D1429" s="34">
        <v>2258</v>
      </c>
      <c r="E1429" s="34">
        <v>100</v>
      </c>
      <c r="F1429" s="9" t="s">
        <v>959</v>
      </c>
      <c r="G1429" s="118">
        <v>0</v>
      </c>
      <c r="H1429" s="118">
        <v>5000</v>
      </c>
      <c r="I1429" s="35">
        <v>5</v>
      </c>
      <c r="J1429" s="71">
        <v>2</v>
      </c>
      <c r="K1429" s="34" t="s">
        <v>237</v>
      </c>
      <c r="L1429" s="10">
        <v>42193</v>
      </c>
      <c r="M1429" s="9" t="s">
        <v>191</v>
      </c>
      <c r="N1429" s="38">
        <v>1.86</v>
      </c>
      <c r="O1429" s="38">
        <v>1.86</v>
      </c>
      <c r="P1429" s="38">
        <v>0.84</v>
      </c>
      <c r="Q1429" s="38">
        <v>0.45</v>
      </c>
      <c r="R1429" s="38">
        <v>2.835</v>
      </c>
      <c r="S1429" s="38">
        <f t="shared" si="174"/>
        <v>3</v>
      </c>
      <c r="T1429" s="38">
        <v>4.88</v>
      </c>
      <c r="U1429" s="38">
        <v>0.08</v>
      </c>
      <c r="V1429" s="38">
        <v>0</v>
      </c>
      <c r="W1429" s="38">
        <v>0.05</v>
      </c>
      <c r="X1429" s="38">
        <v>4.8</v>
      </c>
      <c r="Y1429" s="38">
        <f t="shared" si="175"/>
        <v>5</v>
      </c>
      <c r="Z1429" s="38">
        <v>0</v>
      </c>
      <c r="AA1429" s="38">
        <v>0.05</v>
      </c>
      <c r="AB1429" s="38">
        <v>5</v>
      </c>
      <c r="AC1429" s="38">
        <v>1.1759999999999999</v>
      </c>
      <c r="AD1429" s="38">
        <v>10</v>
      </c>
      <c r="AE1429" s="38">
        <v>0</v>
      </c>
      <c r="AF1429" s="38">
        <f t="shared" si="177"/>
        <v>5.7142857142857148E-2</v>
      </c>
      <c r="AG1429" s="38">
        <f t="shared" si="176"/>
        <v>0.1</v>
      </c>
      <c r="AH1429" s="38">
        <v>0</v>
      </c>
      <c r="AI1429" s="38">
        <f>AH1429/(3.5*I1429*1000)*100</f>
        <v>0</v>
      </c>
      <c r="AJ1429" s="38">
        <v>0</v>
      </c>
      <c r="AK1429" s="38">
        <f>AJ1429/(3.5*I1429*1000)*100</f>
        <v>0</v>
      </c>
      <c r="AL1429" s="38">
        <v>0</v>
      </c>
      <c r="AM1429" s="38">
        <f>AL1429/(3.5*I1429*1000)*100</f>
        <v>0</v>
      </c>
      <c r="AN1429" s="25"/>
      <c r="AO1429" s="25">
        <f>AE1429*0.5</f>
        <v>0</v>
      </c>
      <c r="AP1429" s="25">
        <f>(AD1429+AH1429+AJ1429+AL1429+AO1429)*I1429</f>
        <v>50</v>
      </c>
      <c r="AQ1429" s="25">
        <f>SUM(N1429:Q1429)</f>
        <v>5.0100000000000007</v>
      </c>
      <c r="AR1429" s="25">
        <f>SUM(T1429:W1429)</f>
        <v>5.01</v>
      </c>
      <c r="AS1429" s="268">
        <v>5</v>
      </c>
      <c r="AT1429" s="41"/>
      <c r="AU1429" s="41">
        <f>SUM(N1429:Q1429)</f>
        <v>5.0100000000000007</v>
      </c>
      <c r="AV1429" s="41">
        <f>SUM(T1429:W1429)</f>
        <v>5.01</v>
      </c>
      <c r="AW1429" s="41">
        <f>SUM(Z1429:AB1429)</f>
        <v>5.05</v>
      </c>
      <c r="AY1429" s="22">
        <f>I1429/AU1429</f>
        <v>0.9980039920159679</v>
      </c>
      <c r="AZ1429" s="22">
        <f>I1429/AV1429</f>
        <v>0.99800399201596812</v>
      </c>
      <c r="BA1429" s="22">
        <f>I1429/AW1429</f>
        <v>0.99009900990099009</v>
      </c>
    </row>
    <row r="1430" spans="1:88" s="22" customFormat="1">
      <c r="A1430" s="1">
        <v>513</v>
      </c>
      <c r="B1430" s="88" t="s">
        <v>871</v>
      </c>
      <c r="C1430" s="88">
        <v>557</v>
      </c>
      <c r="D1430" s="88">
        <v>117</v>
      </c>
      <c r="E1430" s="88">
        <v>402</v>
      </c>
      <c r="F1430" s="88" t="s">
        <v>876</v>
      </c>
      <c r="G1430" s="88" t="s">
        <v>875</v>
      </c>
      <c r="H1430" s="88" t="s">
        <v>877</v>
      </c>
      <c r="I1430" s="115">
        <v>31.873000000000001</v>
      </c>
      <c r="J1430" s="88" t="s">
        <v>238</v>
      </c>
      <c r="K1430" s="88">
        <v>2</v>
      </c>
      <c r="L1430" s="116">
        <v>42270</v>
      </c>
      <c r="M1430" s="9" t="s">
        <v>191</v>
      </c>
      <c r="N1430" s="38">
        <v>22.35</v>
      </c>
      <c r="O1430" s="38">
        <v>6.125</v>
      </c>
      <c r="P1430" s="38">
        <v>2.2749999999999999</v>
      </c>
      <c r="Q1430" s="38">
        <v>1.1299999999999999</v>
      </c>
      <c r="R1430" s="38">
        <v>2.3327800000000001</v>
      </c>
      <c r="S1430" s="38">
        <f t="shared" si="174"/>
        <v>2.5</v>
      </c>
      <c r="T1430" s="38">
        <v>31.024999999999999</v>
      </c>
      <c r="U1430" s="38">
        <v>0.72499999999999998</v>
      </c>
      <c r="V1430" s="38">
        <v>0.125</v>
      </c>
      <c r="W1430" s="38">
        <v>0</v>
      </c>
      <c r="X1430" s="38">
        <v>3.3930799999999999</v>
      </c>
      <c r="Y1430" s="38">
        <f t="shared" si="175"/>
        <v>3.5</v>
      </c>
      <c r="Z1430" s="117">
        <v>0</v>
      </c>
      <c r="AA1430" s="117">
        <v>0</v>
      </c>
      <c r="AB1430" s="117">
        <v>31.88</v>
      </c>
      <c r="AC1430" s="117">
        <v>1.11938</v>
      </c>
      <c r="AD1430" s="117">
        <v>54.265000000000001</v>
      </c>
      <c r="AE1430" s="117">
        <v>18.95</v>
      </c>
      <c r="AF1430" s="117">
        <v>5.7137E-2</v>
      </c>
      <c r="AG1430" s="38">
        <f t="shared" si="176"/>
        <v>0.1</v>
      </c>
      <c r="AH1430" s="117">
        <v>116.45</v>
      </c>
      <c r="AI1430" s="117">
        <v>0.10438799999999999</v>
      </c>
      <c r="AJ1430" s="117">
        <v>0</v>
      </c>
      <c r="AK1430" s="117">
        <v>0</v>
      </c>
      <c r="AL1430" s="117">
        <v>0</v>
      </c>
      <c r="AM1430" s="117">
        <v>0</v>
      </c>
      <c r="AN1430" s="25"/>
      <c r="AO1430" s="25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</row>
    <row r="1431" spans="1:88" s="22" customFormat="1">
      <c r="A1431" s="1">
        <v>1891</v>
      </c>
      <c r="B1431" s="34" t="s">
        <v>2495</v>
      </c>
      <c r="C1431" s="34">
        <v>335</v>
      </c>
      <c r="D1431" s="75">
        <v>3630</v>
      </c>
      <c r="E1431" s="8">
        <v>100</v>
      </c>
      <c r="F1431" s="9" t="s">
        <v>2525</v>
      </c>
      <c r="G1431" s="20" t="s">
        <v>2526</v>
      </c>
      <c r="H1431" s="20" t="s">
        <v>92</v>
      </c>
      <c r="I1431" s="21">
        <v>0.751</v>
      </c>
      <c r="J1431" s="34">
        <v>4</v>
      </c>
      <c r="K1431" s="34" t="s">
        <v>96</v>
      </c>
      <c r="L1431" s="18">
        <v>42095</v>
      </c>
      <c r="M1431" s="207" t="s">
        <v>191</v>
      </c>
      <c r="N1431" s="38">
        <v>0.7</v>
      </c>
      <c r="O1431" s="38">
        <v>0.05</v>
      </c>
      <c r="P1431" s="38">
        <v>0</v>
      </c>
      <c r="Q1431" s="38">
        <v>0</v>
      </c>
      <c r="R1431" s="38">
        <v>1.9993300000000001</v>
      </c>
      <c r="S1431" s="38">
        <f t="shared" si="174"/>
        <v>2</v>
      </c>
      <c r="T1431" s="38">
        <v>0.75</v>
      </c>
      <c r="U1431" s="38">
        <v>0</v>
      </c>
      <c r="V1431" s="38">
        <v>0</v>
      </c>
      <c r="W1431" s="38">
        <v>0</v>
      </c>
      <c r="X1431" s="38">
        <v>2.7052999999999998</v>
      </c>
      <c r="Y1431" s="38">
        <f t="shared" si="175"/>
        <v>2.5</v>
      </c>
      <c r="Z1431" s="38">
        <v>0</v>
      </c>
      <c r="AA1431" s="38">
        <v>0</v>
      </c>
      <c r="AB1431" s="38">
        <v>0.75</v>
      </c>
      <c r="AC1431" s="38">
        <v>1.20197</v>
      </c>
      <c r="AD1431" s="38">
        <v>0.35</v>
      </c>
      <c r="AE1431" s="38">
        <v>2.2999999999999998</v>
      </c>
      <c r="AF1431" s="38">
        <f>(AD1431+AE1431*0.5)/(3.5*I1431*1000)*100</f>
        <v>5.7066768118698874E-2</v>
      </c>
      <c r="AG1431" s="38">
        <f t="shared" si="176"/>
        <v>0.1</v>
      </c>
      <c r="AH1431" s="38">
        <v>0</v>
      </c>
      <c r="AI1431" s="38">
        <f>AH1431/(3.5*I1431*1000)*100</f>
        <v>0</v>
      </c>
      <c r="AJ1431" s="38">
        <v>0</v>
      </c>
      <c r="AK1431" s="38">
        <f>AJ1431/(3.5*I1431*1000)*100</f>
        <v>0</v>
      </c>
      <c r="AL1431" s="38">
        <v>0</v>
      </c>
      <c r="AM1431" s="38">
        <f>AL1431/(3.5*I1431*1000)*100</f>
        <v>0</v>
      </c>
      <c r="AN1431" s="73"/>
      <c r="AO1431" s="73"/>
      <c r="AP1431" s="73"/>
      <c r="AQ1431" s="41">
        <f>SUM(N1431:Q1431)</f>
        <v>0.75</v>
      </c>
      <c r="AR1431" s="41">
        <f>SUM(T1431:W1431)</f>
        <v>0.75</v>
      </c>
      <c r="AS1431" s="12">
        <f>SUM(Z1431:AB1431)</f>
        <v>0.75</v>
      </c>
      <c r="AT1431" s="1"/>
      <c r="AU1431" s="1">
        <f>I1431/AQ1431</f>
        <v>1.0013333333333334</v>
      </c>
      <c r="AV1431" s="1">
        <f>I1431/AR1431</f>
        <v>1.0013333333333334</v>
      </c>
      <c r="AW1431" s="1">
        <f>I1431/AS1431</f>
        <v>1.0013333333333334</v>
      </c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</row>
    <row r="1432" spans="1:88" s="22" customFormat="1">
      <c r="A1432" s="1">
        <v>919</v>
      </c>
      <c r="B1432" s="34" t="s">
        <v>1309</v>
      </c>
      <c r="C1432" s="34">
        <v>638</v>
      </c>
      <c r="D1432" s="8">
        <v>2076</v>
      </c>
      <c r="E1432" s="34">
        <v>200</v>
      </c>
      <c r="F1432" s="34" t="s">
        <v>1313</v>
      </c>
      <c r="G1432" s="58">
        <v>36513</v>
      </c>
      <c r="H1432" s="58">
        <v>57985</v>
      </c>
      <c r="I1432" s="35">
        <v>21.472000000000001</v>
      </c>
      <c r="J1432" s="9">
        <v>2</v>
      </c>
      <c r="K1432" s="34" t="s">
        <v>238</v>
      </c>
      <c r="L1432" s="10">
        <v>42136</v>
      </c>
      <c r="M1432" s="9" t="s">
        <v>191</v>
      </c>
      <c r="N1432" s="38">
        <v>12.775</v>
      </c>
      <c r="O1432" s="38">
        <v>5.7</v>
      </c>
      <c r="P1432" s="38">
        <v>2.0499999999999998</v>
      </c>
      <c r="Q1432" s="38">
        <v>0.875</v>
      </c>
      <c r="R1432" s="38">
        <v>3.2308699999999999</v>
      </c>
      <c r="S1432" s="38">
        <f t="shared" si="174"/>
        <v>3</v>
      </c>
      <c r="T1432" s="38">
        <v>20.425000000000001</v>
      </c>
      <c r="U1432" s="38">
        <v>0.85</v>
      </c>
      <c r="V1432" s="38">
        <v>0.1</v>
      </c>
      <c r="W1432" s="38">
        <v>2.5000000000000001E-2</v>
      </c>
      <c r="X1432" s="38">
        <v>5.8822599999999996</v>
      </c>
      <c r="Y1432" s="38">
        <f t="shared" si="175"/>
        <v>6</v>
      </c>
      <c r="Z1432" s="38">
        <v>0</v>
      </c>
      <c r="AA1432" s="38">
        <v>0</v>
      </c>
      <c r="AB1432" s="38">
        <f>N1432+O1432+P1432+Q1432</f>
        <v>21.400000000000002</v>
      </c>
      <c r="AC1432" s="38">
        <v>1.41917</v>
      </c>
      <c r="AD1432" s="38">
        <v>42.81</v>
      </c>
      <c r="AE1432" s="38">
        <v>0</v>
      </c>
      <c r="AF1432" s="38">
        <v>5.6959999999999997E-2</v>
      </c>
      <c r="AG1432" s="38">
        <f t="shared" si="176"/>
        <v>0.1</v>
      </c>
      <c r="AH1432" s="38">
        <v>1.71</v>
      </c>
      <c r="AI1432" s="38">
        <v>2.2799999999999999E-3</v>
      </c>
      <c r="AJ1432" s="38">
        <v>853.84</v>
      </c>
      <c r="AK1432" s="38">
        <v>1.1361509999999999</v>
      </c>
      <c r="AL1432" s="38">
        <v>0</v>
      </c>
      <c r="AM1432" s="38">
        <v>0</v>
      </c>
      <c r="AN1432" s="40"/>
      <c r="AO1432" s="40"/>
      <c r="AP1432" s="40">
        <f>AE1432*0.5</f>
        <v>0</v>
      </c>
      <c r="AQ1432" s="25">
        <f>(AD1432+AH1432+AJ1432+AL1432+AP1432)*I1432</f>
        <v>19289.585920000001</v>
      </c>
      <c r="AR1432" s="25"/>
      <c r="AS1432" s="25"/>
      <c r="AT1432" s="25">
        <f>SUM(N1432:Q1432)</f>
        <v>21.400000000000002</v>
      </c>
      <c r="AU1432" s="25">
        <f>SUM(T1432:W1432)</f>
        <v>21.400000000000002</v>
      </c>
      <c r="AW1432" s="41"/>
      <c r="AX1432" s="41"/>
      <c r="AY1432" s="41"/>
      <c r="AZ1432" s="41"/>
    </row>
    <row r="1433" spans="1:88" s="22" customFormat="1">
      <c r="A1433" s="1">
        <v>1269</v>
      </c>
      <c r="B1433" s="34" t="s">
        <v>1775</v>
      </c>
      <c r="C1433" s="88">
        <v>438</v>
      </c>
      <c r="D1433" s="88">
        <v>3330</v>
      </c>
      <c r="E1433" s="88">
        <v>100</v>
      </c>
      <c r="F1433" s="88" t="s">
        <v>1806</v>
      </c>
      <c r="G1433" s="88" t="s">
        <v>92</v>
      </c>
      <c r="H1433" s="88" t="s">
        <v>1807</v>
      </c>
      <c r="I1433" s="115">
        <v>34.17</v>
      </c>
      <c r="J1433" s="88">
        <v>2</v>
      </c>
      <c r="K1433" s="181" t="s">
        <v>238</v>
      </c>
      <c r="L1433" s="116">
        <v>42282</v>
      </c>
      <c r="M1433" s="9" t="s">
        <v>191</v>
      </c>
      <c r="N1433" s="117">
        <v>20.524999999999999</v>
      </c>
      <c r="O1433" s="117">
        <v>9.1</v>
      </c>
      <c r="P1433" s="117">
        <v>3.45</v>
      </c>
      <c r="Q1433" s="117">
        <v>1.1000000000000001</v>
      </c>
      <c r="R1433" s="117">
        <v>2.5938599999999998</v>
      </c>
      <c r="S1433" s="38">
        <f t="shared" si="174"/>
        <v>2.5</v>
      </c>
      <c r="T1433" s="117">
        <v>33.125</v>
      </c>
      <c r="U1433" s="117">
        <v>0.875</v>
      </c>
      <c r="V1433" s="117">
        <v>7.4999999999999997E-2</v>
      </c>
      <c r="W1433" s="117">
        <v>0.1</v>
      </c>
      <c r="X1433" s="117">
        <v>3.4674399999999999</v>
      </c>
      <c r="Y1433" s="38">
        <f t="shared" si="175"/>
        <v>3.5</v>
      </c>
      <c r="Z1433" s="117">
        <v>0</v>
      </c>
      <c r="AA1433" s="117">
        <v>0</v>
      </c>
      <c r="AB1433" s="115">
        <v>34.17</v>
      </c>
      <c r="AC1433" s="117">
        <v>1.31382</v>
      </c>
      <c r="AD1433" s="117">
        <v>64.203000000000003</v>
      </c>
      <c r="AE1433" s="117">
        <v>6.5579999999999998</v>
      </c>
      <c r="AF1433" s="117">
        <f>(AD1433+AE1433*0.5)/(3.5*I1433*1000)*100</f>
        <v>5.6425435845980178E-2</v>
      </c>
      <c r="AG1433" s="38">
        <f t="shared" si="176"/>
        <v>0.1</v>
      </c>
      <c r="AH1433" s="117">
        <v>26.68</v>
      </c>
      <c r="AI1433" s="117">
        <f>AH1433/(3.5*I1433*1000)*100</f>
        <v>2.2308624942514319E-2</v>
      </c>
      <c r="AJ1433" s="117">
        <v>0</v>
      </c>
      <c r="AK1433" s="117">
        <v>0</v>
      </c>
      <c r="AL1433" s="117">
        <v>0</v>
      </c>
      <c r="AM1433" s="117">
        <v>0</v>
      </c>
      <c r="AN1433" s="12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</row>
    <row r="1434" spans="1:88" s="22" customFormat="1">
      <c r="A1434" s="1">
        <v>676</v>
      </c>
      <c r="B1434" s="34" t="s">
        <v>1084</v>
      </c>
      <c r="C1434" s="34">
        <v>624</v>
      </c>
      <c r="D1434" s="34">
        <v>2022</v>
      </c>
      <c r="E1434" s="34">
        <v>100</v>
      </c>
      <c r="F1434" s="34" t="s">
        <v>1086</v>
      </c>
      <c r="G1434" s="58">
        <v>0</v>
      </c>
      <c r="H1434" s="58">
        <v>62183</v>
      </c>
      <c r="I1434" s="35">
        <v>61.183</v>
      </c>
      <c r="J1434" s="34">
        <v>2</v>
      </c>
      <c r="K1434" s="34" t="s">
        <v>238</v>
      </c>
      <c r="L1434" s="10">
        <v>42171</v>
      </c>
      <c r="M1434" s="9" t="s">
        <v>191</v>
      </c>
      <c r="N1434" s="38">
        <v>36.424999999999997</v>
      </c>
      <c r="O1434" s="38">
        <v>16.774999999999999</v>
      </c>
      <c r="P1434" s="38">
        <v>7.0750000000000002</v>
      </c>
      <c r="Q1434" s="38">
        <v>1.85</v>
      </c>
      <c r="R1434" s="38">
        <v>3.1408299999999998</v>
      </c>
      <c r="S1434" s="38">
        <f t="shared" si="174"/>
        <v>3</v>
      </c>
      <c r="T1434" s="38">
        <v>58.85</v>
      </c>
      <c r="U1434" s="38">
        <v>2.2000000000000002</v>
      </c>
      <c r="V1434" s="38">
        <v>0.625</v>
      </c>
      <c r="W1434" s="38">
        <v>0.45</v>
      </c>
      <c r="X1434" s="38">
        <v>5.4675399999999996</v>
      </c>
      <c r="Y1434" s="38">
        <f t="shared" si="175"/>
        <v>5.5</v>
      </c>
      <c r="Z1434" s="38">
        <v>0</v>
      </c>
      <c r="AA1434" s="38">
        <v>0</v>
      </c>
      <c r="AB1434" s="38">
        <f>N1434+O1434+P1434+Q1434</f>
        <v>62.125</v>
      </c>
      <c r="AC1434" s="38">
        <v>1.2183299999999999</v>
      </c>
      <c r="AD1434" s="38">
        <v>54.2</v>
      </c>
      <c r="AE1434" s="38">
        <v>136.54</v>
      </c>
      <c r="AF1434" s="38">
        <v>5.6270000000000001E-2</v>
      </c>
      <c r="AG1434" s="38">
        <f t="shared" si="176"/>
        <v>0.1</v>
      </c>
      <c r="AH1434" s="38">
        <v>239.89</v>
      </c>
      <c r="AI1434" s="38">
        <v>0.11022</v>
      </c>
      <c r="AJ1434" s="38">
        <v>6.47</v>
      </c>
      <c r="AK1434" s="38">
        <v>2.9729999999999999E-3</v>
      </c>
      <c r="AL1434" s="38">
        <v>23.71</v>
      </c>
      <c r="AM1434" s="38">
        <v>1.089E-2</v>
      </c>
      <c r="AN1434" s="25"/>
      <c r="AO1434" s="25">
        <f>AE1434*0.5</f>
        <v>68.27</v>
      </c>
      <c r="AP1434" s="25">
        <f>(AD1434+AH1434+AJ1434+AL1434+AO1434)*I1434</f>
        <v>24016.774819999999</v>
      </c>
      <c r="AQ1434" s="25">
        <f>SUM(N1434:Q1434)</f>
        <v>62.125</v>
      </c>
      <c r="AR1434" s="25">
        <f>SUM(T1434:W1434)</f>
        <v>62.125000000000007</v>
      </c>
      <c r="AT1434" s="41"/>
      <c r="AU1434" s="41"/>
      <c r="AV1434" s="41"/>
      <c r="AW1434" s="41"/>
    </row>
    <row r="1435" spans="1:88" s="22" customFormat="1" ht="21" customHeight="1">
      <c r="A1435" s="1">
        <v>1443</v>
      </c>
      <c r="B1435" s="34" t="s">
        <v>1987</v>
      </c>
      <c r="C1435" s="34">
        <v>448</v>
      </c>
      <c r="D1435" s="75">
        <v>309</v>
      </c>
      <c r="E1435" s="69">
        <v>201</v>
      </c>
      <c r="F1435" s="34" t="s">
        <v>1992</v>
      </c>
      <c r="G1435" s="20" t="s">
        <v>1994</v>
      </c>
      <c r="H1435" s="20" t="s">
        <v>1993</v>
      </c>
      <c r="I1435" s="21">
        <v>16.3</v>
      </c>
      <c r="J1435" s="8">
        <v>4</v>
      </c>
      <c r="K1435" s="34" t="s">
        <v>237</v>
      </c>
      <c r="L1435" s="10">
        <v>42182</v>
      </c>
      <c r="M1435" s="9" t="s">
        <v>191</v>
      </c>
      <c r="N1435" s="38">
        <v>10.7</v>
      </c>
      <c r="O1435" s="38">
        <v>3.45</v>
      </c>
      <c r="P1435" s="38">
        <v>1.575</v>
      </c>
      <c r="Q1435" s="38">
        <v>0.57499999999999996</v>
      </c>
      <c r="R1435" s="38">
        <v>2.4568699999999999</v>
      </c>
      <c r="S1435" s="38">
        <f t="shared" si="174"/>
        <v>2.5</v>
      </c>
      <c r="T1435" s="38">
        <v>15.625</v>
      </c>
      <c r="U1435" s="38">
        <v>0.47499999999999998</v>
      </c>
      <c r="V1435" s="38">
        <v>0.1</v>
      </c>
      <c r="W1435" s="38">
        <v>0.1</v>
      </c>
      <c r="X1435" s="38">
        <v>3.9613900000000002</v>
      </c>
      <c r="Y1435" s="38">
        <f t="shared" si="175"/>
        <v>4</v>
      </c>
      <c r="Z1435" s="38">
        <v>0</v>
      </c>
      <c r="AA1435" s="38">
        <v>0</v>
      </c>
      <c r="AB1435" s="38">
        <v>16.299999999999997</v>
      </c>
      <c r="AC1435" s="38">
        <v>1.14943</v>
      </c>
      <c r="AD1435" s="38">
        <v>2</v>
      </c>
      <c r="AE1435" s="38">
        <v>60</v>
      </c>
      <c r="AF1435" s="38">
        <f>(AD1435+AE1435*0.5)/(3.5*I1435*1000)*100</f>
        <v>5.609114811568798E-2</v>
      </c>
      <c r="AG1435" s="38">
        <f t="shared" si="176"/>
        <v>0.1</v>
      </c>
      <c r="AH1435" s="38">
        <v>0</v>
      </c>
      <c r="AI1435" s="38">
        <f>AH1435/(3.5*I1435*1000)*100</f>
        <v>0</v>
      </c>
      <c r="AJ1435" s="38">
        <v>0</v>
      </c>
      <c r="AK1435" s="38">
        <f>AJ1435/(3.5*I1435*1000)*100</f>
        <v>0</v>
      </c>
      <c r="AL1435" s="38">
        <v>0</v>
      </c>
      <c r="AM1435" s="38">
        <f>AL1435/(3.5*I1435*1000)*100</f>
        <v>0</v>
      </c>
      <c r="AN1435" s="72"/>
      <c r="AO1435" s="41"/>
      <c r="AP1435" s="41"/>
      <c r="AQ1435" s="73"/>
      <c r="AR1435" s="73"/>
      <c r="AS1435" s="73"/>
      <c r="AT1435" s="73"/>
      <c r="AU1435" s="73"/>
      <c r="AV1435" s="73"/>
    </row>
    <row r="1436" spans="1:88" s="22" customFormat="1">
      <c r="A1436" s="1">
        <v>117</v>
      </c>
      <c r="B1436" s="4" t="s">
        <v>78</v>
      </c>
      <c r="C1436" s="14">
        <v>527</v>
      </c>
      <c r="D1436" s="19">
        <v>1178</v>
      </c>
      <c r="E1436" s="16">
        <v>103</v>
      </c>
      <c r="F1436" s="31" t="s">
        <v>234</v>
      </c>
      <c r="G1436" s="20">
        <v>47515</v>
      </c>
      <c r="H1436" s="20">
        <v>74349</v>
      </c>
      <c r="I1436" s="21">
        <v>26.834</v>
      </c>
      <c r="J1436" s="8">
        <v>2</v>
      </c>
      <c r="K1436" s="9" t="s">
        <v>238</v>
      </c>
      <c r="L1436" s="18">
        <v>42240</v>
      </c>
      <c r="M1436" s="9" t="s">
        <v>191</v>
      </c>
      <c r="N1436" s="11">
        <v>13.53</v>
      </c>
      <c r="O1436" s="11">
        <v>9.11</v>
      </c>
      <c r="P1436" s="11">
        <v>3.49</v>
      </c>
      <c r="Q1436" s="11">
        <v>0.7</v>
      </c>
      <c r="R1436" s="11">
        <v>3.431</v>
      </c>
      <c r="S1436" s="38">
        <f t="shared" si="174"/>
        <v>3.5</v>
      </c>
      <c r="T1436" s="11">
        <v>20.14</v>
      </c>
      <c r="U1436" s="11">
        <v>6.7</v>
      </c>
      <c r="V1436" s="11">
        <v>0</v>
      </c>
      <c r="W1436" s="11">
        <v>0</v>
      </c>
      <c r="X1436" s="11">
        <v>3.681</v>
      </c>
      <c r="Y1436" s="38">
        <f t="shared" si="175"/>
        <v>3.5</v>
      </c>
      <c r="Z1436" s="11">
        <v>0</v>
      </c>
      <c r="AA1436" s="11">
        <v>0</v>
      </c>
      <c r="AB1436" s="11">
        <v>26.83</v>
      </c>
      <c r="AC1436" s="11">
        <v>1.236</v>
      </c>
      <c r="AD1436" s="11">
        <v>41.32</v>
      </c>
      <c r="AE1436" s="11">
        <v>22.69</v>
      </c>
      <c r="AF1436" s="11">
        <f>(AD1436+AE1436*0.5)/(3.5*I1436*1000)*100</f>
        <v>5.6074915618777879E-2</v>
      </c>
      <c r="AG1436" s="38">
        <f t="shared" si="176"/>
        <v>0.1</v>
      </c>
      <c r="AH1436" s="11">
        <v>39.36</v>
      </c>
      <c r="AI1436" s="11">
        <f>AH1436/(3.5*I1436*1000)*100</f>
        <v>4.1908453028673638E-2</v>
      </c>
      <c r="AJ1436" s="11">
        <v>0</v>
      </c>
      <c r="AK1436" s="11">
        <f>AJ1436/(3.5*I1436*1000)*100</f>
        <v>0</v>
      </c>
      <c r="AL1436" s="11">
        <v>0</v>
      </c>
      <c r="AM1436" s="11">
        <f>AL1436/(3.5*I1436*1000)*100</f>
        <v>0</v>
      </c>
      <c r="AO1436" s="25"/>
      <c r="AP1436" s="25">
        <f>SUM(N1436:Q1436)</f>
        <v>26.830000000000002</v>
      </c>
      <c r="AQ1436" s="25">
        <f>SUM(T1436:W1436)</f>
        <v>26.84</v>
      </c>
      <c r="AR1436" s="25">
        <f>SUM(Z1436:AB1436)</f>
        <v>26.83</v>
      </c>
      <c r="AT1436" s="22">
        <f>I1436/AP1436</f>
        <v>1.000149086843086</v>
      </c>
      <c r="AU1436" s="22">
        <f>I1436/AQ1436</f>
        <v>0.99977645305514162</v>
      </c>
      <c r="AV1436" s="22">
        <f>I1436/AR1436</f>
        <v>1.0001490868430862</v>
      </c>
    </row>
    <row r="1437" spans="1:88" s="22" customFormat="1">
      <c r="A1437" s="1">
        <v>1288</v>
      </c>
      <c r="B1437" s="74" t="s">
        <v>1820</v>
      </c>
      <c r="C1437" s="34">
        <v>441</v>
      </c>
      <c r="D1437" s="75">
        <v>3351</v>
      </c>
      <c r="E1437" s="69">
        <v>100</v>
      </c>
      <c r="F1437" s="34" t="s">
        <v>1834</v>
      </c>
      <c r="G1437" s="58">
        <v>0</v>
      </c>
      <c r="H1437" s="58">
        <v>18600</v>
      </c>
      <c r="I1437" s="55">
        <v>18.600000000000001</v>
      </c>
      <c r="J1437" s="34">
        <v>2</v>
      </c>
      <c r="K1437" s="34" t="s">
        <v>238</v>
      </c>
      <c r="L1437" s="10">
        <v>42187</v>
      </c>
      <c r="M1437" s="9" t="s">
        <v>191</v>
      </c>
      <c r="N1437" s="38">
        <v>13.9</v>
      </c>
      <c r="O1437" s="38">
        <v>3.3250000000000002</v>
      </c>
      <c r="P1437" s="38">
        <v>0.9</v>
      </c>
      <c r="Q1437" s="38">
        <v>0.4</v>
      </c>
      <c r="R1437" s="38">
        <v>2.2073</v>
      </c>
      <c r="S1437" s="38">
        <f t="shared" si="174"/>
        <v>2</v>
      </c>
      <c r="T1437" s="38">
        <v>17.774999999999999</v>
      </c>
      <c r="U1437" s="38">
        <v>0.57499999999999996</v>
      </c>
      <c r="V1437" s="38">
        <v>0.15</v>
      </c>
      <c r="W1437" s="38">
        <v>2.5000000000000001E-2</v>
      </c>
      <c r="X1437" s="38">
        <v>2.99973</v>
      </c>
      <c r="Y1437" s="38">
        <f t="shared" si="175"/>
        <v>3</v>
      </c>
      <c r="Z1437" s="38">
        <v>0</v>
      </c>
      <c r="AA1437" s="38">
        <v>0</v>
      </c>
      <c r="AB1437" s="38">
        <v>18.524999999999999</v>
      </c>
      <c r="AC1437" s="38">
        <v>1.08589</v>
      </c>
      <c r="AD1437" s="38">
        <v>32.700000000000003</v>
      </c>
      <c r="AE1437" s="38">
        <v>6.9</v>
      </c>
      <c r="AF1437" s="38">
        <v>5.5529953917050692E-2</v>
      </c>
      <c r="AG1437" s="38">
        <f t="shared" si="176"/>
        <v>0.1</v>
      </c>
      <c r="AH1437" s="38">
        <v>347.87</v>
      </c>
      <c r="AI1437" s="38">
        <v>0.53436251920122879</v>
      </c>
      <c r="AJ1437" s="38">
        <v>0</v>
      </c>
      <c r="AK1437" s="38">
        <v>0</v>
      </c>
      <c r="AL1437" s="38">
        <v>0</v>
      </c>
      <c r="AM1437" s="38">
        <v>0</v>
      </c>
      <c r="AN1437" s="40"/>
      <c r="AO1437" s="12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</row>
    <row r="1438" spans="1:88" s="22" customFormat="1">
      <c r="A1438" s="1">
        <v>769</v>
      </c>
      <c r="B1438" s="34" t="s">
        <v>1149</v>
      </c>
      <c r="C1438" s="34">
        <v>622</v>
      </c>
      <c r="D1438" s="8">
        <v>2063</v>
      </c>
      <c r="E1438" s="34">
        <v>100</v>
      </c>
      <c r="F1438" s="34" t="s">
        <v>1161</v>
      </c>
      <c r="G1438" s="58">
        <v>24930</v>
      </c>
      <c r="H1438" s="58">
        <v>0</v>
      </c>
      <c r="I1438" s="35">
        <v>29.93</v>
      </c>
      <c r="J1438" s="9">
        <v>2</v>
      </c>
      <c r="K1438" s="34" t="s">
        <v>12</v>
      </c>
      <c r="L1438" s="10">
        <v>42151</v>
      </c>
      <c r="M1438" s="9" t="s">
        <v>191</v>
      </c>
      <c r="N1438" s="38">
        <v>21.959</v>
      </c>
      <c r="O1438" s="38">
        <v>5.0810000000000004</v>
      </c>
      <c r="P1438" s="38">
        <v>2.2010000000000001</v>
      </c>
      <c r="Q1438" s="38">
        <v>0.68899999999999995</v>
      </c>
      <c r="R1438" s="38">
        <v>2.4790000000000001</v>
      </c>
      <c r="S1438" s="38">
        <f t="shared" si="174"/>
        <v>2.5</v>
      </c>
      <c r="T1438" s="38">
        <v>29.13</v>
      </c>
      <c r="U1438" s="38">
        <v>0.74</v>
      </c>
      <c r="V1438" s="38">
        <v>0.05</v>
      </c>
      <c r="W1438" s="38">
        <v>0.03</v>
      </c>
      <c r="X1438" s="38">
        <v>5.9950000000000001</v>
      </c>
      <c r="Y1438" s="38">
        <f t="shared" si="175"/>
        <v>6</v>
      </c>
      <c r="Z1438" s="38">
        <v>0</v>
      </c>
      <c r="AA1438" s="38">
        <v>0</v>
      </c>
      <c r="AB1438" s="38">
        <v>29.93</v>
      </c>
      <c r="AC1438" s="38">
        <v>1.2290000000000001</v>
      </c>
      <c r="AD1438" s="38">
        <v>47.68</v>
      </c>
      <c r="AE1438" s="38">
        <v>20.58</v>
      </c>
      <c r="AF1438" s="38">
        <f>(AD1438+AE1438*0.5)/(3.5*I1438*1000)*100</f>
        <v>5.5338647319936998E-2</v>
      </c>
      <c r="AG1438" s="38">
        <f t="shared" si="176"/>
        <v>0.1</v>
      </c>
      <c r="AH1438" s="38">
        <v>1.24</v>
      </c>
      <c r="AI1438" s="38">
        <f>AH1438/(3.5*I1438*1000)*100</f>
        <v>1.1837143811751229E-3</v>
      </c>
      <c r="AJ1438" s="38">
        <v>20.74</v>
      </c>
      <c r="AK1438" s="38">
        <f>AJ1438/(3.5*I1438*1000)*100</f>
        <v>1.9798577633525844E-2</v>
      </c>
      <c r="AL1438" s="38">
        <v>0</v>
      </c>
      <c r="AM1438" s="38">
        <f>AL1438/(3.5*I1438*1000)*100</f>
        <v>0</v>
      </c>
      <c r="AN1438" s="25"/>
      <c r="AO1438" s="25">
        <f>AE1438*0.5</f>
        <v>10.29</v>
      </c>
      <c r="AP1438" s="25">
        <f>(AD1438+AH1438+AJ1438+AL1438+AO1438)*I1438</f>
        <v>2392.9034999999994</v>
      </c>
      <c r="AQ1438" s="25">
        <f>SUM(N1438:Q1438)</f>
        <v>29.93</v>
      </c>
      <c r="AR1438" s="25">
        <f>SUM(T1438:W1438)</f>
        <v>29.95</v>
      </c>
      <c r="AS1438" s="268">
        <v>31.940999999999999</v>
      </c>
      <c r="AT1438" s="41"/>
      <c r="AU1438" s="41">
        <f>SUM(N1438:Q1438)</f>
        <v>29.93</v>
      </c>
      <c r="AV1438" s="41">
        <f>SUM(T1438:W1438)</f>
        <v>29.95</v>
      </c>
      <c r="AW1438" s="41">
        <f>SUM(Z1438:AB1438)</f>
        <v>29.93</v>
      </c>
      <c r="AY1438" s="22">
        <f>I1438/AU1438</f>
        <v>1</v>
      </c>
      <c r="AZ1438" s="22">
        <f>I1438/AV1438</f>
        <v>0.99933222036727887</v>
      </c>
      <c r="BA1438" s="22">
        <f>I1438/AW1438</f>
        <v>1</v>
      </c>
    </row>
    <row r="1439" spans="1:88" s="22" customFormat="1">
      <c r="A1439" s="1">
        <v>2168</v>
      </c>
      <c r="B1439" s="34" t="s">
        <v>2798</v>
      </c>
      <c r="C1439" s="34">
        <v>311</v>
      </c>
      <c r="D1439" s="75">
        <v>414</v>
      </c>
      <c r="E1439" s="8">
        <v>101</v>
      </c>
      <c r="F1439" s="9" t="s">
        <v>2806</v>
      </c>
      <c r="G1439" s="20">
        <v>2550</v>
      </c>
      <c r="H1439" s="20">
        <v>0</v>
      </c>
      <c r="I1439" s="21">
        <v>2.5499999999999998</v>
      </c>
      <c r="J1439" s="8">
        <v>4</v>
      </c>
      <c r="K1439" s="8" t="s">
        <v>96</v>
      </c>
      <c r="L1439" s="18">
        <v>42147</v>
      </c>
      <c r="M1439" s="9" t="s">
        <v>191</v>
      </c>
      <c r="N1439" s="38">
        <v>1.1499999999999999</v>
      </c>
      <c r="O1439" s="38">
        <v>0.99</v>
      </c>
      <c r="P1439" s="38">
        <v>0.24</v>
      </c>
      <c r="Q1439" s="38">
        <v>0.21</v>
      </c>
      <c r="R1439" s="38">
        <v>2.8226900000000001</v>
      </c>
      <c r="S1439" s="38">
        <f t="shared" si="174"/>
        <v>3</v>
      </c>
      <c r="T1439" s="38">
        <v>2.5099999999999998</v>
      </c>
      <c r="U1439" s="38">
        <v>2.5000000000000001E-2</v>
      </c>
      <c r="V1439" s="38">
        <v>0</v>
      </c>
      <c r="W1439" s="38">
        <v>0</v>
      </c>
      <c r="X1439" s="38">
        <v>3.1997599999999999</v>
      </c>
      <c r="Y1439" s="38">
        <f t="shared" si="175"/>
        <v>3</v>
      </c>
      <c r="Z1439" s="38">
        <v>0</v>
      </c>
      <c r="AA1439" s="38">
        <v>0</v>
      </c>
      <c r="AB1439" s="38">
        <v>1.6749999999999998</v>
      </c>
      <c r="AC1439" s="38">
        <v>1.3779300000000001</v>
      </c>
      <c r="AD1439" s="38">
        <v>0</v>
      </c>
      <c r="AE1439" s="38">
        <v>9.8699999999999992</v>
      </c>
      <c r="AF1439" s="38">
        <f>(AD1439+AE1439*0.5)/(3.5*I1439*1000)*100</f>
        <v>5.5294117647058827E-2</v>
      </c>
      <c r="AG1439" s="38">
        <f t="shared" si="176"/>
        <v>0.1</v>
      </c>
      <c r="AH1439" s="38">
        <v>0</v>
      </c>
      <c r="AI1439" s="38">
        <f>AH1439/(3.5*I1439*1000)*100</f>
        <v>0</v>
      </c>
      <c r="AJ1439" s="38">
        <v>1.33</v>
      </c>
      <c r="AK1439" s="38">
        <f>AJ1439/(3.5*I1439*1000)*100</f>
        <v>1.4901960784313731E-2</v>
      </c>
      <c r="AL1439" s="38">
        <v>0</v>
      </c>
      <c r="AM1439" s="38">
        <f>AL1439/(3.5*I1439*1000)*100</f>
        <v>0</v>
      </c>
      <c r="AN1439" s="72"/>
      <c r="AO1439" s="41"/>
      <c r="AP1439" s="41"/>
      <c r="AQ1439" s="41">
        <f>SUM(N1439:Q1439)</f>
        <v>2.59</v>
      </c>
      <c r="AR1439" s="41">
        <f>SUM(T1439:W1439)</f>
        <v>2.5349999999999997</v>
      </c>
      <c r="AS1439" s="12">
        <f>SUM(Z1439:AB1439)</f>
        <v>1.6749999999999998</v>
      </c>
      <c r="AT1439" s="1"/>
      <c r="AU1439" s="1">
        <f>I1439/AQ1439</f>
        <v>0.98455598455598459</v>
      </c>
      <c r="AV1439" s="1">
        <f>I1439/AR1439</f>
        <v>1.0059171597633136</v>
      </c>
      <c r="AW1439" s="1">
        <f>I1439/AS1439</f>
        <v>1.5223880597014925</v>
      </c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</row>
    <row r="1440" spans="1:88" s="22" customFormat="1">
      <c r="A1440" s="1">
        <v>469</v>
      </c>
      <c r="B1440" s="74" t="s">
        <v>780</v>
      </c>
      <c r="C1440" s="34">
        <v>515</v>
      </c>
      <c r="D1440" s="34">
        <v>1296</v>
      </c>
      <c r="E1440" s="34">
        <v>100</v>
      </c>
      <c r="F1440" s="34" t="s">
        <v>802</v>
      </c>
      <c r="G1440" s="34" t="s">
        <v>803</v>
      </c>
      <c r="H1440" s="34" t="s">
        <v>92</v>
      </c>
      <c r="I1440" s="55">
        <v>45.741</v>
      </c>
      <c r="J1440" s="5" t="s">
        <v>12</v>
      </c>
      <c r="K1440" s="34">
        <v>2</v>
      </c>
      <c r="L1440" s="10">
        <v>42268</v>
      </c>
      <c r="M1440" s="9" t="s">
        <v>191</v>
      </c>
      <c r="N1440" s="38">
        <v>33</v>
      </c>
      <c r="O1440" s="38">
        <v>8.875</v>
      </c>
      <c r="P1440" s="38">
        <v>2.625</v>
      </c>
      <c r="Q1440" s="38">
        <v>1.18</v>
      </c>
      <c r="R1440" s="38">
        <v>2.2681100000000001</v>
      </c>
      <c r="S1440" s="38">
        <f t="shared" si="174"/>
        <v>2.5</v>
      </c>
      <c r="T1440" s="38">
        <v>43.9</v>
      </c>
      <c r="U1440" s="38">
        <v>1.45</v>
      </c>
      <c r="V1440" s="38">
        <v>0.25</v>
      </c>
      <c r="W1440" s="38">
        <v>7.4999999999999997E-2</v>
      </c>
      <c r="X1440" s="38">
        <v>3.7682199999999999</v>
      </c>
      <c r="Y1440" s="38">
        <f t="shared" si="175"/>
        <v>4</v>
      </c>
      <c r="Z1440" s="38">
        <v>0</v>
      </c>
      <c r="AA1440" s="38">
        <v>0</v>
      </c>
      <c r="AB1440" s="38">
        <v>45.68</v>
      </c>
      <c r="AC1440" s="38">
        <v>1.25383</v>
      </c>
      <c r="AD1440" s="38">
        <v>85.47</v>
      </c>
      <c r="AE1440" s="38">
        <v>5.61</v>
      </c>
      <c r="AF1440" s="38">
        <f>(AD1440+AE1440*0.5)/(3.5*I1440*1000)*100</f>
        <v>5.5139652765415215E-2</v>
      </c>
      <c r="AG1440" s="38">
        <f t="shared" si="176"/>
        <v>0.1</v>
      </c>
      <c r="AH1440" s="38">
        <v>143.65</v>
      </c>
      <c r="AI1440" s="38">
        <f>AH1440/(3.5*I1440*1000)*100</f>
        <v>8.9728814723895725E-2</v>
      </c>
      <c r="AJ1440" s="38">
        <v>0</v>
      </c>
      <c r="AK1440" s="38">
        <f>AJ1440/(3.5*I1440*1000)*100</f>
        <v>0</v>
      </c>
      <c r="AL1440" s="38">
        <v>0</v>
      </c>
      <c r="AM1440" s="38">
        <f>AL1440/(3.5*I1440*1000)*100</f>
        <v>0</v>
      </c>
      <c r="AN1440" s="41"/>
      <c r="AO1440" s="41"/>
      <c r="AP1440" s="114"/>
      <c r="AQ1440" s="73"/>
      <c r="AR1440" s="73"/>
      <c r="AS1440" s="73"/>
    </row>
    <row r="1441" spans="1:88" s="22" customFormat="1">
      <c r="A1441" s="1">
        <v>1268</v>
      </c>
      <c r="B1441" s="34" t="s">
        <v>1775</v>
      </c>
      <c r="C1441" s="88">
        <v>438</v>
      </c>
      <c r="D1441" s="88">
        <v>3329</v>
      </c>
      <c r="E1441" s="88">
        <v>100</v>
      </c>
      <c r="F1441" s="88" t="s">
        <v>1804</v>
      </c>
      <c r="G1441" s="88" t="s">
        <v>92</v>
      </c>
      <c r="H1441" s="88" t="s">
        <v>1805</v>
      </c>
      <c r="I1441" s="115">
        <v>39.073999999999998</v>
      </c>
      <c r="J1441" s="88">
        <v>2</v>
      </c>
      <c r="K1441" s="181" t="s">
        <v>238</v>
      </c>
      <c r="L1441" s="116">
        <v>42282</v>
      </c>
      <c r="M1441" s="9" t="s">
        <v>191</v>
      </c>
      <c r="N1441" s="117">
        <v>21.475000000000001</v>
      </c>
      <c r="O1441" s="117">
        <v>12.2</v>
      </c>
      <c r="P1441" s="117">
        <v>5.3250000000000002</v>
      </c>
      <c r="Q1441" s="117">
        <v>1.9750000000000001</v>
      </c>
      <c r="R1441" s="117">
        <v>2.7239300000000002</v>
      </c>
      <c r="S1441" s="38">
        <f t="shared" si="174"/>
        <v>2.5</v>
      </c>
      <c r="T1441" s="117">
        <v>39.125</v>
      </c>
      <c r="U1441" s="117">
        <v>1.55</v>
      </c>
      <c r="V1441" s="117">
        <v>0.22500000000000001</v>
      </c>
      <c r="W1441" s="117">
        <v>7.4999999999999997E-2</v>
      </c>
      <c r="X1441" s="117">
        <v>3.5368400000000002</v>
      </c>
      <c r="Y1441" s="38">
        <f t="shared" si="175"/>
        <v>3.5</v>
      </c>
      <c r="Z1441" s="117">
        <v>0</v>
      </c>
      <c r="AA1441" s="117">
        <v>0</v>
      </c>
      <c r="AB1441" s="115">
        <v>39.073999999999998</v>
      </c>
      <c r="AC1441" s="117">
        <v>1.3973100000000001</v>
      </c>
      <c r="AD1441" s="117">
        <v>67.64</v>
      </c>
      <c r="AE1441" s="117">
        <v>14.56</v>
      </c>
      <c r="AF1441" s="117">
        <f>(AD1441+AE1441*0.5)/(3.5*I1441*1000)*100</f>
        <v>5.4782500603250975E-2</v>
      </c>
      <c r="AG1441" s="38">
        <f t="shared" si="176"/>
        <v>0.1</v>
      </c>
      <c r="AH1441" s="117">
        <v>63.225000000000001</v>
      </c>
      <c r="AI1441" s="117">
        <f>AH1441/(3.5*I1441*1000)*100</f>
        <v>4.6230961033643124E-2</v>
      </c>
      <c r="AJ1441" s="117">
        <v>0</v>
      </c>
      <c r="AK1441" s="117">
        <v>0</v>
      </c>
      <c r="AL1441" s="117">
        <v>0</v>
      </c>
      <c r="AM1441" s="117">
        <v>0</v>
      </c>
      <c r="AN1441" s="12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</row>
    <row r="1442" spans="1:88" s="22" customFormat="1">
      <c r="A1442" s="1">
        <v>610</v>
      </c>
      <c r="B1442" s="34" t="s">
        <v>994</v>
      </c>
      <c r="C1442" s="34">
        <v>554</v>
      </c>
      <c r="D1442" s="34">
        <v>2250</v>
      </c>
      <c r="E1442" s="34">
        <v>100</v>
      </c>
      <c r="F1442" s="9" t="s">
        <v>1012</v>
      </c>
      <c r="G1442" s="118">
        <v>0</v>
      </c>
      <c r="H1442" s="118">
        <v>20360</v>
      </c>
      <c r="I1442" s="35">
        <v>20.36</v>
      </c>
      <c r="J1442" s="71">
        <v>2</v>
      </c>
      <c r="K1442" s="34" t="s">
        <v>238</v>
      </c>
      <c r="L1442" s="10">
        <v>42182</v>
      </c>
      <c r="M1442" s="9" t="s">
        <v>191</v>
      </c>
      <c r="N1442" s="38">
        <v>12.02</v>
      </c>
      <c r="O1442" s="38">
        <v>6.06</v>
      </c>
      <c r="P1442" s="38">
        <v>1.65</v>
      </c>
      <c r="Q1442" s="38">
        <v>0.63</v>
      </c>
      <c r="R1442" s="38">
        <v>2.6314299999999999</v>
      </c>
      <c r="S1442" s="38">
        <f t="shared" si="174"/>
        <v>2.5</v>
      </c>
      <c r="T1442" s="38">
        <v>16.91</v>
      </c>
      <c r="U1442" s="38">
        <v>2.94</v>
      </c>
      <c r="V1442" s="38">
        <v>0.2</v>
      </c>
      <c r="W1442" s="38">
        <v>0.1</v>
      </c>
      <c r="X1442" s="38">
        <v>3.4705499999999998</v>
      </c>
      <c r="Y1442" s="38">
        <f t="shared" si="175"/>
        <v>3.5</v>
      </c>
      <c r="Z1442" s="38">
        <v>0</v>
      </c>
      <c r="AA1442" s="38">
        <v>0</v>
      </c>
      <c r="AB1442" s="38">
        <v>20.37</v>
      </c>
      <c r="AC1442" s="38">
        <v>1.19543</v>
      </c>
      <c r="AD1442" s="38">
        <v>39</v>
      </c>
      <c r="AE1442" s="38">
        <v>0</v>
      </c>
      <c r="AF1442" s="38">
        <v>5.4729160819534106E-2</v>
      </c>
      <c r="AG1442" s="38">
        <f t="shared" si="176"/>
        <v>0.1</v>
      </c>
      <c r="AH1442" s="38">
        <v>8</v>
      </c>
      <c r="AI1442" s="38">
        <v>1.122649452708392E-2</v>
      </c>
      <c r="AJ1442" s="38">
        <v>2</v>
      </c>
      <c r="AK1442" s="38">
        <v>2.80662363177098E-3</v>
      </c>
      <c r="AL1442" s="38">
        <v>0</v>
      </c>
      <c r="AM1442" s="38">
        <f t="shared" ref="AM1442:AM1447" si="181">AL1442/(3.5*I1442*1000)*100</f>
        <v>0</v>
      </c>
      <c r="AN1442" s="60"/>
      <c r="AO1442" s="60">
        <f>AE1442*0.5</f>
        <v>0</v>
      </c>
      <c r="AP1442" s="60">
        <f>(AD1442+AH1442+AJ1442+AL1442+AO1442)*I1442</f>
        <v>997.64</v>
      </c>
      <c r="AQ1442" s="25">
        <f>SUM(N1442:Q1442)</f>
        <v>20.359999999999996</v>
      </c>
      <c r="AR1442" s="25">
        <f>SUM(T1442:W1442)</f>
        <v>20.150000000000002</v>
      </c>
      <c r="AS1442" s="268">
        <v>20.36</v>
      </c>
      <c r="AT1442" s="40"/>
      <c r="AU1442" s="41">
        <f>SUM(N1442:Q1442)</f>
        <v>20.359999999999996</v>
      </c>
      <c r="AV1442" s="41">
        <f>SUM(T1442:W1442)</f>
        <v>20.150000000000002</v>
      </c>
      <c r="AW1442" s="41">
        <f>SUM(Z1442:AB1442)</f>
        <v>20.37</v>
      </c>
      <c r="AY1442" s="22">
        <f>I1442/AU1442</f>
        <v>1.0000000000000002</v>
      </c>
      <c r="AZ1442" s="22">
        <f>I1442/AV1442</f>
        <v>1.0104218362282877</v>
      </c>
      <c r="BA1442" s="22">
        <f>I1442/AW1442</f>
        <v>0.99950908198330868</v>
      </c>
      <c r="BB1442" s="61"/>
      <c r="BC1442" s="61"/>
      <c r="BD1442" s="61"/>
      <c r="BE1442" s="61"/>
      <c r="BF1442" s="61"/>
      <c r="BG1442" s="61"/>
      <c r="BH1442" s="61"/>
      <c r="BI1442" s="61"/>
      <c r="BJ1442" s="61"/>
      <c r="BK1442" s="61"/>
      <c r="BL1442" s="61"/>
      <c r="BM1442" s="61"/>
      <c r="BN1442" s="61"/>
      <c r="BO1442" s="61"/>
      <c r="BP1442" s="61"/>
      <c r="BQ1442" s="61"/>
      <c r="BR1442" s="61"/>
      <c r="BS1442" s="61"/>
      <c r="BT1442" s="61"/>
      <c r="BU1442" s="61"/>
      <c r="BV1442" s="61"/>
      <c r="BW1442" s="61"/>
      <c r="BX1442" s="61"/>
      <c r="BY1442" s="61"/>
      <c r="BZ1442" s="61"/>
      <c r="CA1442" s="61"/>
      <c r="CB1442" s="61"/>
      <c r="CC1442" s="61"/>
      <c r="CD1442" s="61"/>
      <c r="CE1442" s="61"/>
      <c r="CF1442" s="61"/>
      <c r="CG1442" s="61"/>
      <c r="CH1442" s="61"/>
      <c r="CI1442" s="61"/>
      <c r="CJ1442" s="61"/>
    </row>
    <row r="1443" spans="1:88" s="22" customFormat="1">
      <c r="A1443" s="1">
        <v>365</v>
      </c>
      <c r="B1443" s="71" t="s">
        <v>602</v>
      </c>
      <c r="C1443" s="78">
        <v>514</v>
      </c>
      <c r="D1443" s="79">
        <v>1090</v>
      </c>
      <c r="E1443" s="80">
        <v>101</v>
      </c>
      <c r="F1443" s="78" t="s">
        <v>607</v>
      </c>
      <c r="G1443" s="81">
        <v>0</v>
      </c>
      <c r="H1443" s="81">
        <v>64839</v>
      </c>
      <c r="I1443" s="78">
        <v>64.838999999999999</v>
      </c>
      <c r="J1443" s="78">
        <v>2</v>
      </c>
      <c r="K1443" s="78" t="s">
        <v>238</v>
      </c>
      <c r="L1443" s="82">
        <v>42255</v>
      </c>
      <c r="M1443" s="71" t="s">
        <v>191</v>
      </c>
      <c r="N1443" s="83">
        <v>25.074999999999999</v>
      </c>
      <c r="O1443" s="83">
        <v>21.475000000000001</v>
      </c>
      <c r="P1443" s="83">
        <v>13.85</v>
      </c>
      <c r="Q1443" s="83">
        <v>4.0999999999999996</v>
      </c>
      <c r="R1443" s="83">
        <v>3.0489999999999999</v>
      </c>
      <c r="S1443" s="38">
        <f t="shared" si="174"/>
        <v>3</v>
      </c>
      <c r="T1443" s="83">
        <v>62.4</v>
      </c>
      <c r="U1443" s="83">
        <v>1.7749999999999999</v>
      </c>
      <c r="V1443" s="83">
        <v>0.27500000000000002</v>
      </c>
      <c r="W1443" s="83">
        <v>0.05</v>
      </c>
      <c r="X1443" s="83">
        <v>3.7450000000000001</v>
      </c>
      <c r="Y1443" s="38">
        <f t="shared" si="175"/>
        <v>3.5</v>
      </c>
      <c r="Z1443" s="83">
        <v>0</v>
      </c>
      <c r="AA1443" s="83">
        <v>0</v>
      </c>
      <c r="AB1443" s="83">
        <v>64.5</v>
      </c>
      <c r="AC1443" s="83">
        <v>1.1950000000000001</v>
      </c>
      <c r="AD1443" s="83">
        <v>117.25</v>
      </c>
      <c r="AE1443" s="83">
        <v>11.35</v>
      </c>
      <c r="AF1443" s="83">
        <f>(AD1443+AE1443*0.5)/(3.5*I1443*1000)*100</f>
        <v>5.4167134859310864E-2</v>
      </c>
      <c r="AG1443" s="38">
        <f t="shared" si="176"/>
        <v>0.1</v>
      </c>
      <c r="AH1443" s="83">
        <v>176.32</v>
      </c>
      <c r="AI1443" s="83">
        <f>AH1443/(3.5*I1443*1000)*100</f>
        <v>7.7695743082315985E-2</v>
      </c>
      <c r="AJ1443" s="83">
        <v>0</v>
      </c>
      <c r="AK1443" s="83">
        <f>AJ1443/(3.5*I1443*1000)*100</f>
        <v>0</v>
      </c>
      <c r="AL1443" s="83">
        <v>1.77</v>
      </c>
      <c r="AM1443" s="83">
        <f t="shared" si="181"/>
        <v>7.7995386374602577E-4</v>
      </c>
      <c r="AN1443" s="84"/>
      <c r="AO1443" s="41"/>
      <c r="AP1443" s="41"/>
      <c r="AQ1443" s="85"/>
      <c r="AR1443" s="86"/>
      <c r="AS1443" s="86"/>
      <c r="AT1443" s="86"/>
      <c r="AU1443" s="86"/>
      <c r="AV1443" s="86"/>
      <c r="AW1443" s="86"/>
      <c r="AX1443" s="86"/>
      <c r="AY1443" s="86"/>
      <c r="AZ1443" s="86"/>
      <c r="BA1443" s="86"/>
      <c r="BB1443" s="86"/>
      <c r="BC1443" s="86"/>
      <c r="BD1443" s="86"/>
      <c r="BE1443" s="86"/>
      <c r="BF1443" s="86"/>
      <c r="BG1443" s="86"/>
      <c r="BH1443" s="86"/>
      <c r="BI1443" s="86"/>
      <c r="BJ1443" s="86"/>
      <c r="BK1443" s="86"/>
      <c r="BL1443" s="86"/>
      <c r="BM1443" s="86"/>
      <c r="BN1443" s="86"/>
      <c r="BO1443" s="86"/>
      <c r="BP1443" s="86"/>
      <c r="BQ1443" s="86"/>
      <c r="BR1443" s="86"/>
      <c r="BS1443" s="86"/>
      <c r="BT1443" s="86"/>
      <c r="BU1443" s="86"/>
      <c r="BV1443" s="86"/>
      <c r="BW1443" s="86"/>
      <c r="BX1443" s="86"/>
      <c r="BY1443" s="86"/>
      <c r="BZ1443" s="86"/>
      <c r="CA1443" s="86"/>
      <c r="CB1443" s="86"/>
      <c r="CC1443" s="86"/>
      <c r="CD1443" s="86"/>
      <c r="CE1443" s="86"/>
      <c r="CF1443" s="86"/>
      <c r="CG1443" s="86"/>
      <c r="CH1443" s="86"/>
      <c r="CI1443" s="86"/>
      <c r="CJ1443" s="86"/>
    </row>
    <row r="1444" spans="1:88" s="22" customFormat="1">
      <c r="A1444" s="1">
        <v>366</v>
      </c>
      <c r="B1444" s="71" t="s">
        <v>602</v>
      </c>
      <c r="C1444" s="78">
        <v>514</v>
      </c>
      <c r="D1444" s="79">
        <v>1090</v>
      </c>
      <c r="E1444" s="80">
        <v>101</v>
      </c>
      <c r="F1444" s="78" t="s">
        <v>607</v>
      </c>
      <c r="G1444" s="81">
        <v>64839</v>
      </c>
      <c r="H1444" s="81">
        <v>0</v>
      </c>
      <c r="I1444" s="78">
        <v>64.838999999999999</v>
      </c>
      <c r="J1444" s="78">
        <v>2</v>
      </c>
      <c r="K1444" s="78" t="s">
        <v>12</v>
      </c>
      <c r="L1444" s="82">
        <v>42255</v>
      </c>
      <c r="M1444" s="71" t="s">
        <v>191</v>
      </c>
      <c r="N1444" s="83">
        <v>24.25</v>
      </c>
      <c r="O1444" s="83">
        <v>20.975000000000001</v>
      </c>
      <c r="P1444" s="83">
        <v>13.85</v>
      </c>
      <c r="Q1444" s="83">
        <v>5.2</v>
      </c>
      <c r="R1444" s="83">
        <v>3.1019999999999999</v>
      </c>
      <c r="S1444" s="38">
        <f t="shared" si="174"/>
        <v>3</v>
      </c>
      <c r="T1444" s="83">
        <v>60.85</v>
      </c>
      <c r="U1444" s="83">
        <v>2.3250000000000002</v>
      </c>
      <c r="V1444" s="83">
        <v>0.57499999999999996</v>
      </c>
      <c r="W1444" s="83">
        <v>0.52500000000000002</v>
      </c>
      <c r="X1444" s="83">
        <v>4.2919999999999998</v>
      </c>
      <c r="Y1444" s="38">
        <f t="shared" si="175"/>
        <v>4.5</v>
      </c>
      <c r="Z1444" s="83">
        <v>0</v>
      </c>
      <c r="AA1444" s="83">
        <v>0</v>
      </c>
      <c r="AB1444" s="83">
        <v>64.275000000000006</v>
      </c>
      <c r="AC1444" s="83">
        <v>1.107</v>
      </c>
      <c r="AD1444" s="83">
        <v>117.25</v>
      </c>
      <c r="AE1444" s="83">
        <v>11.35</v>
      </c>
      <c r="AF1444" s="83">
        <f>(AD1444+AE1444*0.5)/(3.5*I1444*1000)*100</f>
        <v>5.4167134859310864E-2</v>
      </c>
      <c r="AG1444" s="38">
        <f t="shared" si="176"/>
        <v>0.1</v>
      </c>
      <c r="AH1444" s="83">
        <v>176.32</v>
      </c>
      <c r="AI1444" s="83">
        <f>AH1444/(3.5*I1444*1000)*100</f>
        <v>7.7695743082315985E-2</v>
      </c>
      <c r="AJ1444" s="83">
        <v>0</v>
      </c>
      <c r="AK1444" s="83">
        <f>AJ1444/(3.5*I1444*1000)*100</f>
        <v>0</v>
      </c>
      <c r="AL1444" s="83">
        <v>1.77</v>
      </c>
      <c r="AM1444" s="83">
        <f t="shared" si="181"/>
        <v>7.7995386374602577E-4</v>
      </c>
      <c r="AN1444" s="84"/>
      <c r="AO1444" s="41"/>
      <c r="AP1444" s="41"/>
      <c r="AQ1444" s="85"/>
      <c r="AR1444" s="86"/>
      <c r="AS1444" s="86"/>
      <c r="AT1444" s="86"/>
      <c r="AU1444" s="86"/>
      <c r="AV1444" s="86"/>
      <c r="AW1444" s="86"/>
      <c r="AX1444" s="86"/>
      <c r="AY1444" s="86"/>
      <c r="AZ1444" s="86"/>
      <c r="BA1444" s="86"/>
      <c r="BB1444" s="86"/>
      <c r="BC1444" s="86"/>
      <c r="BD1444" s="86"/>
      <c r="BE1444" s="86"/>
      <c r="BF1444" s="86"/>
      <c r="BG1444" s="86"/>
      <c r="BH1444" s="86"/>
      <c r="BI1444" s="86"/>
      <c r="BJ1444" s="86"/>
      <c r="BK1444" s="86"/>
      <c r="BL1444" s="86"/>
      <c r="BM1444" s="86"/>
      <c r="BN1444" s="86"/>
      <c r="BO1444" s="86"/>
      <c r="BP1444" s="86"/>
      <c r="BQ1444" s="86"/>
      <c r="BR1444" s="86"/>
      <c r="BS1444" s="86"/>
      <c r="BT1444" s="86"/>
      <c r="BU1444" s="86"/>
      <c r="BV1444" s="86"/>
      <c r="BW1444" s="86"/>
      <c r="BX1444" s="86"/>
      <c r="BY1444" s="86"/>
      <c r="BZ1444" s="86"/>
      <c r="CA1444" s="86"/>
      <c r="CB1444" s="86"/>
      <c r="CC1444" s="86"/>
      <c r="CD1444" s="86"/>
      <c r="CE1444" s="86"/>
      <c r="CF1444" s="86"/>
      <c r="CG1444" s="86"/>
      <c r="CH1444" s="86"/>
      <c r="CI1444" s="86"/>
      <c r="CJ1444" s="86"/>
    </row>
    <row r="1445" spans="1:88" s="22" customFormat="1">
      <c r="A1445" s="1">
        <v>1041</v>
      </c>
      <c r="B1445" s="9" t="s">
        <v>1394</v>
      </c>
      <c r="C1445" s="9">
        <v>617</v>
      </c>
      <c r="D1445" s="8">
        <v>2436</v>
      </c>
      <c r="E1445" s="9">
        <v>100</v>
      </c>
      <c r="F1445" s="9" t="s">
        <v>1440</v>
      </c>
      <c r="G1445" s="20">
        <v>0</v>
      </c>
      <c r="H1445" s="20">
        <v>10525</v>
      </c>
      <c r="I1445" s="35">
        <v>10.525</v>
      </c>
      <c r="J1445" s="9">
        <v>2</v>
      </c>
      <c r="K1445" s="9" t="s">
        <v>238</v>
      </c>
      <c r="L1445" s="18">
        <v>42129</v>
      </c>
      <c r="M1445" s="9" t="s">
        <v>191</v>
      </c>
      <c r="N1445" s="11">
        <v>5.4249999999999998</v>
      </c>
      <c r="O1445" s="11">
        <v>2.8250000000000002</v>
      </c>
      <c r="P1445" s="11">
        <v>1.45</v>
      </c>
      <c r="Q1445" s="11">
        <v>0.77500000000000002</v>
      </c>
      <c r="R1445" s="11">
        <v>2.8411200000000001</v>
      </c>
      <c r="S1445" s="38">
        <f t="shared" si="174"/>
        <v>3</v>
      </c>
      <c r="T1445" s="11">
        <v>7.6749999999999998</v>
      </c>
      <c r="U1445" s="11">
        <v>2.2250000000000001</v>
      </c>
      <c r="V1445" s="11">
        <v>0.42499999999999999</v>
      </c>
      <c r="W1445" s="11">
        <v>0.15</v>
      </c>
      <c r="X1445" s="11">
        <v>7.8027800000000003</v>
      </c>
      <c r="Y1445" s="38">
        <f t="shared" si="175"/>
        <v>8</v>
      </c>
      <c r="Z1445" s="11">
        <v>0</v>
      </c>
      <c r="AA1445" s="11">
        <v>0</v>
      </c>
      <c r="AB1445" s="11">
        <f>SUM(N1445:Q1445)</f>
        <v>10.475</v>
      </c>
      <c r="AC1445" s="11">
        <v>1.21414</v>
      </c>
      <c r="AD1445" s="11">
        <v>12.07</v>
      </c>
      <c r="AE1445" s="11">
        <v>15.66</v>
      </c>
      <c r="AF1445" s="11">
        <f>(AD1445+AE1445*0.5)/(3.5*I1445*1000)*100</f>
        <v>5.4021038344078724E-2</v>
      </c>
      <c r="AG1445" s="38">
        <f t="shared" si="176"/>
        <v>0.1</v>
      </c>
      <c r="AH1445" s="11">
        <v>162.66</v>
      </c>
      <c r="AI1445" s="38">
        <f>AH1445/(3.5*I1445*1000)*100</f>
        <v>0.44156090939938919</v>
      </c>
      <c r="AJ1445" s="11">
        <v>251.25</v>
      </c>
      <c r="AK1445" s="38">
        <f>AJ1445/(3.5*I1445*1000)*100</f>
        <v>0.68204954190702405</v>
      </c>
      <c r="AL1445" s="11">
        <v>0</v>
      </c>
      <c r="AM1445" s="38">
        <f t="shared" si="181"/>
        <v>0</v>
      </c>
      <c r="AN1445" s="25"/>
      <c r="AO1445" s="25">
        <f>AE1445*0.5</f>
        <v>7.83</v>
      </c>
      <c r="AP1445" s="25">
        <f>(AD1445+AH1445+AJ1445+AL1445+AO1445)*I1445</f>
        <v>4565.8502500000004</v>
      </c>
      <c r="AQ1445" s="25"/>
      <c r="AR1445" s="25"/>
      <c r="AS1445" s="25">
        <f>SUM(N1445:Q1445)</f>
        <v>10.475</v>
      </c>
      <c r="AT1445" s="25">
        <f>SUM(T1445:W1445)</f>
        <v>10.475000000000001</v>
      </c>
      <c r="AU1445" s="41"/>
      <c r="AV1445" s="41"/>
      <c r="AW1445" s="41"/>
    </row>
    <row r="1446" spans="1:88" s="22" customFormat="1">
      <c r="A1446" s="1">
        <v>1995</v>
      </c>
      <c r="B1446" s="34" t="s">
        <v>2615</v>
      </c>
      <c r="C1446" s="34">
        <v>322</v>
      </c>
      <c r="D1446" s="75">
        <v>4267</v>
      </c>
      <c r="E1446" s="8">
        <v>100</v>
      </c>
      <c r="F1446" s="34" t="s">
        <v>2635</v>
      </c>
      <c r="G1446" s="58" t="s">
        <v>2637</v>
      </c>
      <c r="H1446" s="58" t="s">
        <v>2638</v>
      </c>
      <c r="I1446" s="21">
        <v>19.478000000000002</v>
      </c>
      <c r="J1446" s="8">
        <v>2</v>
      </c>
      <c r="K1446" s="8" t="s">
        <v>96</v>
      </c>
      <c r="L1446" s="18">
        <v>42126</v>
      </c>
      <c r="M1446" s="9" t="s">
        <v>191</v>
      </c>
      <c r="N1446" s="38">
        <v>10.725</v>
      </c>
      <c r="O1446" s="38">
        <v>5.5750000000000002</v>
      </c>
      <c r="P1446" s="38">
        <v>1.9</v>
      </c>
      <c r="Q1446" s="38">
        <v>0.7</v>
      </c>
      <c r="R1446" s="38">
        <v>2.6120000000000001</v>
      </c>
      <c r="S1446" s="38">
        <f t="shared" si="174"/>
        <v>2.5</v>
      </c>
      <c r="T1446" s="38">
        <v>16.975000000000001</v>
      </c>
      <c r="U1446" s="38">
        <v>1.65</v>
      </c>
      <c r="V1446" s="38">
        <v>0.2</v>
      </c>
      <c r="W1446" s="38">
        <v>7.4999999999999997E-2</v>
      </c>
      <c r="X1446" s="38">
        <v>5.2480000000000002</v>
      </c>
      <c r="Y1446" s="38">
        <f t="shared" si="175"/>
        <v>5</v>
      </c>
      <c r="Z1446" s="38">
        <v>0</v>
      </c>
      <c r="AA1446" s="38">
        <v>0</v>
      </c>
      <c r="AB1446" s="38">
        <v>18.899999999999999</v>
      </c>
      <c r="AC1446" s="38">
        <v>1.095</v>
      </c>
      <c r="AD1446" s="38">
        <v>38.81</v>
      </c>
      <c r="AE1446" s="38">
        <v>10</v>
      </c>
      <c r="AF1446" s="38">
        <v>5.3749325219610351E-2</v>
      </c>
      <c r="AG1446" s="38">
        <f t="shared" si="176"/>
        <v>0.1</v>
      </c>
      <c r="AH1446" s="38">
        <v>38.9</v>
      </c>
      <c r="AI1446" s="38">
        <v>4.7725376650144764E-2</v>
      </c>
      <c r="AJ1446" s="38">
        <v>9.31</v>
      </c>
      <c r="AK1446" s="38">
        <v>1.14221916867056E-2</v>
      </c>
      <c r="AL1446" s="38">
        <v>3</v>
      </c>
      <c r="AM1446" s="38">
        <f t="shared" si="181"/>
        <v>4.4005691402754753E-3</v>
      </c>
      <c r="AN1446" s="72"/>
      <c r="AO1446" s="41"/>
      <c r="AP1446" s="41"/>
      <c r="AQ1446" s="73"/>
      <c r="AR1446" s="73"/>
      <c r="AS1446" s="73"/>
      <c r="AT1446" s="73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</row>
    <row r="1447" spans="1:88" s="22" customFormat="1">
      <c r="A1447" s="1">
        <v>1617</v>
      </c>
      <c r="B1447" s="9" t="s">
        <v>2182</v>
      </c>
      <c r="C1447" s="9">
        <v>417</v>
      </c>
      <c r="D1447" s="8">
        <v>34</v>
      </c>
      <c r="E1447" s="9">
        <v>102</v>
      </c>
      <c r="F1447" s="9" t="s">
        <v>2184</v>
      </c>
      <c r="G1447" s="20" t="s">
        <v>2185</v>
      </c>
      <c r="H1447" s="20" t="s">
        <v>2186</v>
      </c>
      <c r="I1447" s="35">
        <v>18.399999999999999</v>
      </c>
      <c r="J1447" s="9">
        <v>14</v>
      </c>
      <c r="K1447" s="9" t="s">
        <v>237</v>
      </c>
      <c r="L1447" s="18">
        <v>42241</v>
      </c>
      <c r="M1447" s="9" t="s">
        <v>191</v>
      </c>
      <c r="N1447" s="11">
        <v>9.5</v>
      </c>
      <c r="O1447" s="11">
        <v>4.4249999999999998</v>
      </c>
      <c r="P1447" s="11">
        <v>2.7749999999999999</v>
      </c>
      <c r="Q1447" s="11">
        <v>1.9</v>
      </c>
      <c r="R1447" s="11">
        <v>3.0896599999999999</v>
      </c>
      <c r="S1447" s="38">
        <f t="shared" si="174"/>
        <v>3</v>
      </c>
      <c r="T1447" s="11">
        <v>17.375</v>
      </c>
      <c r="U1447" s="11">
        <v>1.05</v>
      </c>
      <c r="V1447" s="11">
        <v>0.125</v>
      </c>
      <c r="W1447" s="11">
        <v>0.05</v>
      </c>
      <c r="X1447" s="11">
        <v>5.4435900000000004</v>
      </c>
      <c r="Y1447" s="38">
        <f t="shared" si="175"/>
        <v>5.5</v>
      </c>
      <c r="Z1447" s="11">
        <v>0</v>
      </c>
      <c r="AA1447" s="11">
        <v>0</v>
      </c>
      <c r="AB1447" s="11">
        <f>SUM(N1447:Q1447)</f>
        <v>18.599999999999998</v>
      </c>
      <c r="AC1447" s="11">
        <v>1.29217</v>
      </c>
      <c r="AD1447" s="11">
        <v>30.61</v>
      </c>
      <c r="AE1447" s="11">
        <v>7.84</v>
      </c>
      <c r="AF1447" s="11">
        <f>(AD1447+AE1447*0.5)/(3.5*I1447*1000)*100</f>
        <v>5.3618012422360257E-2</v>
      </c>
      <c r="AG1447" s="38">
        <f t="shared" si="176"/>
        <v>0.1</v>
      </c>
      <c r="AH1447" s="11">
        <v>2.1800000000000002</v>
      </c>
      <c r="AI1447" s="11">
        <f>AH1447/(3.5*I1447*1000)*100</f>
        <v>3.3850931677018637E-3</v>
      </c>
      <c r="AJ1447" s="11">
        <v>71.59</v>
      </c>
      <c r="AK1447" s="38">
        <f>AJ1447/(3.5*I1447*1000)*100</f>
        <v>0.11116459627329195</v>
      </c>
      <c r="AL1447" s="11">
        <v>0</v>
      </c>
      <c r="AM1447" s="38">
        <f t="shared" si="181"/>
        <v>0</v>
      </c>
      <c r="AN1447" s="25">
        <f>IF(G1447=G1448,1,0)</f>
        <v>0</v>
      </c>
      <c r="AO1447" s="25">
        <f>AE1447*0.5</f>
        <v>3.92</v>
      </c>
      <c r="AP1447" s="25">
        <f>(AD1447+AH1447+AJ1447+AL1447+AO1447)*I1447</f>
        <v>1992.7199999999998</v>
      </c>
      <c r="AQ1447" s="25">
        <f>(AD1447+AH1447+AJ1447+AL1447)*I1447</f>
        <v>1920.5919999999999</v>
      </c>
      <c r="AR1447" s="25">
        <f>SUM(N1447:Q1447)</f>
        <v>18.599999999999998</v>
      </c>
      <c r="AS1447" s="25">
        <f>SUM(T1447:W1447)</f>
        <v>18.600000000000001</v>
      </c>
      <c r="AU1447" s="41"/>
      <c r="AV1447" s="275">
        <v>18.399999999999999</v>
      </c>
      <c r="AW1447" s="41"/>
      <c r="AX1447" s="41"/>
    </row>
    <row r="1448" spans="1:88" s="22" customFormat="1">
      <c r="A1448" s="1">
        <v>832</v>
      </c>
      <c r="B1448" s="34" t="s">
        <v>1204</v>
      </c>
      <c r="C1448" s="34">
        <v>647</v>
      </c>
      <c r="D1448" s="8">
        <v>2416</v>
      </c>
      <c r="E1448" s="34">
        <v>100</v>
      </c>
      <c r="F1448" s="34" t="s">
        <v>1226</v>
      </c>
      <c r="G1448" s="58">
        <v>0</v>
      </c>
      <c r="H1448" s="58">
        <v>26000</v>
      </c>
      <c r="I1448" s="35">
        <v>26</v>
      </c>
      <c r="J1448" s="9">
        <v>2</v>
      </c>
      <c r="K1448" s="34" t="s">
        <v>238</v>
      </c>
      <c r="L1448" s="152">
        <v>42153</v>
      </c>
      <c r="M1448" s="9" t="s">
        <v>191</v>
      </c>
      <c r="N1448" s="38">
        <v>16.524999999999999</v>
      </c>
      <c r="O1448" s="38">
        <v>7.3250000000000002</v>
      </c>
      <c r="P1448" s="38">
        <v>1.65</v>
      </c>
      <c r="Q1448" s="38">
        <v>0.42499999999999999</v>
      </c>
      <c r="R1448" s="38">
        <v>2.4150900000000002</v>
      </c>
      <c r="S1448" s="38">
        <f t="shared" si="174"/>
        <v>2.5</v>
      </c>
      <c r="T1448" s="38">
        <v>25.25</v>
      </c>
      <c r="U1448" s="38">
        <v>0.67500000000000004</v>
      </c>
      <c r="V1448" s="38">
        <v>0</v>
      </c>
      <c r="W1448" s="38">
        <v>0</v>
      </c>
      <c r="X1448" s="38">
        <v>3.96576</v>
      </c>
      <c r="Y1448" s="38">
        <f t="shared" si="175"/>
        <v>4</v>
      </c>
      <c r="Z1448" s="38">
        <v>0</v>
      </c>
      <c r="AA1448" s="38">
        <v>0</v>
      </c>
      <c r="AB1448" s="38">
        <f>N1448+O1448+P1448+Q1448</f>
        <v>25.924999999999997</v>
      </c>
      <c r="AC1448" s="38">
        <v>1.1282399999999999</v>
      </c>
      <c r="AD1448" s="38">
        <v>0</v>
      </c>
      <c r="AE1448" s="38">
        <v>96</v>
      </c>
      <c r="AF1448" s="38">
        <f>(AD1448+AE1448*0.5)/(3.5*I1448*1000)*100</f>
        <v>5.274725274725274E-2</v>
      </c>
      <c r="AG1448" s="38">
        <f t="shared" si="176"/>
        <v>0.1</v>
      </c>
      <c r="AH1448" s="38">
        <v>0</v>
      </c>
      <c r="AI1448" s="38">
        <f>AH1448/(3.5*I1448*1000)*100</f>
        <v>0</v>
      </c>
      <c r="AJ1448" s="38">
        <v>155</v>
      </c>
      <c r="AK1448" s="38">
        <v>0.17033000000000001</v>
      </c>
      <c r="AL1448" s="38">
        <v>0</v>
      </c>
      <c r="AM1448" s="38">
        <v>0</v>
      </c>
      <c r="AO1448" s="25">
        <f>AE1448*0.5</f>
        <v>48</v>
      </c>
      <c r="AP1448" s="25">
        <f>(AD1448+AH1448+AJ1448+AL1448+AO1448)*I1448</f>
        <v>5278</v>
      </c>
      <c r="AQ1448" s="136">
        <f>SUM(N1448:Q1448)</f>
        <v>25.924999999999997</v>
      </c>
      <c r="AR1448" s="136">
        <f>SUM(T1448:W1448)</f>
        <v>25.925000000000001</v>
      </c>
      <c r="AS1448" s="268">
        <v>26</v>
      </c>
    </row>
    <row r="1449" spans="1:88" s="22" customFormat="1">
      <c r="A1449" s="1">
        <v>2108</v>
      </c>
      <c r="B1449" s="34" t="s">
        <v>2754</v>
      </c>
      <c r="C1449" s="34">
        <v>324</v>
      </c>
      <c r="D1449" s="75">
        <v>402</v>
      </c>
      <c r="E1449" s="8">
        <v>102</v>
      </c>
      <c r="F1449" s="9" t="s">
        <v>2756</v>
      </c>
      <c r="G1449" s="20">
        <v>48958</v>
      </c>
      <c r="H1449" s="20">
        <v>21856</v>
      </c>
      <c r="I1449" s="21">
        <v>27.102</v>
      </c>
      <c r="J1449" s="9">
        <v>4</v>
      </c>
      <c r="K1449" s="34" t="s">
        <v>96</v>
      </c>
      <c r="L1449" s="18">
        <v>42137</v>
      </c>
      <c r="M1449" s="9" t="s">
        <v>191</v>
      </c>
      <c r="N1449" s="38">
        <v>19</v>
      </c>
      <c r="O1449" s="38">
        <v>4</v>
      </c>
      <c r="P1449" s="38">
        <v>1.925</v>
      </c>
      <c r="Q1449" s="38">
        <v>2.2000000000000002</v>
      </c>
      <c r="R1449" s="38">
        <v>2.5044900000000001</v>
      </c>
      <c r="S1449" s="38">
        <f t="shared" si="174"/>
        <v>2.5</v>
      </c>
      <c r="T1449" s="38">
        <v>23.425000000000001</v>
      </c>
      <c r="U1449" s="38">
        <v>3.3250000000000002</v>
      </c>
      <c r="V1449" s="38">
        <v>0.32500000000000001</v>
      </c>
      <c r="W1449" s="38">
        <v>0.05</v>
      </c>
      <c r="X1449" s="38">
        <v>6.0403799999999999</v>
      </c>
      <c r="Y1449" s="38">
        <f t="shared" si="175"/>
        <v>6</v>
      </c>
      <c r="Z1449" s="38">
        <v>0</v>
      </c>
      <c r="AA1449" s="38">
        <v>0</v>
      </c>
      <c r="AB1449" s="147">
        <v>27.125</v>
      </c>
      <c r="AC1449" s="38">
        <v>1.2317199999999999</v>
      </c>
      <c r="AD1449" s="147">
        <v>50</v>
      </c>
      <c r="AE1449" s="147">
        <v>0</v>
      </c>
      <c r="AF1449" s="38">
        <v>5.2710922757413792E-2</v>
      </c>
      <c r="AG1449" s="38">
        <f t="shared" si="176"/>
        <v>0.1</v>
      </c>
      <c r="AH1449" s="147">
        <v>0</v>
      </c>
      <c r="AI1449" s="38">
        <v>0</v>
      </c>
      <c r="AJ1449" s="147">
        <v>0</v>
      </c>
      <c r="AK1449" s="38">
        <v>0</v>
      </c>
      <c r="AL1449" s="147">
        <v>0</v>
      </c>
      <c r="AM1449" s="38">
        <v>0</v>
      </c>
      <c r="AN1449" s="41"/>
      <c r="AO1449" s="41"/>
      <c r="AP1449" s="73"/>
      <c r="AQ1449" s="73"/>
      <c r="AR1449" s="73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</row>
    <row r="1450" spans="1:88" s="22" customFormat="1">
      <c r="A1450" s="1">
        <v>475</v>
      </c>
      <c r="B1450" s="74" t="s">
        <v>780</v>
      </c>
      <c r="C1450" s="34">
        <v>515</v>
      </c>
      <c r="D1450" s="34">
        <v>2331</v>
      </c>
      <c r="E1450" s="34">
        <v>200</v>
      </c>
      <c r="F1450" s="34" t="s">
        <v>814</v>
      </c>
      <c r="G1450" s="34" t="s">
        <v>815</v>
      </c>
      <c r="H1450" s="34" t="s">
        <v>816</v>
      </c>
      <c r="I1450" s="55">
        <v>36.847000000000001</v>
      </c>
      <c r="J1450" s="5" t="s">
        <v>12</v>
      </c>
      <c r="K1450" s="34">
        <v>2</v>
      </c>
      <c r="L1450" s="10">
        <v>42268</v>
      </c>
      <c r="M1450" s="9" t="s">
        <v>191</v>
      </c>
      <c r="N1450" s="38">
        <v>22.08</v>
      </c>
      <c r="O1450" s="38">
        <v>11.7</v>
      </c>
      <c r="P1450" s="38">
        <v>2.6</v>
      </c>
      <c r="Q1450" s="38">
        <v>0.88</v>
      </c>
      <c r="R1450" s="38">
        <v>2.5471400000000002</v>
      </c>
      <c r="S1450" s="38">
        <f t="shared" si="174"/>
        <v>2.5</v>
      </c>
      <c r="T1450" s="38">
        <v>37</v>
      </c>
      <c r="U1450" s="38">
        <v>0.17499999999999999</v>
      </c>
      <c r="V1450" s="38">
        <v>0.05</v>
      </c>
      <c r="W1450" s="38">
        <v>2.5000000000000001E-2</v>
      </c>
      <c r="X1450" s="38">
        <v>2.6682700000000001</v>
      </c>
      <c r="Y1450" s="38">
        <f t="shared" si="175"/>
        <v>2.5</v>
      </c>
      <c r="Z1450" s="38">
        <v>0</v>
      </c>
      <c r="AA1450" s="38">
        <v>0</v>
      </c>
      <c r="AB1450" s="38">
        <v>37.260000000000005</v>
      </c>
      <c r="AC1450" s="38">
        <v>1.2716700000000001</v>
      </c>
      <c r="AD1450" s="38">
        <v>64.241</v>
      </c>
      <c r="AE1450" s="38">
        <v>7.16</v>
      </c>
      <c r="AF1450" s="38">
        <f>(AD1450+AE1450*0.5)/(3.5*I1450*1000)*100</f>
        <v>5.2588890741250491E-2</v>
      </c>
      <c r="AG1450" s="38">
        <f t="shared" si="176"/>
        <v>0.1</v>
      </c>
      <c r="AH1450" s="38">
        <v>97.57</v>
      </c>
      <c r="AI1450" s="38">
        <f>AH1450/(3.5*I1450*1000)*100</f>
        <v>7.5656479108591884E-2</v>
      </c>
      <c r="AJ1450" s="38">
        <v>0</v>
      </c>
      <c r="AK1450" s="38">
        <f>AJ1450/(3.5*I1450*1000)*100</f>
        <v>0</v>
      </c>
      <c r="AL1450" s="38">
        <v>1.42</v>
      </c>
      <c r="AM1450" s="38">
        <f>AL1450/(3.5*I1450*1000)*100</f>
        <v>1.1010782036917134E-3</v>
      </c>
      <c r="AN1450" s="41"/>
      <c r="AO1450" s="41"/>
      <c r="AP1450" s="114"/>
      <c r="AQ1450" s="73"/>
      <c r="AR1450" s="73"/>
      <c r="AS1450" s="73"/>
    </row>
    <row r="1451" spans="1:88" s="22" customFormat="1">
      <c r="A1451" s="1">
        <v>1235</v>
      </c>
      <c r="B1451" s="34" t="s">
        <v>1725</v>
      </c>
      <c r="C1451" s="88">
        <v>437</v>
      </c>
      <c r="D1451" s="88">
        <v>3005</v>
      </c>
      <c r="E1451" s="88">
        <v>100</v>
      </c>
      <c r="F1451" s="88" t="s">
        <v>1742</v>
      </c>
      <c r="G1451" s="88" t="s">
        <v>1743</v>
      </c>
      <c r="H1451" s="88" t="s">
        <v>1744</v>
      </c>
      <c r="I1451" s="115">
        <v>14.114000000000001</v>
      </c>
      <c r="J1451" s="88">
        <v>4</v>
      </c>
      <c r="K1451" s="88" t="s">
        <v>237</v>
      </c>
      <c r="L1451" s="116">
        <v>42282</v>
      </c>
      <c r="M1451" s="9" t="s">
        <v>191</v>
      </c>
      <c r="N1451" s="38">
        <v>8.4</v>
      </c>
      <c r="O1451" s="38">
        <v>3.2250000000000001</v>
      </c>
      <c r="P1451" s="38">
        <v>1.85</v>
      </c>
      <c r="Q1451" s="38">
        <v>0.92500000000000004</v>
      </c>
      <c r="R1451" s="38">
        <v>2.7698999999999998</v>
      </c>
      <c r="S1451" s="38">
        <f t="shared" si="174"/>
        <v>3</v>
      </c>
      <c r="T1451" s="38">
        <v>13.9</v>
      </c>
      <c r="U1451" s="38">
        <v>0.42499999999999999</v>
      </c>
      <c r="V1451" s="38">
        <v>7.4999999999999997E-2</v>
      </c>
      <c r="W1451" s="38">
        <v>0</v>
      </c>
      <c r="X1451" s="38">
        <v>3.6423399999999999</v>
      </c>
      <c r="Y1451" s="38">
        <f t="shared" si="175"/>
        <v>3.5</v>
      </c>
      <c r="Z1451" s="38">
        <v>0</v>
      </c>
      <c r="AA1451" s="117">
        <v>0</v>
      </c>
      <c r="AB1451" s="117">
        <v>14.114000000000001</v>
      </c>
      <c r="AC1451" s="117">
        <v>1.0861400000000001</v>
      </c>
      <c r="AD1451" s="117">
        <v>25.096</v>
      </c>
      <c r="AE1451" s="117">
        <v>1.59</v>
      </c>
      <c r="AF1451" s="117">
        <f>(AD1451+AE1451*0.5)/(3.5*I1451*1000)*100</f>
        <v>5.2411992145589996E-2</v>
      </c>
      <c r="AG1451" s="38">
        <f t="shared" si="176"/>
        <v>0.1</v>
      </c>
      <c r="AH1451" s="117">
        <v>0</v>
      </c>
      <c r="AI1451" s="117">
        <f>AH1451/(3.5*I1451*1000)*100</f>
        <v>0</v>
      </c>
      <c r="AJ1451" s="117">
        <v>0</v>
      </c>
      <c r="AK1451" s="117">
        <f>AJ1451/(3.5*I1451*1000)*100</f>
        <v>0</v>
      </c>
      <c r="AL1451" s="117">
        <v>0</v>
      </c>
      <c r="AM1451" s="117">
        <f>AJ1451/(3.5*I1451*1000)*100</f>
        <v>0</v>
      </c>
      <c r="AN1451" s="12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</row>
    <row r="1452" spans="1:88" s="22" customFormat="1">
      <c r="A1452" s="1">
        <v>977</v>
      </c>
      <c r="B1452" s="9" t="s">
        <v>1359</v>
      </c>
      <c r="C1452" s="9">
        <v>612</v>
      </c>
      <c r="D1452" s="8">
        <v>2256</v>
      </c>
      <c r="E1452" s="9">
        <v>200</v>
      </c>
      <c r="F1452" s="9" t="s">
        <v>1376</v>
      </c>
      <c r="G1452" s="20">
        <v>77033</v>
      </c>
      <c r="H1452" s="20">
        <v>39088</v>
      </c>
      <c r="I1452" s="35">
        <v>37.945</v>
      </c>
      <c r="J1452" s="9">
        <v>2</v>
      </c>
      <c r="K1452" s="9" t="s">
        <v>12</v>
      </c>
      <c r="L1452" s="18">
        <v>42116</v>
      </c>
      <c r="M1452" s="9" t="s">
        <v>191</v>
      </c>
      <c r="N1452" s="11">
        <v>28.78</v>
      </c>
      <c r="O1452" s="11">
        <v>5.875</v>
      </c>
      <c r="P1452" s="11">
        <v>2.4249999999999998</v>
      </c>
      <c r="Q1452" s="11">
        <v>0.92500000000000004</v>
      </c>
      <c r="R1452" s="11">
        <v>2.7259600000000002</v>
      </c>
      <c r="S1452" s="38">
        <f t="shared" si="174"/>
        <v>2.5</v>
      </c>
      <c r="T1452" s="11">
        <v>36.75</v>
      </c>
      <c r="U1452" s="11">
        <v>0.97499999999999998</v>
      </c>
      <c r="V1452" s="11">
        <v>0.25</v>
      </c>
      <c r="W1452" s="11">
        <v>2.5000000000000001E-2</v>
      </c>
      <c r="X1452" s="11">
        <v>3.69068</v>
      </c>
      <c r="Y1452" s="38">
        <f t="shared" si="175"/>
        <v>3.5</v>
      </c>
      <c r="Z1452" s="11">
        <v>0</v>
      </c>
      <c r="AA1452" s="11">
        <v>0</v>
      </c>
      <c r="AB1452" s="11">
        <f>SUM(N1452:Q1452)</f>
        <v>38.004999999999995</v>
      </c>
      <c r="AC1452" s="11">
        <v>1.36897</v>
      </c>
      <c r="AD1452" s="11">
        <v>69.58</v>
      </c>
      <c r="AE1452" s="11">
        <v>0</v>
      </c>
      <c r="AF1452" s="11">
        <v>5.2389999999999999E-2</v>
      </c>
      <c r="AG1452" s="38">
        <f t="shared" si="176"/>
        <v>0.1</v>
      </c>
      <c r="AH1452" s="11">
        <v>633</v>
      </c>
      <c r="AI1452" s="11">
        <v>0.47663</v>
      </c>
      <c r="AJ1452" s="11">
        <v>0</v>
      </c>
      <c r="AK1452" s="11">
        <v>0</v>
      </c>
      <c r="AL1452" s="11">
        <v>33</v>
      </c>
      <c r="AM1452" s="11">
        <v>2.4850000000000001E-2</v>
      </c>
      <c r="AN1452" s="72"/>
      <c r="AO1452" s="72"/>
      <c r="AP1452" s="72">
        <f>AE1452*0.5</f>
        <v>0</v>
      </c>
      <c r="AQ1452" s="25">
        <f>(AD1451+AH1451+AJ1451+AL1451+AP1452)*I1451</f>
        <v>354.20494400000001</v>
      </c>
      <c r="AR1452" s="25"/>
      <c r="AS1452" s="25"/>
      <c r="AT1452" s="25"/>
      <c r="AU1452" s="25">
        <f>SUM(N1452:Q1452)</f>
        <v>38.004999999999995</v>
      </c>
      <c r="AV1452" s="41">
        <f>SUM(T1452:W1452)</f>
        <v>38</v>
      </c>
      <c r="AW1452" s="41"/>
      <c r="AX1452" s="41"/>
      <c r="AY1452" s="4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</row>
    <row r="1453" spans="1:88" s="22" customFormat="1">
      <c r="A1453" s="1">
        <v>268</v>
      </c>
      <c r="B1453" s="34" t="s">
        <v>484</v>
      </c>
      <c r="C1453" s="34">
        <v>641</v>
      </c>
      <c r="D1453" s="34">
        <v>213</v>
      </c>
      <c r="E1453" s="34">
        <v>306</v>
      </c>
      <c r="F1453" s="34" t="s">
        <v>488</v>
      </c>
      <c r="G1453" s="58">
        <v>0</v>
      </c>
      <c r="H1453" s="58">
        <v>573</v>
      </c>
      <c r="I1453" s="35">
        <v>0.57299999999999995</v>
      </c>
      <c r="J1453" s="62">
        <v>2</v>
      </c>
      <c r="K1453" s="34" t="s">
        <v>238</v>
      </c>
      <c r="L1453" s="10">
        <v>42160</v>
      </c>
      <c r="M1453" s="9" t="s">
        <v>191</v>
      </c>
      <c r="N1453" s="38">
        <v>0</v>
      </c>
      <c r="O1453" s="38">
        <v>0</v>
      </c>
      <c r="P1453" s="38">
        <v>0.125</v>
      </c>
      <c r="Q1453" s="38">
        <v>0.42499999999999999</v>
      </c>
      <c r="R1453" s="38">
        <v>8.27</v>
      </c>
      <c r="S1453" s="38">
        <f t="shared" si="174"/>
        <v>8.5</v>
      </c>
      <c r="T1453" s="38">
        <v>0.47499999999999998</v>
      </c>
      <c r="U1453" s="38">
        <v>2.5000000000000001E-2</v>
      </c>
      <c r="V1453" s="38">
        <v>0</v>
      </c>
      <c r="W1453" s="38">
        <v>0.05</v>
      </c>
      <c r="X1453" s="38">
        <v>6.1449999999999996</v>
      </c>
      <c r="Y1453" s="38">
        <f t="shared" si="175"/>
        <v>6</v>
      </c>
      <c r="Z1453" s="38">
        <v>0</v>
      </c>
      <c r="AA1453" s="38">
        <v>2.3E-2</v>
      </c>
      <c r="AB1453" s="38">
        <v>0.52500000000000002</v>
      </c>
      <c r="AC1453" s="38">
        <v>0.96899999999999997</v>
      </c>
      <c r="AD1453" s="38">
        <v>0</v>
      </c>
      <c r="AE1453" s="38">
        <v>2.1</v>
      </c>
      <c r="AF1453" s="38">
        <f>(AD1453+AE1453*0.5)/(3.5*I1453*1000)*100</f>
        <v>5.2356020942408391E-2</v>
      </c>
      <c r="AG1453" s="38">
        <f t="shared" si="176"/>
        <v>0.1</v>
      </c>
      <c r="AH1453" s="38">
        <v>0</v>
      </c>
      <c r="AI1453" s="38">
        <f>AH1453/(3.5*I1453*1000)*100</f>
        <v>0</v>
      </c>
      <c r="AJ1453" s="38">
        <v>0</v>
      </c>
      <c r="AK1453" s="38">
        <v>0</v>
      </c>
      <c r="AL1453" s="38">
        <v>0</v>
      </c>
      <c r="AM1453" s="38">
        <f>AL1453/(3.5*I1453*1000)*100</f>
        <v>0</v>
      </c>
      <c r="AN1453" s="60"/>
      <c r="AO1453" s="60">
        <f>AE1453*0.5</f>
        <v>1.05</v>
      </c>
      <c r="AP1453" s="60">
        <f>(AD1453+AH1453+AJ1453+AL1453+AO1453)*I1453</f>
        <v>0.60165000000000002</v>
      </c>
      <c r="AQ1453" s="25">
        <f>SUM(N1453:Q1453)</f>
        <v>0.55000000000000004</v>
      </c>
      <c r="AR1453" s="25">
        <f>SUM(T1453:W1453)</f>
        <v>0.55000000000000004</v>
      </c>
      <c r="AS1453" s="61"/>
      <c r="AT1453" s="40"/>
      <c r="AU1453" s="41">
        <f>SUM(N1453:Q1453)</f>
        <v>0.55000000000000004</v>
      </c>
      <c r="AV1453" s="41">
        <f>SUM(T1453:W1453)</f>
        <v>0.55000000000000004</v>
      </c>
      <c r="AW1453" s="41">
        <f>SUM(Z1453:AB1453)</f>
        <v>0.54800000000000004</v>
      </c>
      <c r="AX1453" s="61"/>
      <c r="AY1453" s="22">
        <f>I1453/AU1453</f>
        <v>1.0418181818181818</v>
      </c>
      <c r="AZ1453" s="22">
        <f>I1453/AV1453</f>
        <v>1.0418181818181818</v>
      </c>
      <c r="BA1453" s="22">
        <f>I1453/AW1453</f>
        <v>1.0456204379562042</v>
      </c>
      <c r="BB1453" s="61"/>
      <c r="BC1453" s="61"/>
      <c r="BD1453" s="61"/>
      <c r="BE1453" s="61"/>
      <c r="BF1453" s="61"/>
      <c r="BG1453" s="61"/>
      <c r="BH1453" s="61"/>
      <c r="BI1453" s="61"/>
      <c r="BJ1453" s="61"/>
      <c r="BK1453" s="61"/>
      <c r="BL1453" s="61"/>
      <c r="BM1453" s="61"/>
      <c r="BN1453" s="61"/>
      <c r="BO1453" s="61"/>
      <c r="BP1453" s="61"/>
      <c r="BQ1453" s="61"/>
      <c r="BR1453" s="61"/>
      <c r="BS1453" s="61"/>
      <c r="BT1453" s="61"/>
      <c r="BU1453" s="61"/>
      <c r="BV1453" s="61"/>
      <c r="BW1453" s="61"/>
      <c r="BX1453" s="61"/>
      <c r="BY1453" s="61"/>
      <c r="BZ1453" s="61"/>
      <c r="CA1453" s="61"/>
      <c r="CB1453" s="61"/>
      <c r="CC1453" s="61"/>
      <c r="CD1453" s="61"/>
      <c r="CE1453" s="61"/>
      <c r="CF1453" s="61"/>
      <c r="CG1453" s="61"/>
      <c r="CH1453" s="61"/>
      <c r="CI1453" s="61"/>
      <c r="CJ1453" s="61"/>
    </row>
    <row r="1454" spans="1:88" s="22" customFormat="1">
      <c r="A1454" s="1">
        <v>1752</v>
      </c>
      <c r="B1454" s="34" t="s">
        <v>2348</v>
      </c>
      <c r="C1454" s="34">
        <v>425</v>
      </c>
      <c r="D1454" s="8">
        <v>3155</v>
      </c>
      <c r="E1454" s="34">
        <v>100</v>
      </c>
      <c r="F1454" s="34" t="s">
        <v>2349</v>
      </c>
      <c r="G1454" s="58">
        <v>0</v>
      </c>
      <c r="H1454" s="58">
        <v>24415</v>
      </c>
      <c r="I1454" s="35">
        <v>24.414999999999999</v>
      </c>
      <c r="J1454" s="9">
        <v>2</v>
      </c>
      <c r="K1454" s="34" t="s">
        <v>238</v>
      </c>
      <c r="L1454" s="10">
        <v>42236</v>
      </c>
      <c r="M1454" s="9" t="s">
        <v>191</v>
      </c>
      <c r="N1454" s="38">
        <v>15.75</v>
      </c>
      <c r="O1454" s="38">
        <v>5.95</v>
      </c>
      <c r="P1454" s="38">
        <v>2.2999999999999998</v>
      </c>
      <c r="Q1454" s="38">
        <v>0.4</v>
      </c>
      <c r="R1454" s="38">
        <v>2.4109099999999999</v>
      </c>
      <c r="S1454" s="38">
        <f t="shared" si="174"/>
        <v>2.5</v>
      </c>
      <c r="T1454" s="38">
        <v>22.975000000000001</v>
      </c>
      <c r="U1454" s="38">
        <v>1.125</v>
      </c>
      <c r="V1454" s="38">
        <v>0.3</v>
      </c>
      <c r="W1454" s="38">
        <v>0</v>
      </c>
      <c r="X1454" s="38">
        <v>5.0626800000000003</v>
      </c>
      <c r="Y1454" s="38">
        <f t="shared" si="175"/>
        <v>5</v>
      </c>
      <c r="Z1454" s="38">
        <v>0</v>
      </c>
      <c r="AA1454" s="38">
        <v>0</v>
      </c>
      <c r="AB1454" s="38">
        <f>SUM(T1454:W1454)</f>
        <v>24.400000000000002</v>
      </c>
      <c r="AC1454" s="38">
        <v>1.24031</v>
      </c>
      <c r="AD1454" s="38">
        <v>0</v>
      </c>
      <c r="AE1454" s="38">
        <v>89.37</v>
      </c>
      <c r="AF1454" s="38">
        <f>(AD1454+AE1454*0.5)/(3.5*I1454*1000)*100</f>
        <v>5.2292209122026867E-2</v>
      </c>
      <c r="AG1454" s="38">
        <f t="shared" si="176"/>
        <v>0.1</v>
      </c>
      <c r="AH1454" s="38">
        <v>168.77</v>
      </c>
      <c r="AI1454" s="38">
        <f>AH1454/(3.5*I1454*1000)*100</f>
        <v>0.19750153594101988</v>
      </c>
      <c r="AJ1454" s="38">
        <v>0</v>
      </c>
      <c r="AK1454" s="38">
        <f>AJ1454/(3.5*I1454*1000)*100</f>
        <v>0</v>
      </c>
      <c r="AL1454" s="38">
        <v>2.72</v>
      </c>
      <c r="AM1454" s="55">
        <f>AL1454/(3.5*I1454*1000)*100</f>
        <v>3.1830549135484628E-3</v>
      </c>
      <c r="AN1454" s="25"/>
      <c r="AO1454" s="25">
        <f>AE1454*0.5</f>
        <v>44.685000000000002</v>
      </c>
      <c r="AP1454" s="25">
        <f>(AD1454+AH1454+AJ1454+AL1454+AO1454)*I1454</f>
        <v>5277.9126249999999</v>
      </c>
      <c r="AQ1454" s="136">
        <f>SUM(N1454:Q1454)</f>
        <v>24.4</v>
      </c>
      <c r="AR1454" s="12">
        <f>SUM(T1454:W1454)</f>
        <v>24.400000000000002</v>
      </c>
      <c r="AT1454" s="41"/>
      <c r="AU1454" s="41"/>
      <c r="AV1454" s="41"/>
      <c r="AW1454" s="4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</row>
    <row r="1455" spans="1:88" s="22" customFormat="1">
      <c r="A1455" s="1">
        <v>1324</v>
      </c>
      <c r="B1455" s="74" t="s">
        <v>1851</v>
      </c>
      <c r="C1455" s="34">
        <v>444</v>
      </c>
      <c r="D1455" s="75">
        <v>3086</v>
      </c>
      <c r="E1455" s="69">
        <v>100</v>
      </c>
      <c r="F1455" s="34" t="s">
        <v>1868</v>
      </c>
      <c r="G1455" s="20">
        <v>11850</v>
      </c>
      <c r="H1455" s="20">
        <v>100</v>
      </c>
      <c r="I1455" s="21">
        <v>11.75</v>
      </c>
      <c r="J1455" s="8">
        <v>2</v>
      </c>
      <c r="K1455" s="34" t="s">
        <v>12</v>
      </c>
      <c r="L1455" s="18">
        <v>42211</v>
      </c>
      <c r="M1455" s="9" t="s">
        <v>191</v>
      </c>
      <c r="N1455" s="38">
        <v>7.4</v>
      </c>
      <c r="O1455" s="38">
        <v>2.6749999999999998</v>
      </c>
      <c r="P1455" s="38">
        <v>1.175</v>
      </c>
      <c r="Q1455" s="38">
        <v>0.45</v>
      </c>
      <c r="R1455" s="38">
        <v>2.53647</v>
      </c>
      <c r="S1455" s="38">
        <f t="shared" si="174"/>
        <v>2.5</v>
      </c>
      <c r="T1455" s="38">
        <v>11.7</v>
      </c>
      <c r="U1455" s="38">
        <v>0</v>
      </c>
      <c r="V1455" s="38">
        <v>0</v>
      </c>
      <c r="W1455" s="38">
        <v>0</v>
      </c>
      <c r="X1455" s="38">
        <v>2.0435300000000001</v>
      </c>
      <c r="Y1455" s="38">
        <f t="shared" si="175"/>
        <v>2</v>
      </c>
      <c r="Z1455" s="38">
        <v>0</v>
      </c>
      <c r="AA1455" s="38">
        <v>0</v>
      </c>
      <c r="AB1455" s="38">
        <v>11.7</v>
      </c>
      <c r="AC1455" s="38">
        <v>1.4300600000000001</v>
      </c>
      <c r="AD1455" s="38">
        <v>15</v>
      </c>
      <c r="AE1455" s="38">
        <v>13</v>
      </c>
      <c r="AF1455" s="38">
        <v>5.2279635258358666E-2</v>
      </c>
      <c r="AG1455" s="38">
        <f t="shared" si="176"/>
        <v>0.1</v>
      </c>
      <c r="AH1455" s="38">
        <v>0</v>
      </c>
      <c r="AI1455" s="38">
        <v>0</v>
      </c>
      <c r="AJ1455" s="38">
        <v>36</v>
      </c>
      <c r="AK1455" s="38">
        <v>8.753799392097264E-2</v>
      </c>
      <c r="AL1455" s="38">
        <v>0</v>
      </c>
      <c r="AM1455" s="38">
        <v>0</v>
      </c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</row>
    <row r="1456" spans="1:88" s="22" customFormat="1">
      <c r="A1456" s="1">
        <v>572</v>
      </c>
      <c r="B1456" s="34" t="s">
        <v>948</v>
      </c>
      <c r="C1456" s="34">
        <v>551</v>
      </c>
      <c r="D1456" s="34">
        <v>2472</v>
      </c>
      <c r="E1456" s="34">
        <v>100</v>
      </c>
      <c r="F1456" s="119" t="s">
        <v>973</v>
      </c>
      <c r="G1456" s="20">
        <v>0</v>
      </c>
      <c r="H1456" s="118">
        <v>5490</v>
      </c>
      <c r="I1456" s="35">
        <v>5.49</v>
      </c>
      <c r="J1456" s="71">
        <v>2</v>
      </c>
      <c r="K1456" s="34" t="s">
        <v>238</v>
      </c>
      <c r="L1456" s="10">
        <v>42224</v>
      </c>
      <c r="M1456" s="9" t="s">
        <v>191</v>
      </c>
      <c r="N1456" s="38">
        <v>0.54</v>
      </c>
      <c r="O1456" s="38">
        <v>2.04</v>
      </c>
      <c r="P1456" s="38">
        <v>1.77</v>
      </c>
      <c r="Q1456" s="38">
        <v>1.1599999999999999</v>
      </c>
      <c r="R1456" s="38">
        <v>4.0741699999999996</v>
      </c>
      <c r="S1456" s="38">
        <f t="shared" si="174"/>
        <v>4</v>
      </c>
      <c r="T1456" s="38">
        <v>5.28</v>
      </c>
      <c r="U1456" s="38">
        <v>0.19</v>
      </c>
      <c r="V1456" s="38">
        <v>2.5000000000000001E-2</v>
      </c>
      <c r="W1456" s="38">
        <v>0</v>
      </c>
      <c r="X1456" s="38">
        <v>3.8690799999999999</v>
      </c>
      <c r="Y1456" s="38">
        <f t="shared" si="175"/>
        <v>4</v>
      </c>
      <c r="Z1456" s="38">
        <v>0</v>
      </c>
      <c r="AA1456" s="38">
        <v>0</v>
      </c>
      <c r="AB1456" s="38">
        <f>T1456+U1456+V1456+W1456</f>
        <v>5.495000000000001</v>
      </c>
      <c r="AC1456" s="38">
        <v>1.4901500000000001</v>
      </c>
      <c r="AD1456" s="38">
        <v>10</v>
      </c>
      <c r="AE1456" s="38">
        <v>0</v>
      </c>
      <c r="AF1456" s="38">
        <f>(AD1456+AE1456*0.5)/(3.5*I1456*1000)*100</f>
        <v>5.2042674993494666E-2</v>
      </c>
      <c r="AG1456" s="38">
        <f t="shared" si="176"/>
        <v>0.1</v>
      </c>
      <c r="AH1456" s="38">
        <v>0</v>
      </c>
      <c r="AI1456" s="38">
        <f>AH1456/(3.5*I1456*1000)*100</f>
        <v>0</v>
      </c>
      <c r="AJ1456" s="38">
        <v>0</v>
      </c>
      <c r="AK1456" s="38">
        <f>AJ1456/(3.5*I1456*1000)*100</f>
        <v>0</v>
      </c>
      <c r="AL1456" s="38">
        <v>0</v>
      </c>
      <c r="AM1456" s="38">
        <f>AL1456/(3.5*I1456*1000)*100</f>
        <v>0</v>
      </c>
      <c r="AN1456" s="25"/>
      <c r="AO1456" s="25">
        <f>AE1456*0.5</f>
        <v>0</v>
      </c>
      <c r="AP1456" s="25">
        <f>(AD1456+AH1456+AJ1456+AL1456+AO1456)*I1456</f>
        <v>54.900000000000006</v>
      </c>
      <c r="AQ1456" s="25">
        <f>SUM(N1456:Q1456)</f>
        <v>5.51</v>
      </c>
      <c r="AR1456" s="25">
        <f>SUM(T1456:W1456)</f>
        <v>5.495000000000001</v>
      </c>
      <c r="AS1456" s="268">
        <v>5.49</v>
      </c>
      <c r="AT1456" s="41"/>
      <c r="AU1456" s="41">
        <f>SUM(N1456:Q1456)</f>
        <v>5.51</v>
      </c>
      <c r="AV1456" s="41">
        <f>SUM(T1456:W1456)</f>
        <v>5.495000000000001</v>
      </c>
      <c r="AW1456" s="41">
        <f>SUM(Z1456:AB1456)</f>
        <v>5.495000000000001</v>
      </c>
      <c r="AY1456" s="22">
        <f>I1456/AU1456</f>
        <v>0.99637023593466434</v>
      </c>
      <c r="AZ1456" s="22">
        <f>I1456/AV1456</f>
        <v>0.99909008189262949</v>
      </c>
      <c r="BA1456" s="22">
        <f>I1456/AW1456</f>
        <v>0.99909008189262949</v>
      </c>
    </row>
    <row r="1457" spans="1:88" s="22" customFormat="1">
      <c r="A1457" s="1">
        <v>2160</v>
      </c>
      <c r="B1457" s="34" t="s">
        <v>2798</v>
      </c>
      <c r="C1457" s="34">
        <v>311</v>
      </c>
      <c r="D1457" s="75">
        <v>407</v>
      </c>
      <c r="E1457" s="8">
        <v>102</v>
      </c>
      <c r="F1457" s="9" t="s">
        <v>2799</v>
      </c>
      <c r="G1457" s="20">
        <v>28230</v>
      </c>
      <c r="H1457" s="20">
        <v>17266</v>
      </c>
      <c r="I1457" s="21">
        <v>10.964</v>
      </c>
      <c r="J1457" s="8">
        <v>4</v>
      </c>
      <c r="K1457" s="8" t="s">
        <v>96</v>
      </c>
      <c r="L1457" s="18">
        <v>42146</v>
      </c>
      <c r="M1457" s="9" t="s">
        <v>191</v>
      </c>
      <c r="N1457" s="38">
        <v>6.55</v>
      </c>
      <c r="O1457" s="38">
        <v>2.875</v>
      </c>
      <c r="P1457" s="38">
        <v>1.1499999999999999</v>
      </c>
      <c r="Q1457" s="38">
        <v>0.4</v>
      </c>
      <c r="R1457" s="38">
        <v>2.5537399999999999</v>
      </c>
      <c r="S1457" s="38">
        <f t="shared" si="174"/>
        <v>2.5</v>
      </c>
      <c r="T1457" s="38">
        <v>10.8</v>
      </c>
      <c r="U1457" s="38">
        <v>0.125</v>
      </c>
      <c r="V1457" s="38">
        <v>2.5000000000000001E-2</v>
      </c>
      <c r="W1457" s="38">
        <v>2.5000000000000001E-2</v>
      </c>
      <c r="X1457" s="38">
        <v>3.5658599999999998</v>
      </c>
      <c r="Y1457" s="38">
        <f t="shared" si="175"/>
        <v>3.5</v>
      </c>
      <c r="Z1457" s="38">
        <v>0</v>
      </c>
      <c r="AA1457" s="38">
        <v>0</v>
      </c>
      <c r="AB1457" s="38">
        <v>10.975000000000001</v>
      </c>
      <c r="AC1457" s="38">
        <v>1.1121799999999999</v>
      </c>
      <c r="AD1457" s="38">
        <v>19.91</v>
      </c>
      <c r="AE1457" s="38">
        <v>0</v>
      </c>
      <c r="AF1457" s="38">
        <f>(AD1457+AE1457*0.5)/(3.5*I1457*1000)*100</f>
        <v>5.1884088184708396E-2</v>
      </c>
      <c r="AG1457" s="38">
        <f t="shared" si="176"/>
        <v>0.1</v>
      </c>
      <c r="AH1457" s="38">
        <v>22.02</v>
      </c>
      <c r="AI1457" s="38">
        <f>AH1457/(3.5*I1457*1000)*100</f>
        <v>5.7382602803981865E-2</v>
      </c>
      <c r="AJ1457" s="38">
        <v>0</v>
      </c>
      <c r="AK1457" s="38">
        <f>AJ1457/(3.5*I1457*1000)*100</f>
        <v>0</v>
      </c>
      <c r="AL1457" s="38">
        <v>0</v>
      </c>
      <c r="AM1457" s="38">
        <f>AL1457/(3.5*I1457*1000)*100</f>
        <v>0</v>
      </c>
      <c r="AN1457" s="72"/>
      <c r="AO1457" s="41"/>
      <c r="AP1457" s="41"/>
      <c r="AQ1457" s="41">
        <f>SUM(N1457:Q1457)</f>
        <v>10.975000000000001</v>
      </c>
      <c r="AR1457" s="41">
        <f>SUM(T1457:W1457)</f>
        <v>10.975000000000001</v>
      </c>
      <c r="AS1457" s="12">
        <f>SUM(Z1457:AB1457)</f>
        <v>10.975000000000001</v>
      </c>
      <c r="AT1457" s="1"/>
      <c r="AU1457" s="1">
        <f>I1457/AQ1457</f>
        <v>0.99899772209567184</v>
      </c>
      <c r="AV1457" s="1">
        <f>I1457/AR1457</f>
        <v>0.99899772209567184</v>
      </c>
      <c r="AW1457" s="1">
        <f>I1457/AS1457</f>
        <v>0.99899772209567184</v>
      </c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</row>
    <row r="1458" spans="1:88" s="22" customFormat="1">
      <c r="A1458" s="1">
        <v>533</v>
      </c>
      <c r="B1458" s="88" t="s">
        <v>915</v>
      </c>
      <c r="C1458" s="88">
        <v>558</v>
      </c>
      <c r="D1458" s="88">
        <v>117</v>
      </c>
      <c r="E1458" s="88">
        <v>502</v>
      </c>
      <c r="F1458" s="88" t="s">
        <v>918</v>
      </c>
      <c r="G1458" s="88" t="s">
        <v>919</v>
      </c>
      <c r="H1458" s="88" t="s">
        <v>920</v>
      </c>
      <c r="I1458" s="88">
        <v>53.722999999999999</v>
      </c>
      <c r="J1458" s="88" t="s">
        <v>238</v>
      </c>
      <c r="K1458" s="88">
        <v>2</v>
      </c>
      <c r="L1458" s="116">
        <v>42272</v>
      </c>
      <c r="M1458" s="9" t="s">
        <v>191</v>
      </c>
      <c r="N1458" s="117">
        <v>39.65</v>
      </c>
      <c r="O1458" s="117">
        <v>10.5</v>
      </c>
      <c r="P1458" s="117">
        <v>2.7</v>
      </c>
      <c r="Q1458" s="117">
        <v>0.95</v>
      </c>
      <c r="R1458" s="117">
        <v>2.2609599999999999</v>
      </c>
      <c r="S1458" s="38">
        <f t="shared" si="174"/>
        <v>2.5</v>
      </c>
      <c r="T1458" s="117">
        <v>52.924999999999997</v>
      </c>
      <c r="U1458" s="117">
        <v>0.77500000000000002</v>
      </c>
      <c r="V1458" s="117">
        <v>0.05</v>
      </c>
      <c r="W1458" s="117">
        <v>0.05</v>
      </c>
      <c r="X1458" s="117">
        <v>2.81115</v>
      </c>
      <c r="Y1458" s="38">
        <f t="shared" si="175"/>
        <v>3</v>
      </c>
      <c r="Z1458" s="117">
        <v>0</v>
      </c>
      <c r="AA1458" s="117">
        <v>0</v>
      </c>
      <c r="AB1458" s="117">
        <v>53.800000000000004</v>
      </c>
      <c r="AC1458" s="117">
        <v>1.1969000000000001</v>
      </c>
      <c r="AD1458" s="117">
        <v>96.26</v>
      </c>
      <c r="AE1458" s="117">
        <v>2.14</v>
      </c>
      <c r="AF1458" s="117">
        <v>5.1763000000000003E-2</v>
      </c>
      <c r="AG1458" s="38">
        <f t="shared" si="176"/>
        <v>0.1</v>
      </c>
      <c r="AH1458" s="117">
        <v>93.47</v>
      </c>
      <c r="AI1458" s="117">
        <v>4.9709999999999997E-2</v>
      </c>
      <c r="AJ1458" s="117">
        <v>0</v>
      </c>
      <c r="AK1458" s="117">
        <v>0</v>
      </c>
      <c r="AL1458" s="117">
        <v>0</v>
      </c>
      <c r="AM1458" s="117">
        <v>0</v>
      </c>
      <c r="AN1458" s="41"/>
      <c r="AO1458" s="41"/>
      <c r="AP1458" s="73"/>
      <c r="AQ1458" s="73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</row>
    <row r="1459" spans="1:88" s="22" customFormat="1">
      <c r="A1459" s="1">
        <v>870</v>
      </c>
      <c r="B1459" s="34" t="s">
        <v>1259</v>
      </c>
      <c r="C1459" s="34">
        <v>631</v>
      </c>
      <c r="D1459" s="8">
        <v>226</v>
      </c>
      <c r="E1459" s="8">
        <v>500</v>
      </c>
      <c r="F1459" s="34" t="s">
        <v>1262</v>
      </c>
      <c r="G1459" s="58">
        <v>334224</v>
      </c>
      <c r="H1459" s="58">
        <v>313384</v>
      </c>
      <c r="I1459" s="35">
        <v>20.84</v>
      </c>
      <c r="J1459" s="9">
        <v>4</v>
      </c>
      <c r="K1459" s="34" t="s">
        <v>96</v>
      </c>
      <c r="L1459" s="10">
        <v>42140</v>
      </c>
      <c r="M1459" s="9" t="s">
        <v>191</v>
      </c>
      <c r="N1459" s="38">
        <v>16.675000000000001</v>
      </c>
      <c r="O1459" s="38">
        <v>2.7</v>
      </c>
      <c r="P1459" s="38">
        <v>0.8</v>
      </c>
      <c r="Q1459" s="38">
        <v>0.5</v>
      </c>
      <c r="R1459" s="38">
        <v>2.1199400000000002</v>
      </c>
      <c r="S1459" s="38">
        <f t="shared" si="174"/>
        <v>2</v>
      </c>
      <c r="T1459" s="38">
        <v>16.75</v>
      </c>
      <c r="U1459" s="38">
        <v>2.7250000000000001</v>
      </c>
      <c r="V1459" s="38">
        <v>0.75</v>
      </c>
      <c r="W1459" s="38">
        <v>0.45</v>
      </c>
      <c r="X1459" s="38">
        <v>7.60642</v>
      </c>
      <c r="Y1459" s="38">
        <f t="shared" si="175"/>
        <v>7.5</v>
      </c>
      <c r="Z1459" s="38">
        <v>0</v>
      </c>
      <c r="AA1459" s="38">
        <v>0</v>
      </c>
      <c r="AB1459" s="38">
        <f>N1459+O1459+P1459+Q1459</f>
        <v>20.675000000000001</v>
      </c>
      <c r="AC1459" s="38">
        <v>1.2347600000000001</v>
      </c>
      <c r="AD1459" s="38">
        <v>27.01</v>
      </c>
      <c r="AE1459" s="38">
        <v>21.27</v>
      </c>
      <c r="AF1459" s="38">
        <v>5.1610000000000003E-2</v>
      </c>
      <c r="AG1459" s="38">
        <f t="shared" si="176"/>
        <v>0.1</v>
      </c>
      <c r="AH1459" s="38">
        <v>0</v>
      </c>
      <c r="AI1459" s="38">
        <v>0</v>
      </c>
      <c r="AJ1459" s="38">
        <v>0</v>
      </c>
      <c r="AK1459" s="38">
        <v>0</v>
      </c>
      <c r="AL1459" s="38">
        <v>0</v>
      </c>
      <c r="AM1459" s="38">
        <v>0</v>
      </c>
      <c r="AN1459" s="25"/>
      <c r="AO1459" s="25">
        <f>AE1459*0.5</f>
        <v>10.635</v>
      </c>
      <c r="AP1459" s="25">
        <f>(AD1459+AH1459+AJ1459+AL1459+AO1459)*I1459</f>
        <v>784.5218000000001</v>
      </c>
      <c r="AQ1459" s="25"/>
      <c r="AR1459" s="25"/>
      <c r="AS1459" s="25">
        <f>SUM(N1459:Q1459)</f>
        <v>20.675000000000001</v>
      </c>
      <c r="AT1459" s="25">
        <f>SUM(T1459:W1459)</f>
        <v>20.675000000000001</v>
      </c>
      <c r="AU1459" s="25"/>
      <c r="AW1459" s="41"/>
      <c r="AX1459" s="41"/>
      <c r="AY1459" s="41"/>
      <c r="AZ1459" s="41"/>
    </row>
    <row r="1460" spans="1:88" s="22" customFormat="1">
      <c r="A1460" s="1">
        <v>927</v>
      </c>
      <c r="B1460" s="34" t="s">
        <v>1309</v>
      </c>
      <c r="C1460" s="34">
        <v>638</v>
      </c>
      <c r="D1460" s="8">
        <v>2201</v>
      </c>
      <c r="E1460" s="34">
        <v>101</v>
      </c>
      <c r="F1460" s="34" t="s">
        <v>1321</v>
      </c>
      <c r="G1460" s="58">
        <v>0</v>
      </c>
      <c r="H1460" s="58">
        <v>15828</v>
      </c>
      <c r="I1460" s="35">
        <v>15.827999999999999</v>
      </c>
      <c r="J1460" s="9">
        <v>2</v>
      </c>
      <c r="K1460" s="34" t="s">
        <v>238</v>
      </c>
      <c r="L1460" s="10">
        <v>42144</v>
      </c>
      <c r="M1460" s="9" t="s">
        <v>191</v>
      </c>
      <c r="N1460" s="38">
        <v>9.6999999999999993</v>
      </c>
      <c r="O1460" s="38">
        <v>3.55</v>
      </c>
      <c r="P1460" s="38">
        <v>1.7</v>
      </c>
      <c r="Q1460" s="38">
        <v>0.85</v>
      </c>
      <c r="R1460" s="38">
        <v>2.6409500000000001</v>
      </c>
      <c r="S1460" s="38">
        <f t="shared" si="174"/>
        <v>2.5</v>
      </c>
      <c r="T1460" s="38">
        <v>15.375</v>
      </c>
      <c r="U1460" s="38">
        <v>0.42499999999999999</v>
      </c>
      <c r="V1460" s="38">
        <v>0</v>
      </c>
      <c r="W1460" s="38">
        <v>0</v>
      </c>
      <c r="X1460" s="38">
        <v>3.8555299999999999</v>
      </c>
      <c r="Y1460" s="38">
        <f t="shared" si="175"/>
        <v>4</v>
      </c>
      <c r="Z1460" s="38">
        <v>0</v>
      </c>
      <c r="AA1460" s="38">
        <v>0</v>
      </c>
      <c r="AB1460" s="38">
        <f>N1460+O1460+P1460+Q1460</f>
        <v>15.799999999999999</v>
      </c>
      <c r="AC1460" s="38">
        <v>1.21136</v>
      </c>
      <c r="AD1460" s="38">
        <v>0</v>
      </c>
      <c r="AE1460" s="38">
        <v>57.17</v>
      </c>
      <c r="AF1460" s="38">
        <v>5.16E-2</v>
      </c>
      <c r="AG1460" s="38">
        <f t="shared" si="176"/>
        <v>0.1</v>
      </c>
      <c r="AH1460" s="38">
        <v>53.95</v>
      </c>
      <c r="AI1460" s="38">
        <v>9.7390000000000004E-2</v>
      </c>
      <c r="AJ1460" s="38">
        <v>0</v>
      </c>
      <c r="AK1460" s="38">
        <v>0</v>
      </c>
      <c r="AL1460" s="38">
        <v>0</v>
      </c>
      <c r="AM1460" s="38">
        <v>0</v>
      </c>
      <c r="AN1460" s="40"/>
      <c r="AO1460" s="40"/>
      <c r="AP1460" s="40">
        <f>AE1460*0.5</f>
        <v>28.585000000000001</v>
      </c>
      <c r="AQ1460" s="25">
        <f>(AD1460+AH1460+AJ1460+AL1460+AP1460)*I1460</f>
        <v>1306.3639799999999</v>
      </c>
      <c r="AR1460" s="25"/>
      <c r="AS1460" s="25"/>
      <c r="AT1460" s="25">
        <f>SUM(N1460:Q1460)</f>
        <v>15.799999999999999</v>
      </c>
      <c r="AU1460" s="25">
        <f>SUM(T1460:W1460)</f>
        <v>15.8</v>
      </c>
      <c r="AW1460" s="41"/>
      <c r="AX1460" s="41"/>
      <c r="AY1460" s="41"/>
      <c r="AZ1460" s="41"/>
    </row>
    <row r="1461" spans="1:88" s="22" customFormat="1">
      <c r="A1461" s="1">
        <v>1656</v>
      </c>
      <c r="B1461" s="34" t="s">
        <v>2251</v>
      </c>
      <c r="C1461" s="34">
        <v>418</v>
      </c>
      <c r="D1461" s="69">
        <v>9</v>
      </c>
      <c r="E1461" s="34">
        <v>201</v>
      </c>
      <c r="F1461" s="34" t="s">
        <v>2252</v>
      </c>
      <c r="G1461" s="58" t="s">
        <v>2254</v>
      </c>
      <c r="H1461" s="58" t="s">
        <v>2253</v>
      </c>
      <c r="I1461" s="35">
        <v>8.6</v>
      </c>
      <c r="J1461" s="34">
        <v>6</v>
      </c>
      <c r="K1461" s="34" t="s">
        <v>96</v>
      </c>
      <c r="L1461" s="10">
        <v>42244</v>
      </c>
      <c r="M1461" s="9" t="s">
        <v>191</v>
      </c>
      <c r="N1461" s="55">
        <v>3.1749999999999998</v>
      </c>
      <c r="O1461" s="55">
        <v>2.75</v>
      </c>
      <c r="P1461" s="55">
        <v>2.2749999999999999</v>
      </c>
      <c r="Q1461" s="55">
        <v>0.45</v>
      </c>
      <c r="R1461" s="55">
        <v>3.1072000000000002</v>
      </c>
      <c r="S1461" s="38">
        <f t="shared" si="174"/>
        <v>3</v>
      </c>
      <c r="T1461" s="38">
        <v>8.0749999999999993</v>
      </c>
      <c r="U1461" s="38">
        <v>0.47499999999999998</v>
      </c>
      <c r="V1461" s="38">
        <v>0.1</v>
      </c>
      <c r="W1461" s="38">
        <v>0</v>
      </c>
      <c r="X1461" s="38">
        <v>5.1398599999999997</v>
      </c>
      <c r="Y1461" s="38">
        <f t="shared" si="175"/>
        <v>5</v>
      </c>
      <c r="Z1461" s="38">
        <v>0</v>
      </c>
      <c r="AA1461" s="38">
        <v>0</v>
      </c>
      <c r="AB1461" s="38">
        <f>SUM(N1461:Q1461)</f>
        <v>8.6499999999999986</v>
      </c>
      <c r="AC1461" s="38">
        <v>1.13432</v>
      </c>
      <c r="AD1461" s="38">
        <v>0</v>
      </c>
      <c r="AE1461" s="38">
        <v>31</v>
      </c>
      <c r="AF1461" s="38">
        <f>(AD1461+AE1461*0.5)/(3.5*I1461*1000)*100</f>
        <v>5.1495016611295685E-2</v>
      </c>
      <c r="AG1461" s="38">
        <f t="shared" si="176"/>
        <v>0.1</v>
      </c>
      <c r="AH1461" s="38">
        <v>0</v>
      </c>
      <c r="AI1461" s="38">
        <f>AH1461/(3.5*I1461*1000)*100</f>
        <v>0</v>
      </c>
      <c r="AJ1461" s="38">
        <v>0</v>
      </c>
      <c r="AK1461" s="38">
        <f>AJ1461/(3.5*I1461*1000)*100</f>
        <v>0</v>
      </c>
      <c r="AL1461" s="38">
        <v>0</v>
      </c>
      <c r="AM1461" s="38">
        <f>AL1461/(3.5*I1461*1000)*100</f>
        <v>0</v>
      </c>
      <c r="AN1461" s="25"/>
      <c r="AO1461" s="25">
        <f>AE1461*0.5</f>
        <v>15.5</v>
      </c>
      <c r="AP1461" s="25">
        <f>(AD1461+AH1461+AJ1461+AL1461+AO1461)*I1461</f>
        <v>133.29999999999998</v>
      </c>
      <c r="AQ1461" s="25">
        <f>(AD1461+AH1461+AJ1461+AL1461)*I1461</f>
        <v>0</v>
      </c>
      <c r="AR1461" s="25">
        <f>SUM(N1461:Q1461)</f>
        <v>8.6499999999999986</v>
      </c>
      <c r="AS1461" s="25">
        <f>SUM(T1461:W1461)</f>
        <v>8.6499999999999986</v>
      </c>
      <c r="AU1461" s="41"/>
      <c r="AV1461" s="41"/>
      <c r="AW1461" s="41"/>
      <c r="AX1461" s="41"/>
    </row>
    <row r="1462" spans="1:88" s="22" customFormat="1">
      <c r="A1462" s="1">
        <v>367</v>
      </c>
      <c r="B1462" s="71" t="s">
        <v>602</v>
      </c>
      <c r="C1462" s="78">
        <v>514</v>
      </c>
      <c r="D1462" s="79">
        <v>1090</v>
      </c>
      <c r="E1462" s="80">
        <v>102</v>
      </c>
      <c r="F1462" s="78" t="s">
        <v>608</v>
      </c>
      <c r="G1462" s="81">
        <v>64839</v>
      </c>
      <c r="H1462" s="81">
        <v>154839</v>
      </c>
      <c r="I1462" s="78">
        <v>90</v>
      </c>
      <c r="J1462" s="78">
        <v>2</v>
      </c>
      <c r="K1462" s="78" t="s">
        <v>12</v>
      </c>
      <c r="L1462" s="82">
        <v>42256</v>
      </c>
      <c r="M1462" s="71" t="s">
        <v>191</v>
      </c>
      <c r="N1462" s="83">
        <v>15.324999999999999</v>
      </c>
      <c r="O1462" s="83">
        <v>26.225000000000001</v>
      </c>
      <c r="P1462" s="83">
        <v>27.875</v>
      </c>
      <c r="Q1462" s="83">
        <v>20.350000000000001</v>
      </c>
      <c r="R1462" s="83">
        <v>4.3369099999999996</v>
      </c>
      <c r="S1462" s="38">
        <f t="shared" si="174"/>
        <v>4.5</v>
      </c>
      <c r="T1462" s="83">
        <v>80.825000000000003</v>
      </c>
      <c r="U1462" s="83">
        <v>4.75</v>
      </c>
      <c r="V1462" s="83">
        <v>1.7</v>
      </c>
      <c r="W1462" s="83">
        <v>2.5</v>
      </c>
      <c r="X1462" s="83">
        <v>5.3308099999999996</v>
      </c>
      <c r="Y1462" s="38">
        <f t="shared" si="175"/>
        <v>5.5</v>
      </c>
      <c r="Z1462" s="83">
        <v>0</v>
      </c>
      <c r="AA1462" s="83">
        <v>0</v>
      </c>
      <c r="AB1462" s="83">
        <v>89.775000000000006</v>
      </c>
      <c r="AC1462" s="83">
        <v>1.48438</v>
      </c>
      <c r="AD1462" s="83">
        <v>153.21</v>
      </c>
      <c r="AE1462" s="83">
        <v>17.25</v>
      </c>
      <c r="AF1462" s="83">
        <f>(AD1462+AE1462*0.5)/(3.5*I1462*1000)*100</f>
        <v>5.1376190476190478E-2</v>
      </c>
      <c r="AG1462" s="38">
        <f t="shared" si="176"/>
        <v>0.1</v>
      </c>
      <c r="AH1462" s="83">
        <v>164.29</v>
      </c>
      <c r="AI1462" s="83">
        <f>AH1462/(3.5*I1462*1000)*100</f>
        <v>5.2155555555555552E-2</v>
      </c>
      <c r="AJ1462" s="83">
        <v>0</v>
      </c>
      <c r="AK1462" s="83">
        <f>AJ1462/(3.5*I1462*1000)*100</f>
        <v>0</v>
      </c>
      <c r="AL1462" s="83">
        <v>0</v>
      </c>
      <c r="AM1462" s="83">
        <f>AL1462/(3.5*I1462*1000)*100</f>
        <v>0</v>
      </c>
      <c r="AN1462" s="84"/>
      <c r="AO1462" s="41"/>
      <c r="AP1462" s="41"/>
      <c r="AQ1462" s="85"/>
      <c r="AR1462" s="86"/>
      <c r="AS1462" s="86"/>
      <c r="AT1462" s="86"/>
      <c r="AU1462" s="86"/>
      <c r="AV1462" s="86"/>
      <c r="AW1462" s="86"/>
      <c r="AX1462" s="86"/>
      <c r="AY1462" s="86"/>
      <c r="AZ1462" s="86"/>
      <c r="BA1462" s="86"/>
      <c r="BB1462" s="86"/>
      <c r="BC1462" s="86"/>
      <c r="BD1462" s="86"/>
      <c r="BE1462" s="86"/>
      <c r="BF1462" s="86"/>
      <c r="BG1462" s="86"/>
      <c r="BH1462" s="86"/>
      <c r="BI1462" s="86"/>
      <c r="BJ1462" s="86"/>
      <c r="BK1462" s="86"/>
      <c r="BL1462" s="86"/>
      <c r="BM1462" s="86"/>
      <c r="BN1462" s="86"/>
      <c r="BO1462" s="86"/>
      <c r="BP1462" s="86"/>
      <c r="BQ1462" s="86"/>
      <c r="BR1462" s="86"/>
      <c r="BS1462" s="86"/>
      <c r="BT1462" s="86"/>
      <c r="BU1462" s="86"/>
      <c r="BV1462" s="86"/>
      <c r="BW1462" s="86"/>
      <c r="BX1462" s="86"/>
      <c r="BY1462" s="86"/>
      <c r="BZ1462" s="86"/>
      <c r="CA1462" s="86"/>
      <c r="CB1462" s="86"/>
      <c r="CC1462" s="86"/>
      <c r="CD1462" s="86"/>
      <c r="CE1462" s="86"/>
      <c r="CF1462" s="86"/>
      <c r="CG1462" s="86"/>
      <c r="CH1462" s="86"/>
      <c r="CI1462" s="86"/>
      <c r="CJ1462" s="86"/>
    </row>
    <row r="1463" spans="1:88" s="22" customFormat="1">
      <c r="A1463" s="1">
        <v>6</v>
      </c>
      <c r="B1463" s="13" t="s">
        <v>8</v>
      </c>
      <c r="C1463" s="14">
        <v>521</v>
      </c>
      <c r="D1463" s="15">
        <v>108</v>
      </c>
      <c r="E1463" s="16">
        <v>103</v>
      </c>
      <c r="F1463" s="17" t="s">
        <v>10</v>
      </c>
      <c r="G1463" s="6" t="s">
        <v>91</v>
      </c>
      <c r="H1463" s="6" t="s">
        <v>90</v>
      </c>
      <c r="I1463" s="7">
        <v>47.505000000000003</v>
      </c>
      <c r="J1463" s="8">
        <v>2</v>
      </c>
      <c r="K1463" s="9" t="s">
        <v>12</v>
      </c>
      <c r="L1463" s="18">
        <v>42230</v>
      </c>
      <c r="M1463" s="9" t="s">
        <v>191</v>
      </c>
      <c r="N1463" s="11">
        <v>24.824999999999999</v>
      </c>
      <c r="O1463" s="11">
        <v>11.4</v>
      </c>
      <c r="P1463" s="11">
        <v>7.3</v>
      </c>
      <c r="Q1463" s="11">
        <v>4.1500000000000004</v>
      </c>
      <c r="R1463" s="11">
        <v>2.8536299999999999</v>
      </c>
      <c r="S1463" s="38">
        <f t="shared" si="174"/>
        <v>3</v>
      </c>
      <c r="T1463" s="11">
        <v>46.475000000000001</v>
      </c>
      <c r="U1463" s="11">
        <v>0.9</v>
      </c>
      <c r="V1463" s="11">
        <v>0.25</v>
      </c>
      <c r="W1463" s="11">
        <v>0.05</v>
      </c>
      <c r="X1463" s="11">
        <v>3.14968</v>
      </c>
      <c r="Y1463" s="38">
        <f t="shared" si="175"/>
        <v>3</v>
      </c>
      <c r="Z1463" s="11">
        <v>0</v>
      </c>
      <c r="AA1463" s="11">
        <v>0</v>
      </c>
      <c r="AB1463" s="11">
        <v>47.674999999999997</v>
      </c>
      <c r="AC1463" s="11">
        <v>1.10243</v>
      </c>
      <c r="AD1463" s="11">
        <v>84.94</v>
      </c>
      <c r="AE1463" s="11">
        <v>0</v>
      </c>
      <c r="AF1463" s="11">
        <f>(AD1463+AE1463*0.5)/(3.5*I1463*1000)*100</f>
        <v>5.1086351812591149E-2</v>
      </c>
      <c r="AG1463" s="38">
        <f t="shared" si="176"/>
        <v>0.1</v>
      </c>
      <c r="AH1463" s="11">
        <v>50.36</v>
      </c>
      <c r="AI1463" s="11">
        <f>AH1463/(3.5*I1463*1000)*100</f>
        <v>3.0288541055828708E-2</v>
      </c>
      <c r="AJ1463" s="11">
        <v>0</v>
      </c>
      <c r="AK1463" s="11">
        <f>AJ1463/(3.5*I1463*1000)*100</f>
        <v>0</v>
      </c>
      <c r="AL1463" s="11">
        <v>0</v>
      </c>
      <c r="AM1463" s="11">
        <f>AL1463/(3.5*I1463*1000)*100</f>
        <v>0</v>
      </c>
      <c r="AN1463" s="1"/>
      <c r="AO1463" s="1"/>
      <c r="AP1463" s="1"/>
      <c r="AQ1463" s="12">
        <f>N1463+O1463+P1463+Q1463</f>
        <v>47.674999999999997</v>
      </c>
      <c r="AR1463" s="12">
        <f>T1463+U1463+V1463+W1463</f>
        <v>47.674999999999997</v>
      </c>
      <c r="AS1463" s="12">
        <f>Z1463+AA1463+AB1463</f>
        <v>47.674999999999997</v>
      </c>
      <c r="AT1463" s="1"/>
      <c r="AU1463" s="1">
        <v>1.0035785706767708</v>
      </c>
      <c r="AV1463" s="1">
        <v>1.0035785706767708</v>
      </c>
      <c r="AW1463" s="1">
        <v>1.0035785706767708</v>
      </c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</row>
    <row r="1464" spans="1:88" s="22" customFormat="1">
      <c r="A1464" s="1">
        <v>535</v>
      </c>
      <c r="B1464" s="88" t="s">
        <v>915</v>
      </c>
      <c r="C1464" s="88">
        <v>558</v>
      </c>
      <c r="D1464" s="88">
        <v>1083</v>
      </c>
      <c r="E1464" s="88">
        <v>100</v>
      </c>
      <c r="F1464" s="88" t="s">
        <v>923</v>
      </c>
      <c r="G1464" s="88" t="s">
        <v>92</v>
      </c>
      <c r="H1464" s="88" t="s">
        <v>418</v>
      </c>
      <c r="I1464" s="88">
        <v>32.723999999999997</v>
      </c>
      <c r="J1464" s="88" t="s">
        <v>238</v>
      </c>
      <c r="K1464" s="88">
        <v>2</v>
      </c>
      <c r="L1464" s="116">
        <v>42273</v>
      </c>
      <c r="M1464" s="9" t="s">
        <v>191</v>
      </c>
      <c r="N1464" s="117">
        <v>7.5750000000000002</v>
      </c>
      <c r="O1464" s="117">
        <v>13.88</v>
      </c>
      <c r="P1464" s="117">
        <v>8.1</v>
      </c>
      <c r="Q1464" s="117">
        <v>2.93</v>
      </c>
      <c r="R1464" s="117">
        <v>3.45364</v>
      </c>
      <c r="S1464" s="38">
        <f t="shared" si="174"/>
        <v>3.5</v>
      </c>
      <c r="T1464" s="117">
        <v>30.274999999999999</v>
      </c>
      <c r="U1464" s="117">
        <v>1.675</v>
      </c>
      <c r="V1464" s="117">
        <v>0.3</v>
      </c>
      <c r="W1464" s="117">
        <v>0.22500000000000001</v>
      </c>
      <c r="X1464" s="117">
        <v>4.7443900000000001</v>
      </c>
      <c r="Y1464" s="38">
        <f t="shared" si="175"/>
        <v>4.5</v>
      </c>
      <c r="Z1464" s="117">
        <v>0</v>
      </c>
      <c r="AA1464" s="117">
        <v>0</v>
      </c>
      <c r="AB1464" s="117">
        <v>32.484999999999999</v>
      </c>
      <c r="AC1464" s="117">
        <v>1.8088</v>
      </c>
      <c r="AD1464" s="117">
        <v>46.21</v>
      </c>
      <c r="AE1464" s="117">
        <v>24.518999999999998</v>
      </c>
      <c r="AF1464" s="117">
        <v>5.1049999999999998E-2</v>
      </c>
      <c r="AG1464" s="38">
        <f t="shared" si="176"/>
        <v>0.1</v>
      </c>
      <c r="AH1464" s="117">
        <v>93.78</v>
      </c>
      <c r="AI1464" s="117">
        <v>8.1879999999999994E-2</v>
      </c>
      <c r="AJ1464" s="117">
        <v>0</v>
      </c>
      <c r="AK1464" s="117">
        <v>0</v>
      </c>
      <c r="AL1464" s="117">
        <v>0</v>
      </c>
      <c r="AM1464" s="117">
        <v>0</v>
      </c>
      <c r="AN1464" s="41"/>
      <c r="AO1464" s="41"/>
      <c r="AP1464" s="73"/>
      <c r="AQ1464" s="73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</row>
    <row r="1465" spans="1:88" s="22" customFormat="1">
      <c r="A1465" s="1">
        <v>1245</v>
      </c>
      <c r="B1465" s="34" t="s">
        <v>1725</v>
      </c>
      <c r="C1465" s="88">
        <v>437</v>
      </c>
      <c r="D1465" s="88">
        <v>3504</v>
      </c>
      <c r="E1465" s="88">
        <v>200</v>
      </c>
      <c r="F1465" s="88" t="s">
        <v>1763</v>
      </c>
      <c r="G1465" s="88" t="s">
        <v>1764</v>
      </c>
      <c r="H1465" s="88" t="s">
        <v>1765</v>
      </c>
      <c r="I1465" s="115">
        <v>35.715000000000003</v>
      </c>
      <c r="J1465" s="88">
        <v>2</v>
      </c>
      <c r="K1465" s="88" t="s">
        <v>12</v>
      </c>
      <c r="L1465" s="116">
        <v>42282</v>
      </c>
      <c r="M1465" s="9" t="s">
        <v>191</v>
      </c>
      <c r="N1465" s="38">
        <v>19.149999999999999</v>
      </c>
      <c r="O1465" s="38">
        <v>11.25</v>
      </c>
      <c r="P1465" s="38">
        <v>3.85</v>
      </c>
      <c r="Q1465" s="38">
        <v>1.5</v>
      </c>
      <c r="R1465" s="38">
        <v>2.7612800000000002</v>
      </c>
      <c r="S1465" s="38">
        <f t="shared" si="174"/>
        <v>3</v>
      </c>
      <c r="T1465" s="38">
        <v>28.55</v>
      </c>
      <c r="U1465" s="38">
        <v>5.2750000000000004</v>
      </c>
      <c r="V1465" s="38">
        <v>1.125</v>
      </c>
      <c r="W1465" s="38">
        <v>0.8</v>
      </c>
      <c r="X1465" s="38">
        <v>6.7148399999999997</v>
      </c>
      <c r="Y1465" s="38">
        <f t="shared" si="175"/>
        <v>6.5</v>
      </c>
      <c r="Z1465" s="38">
        <v>0</v>
      </c>
      <c r="AA1465" s="117">
        <v>0</v>
      </c>
      <c r="AB1465" s="117">
        <v>35.715000000000003</v>
      </c>
      <c r="AC1465" s="117">
        <v>1.60022</v>
      </c>
      <c r="AD1465" s="117">
        <v>62.268000000000001</v>
      </c>
      <c r="AE1465" s="117">
        <v>2.54</v>
      </c>
      <c r="AF1465" s="117">
        <f>(AD1465+AE1465*0.5)/(3.5*I1465*1000)*100</f>
        <v>5.0829383412331758E-2</v>
      </c>
      <c r="AG1465" s="38">
        <f t="shared" si="176"/>
        <v>0.1</v>
      </c>
      <c r="AH1465" s="117">
        <v>48.35</v>
      </c>
      <c r="AI1465" s="117">
        <f>AH1465/(3.5*I1465*1000)*100</f>
        <v>3.8679226415471689E-2</v>
      </c>
      <c r="AJ1465" s="117">
        <v>0</v>
      </c>
      <c r="AK1465" s="117">
        <f>AJ1465/(3.5*I1465*1000)*100</f>
        <v>0</v>
      </c>
      <c r="AL1465" s="117">
        <v>0</v>
      </c>
      <c r="AM1465" s="117">
        <f>AJ1465/(3.5*I1465*1000)*100</f>
        <v>0</v>
      </c>
      <c r="AN1465" s="12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</row>
    <row r="1466" spans="1:88" s="22" customFormat="1">
      <c r="A1466" s="1">
        <v>1008</v>
      </c>
      <c r="B1466" s="9" t="s">
        <v>1394</v>
      </c>
      <c r="C1466" s="9">
        <v>617</v>
      </c>
      <c r="D1466" s="8">
        <v>226</v>
      </c>
      <c r="E1466" s="9">
        <v>202</v>
      </c>
      <c r="F1466" s="9" t="s">
        <v>1407</v>
      </c>
      <c r="G1466" s="175">
        <v>108098</v>
      </c>
      <c r="H1466" s="175">
        <v>91010</v>
      </c>
      <c r="I1466" s="35">
        <v>17.088000000000001</v>
      </c>
      <c r="J1466" s="9">
        <v>6</v>
      </c>
      <c r="K1466" s="9" t="s">
        <v>96</v>
      </c>
      <c r="L1466" s="18">
        <v>42129</v>
      </c>
      <c r="M1466" s="9" t="s">
        <v>191</v>
      </c>
      <c r="N1466" s="11">
        <v>10.6</v>
      </c>
      <c r="O1466" s="11">
        <v>3.9</v>
      </c>
      <c r="P1466" s="11">
        <v>1.5249999999999999</v>
      </c>
      <c r="Q1466" s="11">
        <v>0.95</v>
      </c>
      <c r="R1466" s="11">
        <v>2.8207100000000001</v>
      </c>
      <c r="S1466" s="38">
        <f t="shared" si="174"/>
        <v>3</v>
      </c>
      <c r="T1466" s="11">
        <v>13.45</v>
      </c>
      <c r="U1466" s="11">
        <v>2.35</v>
      </c>
      <c r="V1466" s="11">
        <v>0.875</v>
      </c>
      <c r="W1466" s="11">
        <v>0.3</v>
      </c>
      <c r="X1466" s="11">
        <v>7.5865900000000002</v>
      </c>
      <c r="Y1466" s="38">
        <f t="shared" si="175"/>
        <v>7.5</v>
      </c>
      <c r="Z1466" s="11">
        <v>0</v>
      </c>
      <c r="AA1466" s="11">
        <v>0</v>
      </c>
      <c r="AB1466" s="11">
        <f>SUM(N1466:Q1466)</f>
        <v>16.974999999999998</v>
      </c>
      <c r="AC1466" s="11">
        <v>1.09378</v>
      </c>
      <c r="AD1466" s="11">
        <v>30.31</v>
      </c>
      <c r="AE1466" s="11">
        <v>0</v>
      </c>
      <c r="AF1466" s="11">
        <f>(AD1466+AE1466*0.5)/(3.5*I1466*1000)*100</f>
        <v>5.0678838951310846E-2</v>
      </c>
      <c r="AG1466" s="38">
        <f t="shared" si="176"/>
        <v>0.1</v>
      </c>
      <c r="AH1466" s="11">
        <v>8.82</v>
      </c>
      <c r="AI1466" s="38">
        <f>AH1466/(3.5*I1466*1000)*100</f>
        <v>1.4747191011235953E-2</v>
      </c>
      <c r="AJ1466" s="11">
        <v>72.760000000000005</v>
      </c>
      <c r="AK1466" s="38">
        <f>AJ1466/(3.5*I1466*1000)*100</f>
        <v>0.12165596575708934</v>
      </c>
      <c r="AL1466" s="11">
        <v>0</v>
      </c>
      <c r="AM1466" s="38">
        <f>AL1466/(3.5*I1466*1000)*100</f>
        <v>0</v>
      </c>
      <c r="AN1466" s="25"/>
      <c r="AO1466" s="25">
        <f>AE1466*0.5</f>
        <v>0</v>
      </c>
      <c r="AP1466" s="25">
        <f>(AD1466+AH1466+AJ1466+AL1466+AO1466)*I1466</f>
        <v>1911.9763200000002</v>
      </c>
      <c r="AQ1466" s="25"/>
      <c r="AR1466" s="25"/>
      <c r="AS1466" s="25">
        <f>SUM(N1466:Q1466)</f>
        <v>16.974999999999998</v>
      </c>
      <c r="AT1466" s="25">
        <f>SUM(T1466:W1466)</f>
        <v>16.974999999999998</v>
      </c>
      <c r="AU1466" s="41"/>
      <c r="AV1466" s="41"/>
      <c r="AW1466" s="41"/>
    </row>
    <row r="1467" spans="1:88" s="22" customFormat="1">
      <c r="A1467" s="1">
        <v>1035</v>
      </c>
      <c r="B1467" s="9" t="s">
        <v>1394</v>
      </c>
      <c r="C1467" s="9">
        <v>617</v>
      </c>
      <c r="D1467" s="8">
        <v>2208</v>
      </c>
      <c r="E1467" s="9">
        <v>102</v>
      </c>
      <c r="F1467" s="9" t="s">
        <v>1435</v>
      </c>
      <c r="G1467" s="20">
        <v>4557</v>
      </c>
      <c r="H1467" s="20">
        <v>42016</v>
      </c>
      <c r="I1467" s="35">
        <v>37.459000000000003</v>
      </c>
      <c r="J1467" s="9">
        <v>2</v>
      </c>
      <c r="K1467" s="9" t="s">
        <v>238</v>
      </c>
      <c r="L1467" s="18">
        <v>42132</v>
      </c>
      <c r="M1467" s="9" t="s">
        <v>191</v>
      </c>
      <c r="N1467" s="11">
        <v>28.68</v>
      </c>
      <c r="O1467" s="11">
        <v>6.0750000000000002</v>
      </c>
      <c r="P1467" s="11">
        <v>1.7</v>
      </c>
      <c r="Q1467" s="11">
        <v>0.4</v>
      </c>
      <c r="R1467" s="11">
        <v>2.2363599999999999</v>
      </c>
      <c r="S1467" s="38">
        <f t="shared" si="174"/>
        <v>2</v>
      </c>
      <c r="T1467" s="11">
        <v>36.200000000000003</v>
      </c>
      <c r="U1467" s="11">
        <v>0.57499999999999996</v>
      </c>
      <c r="V1467" s="11">
        <v>7.4999999999999997E-2</v>
      </c>
      <c r="W1467" s="11">
        <v>0</v>
      </c>
      <c r="X1467" s="11">
        <v>3.76512</v>
      </c>
      <c r="Y1467" s="38">
        <f t="shared" si="175"/>
        <v>4</v>
      </c>
      <c r="Z1467" s="11">
        <v>0</v>
      </c>
      <c r="AA1467" s="11">
        <v>0</v>
      </c>
      <c r="AB1467" s="11">
        <f>SUM(N1467:Q1467)</f>
        <v>36.855000000000004</v>
      </c>
      <c r="AC1467" s="11">
        <v>1.2486600000000001</v>
      </c>
      <c r="AD1467" s="11">
        <v>12.09</v>
      </c>
      <c r="AE1467" s="11">
        <v>108.45</v>
      </c>
      <c r="AF1467" s="11">
        <f>(AD1467+AE1467*0.5)/(3.5*I1467*1000)*100</f>
        <v>5.0581016196756062E-2</v>
      </c>
      <c r="AG1467" s="38">
        <f t="shared" si="176"/>
        <v>0.1</v>
      </c>
      <c r="AH1467" s="11">
        <v>0</v>
      </c>
      <c r="AI1467" s="38">
        <f>AH1467/(3.5*I1467*1000)*100</f>
        <v>0</v>
      </c>
      <c r="AJ1467" s="11">
        <v>0</v>
      </c>
      <c r="AK1467" s="38">
        <f>AJ1467/(3.5*I1467*1000)*100</f>
        <v>0</v>
      </c>
      <c r="AL1467" s="11">
        <v>0</v>
      </c>
      <c r="AM1467" s="38">
        <f>AL1467/(3.5*I1467*1000)*100</f>
        <v>0</v>
      </c>
      <c r="AN1467" s="25"/>
      <c r="AO1467" s="25">
        <f>AE1467*0.5</f>
        <v>54.225000000000001</v>
      </c>
      <c r="AP1467" s="25">
        <f>(AD1467+AH1467+AJ1467+AL1467+AO1467)*I1467</f>
        <v>2484.0935850000001</v>
      </c>
      <c r="AQ1467" s="25"/>
      <c r="AR1467" s="25"/>
      <c r="AS1467" s="25">
        <f>SUM(N1467:Q1467)</f>
        <v>36.855000000000004</v>
      </c>
      <c r="AT1467" s="25">
        <f>SUM(T1467:W1467)</f>
        <v>36.850000000000009</v>
      </c>
      <c r="AU1467" s="41"/>
      <c r="AV1467" s="41"/>
      <c r="AW1467" s="41"/>
    </row>
    <row r="1468" spans="1:88" s="22" customFormat="1">
      <c r="A1468" s="1">
        <v>104</v>
      </c>
      <c r="B1468" s="4" t="s">
        <v>61</v>
      </c>
      <c r="C1468" s="14">
        <v>526</v>
      </c>
      <c r="D1468" s="19">
        <v>1399</v>
      </c>
      <c r="E1468" s="16">
        <v>100</v>
      </c>
      <c r="F1468" s="14" t="s">
        <v>77</v>
      </c>
      <c r="G1468" s="27" t="s">
        <v>168</v>
      </c>
      <c r="H1468" s="27" t="s">
        <v>92</v>
      </c>
      <c r="I1468" s="28">
        <v>1.5069999999999999</v>
      </c>
      <c r="J1468" s="16">
        <v>2</v>
      </c>
      <c r="K1468" s="14" t="s">
        <v>12</v>
      </c>
      <c r="L1468" s="29">
        <v>42244</v>
      </c>
      <c r="M1468" s="14" t="s">
        <v>191</v>
      </c>
      <c r="N1468" s="30">
        <v>7.0000000000000007E-2</v>
      </c>
      <c r="O1468" s="30">
        <v>0.33</v>
      </c>
      <c r="P1468" s="30">
        <v>0.69</v>
      </c>
      <c r="Q1468" s="250">
        <v>0.41</v>
      </c>
      <c r="R1468" s="250">
        <v>4.40524</v>
      </c>
      <c r="S1468" s="38">
        <f t="shared" si="174"/>
        <v>4.5</v>
      </c>
      <c r="T1468" s="30">
        <v>1.48</v>
      </c>
      <c r="U1468" s="30">
        <v>0.02</v>
      </c>
      <c r="V1468" s="30">
        <v>0</v>
      </c>
      <c r="W1468" s="30">
        <v>0</v>
      </c>
      <c r="X1468" s="30">
        <v>4.4886999999999997</v>
      </c>
      <c r="Y1468" s="38">
        <f t="shared" si="175"/>
        <v>4.5</v>
      </c>
      <c r="Z1468" s="30">
        <v>0</v>
      </c>
      <c r="AA1468" s="30">
        <v>0</v>
      </c>
      <c r="AB1468" s="30">
        <v>1.51</v>
      </c>
      <c r="AC1468" s="30">
        <v>1.38748</v>
      </c>
      <c r="AD1468" s="30">
        <v>2.66</v>
      </c>
      <c r="AE1468" s="30">
        <v>0</v>
      </c>
      <c r="AF1468" s="30">
        <f>(AD1468+AE1468*0.5)/(3.5*I1468*1000)*100</f>
        <v>5.0431320504313204E-2</v>
      </c>
      <c r="AG1468" s="38">
        <f t="shared" si="176"/>
        <v>0.1</v>
      </c>
      <c r="AH1468" s="30">
        <v>2.35</v>
      </c>
      <c r="AI1468" s="30">
        <f>AH1468/(3.5*I1468*1000)*100</f>
        <v>4.455398615982558E-2</v>
      </c>
      <c r="AJ1468" s="30">
        <v>0</v>
      </c>
      <c r="AK1468" s="30">
        <f>AJ1468/(3.5*I1468*1000)*100</f>
        <v>0</v>
      </c>
      <c r="AL1468" s="30">
        <v>0</v>
      </c>
      <c r="AM1468" s="30">
        <f>AL1468/(3.5*I1468*1000)*100</f>
        <v>0</v>
      </c>
      <c r="AO1468" s="25"/>
      <c r="AP1468" s="25">
        <f>N1468+O1468+P1468+Q1468</f>
        <v>1.4999999999999998</v>
      </c>
      <c r="AQ1468" s="25">
        <f>T1468+U1468+V1468+W1468</f>
        <v>1.5</v>
      </c>
      <c r="AR1468" s="25">
        <f>Z1468+AA1468+AB1468</f>
        <v>1.51</v>
      </c>
      <c r="AT1468" s="22">
        <f>I1468/AP1468</f>
        <v>1.0046666666666668</v>
      </c>
      <c r="AU1468" s="22">
        <f>I1468/AQ1468</f>
        <v>1.0046666666666666</v>
      </c>
      <c r="AV1468" s="22">
        <f>I1468/AR1468</f>
        <v>0.99801324503311251</v>
      </c>
    </row>
    <row r="1469" spans="1:88" s="61" customFormat="1" ht="23.25" customHeight="1">
      <c r="A1469" s="1">
        <v>1201</v>
      </c>
      <c r="B1469" s="34" t="s">
        <v>1674</v>
      </c>
      <c r="C1469" s="34">
        <v>435</v>
      </c>
      <c r="D1469" s="34">
        <v>2224</v>
      </c>
      <c r="E1469" s="34">
        <v>200</v>
      </c>
      <c r="F1469" s="34" t="s">
        <v>1688</v>
      </c>
      <c r="G1469" s="34" t="s">
        <v>1588</v>
      </c>
      <c r="H1469" s="34" t="s">
        <v>1689</v>
      </c>
      <c r="I1469" s="55">
        <v>32.610999999999997</v>
      </c>
      <c r="J1469" s="34">
        <v>2</v>
      </c>
      <c r="K1469" s="181" t="s">
        <v>238</v>
      </c>
      <c r="L1469" s="10">
        <v>42282</v>
      </c>
      <c r="M1469" s="37" t="s">
        <v>191</v>
      </c>
      <c r="N1469" s="38">
        <v>18.399999999999999</v>
      </c>
      <c r="O1469" s="38">
        <v>8</v>
      </c>
      <c r="P1469" s="38">
        <v>3.5249999999999999</v>
      </c>
      <c r="Q1469" s="38">
        <v>2.1749999999999998</v>
      </c>
      <c r="R1469" s="38">
        <v>2.7587899999999999</v>
      </c>
      <c r="S1469" s="38">
        <f t="shared" si="174"/>
        <v>3</v>
      </c>
      <c r="T1469" s="38">
        <v>31.774999999999999</v>
      </c>
      <c r="U1469" s="38">
        <v>0.22500000000000001</v>
      </c>
      <c r="V1469" s="38">
        <v>7.4999999999999997E-2</v>
      </c>
      <c r="W1469" s="38">
        <v>2.5000000000000001E-2</v>
      </c>
      <c r="X1469" s="38">
        <v>2.58867</v>
      </c>
      <c r="Y1469" s="38">
        <f t="shared" si="175"/>
        <v>2.5</v>
      </c>
      <c r="Z1469" s="38">
        <v>0</v>
      </c>
      <c r="AA1469" s="38">
        <v>0</v>
      </c>
      <c r="AB1469" s="55">
        <v>32.610999999999997</v>
      </c>
      <c r="AC1469" s="38">
        <v>1.35788</v>
      </c>
      <c r="AD1469" s="39">
        <v>54.87</v>
      </c>
      <c r="AE1469" s="38">
        <v>5.3259999999999996</v>
      </c>
      <c r="AF1469" s="38">
        <f>(AD1469+AE1469*0.5)/(3.5*I1469*1000)*100</f>
        <v>5.0406304621140104E-2</v>
      </c>
      <c r="AG1469" s="38">
        <f t="shared" si="176"/>
        <v>0.1</v>
      </c>
      <c r="AH1469" s="38">
        <v>13.25</v>
      </c>
      <c r="AI1469" s="38">
        <v>1.1609E-2</v>
      </c>
      <c r="AJ1469" s="38">
        <v>0</v>
      </c>
      <c r="AK1469" s="38">
        <v>0</v>
      </c>
      <c r="AL1469" s="38">
        <v>0</v>
      </c>
      <c r="AM1469" s="38">
        <v>0</v>
      </c>
      <c r="AN1469" s="12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</row>
    <row r="1470" spans="1:88" s="61" customFormat="1" ht="23.25" customHeight="1">
      <c r="A1470" s="1">
        <v>674</v>
      </c>
      <c r="B1470" s="34" t="s">
        <v>1062</v>
      </c>
      <c r="C1470" s="34">
        <v>623</v>
      </c>
      <c r="D1470" s="34">
        <v>2414</v>
      </c>
      <c r="E1470" s="34">
        <v>100</v>
      </c>
      <c r="F1470" s="9" t="s">
        <v>1083</v>
      </c>
      <c r="G1470" s="20">
        <v>0</v>
      </c>
      <c r="H1470" s="20">
        <v>19150</v>
      </c>
      <c r="I1470" s="35">
        <v>19.149999999999999</v>
      </c>
      <c r="J1470" s="109">
        <v>2</v>
      </c>
      <c r="K1470" s="34" t="s">
        <v>238</v>
      </c>
      <c r="L1470" s="10">
        <v>42136</v>
      </c>
      <c r="M1470" s="37" t="s">
        <v>191</v>
      </c>
      <c r="N1470" s="38">
        <v>9.52</v>
      </c>
      <c r="O1470" s="38">
        <v>4.92</v>
      </c>
      <c r="P1470" s="38">
        <v>2.31</v>
      </c>
      <c r="Q1470" s="38">
        <v>2.41</v>
      </c>
      <c r="R1470" s="38">
        <v>3.1074799999999998</v>
      </c>
      <c r="S1470" s="38">
        <f t="shared" si="174"/>
        <v>3</v>
      </c>
      <c r="T1470" s="38">
        <v>17.600000000000001</v>
      </c>
      <c r="U1470" s="38">
        <v>1.2</v>
      </c>
      <c r="V1470" s="38">
        <v>0.3</v>
      </c>
      <c r="W1470" s="38">
        <v>0.05</v>
      </c>
      <c r="X1470" s="38">
        <v>5.3521599999999996</v>
      </c>
      <c r="Y1470" s="38">
        <f t="shared" si="175"/>
        <v>5.5</v>
      </c>
      <c r="Z1470" s="38">
        <v>0</v>
      </c>
      <c r="AA1470" s="38">
        <v>0</v>
      </c>
      <c r="AB1470" s="38">
        <v>19.16</v>
      </c>
      <c r="AC1470" s="38">
        <v>1.24692</v>
      </c>
      <c r="AD1470" s="39">
        <v>26.48</v>
      </c>
      <c r="AE1470" s="38">
        <v>13.52</v>
      </c>
      <c r="AF1470" s="38">
        <v>4.9590000000000002E-2</v>
      </c>
      <c r="AG1470" s="38">
        <f t="shared" si="176"/>
        <v>0</v>
      </c>
      <c r="AH1470" s="38">
        <v>0</v>
      </c>
      <c r="AI1470" s="38">
        <v>0</v>
      </c>
      <c r="AJ1470" s="38">
        <v>971.36</v>
      </c>
      <c r="AK1470" s="38">
        <v>1.4492499999999999</v>
      </c>
      <c r="AL1470" s="38">
        <v>18.78</v>
      </c>
      <c r="AM1470" s="38">
        <v>2.802E-2</v>
      </c>
      <c r="AN1470" s="25"/>
      <c r="AO1470" s="1">
        <f>AE1470*0.5</f>
        <v>6.76</v>
      </c>
      <c r="AP1470" s="25">
        <f>(AD1470+AH1470+AJ1470+AL1470+AO1470)*I1470</f>
        <v>19597.726999999999</v>
      </c>
      <c r="AQ1470" s="25">
        <f>SUM(N1470:Q1470)</f>
        <v>19.16</v>
      </c>
      <c r="AR1470" s="25">
        <f>SUM(T1470:W1470)</f>
        <v>19.150000000000002</v>
      </c>
      <c r="AS1470" s="22"/>
      <c r="AT1470" s="41"/>
      <c r="AU1470" s="41">
        <f>SUM(N1470:Q1470)</f>
        <v>19.16</v>
      </c>
      <c r="AV1470" s="41">
        <f>SUM(T1470:W1470)</f>
        <v>19.150000000000002</v>
      </c>
      <c r="AW1470" s="41">
        <f>SUM(Z1470:AB1470)</f>
        <v>19.16</v>
      </c>
      <c r="AX1470" s="22"/>
      <c r="AY1470" s="22">
        <f>I1470/AU1470</f>
        <v>0.99947807933194144</v>
      </c>
      <c r="AZ1470" s="22">
        <f>I1470/AV1470</f>
        <v>0.99999999999999978</v>
      </c>
      <c r="BA1470" s="22">
        <f>I1470/AW1470</f>
        <v>0.99947807933194144</v>
      </c>
      <c r="BB1470" s="22"/>
      <c r="BC1470" s="22"/>
      <c r="BD1470" s="22"/>
      <c r="BE1470" s="22"/>
      <c r="BF1470" s="22"/>
      <c r="BG1470" s="22"/>
      <c r="BH1470" s="22"/>
      <c r="BI1470" s="22"/>
      <c r="BJ1470" s="22"/>
      <c r="BK1470" s="22"/>
      <c r="BL1470" s="22"/>
      <c r="BM1470" s="22"/>
      <c r="BN1470" s="22"/>
      <c r="BO1470" s="22"/>
      <c r="BP1470" s="22"/>
      <c r="BQ1470" s="22"/>
      <c r="BR1470" s="22"/>
      <c r="BS1470" s="22"/>
      <c r="BT1470" s="22"/>
      <c r="BU1470" s="22"/>
      <c r="BV1470" s="22"/>
      <c r="BW1470" s="22"/>
      <c r="BX1470" s="22"/>
      <c r="BY1470" s="22"/>
      <c r="BZ1470" s="22"/>
      <c r="CA1470" s="22"/>
      <c r="CB1470" s="22"/>
      <c r="CC1470" s="22"/>
      <c r="CD1470" s="22"/>
      <c r="CE1470" s="22"/>
      <c r="CF1470" s="22"/>
      <c r="CG1470" s="22"/>
      <c r="CH1470" s="22"/>
      <c r="CI1470" s="22"/>
      <c r="CJ1470" s="22"/>
    </row>
    <row r="1471" spans="1:88" s="61" customFormat="1" ht="23.25" customHeight="1">
      <c r="A1471" s="1">
        <v>642</v>
      </c>
      <c r="B1471" s="34" t="s">
        <v>1050</v>
      </c>
      <c r="C1471" s="34">
        <v>621</v>
      </c>
      <c r="D1471" s="34">
        <v>12</v>
      </c>
      <c r="E1471" s="34">
        <v>802</v>
      </c>
      <c r="F1471" s="34" t="s">
        <v>1051</v>
      </c>
      <c r="G1471" s="58">
        <v>561850</v>
      </c>
      <c r="H1471" s="58">
        <v>567052</v>
      </c>
      <c r="I1471" s="35">
        <v>5.202</v>
      </c>
      <c r="J1471" s="240">
        <v>4</v>
      </c>
      <c r="K1471" s="34" t="s">
        <v>237</v>
      </c>
      <c r="L1471" s="10">
        <v>42172</v>
      </c>
      <c r="M1471" s="37" t="s">
        <v>191</v>
      </c>
      <c r="N1471" s="38">
        <v>1.9750000000000001</v>
      </c>
      <c r="O1471" s="38">
        <v>2.2250000000000001</v>
      </c>
      <c r="P1471" s="38">
        <v>0.67500000000000004</v>
      </c>
      <c r="Q1471" s="38">
        <v>0.375</v>
      </c>
      <c r="R1471" s="38">
        <v>3.0537100000000001</v>
      </c>
      <c r="S1471" s="38">
        <f t="shared" si="174"/>
        <v>3</v>
      </c>
      <c r="T1471" s="38">
        <v>3.95</v>
      </c>
      <c r="U1471" s="38">
        <v>0.47499999999999998</v>
      </c>
      <c r="V1471" s="38">
        <v>0.47499999999999998</v>
      </c>
      <c r="W1471" s="38">
        <v>0.35</v>
      </c>
      <c r="X1471" s="38">
        <v>6.37026</v>
      </c>
      <c r="Y1471" s="38">
        <f t="shared" si="175"/>
        <v>6.5</v>
      </c>
      <c r="Z1471" s="38">
        <v>0</v>
      </c>
      <c r="AA1471" s="38">
        <v>0</v>
      </c>
      <c r="AB1471" s="38">
        <f>T1471+U1471+V1471+W1471</f>
        <v>5.2499999999999991</v>
      </c>
      <c r="AC1471" s="38">
        <v>1.1157699999999999</v>
      </c>
      <c r="AD1471" s="39">
        <v>0</v>
      </c>
      <c r="AE1471" s="38">
        <v>18.02</v>
      </c>
      <c r="AF1471" s="38">
        <v>4.9486461251167131E-2</v>
      </c>
      <c r="AG1471" s="38">
        <f t="shared" si="176"/>
        <v>0</v>
      </c>
      <c r="AH1471" s="38">
        <v>7.64</v>
      </c>
      <c r="AI1471" s="38">
        <v>4.1961882792332615E-2</v>
      </c>
      <c r="AJ1471" s="38">
        <v>0</v>
      </c>
      <c r="AK1471" s="55">
        <v>0</v>
      </c>
      <c r="AL1471" s="55">
        <v>0</v>
      </c>
      <c r="AM1471" s="55">
        <v>0</v>
      </c>
      <c r="AN1471" s="25">
        <f>SUM(N1471:Q1471)</f>
        <v>5.25</v>
      </c>
      <c r="AO1471" s="25">
        <f>SUM(T1471:W1471)</f>
        <v>5.2499999999999991</v>
      </c>
      <c r="AP1471" s="22"/>
      <c r="AQ1471" s="41"/>
      <c r="AR1471" s="41"/>
      <c r="AS1471" s="41"/>
      <c r="AT1471" s="41"/>
      <c r="AU1471" s="22"/>
      <c r="AV1471" s="22"/>
      <c r="AW1471" s="22"/>
      <c r="AX1471" s="22"/>
      <c r="AY1471" s="22"/>
      <c r="AZ1471" s="22"/>
      <c r="BA1471" s="22"/>
      <c r="BB1471" s="22"/>
      <c r="BC1471" s="22"/>
      <c r="BD1471" s="22"/>
      <c r="BE1471" s="22"/>
      <c r="BF1471" s="22"/>
      <c r="BG1471" s="22"/>
      <c r="BH1471" s="22"/>
      <c r="BI1471" s="22"/>
      <c r="BJ1471" s="22"/>
      <c r="BK1471" s="22"/>
      <c r="BL1471" s="22"/>
      <c r="BM1471" s="22"/>
      <c r="BN1471" s="22"/>
      <c r="BO1471" s="22"/>
      <c r="BP1471" s="22"/>
      <c r="BQ1471" s="22"/>
      <c r="BR1471" s="22"/>
      <c r="BS1471" s="22"/>
      <c r="BT1471" s="22"/>
      <c r="BU1471" s="22"/>
      <c r="BV1471" s="22"/>
      <c r="BW1471" s="22"/>
      <c r="BX1471" s="22"/>
      <c r="BY1471" s="22"/>
      <c r="BZ1471" s="22"/>
      <c r="CA1471" s="22"/>
      <c r="CB1471" s="22"/>
      <c r="CC1471" s="22"/>
      <c r="CD1471" s="22"/>
      <c r="CE1471" s="22"/>
      <c r="CF1471" s="22"/>
      <c r="CG1471" s="22"/>
      <c r="CH1471" s="22"/>
      <c r="CI1471" s="22"/>
      <c r="CJ1471" s="22"/>
    </row>
    <row r="1472" spans="1:88" s="61" customFormat="1" ht="23.25" customHeight="1">
      <c r="A1472" s="1">
        <v>1802</v>
      </c>
      <c r="B1472" s="34" t="s">
        <v>2382</v>
      </c>
      <c r="C1472" s="34">
        <v>428</v>
      </c>
      <c r="D1472" s="8">
        <v>3701</v>
      </c>
      <c r="E1472" s="34">
        <v>500</v>
      </c>
      <c r="F1472" s="34" t="s">
        <v>2406</v>
      </c>
      <c r="G1472" s="58" t="s">
        <v>2407</v>
      </c>
      <c r="H1472" s="58" t="s">
        <v>2408</v>
      </c>
      <c r="I1472" s="35">
        <v>1.21</v>
      </c>
      <c r="J1472" s="9">
        <v>2</v>
      </c>
      <c r="K1472" s="34" t="s">
        <v>238</v>
      </c>
      <c r="L1472" s="10">
        <v>42231</v>
      </c>
      <c r="M1472" s="37" t="s">
        <v>191</v>
      </c>
      <c r="N1472" s="38">
        <v>0.17499999999999999</v>
      </c>
      <c r="O1472" s="38">
        <v>0.42499999999999999</v>
      </c>
      <c r="P1472" s="38">
        <v>0.2</v>
      </c>
      <c r="Q1472" s="38">
        <v>0.45</v>
      </c>
      <c r="R1472" s="38">
        <v>7.3710000000000004</v>
      </c>
      <c r="S1472" s="38">
        <f t="shared" si="174"/>
        <v>7.5</v>
      </c>
      <c r="T1472" s="38">
        <v>1.075</v>
      </c>
      <c r="U1472" s="38">
        <v>7.4999999999999997E-2</v>
      </c>
      <c r="V1472" s="38">
        <v>0.05</v>
      </c>
      <c r="W1472" s="38">
        <v>0.05</v>
      </c>
      <c r="X1472" s="38">
        <v>6.5640000000000001</v>
      </c>
      <c r="Y1472" s="38">
        <f t="shared" si="175"/>
        <v>6.5</v>
      </c>
      <c r="Z1472" s="38">
        <v>0</v>
      </c>
      <c r="AA1472" s="38">
        <v>0</v>
      </c>
      <c r="AB1472" s="38">
        <f>SUM(N1472:Q1472)</f>
        <v>1.25</v>
      </c>
      <c r="AC1472" s="38">
        <v>1.4419999999999999</v>
      </c>
      <c r="AD1472" s="39">
        <v>2.09</v>
      </c>
      <c r="AE1472" s="38">
        <v>0</v>
      </c>
      <c r="AF1472" s="38">
        <f>(AD1472+AE1472*0.5)/(3.5*I1472*1000)*100</f>
        <v>4.935064935064936E-2</v>
      </c>
      <c r="AG1472" s="38">
        <f t="shared" si="176"/>
        <v>0</v>
      </c>
      <c r="AH1472" s="38">
        <v>0</v>
      </c>
      <c r="AI1472" s="38">
        <f>AH1472/(3.5*I1472*1000)*100</f>
        <v>0</v>
      </c>
      <c r="AJ1472" s="38">
        <v>0</v>
      </c>
      <c r="AK1472" s="38">
        <f>AJ1472/(3.5*I1472*1000)*100</f>
        <v>0</v>
      </c>
      <c r="AL1472" s="38">
        <v>0</v>
      </c>
      <c r="AM1472" s="38">
        <f t="shared" ref="AM1472:AM1480" si="182">AL1472/(3.5*I1472*1000)*100</f>
        <v>0</v>
      </c>
      <c r="AN1472" s="25"/>
      <c r="AO1472" s="25">
        <f>AE1472*0.5</f>
        <v>0</v>
      </c>
      <c r="AP1472" s="25">
        <f>(AD1472+AH1472+AJ1472+AL1472+AO1472)*I1472</f>
        <v>2.5288999999999997</v>
      </c>
      <c r="AQ1472" s="25"/>
      <c r="AR1472" s="25"/>
      <c r="AS1472" s="22"/>
      <c r="AT1472" s="41"/>
      <c r="AU1472" s="41"/>
      <c r="AV1472" s="41"/>
      <c r="AW1472" s="41"/>
      <c r="AX1472" s="22"/>
      <c r="AY1472" s="22"/>
      <c r="AZ1472" s="22"/>
      <c r="BA1472" s="22"/>
      <c r="BB1472" s="22"/>
      <c r="BC1472" s="22"/>
      <c r="BD1472" s="22"/>
      <c r="BE1472" s="22"/>
      <c r="BF1472" s="22"/>
      <c r="BG1472" s="22"/>
      <c r="BH1472" s="22"/>
      <c r="BI1472" s="22"/>
      <c r="BJ1472" s="22"/>
      <c r="BK1472" s="22"/>
      <c r="BL1472" s="22"/>
      <c r="BM1472" s="22"/>
      <c r="BN1472" s="22"/>
      <c r="BO1472" s="22"/>
      <c r="BP1472" s="22"/>
      <c r="BQ1472" s="22"/>
      <c r="BR1472" s="22"/>
      <c r="BS1472" s="22"/>
      <c r="BT1472" s="22"/>
      <c r="BU1472" s="22"/>
      <c r="BV1472" s="22"/>
      <c r="BW1472" s="22"/>
      <c r="BX1472" s="22"/>
      <c r="BY1472" s="22"/>
      <c r="BZ1472" s="22"/>
      <c r="CA1472" s="22"/>
      <c r="CB1472" s="22"/>
      <c r="CC1472" s="22"/>
      <c r="CD1472" s="22"/>
      <c r="CE1472" s="22"/>
      <c r="CF1472" s="22"/>
      <c r="CG1472" s="22"/>
      <c r="CH1472" s="22"/>
      <c r="CI1472" s="22"/>
      <c r="CJ1472" s="22"/>
    </row>
    <row r="1473" spans="1:88" s="61" customFormat="1" ht="23.25" customHeight="1">
      <c r="A1473" s="1">
        <v>148</v>
      </c>
      <c r="B1473" s="34" t="s">
        <v>294</v>
      </c>
      <c r="C1473" s="34">
        <v>531</v>
      </c>
      <c r="D1473" s="34">
        <v>1024</v>
      </c>
      <c r="E1473" s="34">
        <v>100</v>
      </c>
      <c r="F1473" s="34" t="s">
        <v>313</v>
      </c>
      <c r="G1473" s="20" t="s">
        <v>92</v>
      </c>
      <c r="H1473" s="20" t="s">
        <v>314</v>
      </c>
      <c r="I1473" s="35">
        <v>38.685000000000002</v>
      </c>
      <c r="J1473" s="36">
        <v>2</v>
      </c>
      <c r="K1473" s="34" t="s">
        <v>12</v>
      </c>
      <c r="L1473" s="18">
        <v>42222</v>
      </c>
      <c r="M1473" s="37" t="s">
        <v>191</v>
      </c>
      <c r="N1473" s="38">
        <v>20.43</v>
      </c>
      <c r="O1473" s="38">
        <v>9.9600000000000009</v>
      </c>
      <c r="P1473" s="38">
        <v>5.29</v>
      </c>
      <c r="Q1473" s="38">
        <v>3.01</v>
      </c>
      <c r="R1473" s="38">
        <v>2.8359999999999999</v>
      </c>
      <c r="S1473" s="38">
        <f t="shared" si="174"/>
        <v>3</v>
      </c>
      <c r="T1473" s="38">
        <v>21.44</v>
      </c>
      <c r="U1473" s="38">
        <v>5.3</v>
      </c>
      <c r="V1473" s="38">
        <v>2.3199999999999998</v>
      </c>
      <c r="W1473" s="38">
        <v>9.6300000000000008</v>
      </c>
      <c r="X1473" s="38">
        <v>16.172999999999998</v>
      </c>
      <c r="Y1473" s="38">
        <f t="shared" si="175"/>
        <v>16</v>
      </c>
      <c r="Z1473" s="38">
        <v>0.03</v>
      </c>
      <c r="AA1473" s="38">
        <v>0.1</v>
      </c>
      <c r="AB1473" s="38">
        <v>38.56</v>
      </c>
      <c r="AC1473" s="38">
        <v>1.4470000000000001</v>
      </c>
      <c r="AD1473" s="39">
        <v>8.02</v>
      </c>
      <c r="AE1473" s="38">
        <v>116.89</v>
      </c>
      <c r="AF1473" s="38">
        <f>(AD1473+AE1473*0.5)/(3.5*I1473*1000)*100</f>
        <v>4.9088794106242728E-2</v>
      </c>
      <c r="AG1473" s="38">
        <f t="shared" si="176"/>
        <v>0</v>
      </c>
      <c r="AH1473" s="38">
        <v>0.62</v>
      </c>
      <c r="AI1473" s="38">
        <f>AH1473/(3.5*I1473*1000)*100</f>
        <v>4.5791096585978322E-4</v>
      </c>
      <c r="AJ1473" s="38">
        <v>0</v>
      </c>
      <c r="AK1473" s="38">
        <f>AJ1473/(3.5*I1473*1000)*100</f>
        <v>0</v>
      </c>
      <c r="AL1473" s="38">
        <v>0</v>
      </c>
      <c r="AM1473" s="38">
        <f t="shared" si="182"/>
        <v>0</v>
      </c>
      <c r="AN1473" s="40"/>
      <c r="AO1473" s="40">
        <f>AE1473*0.5</f>
        <v>58.445</v>
      </c>
      <c r="AP1473" s="40">
        <f>(AD1473+AH1473+AJ1473+AL1473+AO1473)*I1473</f>
        <v>2595.1832249999998</v>
      </c>
      <c r="AQ1473" s="25">
        <f>SUM(N1473:Q1473)</f>
        <v>38.69</v>
      </c>
      <c r="AR1473" s="25">
        <f>SUM(T1473:W1473)</f>
        <v>38.690000000000005</v>
      </c>
      <c r="AS1473" s="22"/>
      <c r="AT1473" s="41"/>
      <c r="AU1473" s="41">
        <f>SUM(N1473:Q1473)</f>
        <v>38.69</v>
      </c>
      <c r="AV1473" s="41">
        <f>SUM(T1473:W1473)</f>
        <v>38.690000000000005</v>
      </c>
      <c r="AW1473" s="41">
        <f>SUM(Z1473:AB1473)</f>
        <v>38.690000000000005</v>
      </c>
      <c r="AX1473" s="22"/>
      <c r="AY1473" s="22">
        <f>I1473/AU1473</f>
        <v>0.99987076764021721</v>
      </c>
      <c r="AZ1473" s="22">
        <f>I1473/AV1473</f>
        <v>0.9998707676402171</v>
      </c>
      <c r="BA1473" s="22">
        <f>I1473/AW1473</f>
        <v>0.9998707676402171</v>
      </c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</row>
    <row r="1474" spans="1:88" s="61" customFormat="1" ht="23.25" customHeight="1">
      <c r="A1474" s="1">
        <v>474</v>
      </c>
      <c r="B1474" s="74" t="s">
        <v>780</v>
      </c>
      <c r="C1474" s="34">
        <v>515</v>
      </c>
      <c r="D1474" s="34">
        <v>2013</v>
      </c>
      <c r="E1474" s="34">
        <v>102</v>
      </c>
      <c r="F1474" s="34" t="s">
        <v>812</v>
      </c>
      <c r="G1474" s="34" t="s">
        <v>811</v>
      </c>
      <c r="H1474" s="34" t="s">
        <v>813</v>
      </c>
      <c r="I1474" s="55">
        <v>42.545999999999999</v>
      </c>
      <c r="J1474" s="5" t="s">
        <v>238</v>
      </c>
      <c r="K1474" s="34">
        <v>2</v>
      </c>
      <c r="L1474" s="10">
        <v>42268</v>
      </c>
      <c r="M1474" s="37" t="s">
        <v>191</v>
      </c>
      <c r="N1474" s="38">
        <v>25.53</v>
      </c>
      <c r="O1474" s="38">
        <v>10.7</v>
      </c>
      <c r="P1474" s="38">
        <v>4.5</v>
      </c>
      <c r="Q1474" s="38">
        <v>1.88</v>
      </c>
      <c r="R1474" s="38">
        <v>2.6682199999999998</v>
      </c>
      <c r="S1474" s="38">
        <f t="shared" si="174"/>
        <v>2.5</v>
      </c>
      <c r="T1474" s="38">
        <v>41.825000000000003</v>
      </c>
      <c r="U1474" s="38">
        <v>0.6</v>
      </c>
      <c r="V1474" s="38">
        <v>0.1</v>
      </c>
      <c r="W1474" s="38">
        <v>7.4999999999999997E-2</v>
      </c>
      <c r="X1474" s="38">
        <v>3.6348799999999999</v>
      </c>
      <c r="Y1474" s="38">
        <f t="shared" si="175"/>
        <v>3.5</v>
      </c>
      <c r="Z1474" s="38">
        <v>0</v>
      </c>
      <c r="AA1474" s="38">
        <v>0</v>
      </c>
      <c r="AB1474" s="38">
        <v>42.610000000000007</v>
      </c>
      <c r="AC1474" s="38">
        <v>1.31796</v>
      </c>
      <c r="AD1474" s="39">
        <v>63.213999999999999</v>
      </c>
      <c r="AE1474" s="38">
        <v>18.95</v>
      </c>
      <c r="AF1474" s="38">
        <f>(AD1474+AE1474*0.5)/(3.5*I1474*1000)*100</f>
        <v>4.8813720947411536E-2</v>
      </c>
      <c r="AG1474" s="38">
        <f t="shared" si="176"/>
        <v>0</v>
      </c>
      <c r="AH1474" s="38">
        <v>93.65</v>
      </c>
      <c r="AI1474" s="38">
        <f>AH1474/(3.5*I1474*1000)*100</f>
        <v>6.2889914109770267E-2</v>
      </c>
      <c r="AJ1474" s="38">
        <v>0</v>
      </c>
      <c r="AK1474" s="38">
        <f>AJ1474/(3.5*I1474*1000)*100</f>
        <v>0</v>
      </c>
      <c r="AL1474" s="38">
        <v>0</v>
      </c>
      <c r="AM1474" s="38">
        <f t="shared" si="182"/>
        <v>0</v>
      </c>
      <c r="AN1474" s="41"/>
      <c r="AO1474" s="41"/>
      <c r="AP1474" s="114"/>
      <c r="AQ1474" s="73"/>
      <c r="AR1474" s="73"/>
      <c r="AS1474" s="73"/>
      <c r="AT1474" s="22"/>
      <c r="AU1474" s="22"/>
      <c r="AV1474" s="22"/>
      <c r="AW1474" s="22"/>
      <c r="AX1474" s="22"/>
      <c r="AY1474" s="22"/>
      <c r="AZ1474" s="22"/>
      <c r="BA1474" s="22"/>
      <c r="BB1474" s="22"/>
      <c r="BC1474" s="22"/>
      <c r="BD1474" s="22"/>
      <c r="BE1474" s="22"/>
      <c r="BF1474" s="22"/>
      <c r="BG1474" s="22"/>
      <c r="BH1474" s="22"/>
      <c r="BI1474" s="22"/>
      <c r="BJ1474" s="22"/>
      <c r="BK1474" s="22"/>
      <c r="BL1474" s="22"/>
      <c r="BM1474" s="22"/>
      <c r="BN1474" s="22"/>
      <c r="BO1474" s="22"/>
      <c r="BP1474" s="22"/>
      <c r="BQ1474" s="22"/>
      <c r="BR1474" s="22"/>
      <c r="BS1474" s="22"/>
      <c r="BT1474" s="22"/>
      <c r="BU1474" s="22"/>
      <c r="BV1474" s="22"/>
      <c r="BW1474" s="22"/>
      <c r="BX1474" s="22"/>
      <c r="BY1474" s="22"/>
      <c r="BZ1474" s="22"/>
      <c r="CA1474" s="22"/>
      <c r="CB1474" s="22"/>
      <c r="CC1474" s="22"/>
      <c r="CD1474" s="22"/>
      <c r="CE1474" s="22"/>
      <c r="CF1474" s="22"/>
      <c r="CG1474" s="22"/>
      <c r="CH1474" s="22"/>
      <c r="CI1474" s="22"/>
      <c r="CJ1474" s="22"/>
    </row>
    <row r="1475" spans="1:88" s="61" customFormat="1" ht="23.25" customHeight="1">
      <c r="A1475" s="1">
        <v>144</v>
      </c>
      <c r="B1475" s="34" t="s">
        <v>294</v>
      </c>
      <c r="C1475" s="34">
        <v>531</v>
      </c>
      <c r="D1475" s="34">
        <v>129</v>
      </c>
      <c r="E1475" s="34">
        <v>100</v>
      </c>
      <c r="F1475" s="34" t="s">
        <v>303</v>
      </c>
      <c r="G1475" s="20" t="s">
        <v>92</v>
      </c>
      <c r="H1475" s="20" t="s">
        <v>304</v>
      </c>
      <c r="I1475" s="35">
        <v>10.417999999999999</v>
      </c>
      <c r="J1475" s="36">
        <v>4</v>
      </c>
      <c r="K1475" s="34" t="s">
        <v>237</v>
      </c>
      <c r="L1475" s="18">
        <v>42223</v>
      </c>
      <c r="M1475" s="37" t="s">
        <v>191</v>
      </c>
      <c r="N1475" s="38">
        <v>7.41</v>
      </c>
      <c r="O1475" s="38">
        <v>1.38</v>
      </c>
      <c r="P1475" s="38">
        <v>1</v>
      </c>
      <c r="Q1475" s="38">
        <v>0.63</v>
      </c>
      <c r="R1475" s="38">
        <v>2.2719999999999998</v>
      </c>
      <c r="S1475" s="38">
        <f t="shared" ref="S1475:S1538" si="183">ROUND(R1475/5,1)*5</f>
        <v>2.5</v>
      </c>
      <c r="T1475" s="38">
        <v>4.6100000000000003</v>
      </c>
      <c r="U1475" s="38">
        <v>3.69</v>
      </c>
      <c r="V1475" s="38">
        <v>1.65</v>
      </c>
      <c r="W1475" s="38">
        <v>0.48</v>
      </c>
      <c r="X1475" s="38">
        <v>11.188000000000001</v>
      </c>
      <c r="Y1475" s="38">
        <f t="shared" ref="Y1475:Y1538" si="184">ROUND(X1475/5,1)*5</f>
        <v>11</v>
      </c>
      <c r="Z1475" s="38">
        <v>0</v>
      </c>
      <c r="AA1475" s="38">
        <v>0</v>
      </c>
      <c r="AB1475" s="38">
        <v>10.42</v>
      </c>
      <c r="AC1475" s="38">
        <v>1.008</v>
      </c>
      <c r="AD1475" s="39">
        <v>0</v>
      </c>
      <c r="AE1475" s="38">
        <v>35.57</v>
      </c>
      <c r="AF1475" s="38">
        <f>(AD1475+AE1475*0.5)/(3.5*I1475*1000)*100</f>
        <v>4.8775471025423039E-2</v>
      </c>
      <c r="AG1475" s="38">
        <f t="shared" ref="AG1475:AG1538" si="185">ROUND(AF1475,1)</f>
        <v>0</v>
      </c>
      <c r="AH1475" s="38">
        <v>0</v>
      </c>
      <c r="AI1475" s="38">
        <f>AH1475/(3.5*I1475*1000)*100</f>
        <v>0</v>
      </c>
      <c r="AJ1475" s="38">
        <v>0</v>
      </c>
      <c r="AK1475" s="38">
        <f>AJ1475/(3.5*I1475*1000)*100</f>
        <v>0</v>
      </c>
      <c r="AL1475" s="38">
        <v>0</v>
      </c>
      <c r="AM1475" s="38">
        <f t="shared" si="182"/>
        <v>0</v>
      </c>
      <c r="AN1475" s="40"/>
      <c r="AO1475" s="40">
        <f>AE1475*0.5</f>
        <v>17.785</v>
      </c>
      <c r="AP1475" s="40">
        <f>(AD1475+AH1475+AJ1475+AL1475+AO1475)*I1475</f>
        <v>185.28412999999998</v>
      </c>
      <c r="AQ1475" s="25">
        <f>SUM(N1475:Q1475)</f>
        <v>10.42</v>
      </c>
      <c r="AR1475" s="25">
        <f>SUM(T1475:W1475)</f>
        <v>10.430000000000001</v>
      </c>
      <c r="AS1475" s="22"/>
      <c r="AT1475" s="41"/>
      <c r="AU1475" s="41">
        <f>SUM(N1475:Q1475)</f>
        <v>10.42</v>
      </c>
      <c r="AV1475" s="41">
        <f>SUM(T1475:W1475)</f>
        <v>10.430000000000001</v>
      </c>
      <c r="AW1475" s="41">
        <f>SUM(Z1475:AB1475)</f>
        <v>10.42</v>
      </c>
      <c r="AX1475" s="22"/>
      <c r="AY1475" s="22">
        <f>I1475/AU1475</f>
        <v>0.9998080614203454</v>
      </c>
      <c r="AZ1475" s="22">
        <f>I1475/AV1475</f>
        <v>0.99884947267497581</v>
      </c>
      <c r="BA1475" s="22">
        <f>I1475/AW1475</f>
        <v>0.9998080614203454</v>
      </c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</row>
    <row r="1476" spans="1:88" s="61" customFormat="1" ht="23.25" customHeight="1">
      <c r="A1476" s="1">
        <v>2073</v>
      </c>
      <c r="B1476" s="34" t="s">
        <v>2715</v>
      </c>
      <c r="C1476" s="34">
        <v>329</v>
      </c>
      <c r="D1476" s="75">
        <v>4035</v>
      </c>
      <c r="E1476" s="8">
        <v>100</v>
      </c>
      <c r="F1476" s="34" t="s">
        <v>2719</v>
      </c>
      <c r="G1476" s="58">
        <v>2004</v>
      </c>
      <c r="H1476" s="58">
        <v>0</v>
      </c>
      <c r="I1476" s="21">
        <v>2.004</v>
      </c>
      <c r="J1476" s="8">
        <v>2</v>
      </c>
      <c r="K1476" s="8" t="s">
        <v>12</v>
      </c>
      <c r="L1476" s="18">
        <v>42121</v>
      </c>
      <c r="M1476" s="37" t="s">
        <v>191</v>
      </c>
      <c r="N1476" s="38">
        <v>0.9</v>
      </c>
      <c r="O1476" s="38">
        <v>0.625</v>
      </c>
      <c r="P1476" s="38">
        <v>0.375</v>
      </c>
      <c r="Q1476" s="38">
        <v>7.4999999999999997E-2</v>
      </c>
      <c r="R1476" s="38">
        <v>2.81291</v>
      </c>
      <c r="S1476" s="38">
        <f t="shared" si="183"/>
        <v>3</v>
      </c>
      <c r="T1476" s="38">
        <v>1.875</v>
      </c>
      <c r="U1476" s="38">
        <v>0</v>
      </c>
      <c r="V1476" s="38">
        <v>7.4999999999999997E-2</v>
      </c>
      <c r="W1476" s="38">
        <v>2.5000000000000001E-2</v>
      </c>
      <c r="X1476" s="38">
        <v>3.8499400000000001</v>
      </c>
      <c r="Y1476" s="38">
        <f t="shared" si="184"/>
        <v>4</v>
      </c>
      <c r="Z1476" s="38">
        <v>0</v>
      </c>
      <c r="AA1476" s="38">
        <v>0</v>
      </c>
      <c r="AB1476" s="38">
        <v>1.9749999999999999</v>
      </c>
      <c r="AC1476" s="38">
        <v>2.0216099999999999</v>
      </c>
      <c r="AD1476" s="39">
        <v>0</v>
      </c>
      <c r="AE1476" s="38">
        <v>6.83</v>
      </c>
      <c r="AF1476" s="38">
        <v>4.86883376104933E-2</v>
      </c>
      <c r="AG1476" s="38">
        <f t="shared" si="185"/>
        <v>0</v>
      </c>
      <c r="AH1476" s="38">
        <v>0</v>
      </c>
      <c r="AI1476" s="38">
        <v>0</v>
      </c>
      <c r="AJ1476" s="38">
        <v>0</v>
      </c>
      <c r="AK1476" s="38">
        <v>0</v>
      </c>
      <c r="AL1476" s="38">
        <v>0</v>
      </c>
      <c r="AM1476" s="38">
        <f t="shared" si="182"/>
        <v>0</v>
      </c>
      <c r="AN1476" s="12"/>
      <c r="AO1476" s="12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</row>
    <row r="1477" spans="1:88" s="61" customFormat="1" ht="23.25" customHeight="1">
      <c r="A1477" s="1">
        <v>2183</v>
      </c>
      <c r="B1477" s="34" t="s">
        <v>2798</v>
      </c>
      <c r="C1477" s="34">
        <v>311</v>
      </c>
      <c r="D1477" s="75">
        <v>4287</v>
      </c>
      <c r="E1477" s="8">
        <v>102</v>
      </c>
      <c r="F1477" s="9" t="s">
        <v>2820</v>
      </c>
      <c r="G1477" s="20" t="s">
        <v>2823</v>
      </c>
      <c r="H1477" s="20" t="s">
        <v>2824</v>
      </c>
      <c r="I1477" s="21">
        <v>0.5</v>
      </c>
      <c r="J1477" s="8">
        <v>2</v>
      </c>
      <c r="K1477" s="8" t="s">
        <v>238</v>
      </c>
      <c r="L1477" s="18">
        <v>42147</v>
      </c>
      <c r="M1477" s="37" t="s">
        <v>191</v>
      </c>
      <c r="N1477" s="38">
        <v>0.1</v>
      </c>
      <c r="O1477" s="38">
        <v>0.15</v>
      </c>
      <c r="P1477" s="38">
        <v>0.15</v>
      </c>
      <c r="Q1477" s="38">
        <v>0.1</v>
      </c>
      <c r="R1477" s="38">
        <v>4.3815</v>
      </c>
      <c r="S1477" s="38">
        <f t="shared" si="183"/>
        <v>4.5</v>
      </c>
      <c r="T1477" s="38">
        <v>0.5</v>
      </c>
      <c r="U1477" s="38">
        <v>0</v>
      </c>
      <c r="V1477" s="38">
        <v>0</v>
      </c>
      <c r="W1477" s="38">
        <v>0</v>
      </c>
      <c r="X1477" s="38">
        <v>5.0661500000000004</v>
      </c>
      <c r="Y1477" s="38">
        <f t="shared" si="184"/>
        <v>5</v>
      </c>
      <c r="Z1477" s="38">
        <v>0</v>
      </c>
      <c r="AA1477" s="38">
        <v>0</v>
      </c>
      <c r="AB1477" s="38">
        <v>0.5</v>
      </c>
      <c r="AC1477" s="38">
        <v>0.98150000000000004</v>
      </c>
      <c r="AD1477" s="39">
        <v>0</v>
      </c>
      <c r="AE1477" s="38">
        <v>1.7</v>
      </c>
      <c r="AF1477" s="38">
        <f>(AD1477+AE1477*0.5)/(3.5*I1477*1000)*100</f>
        <v>4.8571428571428571E-2</v>
      </c>
      <c r="AG1477" s="38">
        <f t="shared" si="185"/>
        <v>0</v>
      </c>
      <c r="AH1477" s="38">
        <v>0</v>
      </c>
      <c r="AI1477" s="38">
        <f>AH1477/(3.5*I1477*1000)*100</f>
        <v>0</v>
      </c>
      <c r="AJ1477" s="38">
        <v>4.45</v>
      </c>
      <c r="AK1477" s="38">
        <f>AJ1477/(3.5*I1477*1000)*100</f>
        <v>0.25428571428571434</v>
      </c>
      <c r="AL1477" s="38">
        <v>0</v>
      </c>
      <c r="AM1477" s="38">
        <f t="shared" si="182"/>
        <v>0</v>
      </c>
      <c r="AN1477" s="72"/>
      <c r="AO1477" s="41"/>
      <c r="AP1477" s="41"/>
      <c r="AQ1477" s="41">
        <f>SUM(N1477:Q1477)</f>
        <v>0.5</v>
      </c>
      <c r="AR1477" s="41">
        <f>SUM(T1477:W1477)</f>
        <v>0.5</v>
      </c>
      <c r="AS1477" s="12">
        <f>SUM(Z1477:AB1477)</f>
        <v>0.5</v>
      </c>
      <c r="AT1477" s="1"/>
      <c r="AU1477" s="1">
        <f>I1477/AQ1477</f>
        <v>1</v>
      </c>
      <c r="AV1477" s="1">
        <f>I1477/AR1477</f>
        <v>1</v>
      </c>
      <c r="AW1477" s="1">
        <f>I1477/AS1477</f>
        <v>1</v>
      </c>
      <c r="AX1477" s="22"/>
      <c r="AY1477" s="22"/>
      <c r="AZ1477" s="22"/>
      <c r="BA1477" s="22"/>
      <c r="BB1477" s="22"/>
      <c r="BC1477" s="22"/>
      <c r="BD1477" s="22"/>
      <c r="BE1477" s="22"/>
      <c r="BF1477" s="22"/>
      <c r="BG1477" s="22"/>
      <c r="BH1477" s="22"/>
      <c r="BI1477" s="22"/>
      <c r="BJ1477" s="22"/>
      <c r="BK1477" s="22"/>
      <c r="BL1477" s="22"/>
      <c r="BM1477" s="22"/>
      <c r="BN1477" s="22"/>
      <c r="BO1477" s="22"/>
      <c r="BP1477" s="22"/>
      <c r="BQ1477" s="22"/>
      <c r="BR1477" s="22"/>
      <c r="BS1477" s="22"/>
      <c r="BT1477" s="22"/>
      <c r="BU1477" s="22"/>
      <c r="BV1477" s="22"/>
      <c r="BW1477" s="22"/>
      <c r="BX1477" s="22"/>
      <c r="BY1477" s="22"/>
      <c r="BZ1477" s="22"/>
      <c r="CA1477" s="22"/>
      <c r="CB1477" s="22"/>
      <c r="CC1477" s="22"/>
      <c r="CD1477" s="22"/>
      <c r="CE1477" s="22"/>
      <c r="CF1477" s="22"/>
      <c r="CG1477" s="22"/>
      <c r="CH1477" s="22"/>
      <c r="CI1477" s="22"/>
      <c r="CJ1477" s="22"/>
    </row>
    <row r="1478" spans="1:88" s="61" customFormat="1" ht="23.25" customHeight="1">
      <c r="A1478" s="1">
        <v>2218</v>
      </c>
      <c r="B1478" s="34" t="s">
        <v>2853</v>
      </c>
      <c r="C1478" s="34">
        <v>318</v>
      </c>
      <c r="D1478" s="75">
        <v>4051</v>
      </c>
      <c r="E1478" s="8">
        <v>100</v>
      </c>
      <c r="F1478" s="9" t="s">
        <v>2862</v>
      </c>
      <c r="G1478" s="20">
        <v>596</v>
      </c>
      <c r="H1478" s="20">
        <v>11900</v>
      </c>
      <c r="I1478" s="21">
        <v>11.304</v>
      </c>
      <c r="J1478" s="8">
        <v>2</v>
      </c>
      <c r="K1478" s="8" t="s">
        <v>238</v>
      </c>
      <c r="L1478" s="18">
        <v>42149</v>
      </c>
      <c r="M1478" s="37" t="s">
        <v>191</v>
      </c>
      <c r="N1478" s="38">
        <v>8.7249999999999996</v>
      </c>
      <c r="O1478" s="38">
        <v>1.8</v>
      </c>
      <c r="P1478" s="38">
        <v>0.8</v>
      </c>
      <c r="Q1478" s="38">
        <v>0.42499999999999999</v>
      </c>
      <c r="R1478" s="38">
        <v>2.2708300000000001</v>
      </c>
      <c r="S1478" s="38">
        <f t="shared" si="183"/>
        <v>2.5</v>
      </c>
      <c r="T1478" s="38">
        <v>11.7</v>
      </c>
      <c r="U1478" s="38">
        <v>2.5000000000000001E-2</v>
      </c>
      <c r="V1478" s="38">
        <v>0</v>
      </c>
      <c r="W1478" s="38">
        <v>2.5000000000000001E-2</v>
      </c>
      <c r="X1478" s="38">
        <v>3.1738200000000001</v>
      </c>
      <c r="Y1478" s="38">
        <f t="shared" si="184"/>
        <v>3</v>
      </c>
      <c r="Z1478" s="38">
        <v>0</v>
      </c>
      <c r="AA1478" s="38">
        <v>0</v>
      </c>
      <c r="AB1478" s="38">
        <v>11.750000000000002</v>
      </c>
      <c r="AC1478" s="38">
        <v>1.31186</v>
      </c>
      <c r="AD1478" s="39">
        <v>19.21</v>
      </c>
      <c r="AE1478" s="38">
        <v>0</v>
      </c>
      <c r="AF1478" s="38">
        <v>4.8554241229400497E-2</v>
      </c>
      <c r="AG1478" s="38">
        <f t="shared" si="185"/>
        <v>0</v>
      </c>
      <c r="AH1478" s="38">
        <v>0</v>
      </c>
      <c r="AI1478" s="38">
        <v>0</v>
      </c>
      <c r="AJ1478" s="38">
        <v>0</v>
      </c>
      <c r="AK1478" s="38">
        <v>0</v>
      </c>
      <c r="AL1478" s="38">
        <v>0</v>
      </c>
      <c r="AM1478" s="38">
        <f t="shared" si="182"/>
        <v>0</v>
      </c>
      <c r="AN1478" s="22"/>
      <c r="AO1478" s="25"/>
      <c r="AP1478" s="25"/>
      <c r="AQ1478" s="22"/>
      <c r="AR1478" s="22"/>
      <c r="AS1478" s="22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</row>
    <row r="1479" spans="1:88" s="61" customFormat="1" ht="23.25" customHeight="1">
      <c r="A1479" s="1">
        <v>91</v>
      </c>
      <c r="B1479" s="4" t="s">
        <v>61</v>
      </c>
      <c r="C1479" s="14">
        <v>526</v>
      </c>
      <c r="D1479" s="19">
        <v>128</v>
      </c>
      <c r="E1479" s="16">
        <v>100</v>
      </c>
      <c r="F1479" s="14" t="s">
        <v>67</v>
      </c>
      <c r="G1479" s="27" t="s">
        <v>156</v>
      </c>
      <c r="H1479" s="27" t="s">
        <v>92</v>
      </c>
      <c r="I1479" s="28">
        <v>8.3629999999999995</v>
      </c>
      <c r="J1479" s="16">
        <v>2</v>
      </c>
      <c r="K1479" s="14" t="s">
        <v>12</v>
      </c>
      <c r="L1479" s="29">
        <v>42244</v>
      </c>
      <c r="M1479" s="246" t="s">
        <v>191</v>
      </c>
      <c r="N1479" s="30">
        <v>6.87</v>
      </c>
      <c r="O1479" s="30">
        <v>0.72</v>
      </c>
      <c r="P1479" s="30">
        <v>0.54</v>
      </c>
      <c r="Q1479" s="30">
        <v>0.23</v>
      </c>
      <c r="R1479" s="30">
        <v>1.98495</v>
      </c>
      <c r="S1479" s="38">
        <f t="shared" si="183"/>
        <v>2</v>
      </c>
      <c r="T1479" s="30">
        <v>8.36</v>
      </c>
      <c r="U1479" s="30">
        <v>0</v>
      </c>
      <c r="V1479" s="30">
        <v>0</v>
      </c>
      <c r="W1479" s="30">
        <v>0</v>
      </c>
      <c r="X1479" s="30">
        <v>2.9937100000000001</v>
      </c>
      <c r="Y1479" s="38">
        <f t="shared" si="184"/>
        <v>3</v>
      </c>
      <c r="Z1479" s="30">
        <v>0</v>
      </c>
      <c r="AA1479" s="30">
        <v>0</v>
      </c>
      <c r="AB1479" s="30">
        <v>8.36</v>
      </c>
      <c r="AC1479" s="30">
        <v>1.17469</v>
      </c>
      <c r="AD1479" s="256">
        <v>14.2</v>
      </c>
      <c r="AE1479" s="30">
        <v>0</v>
      </c>
      <c r="AF1479" s="30">
        <f>(AD1479+AE1479*0.5)/(3.5*I1479*1000)*100</f>
        <v>4.8513007977315038E-2</v>
      </c>
      <c r="AG1479" s="38">
        <f t="shared" si="185"/>
        <v>0</v>
      </c>
      <c r="AH1479" s="30">
        <v>10.32</v>
      </c>
      <c r="AI1479" s="30">
        <f>AH1479/(3.5*I1479*1000)*100</f>
        <v>3.5257341008865579E-2</v>
      </c>
      <c r="AJ1479" s="30">
        <v>0.62</v>
      </c>
      <c r="AK1479" s="30">
        <f>AJ1479/(3.5*I1479*1000)*100</f>
        <v>2.1181735877419242E-3</v>
      </c>
      <c r="AL1479" s="30">
        <v>0</v>
      </c>
      <c r="AM1479" s="30">
        <f t="shared" si="182"/>
        <v>0</v>
      </c>
      <c r="AN1479" s="22"/>
      <c r="AO1479" s="25"/>
      <c r="AP1479" s="25">
        <f>N1479+O1479+P1479+Q1479</f>
        <v>8.36</v>
      </c>
      <c r="AQ1479" s="25">
        <f>T1479+U1479+V1479+W1479</f>
        <v>8.36</v>
      </c>
      <c r="AR1479" s="25">
        <f>Z1479+AA1479+AB1479</f>
        <v>8.36</v>
      </c>
      <c r="AS1479" s="22"/>
      <c r="AT1479" s="22">
        <f>I1479/AP1479</f>
        <v>1.0003588516746411</v>
      </c>
      <c r="AU1479" s="22">
        <f>I1479/AQ1479</f>
        <v>1.0003588516746411</v>
      </c>
      <c r="AV1479" s="22">
        <f>I1479/AR1479</f>
        <v>1.0003588516746411</v>
      </c>
      <c r="AW1479" s="22"/>
      <c r="AX1479" s="22"/>
      <c r="AY1479" s="22"/>
      <c r="AZ1479" s="22"/>
      <c r="BA1479" s="22"/>
      <c r="BB1479" s="22"/>
      <c r="BC1479" s="22"/>
      <c r="BD1479" s="22"/>
      <c r="BE1479" s="22"/>
      <c r="BF1479" s="22"/>
      <c r="BG1479" s="22"/>
      <c r="BH1479" s="22"/>
      <c r="BI1479" s="22"/>
      <c r="BJ1479" s="22"/>
      <c r="BK1479" s="22"/>
      <c r="BL1479" s="22"/>
      <c r="BM1479" s="22"/>
      <c r="BN1479" s="22"/>
      <c r="BO1479" s="22"/>
      <c r="BP1479" s="22"/>
      <c r="BQ1479" s="22"/>
      <c r="BR1479" s="22"/>
      <c r="BS1479" s="22"/>
      <c r="BT1479" s="22"/>
      <c r="BU1479" s="22"/>
      <c r="BV1479" s="22"/>
      <c r="BW1479" s="22"/>
      <c r="BX1479" s="22"/>
      <c r="BY1479" s="22"/>
      <c r="BZ1479" s="22"/>
      <c r="CA1479" s="22"/>
      <c r="CB1479" s="22"/>
      <c r="CC1479" s="22"/>
      <c r="CD1479" s="22"/>
      <c r="CE1479" s="22"/>
      <c r="CF1479" s="22"/>
      <c r="CG1479" s="22"/>
      <c r="CH1479" s="22"/>
      <c r="CI1479" s="22"/>
      <c r="CJ1479" s="22"/>
    </row>
    <row r="1480" spans="1:88" s="61" customFormat="1">
      <c r="A1480" s="1">
        <v>999</v>
      </c>
      <c r="B1480" s="170" t="s">
        <v>1394</v>
      </c>
      <c r="C1480" s="170">
        <v>617</v>
      </c>
      <c r="D1480" s="8">
        <v>219</v>
      </c>
      <c r="E1480" s="170">
        <v>301</v>
      </c>
      <c r="F1480" s="9" t="s">
        <v>1398</v>
      </c>
      <c r="G1480" s="20">
        <v>97604</v>
      </c>
      <c r="H1480" s="20">
        <v>128082</v>
      </c>
      <c r="I1480" s="35">
        <v>30.478000000000002</v>
      </c>
      <c r="J1480" s="9">
        <v>4</v>
      </c>
      <c r="K1480" s="9" t="s">
        <v>238</v>
      </c>
      <c r="L1480" s="172">
        <v>42129</v>
      </c>
      <c r="M1480" s="37" t="s">
        <v>191</v>
      </c>
      <c r="N1480" s="173">
        <v>18.25</v>
      </c>
      <c r="O1480" s="173">
        <v>7.5250000000000004</v>
      </c>
      <c r="P1480" s="173">
        <v>3.4</v>
      </c>
      <c r="Q1480" s="173">
        <v>1.1499999999999999</v>
      </c>
      <c r="R1480" s="173">
        <v>2.7380100000000001</v>
      </c>
      <c r="S1480" s="38">
        <f t="shared" si="183"/>
        <v>2.5</v>
      </c>
      <c r="T1480" s="173">
        <v>26.9</v>
      </c>
      <c r="U1480" s="173">
        <v>2.4249999999999998</v>
      </c>
      <c r="V1480" s="173">
        <v>0.57499999999999996</v>
      </c>
      <c r="W1480" s="173">
        <v>0.42499999999999999</v>
      </c>
      <c r="X1480" s="173">
        <v>8.2154500000000006</v>
      </c>
      <c r="Y1480" s="38">
        <f t="shared" si="184"/>
        <v>8</v>
      </c>
      <c r="Z1480" s="11">
        <v>0</v>
      </c>
      <c r="AA1480" s="11">
        <v>0</v>
      </c>
      <c r="AB1480" s="11">
        <f>SUM(N1480:Q1480)</f>
        <v>30.324999999999996</v>
      </c>
      <c r="AC1480" s="173">
        <v>1.29681</v>
      </c>
      <c r="AD1480" s="164">
        <v>39.06</v>
      </c>
      <c r="AE1480" s="11">
        <v>25.17</v>
      </c>
      <c r="AF1480" s="169">
        <f>(AD1480+AE1480*0.5)/(3.5*I1480*1000)*100</f>
        <v>4.8414312900171556E-2</v>
      </c>
      <c r="AG1480" s="38">
        <f t="shared" si="185"/>
        <v>0</v>
      </c>
      <c r="AH1480" s="11">
        <v>0</v>
      </c>
      <c r="AI1480" s="99">
        <f>AH1480/(3.5*I1480*1000)*100</f>
        <v>0</v>
      </c>
      <c r="AJ1480" s="11">
        <v>0</v>
      </c>
      <c r="AK1480" s="99">
        <f>AJ1480/(3.5*I1480*1000)*100</f>
        <v>0</v>
      </c>
      <c r="AL1480" s="11">
        <v>0</v>
      </c>
      <c r="AM1480" s="99">
        <f t="shared" si="182"/>
        <v>0</v>
      </c>
      <c r="AN1480" s="12"/>
      <c r="AO1480" s="25">
        <f>AE1480*0.5</f>
        <v>12.585000000000001</v>
      </c>
      <c r="AP1480" s="25">
        <f>(AD1480+AH1480+AJ1480+AL1480+AO1480)*I1480</f>
        <v>1574.0363100000002</v>
      </c>
      <c r="AQ1480" s="12"/>
      <c r="AR1480" s="12"/>
      <c r="AS1480" s="25">
        <f>SUM(N1480:Q1480)</f>
        <v>30.324999999999996</v>
      </c>
      <c r="AT1480" s="25">
        <f>SUM(T1480:W1480)</f>
        <v>30.324999999999999</v>
      </c>
      <c r="AU1480" s="41"/>
      <c r="AV1480" s="41"/>
      <c r="AW1480" s="4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</row>
    <row r="1481" spans="1:88" s="194" customFormat="1">
      <c r="A1481" s="1">
        <v>1480</v>
      </c>
      <c r="B1481" s="189" t="s">
        <v>2016</v>
      </c>
      <c r="C1481" s="189">
        <v>411</v>
      </c>
      <c r="D1481" s="190">
        <v>3312</v>
      </c>
      <c r="E1481" s="189">
        <v>100</v>
      </c>
      <c r="F1481" s="189" t="s">
        <v>2034</v>
      </c>
      <c r="G1481" s="191" t="s">
        <v>2035</v>
      </c>
      <c r="H1481" s="191" t="s">
        <v>2036</v>
      </c>
      <c r="I1481" s="192">
        <v>1.4370000000000001</v>
      </c>
      <c r="J1481" s="189">
        <v>6</v>
      </c>
      <c r="K1481" s="189"/>
      <c r="L1481" s="10"/>
      <c r="M1481" s="37"/>
      <c r="N1481" s="188">
        <v>1.4370000000000001</v>
      </c>
      <c r="O1481" s="38"/>
      <c r="P1481" s="38"/>
      <c r="Q1481" s="38"/>
      <c r="R1481" s="38"/>
      <c r="S1481" s="38">
        <f t="shared" si="183"/>
        <v>0</v>
      </c>
      <c r="T1481" s="188">
        <v>1.4370000000000001</v>
      </c>
      <c r="U1481" s="38"/>
      <c r="V1481" s="38"/>
      <c r="W1481" s="38"/>
      <c r="X1481" s="38"/>
      <c r="Y1481" s="38">
        <f t="shared" si="184"/>
        <v>0</v>
      </c>
      <c r="Z1481" s="38"/>
      <c r="AA1481" s="38"/>
      <c r="AB1481" s="188">
        <v>1.4370000000000001</v>
      </c>
      <c r="AC1481" s="38"/>
      <c r="AD1481" s="39"/>
      <c r="AE1481" s="38"/>
      <c r="AF1481" s="38"/>
      <c r="AG1481" s="38">
        <f t="shared" si="185"/>
        <v>0</v>
      </c>
      <c r="AH1481" s="38"/>
      <c r="AI1481" s="38"/>
      <c r="AJ1481" s="38"/>
      <c r="AK1481" s="38"/>
      <c r="AL1481" s="38"/>
      <c r="AM1481" s="38"/>
      <c r="AN1481" s="60"/>
      <c r="AO1481" s="60"/>
      <c r="AP1481" s="193"/>
      <c r="AQ1481" s="193"/>
      <c r="AR1481" s="193"/>
      <c r="AS1481" s="193"/>
      <c r="AT1481" s="193"/>
      <c r="AV1481" s="195"/>
      <c r="AW1481" s="195"/>
      <c r="AX1481" s="195"/>
      <c r="AY1481" s="195"/>
    </row>
    <row r="1482" spans="1:88" s="194" customFormat="1">
      <c r="A1482" s="1">
        <v>1481</v>
      </c>
      <c r="B1482" s="189" t="s">
        <v>2016</v>
      </c>
      <c r="C1482" s="189">
        <v>411</v>
      </c>
      <c r="D1482" s="190">
        <v>3312</v>
      </c>
      <c r="E1482" s="189">
        <v>100</v>
      </c>
      <c r="F1482" s="189" t="s">
        <v>2034</v>
      </c>
      <c r="G1482" s="191">
        <v>12348</v>
      </c>
      <c r="H1482" s="191">
        <v>10911</v>
      </c>
      <c r="I1482" s="192">
        <v>1.4370000000000001</v>
      </c>
      <c r="J1482" s="189">
        <v>6</v>
      </c>
      <c r="K1482" s="189"/>
      <c r="L1482" s="10"/>
      <c r="M1482" s="37"/>
      <c r="N1482" s="188">
        <v>1.4370000000000001</v>
      </c>
      <c r="O1482" s="38"/>
      <c r="P1482" s="38"/>
      <c r="Q1482" s="38"/>
      <c r="R1482" s="38"/>
      <c r="S1482" s="38">
        <f t="shared" si="183"/>
        <v>0</v>
      </c>
      <c r="T1482" s="188">
        <v>1.4370000000000001</v>
      </c>
      <c r="U1482" s="38"/>
      <c r="V1482" s="38"/>
      <c r="W1482" s="38"/>
      <c r="X1482" s="38"/>
      <c r="Y1482" s="38">
        <f t="shared" si="184"/>
        <v>0</v>
      </c>
      <c r="Z1482" s="38"/>
      <c r="AA1482" s="38"/>
      <c r="AB1482" s="188">
        <v>1.4370000000000001</v>
      </c>
      <c r="AC1482" s="38"/>
      <c r="AD1482" s="39"/>
      <c r="AE1482" s="38"/>
      <c r="AF1482" s="38"/>
      <c r="AG1482" s="38">
        <f t="shared" si="185"/>
        <v>0</v>
      </c>
      <c r="AH1482" s="38"/>
      <c r="AI1482" s="38"/>
      <c r="AJ1482" s="38"/>
      <c r="AK1482" s="38"/>
      <c r="AL1482" s="38"/>
      <c r="AM1482" s="38"/>
      <c r="AN1482" s="60"/>
      <c r="AO1482" s="60"/>
      <c r="AP1482" s="193"/>
      <c r="AQ1482" s="193"/>
      <c r="AR1482" s="193"/>
      <c r="AS1482" s="193"/>
      <c r="AT1482" s="193"/>
      <c r="AV1482" s="195"/>
      <c r="AW1482" s="195"/>
      <c r="AX1482" s="195"/>
      <c r="AY1482" s="195"/>
    </row>
    <row r="1483" spans="1:88" s="61" customFormat="1" ht="23.25" customHeight="1">
      <c r="A1483" s="1">
        <v>1727</v>
      </c>
      <c r="B1483" s="34" t="s">
        <v>2308</v>
      </c>
      <c r="C1483" s="34">
        <v>422</v>
      </c>
      <c r="D1483" s="8">
        <v>3702</v>
      </c>
      <c r="E1483" s="34">
        <v>402</v>
      </c>
      <c r="F1483" s="34" t="s">
        <v>2322</v>
      </c>
      <c r="G1483" s="58">
        <v>65426</v>
      </c>
      <c r="H1483" s="58">
        <v>65820</v>
      </c>
      <c r="I1483" s="206">
        <v>0.39400000000000002</v>
      </c>
      <c r="J1483" s="9">
        <v>2</v>
      </c>
      <c r="K1483" s="34" t="s">
        <v>238</v>
      </c>
      <c r="L1483" s="10">
        <v>42231</v>
      </c>
      <c r="M1483" s="37" t="s">
        <v>191</v>
      </c>
      <c r="N1483" s="38">
        <v>0.13</v>
      </c>
      <c r="O1483" s="38">
        <v>0.03</v>
      </c>
      <c r="P1483" s="38">
        <v>0.04</v>
      </c>
      <c r="Q1483" s="38">
        <v>0.19</v>
      </c>
      <c r="R1483" s="38">
        <v>4.8862500000000004</v>
      </c>
      <c r="S1483" s="38">
        <f t="shared" si="183"/>
        <v>5</v>
      </c>
      <c r="T1483" s="38">
        <v>0.22</v>
      </c>
      <c r="U1483" s="38">
        <v>7.0000000000000007E-2</v>
      </c>
      <c r="V1483" s="38">
        <v>0.03</v>
      </c>
      <c r="W1483" s="38">
        <v>0.06</v>
      </c>
      <c r="X1483" s="38">
        <v>9.7754600000000007</v>
      </c>
      <c r="Y1483" s="38">
        <f t="shared" si="184"/>
        <v>10</v>
      </c>
      <c r="Z1483" s="38">
        <v>0</v>
      </c>
      <c r="AA1483" s="38">
        <v>0</v>
      </c>
      <c r="AB1483" s="206">
        <v>0.39400000000000002</v>
      </c>
      <c r="AC1483" s="38">
        <v>1.87775</v>
      </c>
      <c r="AD1483" s="39">
        <v>15.97</v>
      </c>
      <c r="AE1483" s="38">
        <v>5.34</v>
      </c>
      <c r="AF1483" s="38">
        <v>4.7876000000000002E-2</v>
      </c>
      <c r="AG1483" s="38">
        <f t="shared" si="185"/>
        <v>0</v>
      </c>
      <c r="AH1483" s="38">
        <v>102.36</v>
      </c>
      <c r="AI1483" s="38">
        <v>0.26290599999999997</v>
      </c>
      <c r="AJ1483" s="38">
        <v>154</v>
      </c>
      <c r="AK1483" s="38">
        <v>0.39554099999999998</v>
      </c>
      <c r="AL1483" s="38">
        <v>26.47</v>
      </c>
      <c r="AM1483" s="55">
        <v>6.7987000000000006E-2</v>
      </c>
      <c r="AN1483" s="22"/>
      <c r="AO1483" s="22">
        <f>AE1483*0.5</f>
        <v>2.67</v>
      </c>
      <c r="AP1483" s="41">
        <f>(AD1483+AH1483+AJ1483+AL1483+AO1483)*I1483</f>
        <v>118.77918</v>
      </c>
      <c r="AQ1483" s="25">
        <f>SUM(N1483:Q1483)</f>
        <v>0.39</v>
      </c>
      <c r="AR1483" s="25">
        <f>SUM(T1483:W1483)</f>
        <v>0.38000000000000006</v>
      </c>
      <c r="AS1483" s="268">
        <v>0.39400000000000002</v>
      </c>
      <c r="AT1483" s="22"/>
      <c r="AU1483" s="25">
        <f>AS1483-AQ1483</f>
        <v>4.0000000000000036E-3</v>
      </c>
      <c r="AV1483" s="41">
        <f>SUM(N1483:Q1483)</f>
        <v>0.39</v>
      </c>
      <c r="AW1483" s="41">
        <f>SUM(T1483:W1483)</f>
        <v>0.38000000000000006</v>
      </c>
      <c r="AX1483" s="41">
        <f>SUM(Z1483:AB1483)</f>
        <v>0.39400000000000002</v>
      </c>
      <c r="AY1483" s="22"/>
      <c r="AZ1483" s="22">
        <f>I1483/AV1483</f>
        <v>1.0102564102564102</v>
      </c>
      <c r="BA1483" s="22">
        <f>I1483/AW1483</f>
        <v>1.0368421052631578</v>
      </c>
      <c r="BB1483" s="22">
        <f>I1483/AX1483</f>
        <v>1</v>
      </c>
      <c r="BC1483" s="22"/>
      <c r="BD1483" s="22"/>
      <c r="BE1483" s="22"/>
      <c r="BF1483" s="22"/>
      <c r="BG1483" s="22"/>
      <c r="BH1483" s="22"/>
      <c r="BI1483" s="22"/>
      <c r="BJ1483" s="22"/>
      <c r="BK1483" s="22"/>
      <c r="BL1483" s="22"/>
      <c r="BM1483" s="22"/>
      <c r="BN1483" s="22"/>
      <c r="BO1483" s="22"/>
      <c r="BP1483" s="22"/>
      <c r="BQ1483" s="22"/>
      <c r="BR1483" s="22"/>
      <c r="BS1483" s="22"/>
      <c r="BT1483" s="22"/>
      <c r="BU1483" s="22"/>
      <c r="BV1483" s="22"/>
      <c r="BW1483" s="22"/>
      <c r="BX1483" s="22"/>
      <c r="BY1483" s="22"/>
      <c r="BZ1483" s="22"/>
      <c r="CA1483" s="22"/>
      <c r="CB1483" s="22"/>
      <c r="CC1483" s="22"/>
      <c r="CD1483" s="22"/>
      <c r="CE1483" s="22"/>
      <c r="CF1483" s="22"/>
      <c r="CG1483" s="22"/>
      <c r="CH1483" s="22"/>
      <c r="CI1483" s="22"/>
      <c r="CJ1483" s="22"/>
    </row>
    <row r="1484" spans="1:88" s="61" customFormat="1" ht="23.25" customHeight="1">
      <c r="A1484" s="1">
        <v>1492</v>
      </c>
      <c r="B1484" s="34" t="s">
        <v>2016</v>
      </c>
      <c r="C1484" s="34">
        <v>411</v>
      </c>
      <c r="D1484" s="69">
        <v>3902</v>
      </c>
      <c r="E1484" s="34">
        <v>601</v>
      </c>
      <c r="F1484" s="34" t="s">
        <v>2055</v>
      </c>
      <c r="G1484" s="20" t="s">
        <v>2056</v>
      </c>
      <c r="H1484" s="20" t="s">
        <v>2053</v>
      </c>
      <c r="I1484" s="188">
        <v>9.0069999999999997</v>
      </c>
      <c r="J1484" s="34">
        <v>2</v>
      </c>
      <c r="K1484" s="34" t="s">
        <v>12</v>
      </c>
      <c r="L1484" s="10">
        <v>42248</v>
      </c>
      <c r="M1484" s="37" t="s">
        <v>191</v>
      </c>
      <c r="N1484" s="38">
        <v>5.65</v>
      </c>
      <c r="O1484" s="38">
        <v>1.925</v>
      </c>
      <c r="P1484" s="38">
        <v>0.82499999999999996</v>
      </c>
      <c r="Q1484" s="38">
        <v>0.67500000000000004</v>
      </c>
      <c r="R1484" s="38">
        <v>2.7080000000000002</v>
      </c>
      <c r="S1484" s="38">
        <f t="shared" si="183"/>
        <v>2.5</v>
      </c>
      <c r="T1484" s="38">
        <v>8.4250000000000007</v>
      </c>
      <c r="U1484" s="38">
        <v>0.6</v>
      </c>
      <c r="V1484" s="38">
        <v>0.05</v>
      </c>
      <c r="W1484" s="38">
        <v>0</v>
      </c>
      <c r="X1484" s="38">
        <v>5.5049999999999999</v>
      </c>
      <c r="Y1484" s="38">
        <f t="shared" si="184"/>
        <v>5.5</v>
      </c>
      <c r="Z1484" s="38">
        <v>0</v>
      </c>
      <c r="AA1484" s="38">
        <v>0</v>
      </c>
      <c r="AB1484" s="38">
        <f>SUM(T1484:W1484)</f>
        <v>9.0750000000000011</v>
      </c>
      <c r="AC1484" s="38">
        <v>1.1910000000000001</v>
      </c>
      <c r="AD1484" s="39">
        <v>9</v>
      </c>
      <c r="AE1484" s="38">
        <v>12.02</v>
      </c>
      <c r="AF1484" s="38">
        <f>(AD1484+AE1484*0.5)/(3.5*I1484*1000)*100</f>
        <v>4.7613760725784701E-2</v>
      </c>
      <c r="AG1484" s="38">
        <f t="shared" si="185"/>
        <v>0</v>
      </c>
      <c r="AH1484" s="38">
        <v>48</v>
      </c>
      <c r="AI1484" s="38">
        <f>AH1484/(3.5*I1484*1000)*100</f>
        <v>0.15226252597186316</v>
      </c>
      <c r="AJ1484" s="38">
        <v>544.20000000000005</v>
      </c>
      <c r="AK1484" s="38">
        <f>AJ1484/(3.5*I1484*1000)*100</f>
        <v>1.7262763882059988</v>
      </c>
      <c r="AL1484" s="38">
        <v>304</v>
      </c>
      <c r="AM1484" s="38">
        <f>AL1484/(3.5*I1484*1000)*100</f>
        <v>0.9643293311551332</v>
      </c>
      <c r="AN1484" s="60"/>
      <c r="AO1484" s="60">
        <f>AE1484*0.5</f>
        <v>6.01</v>
      </c>
      <c r="AP1484" s="60">
        <f>(AD1484+AH1484+AJ1484+AL1484+AO1484)*I1484</f>
        <v>8207.2684700000009</v>
      </c>
      <c r="AQ1484" s="60"/>
      <c r="AR1484" s="60"/>
      <c r="AS1484" s="60"/>
      <c r="AT1484" s="60"/>
      <c r="AV1484" s="40"/>
      <c r="AW1484" s="40"/>
      <c r="AX1484" s="40"/>
      <c r="AY1484" s="40"/>
    </row>
    <row r="1485" spans="1:88" s="61" customFormat="1" ht="23.25" customHeight="1">
      <c r="A1485" s="1">
        <v>668</v>
      </c>
      <c r="B1485" s="34" t="s">
        <v>1062</v>
      </c>
      <c r="C1485" s="34">
        <v>623</v>
      </c>
      <c r="D1485" s="34">
        <v>2316</v>
      </c>
      <c r="E1485" s="34">
        <v>101</v>
      </c>
      <c r="F1485" s="9" t="s">
        <v>1077</v>
      </c>
      <c r="G1485" s="20">
        <v>18025</v>
      </c>
      <c r="H1485" s="20">
        <v>0</v>
      </c>
      <c r="I1485" s="35">
        <v>18.024999999999999</v>
      </c>
      <c r="J1485" s="34">
        <v>2</v>
      </c>
      <c r="K1485" s="34" t="s">
        <v>12</v>
      </c>
      <c r="L1485" s="10">
        <v>42135</v>
      </c>
      <c r="M1485" s="37" t="s">
        <v>191</v>
      </c>
      <c r="N1485" s="38">
        <v>10.18</v>
      </c>
      <c r="O1485" s="38">
        <v>4.8</v>
      </c>
      <c r="P1485" s="38">
        <v>2.15</v>
      </c>
      <c r="Q1485" s="38">
        <v>0.9</v>
      </c>
      <c r="R1485" s="38">
        <v>2.5921599999999998</v>
      </c>
      <c r="S1485" s="38">
        <f t="shared" si="183"/>
        <v>2.5</v>
      </c>
      <c r="T1485" s="38">
        <v>17.77</v>
      </c>
      <c r="U1485" s="38">
        <v>0.18</v>
      </c>
      <c r="V1485" s="38">
        <v>0.05</v>
      </c>
      <c r="W1485" s="38">
        <v>0.03</v>
      </c>
      <c r="X1485" s="38">
        <v>3.3098200000000002</v>
      </c>
      <c r="Y1485" s="38">
        <f t="shared" si="184"/>
        <v>3.5</v>
      </c>
      <c r="Z1485" s="38">
        <v>0</v>
      </c>
      <c r="AA1485" s="38">
        <v>0</v>
      </c>
      <c r="AB1485" s="38">
        <v>18.03</v>
      </c>
      <c r="AC1485" s="38">
        <v>1.1517999999999999</v>
      </c>
      <c r="AD1485" s="39">
        <v>0</v>
      </c>
      <c r="AE1485" s="38">
        <v>59.55</v>
      </c>
      <c r="AF1485" s="38">
        <v>4.7199999999999999E-2</v>
      </c>
      <c r="AG1485" s="38">
        <f t="shared" si="185"/>
        <v>0</v>
      </c>
      <c r="AH1485" s="38">
        <v>0</v>
      </c>
      <c r="AI1485" s="38">
        <v>0</v>
      </c>
      <c r="AJ1485" s="38">
        <v>63.65</v>
      </c>
      <c r="AK1485" s="38">
        <v>0.100892</v>
      </c>
      <c r="AL1485" s="38">
        <v>0</v>
      </c>
      <c r="AM1485" s="38">
        <v>0</v>
      </c>
      <c r="AN1485" s="25"/>
      <c r="AO1485" s="1">
        <f>AE1485*0.5</f>
        <v>29.774999999999999</v>
      </c>
      <c r="AP1485" s="25">
        <f>(AD1485+AH1485+AJ1485+AL1485+AO1485)*I1485</f>
        <v>1683.9856249999998</v>
      </c>
      <c r="AQ1485" s="25">
        <f>SUM(N1485:Q1485)</f>
        <v>18.029999999999998</v>
      </c>
      <c r="AR1485" s="25">
        <f>SUM(T1485:W1485)</f>
        <v>18.03</v>
      </c>
      <c r="AS1485" s="22"/>
      <c r="AT1485" s="41"/>
      <c r="AU1485" s="41">
        <f>SUM(N1485:Q1485)</f>
        <v>18.029999999999998</v>
      </c>
      <c r="AV1485" s="41">
        <f>SUM(T1485:W1485)</f>
        <v>18.03</v>
      </c>
      <c r="AW1485" s="41">
        <f>SUM(Z1485:AB1485)</f>
        <v>18.03</v>
      </c>
      <c r="AX1485" s="22"/>
      <c r="AY1485" s="22">
        <f>I1485/AU1485</f>
        <v>0.99972268441486412</v>
      </c>
      <c r="AZ1485" s="22">
        <f>I1485/AV1485</f>
        <v>0.999722684414864</v>
      </c>
      <c r="BA1485" s="22">
        <f>I1485/AW1485</f>
        <v>0.999722684414864</v>
      </c>
      <c r="BB1485" s="22"/>
      <c r="BC1485" s="22"/>
      <c r="BD1485" s="22"/>
      <c r="BE1485" s="22"/>
      <c r="BF1485" s="22"/>
      <c r="BG1485" s="22"/>
      <c r="BH1485" s="22"/>
      <c r="BI1485" s="22"/>
      <c r="BJ1485" s="22"/>
      <c r="BK1485" s="22"/>
      <c r="BL1485" s="22"/>
      <c r="BM1485" s="22"/>
      <c r="BN1485" s="22"/>
      <c r="BO1485" s="22"/>
      <c r="BP1485" s="22"/>
      <c r="BQ1485" s="22"/>
      <c r="BR1485" s="22"/>
      <c r="BS1485" s="22"/>
      <c r="BT1485" s="22"/>
      <c r="BU1485" s="22"/>
      <c r="BV1485" s="22"/>
      <c r="BW1485" s="22"/>
      <c r="BX1485" s="22"/>
      <c r="BY1485" s="22"/>
      <c r="BZ1485" s="22"/>
      <c r="CA1485" s="22"/>
      <c r="CB1485" s="22"/>
      <c r="CC1485" s="22"/>
      <c r="CD1485" s="22"/>
      <c r="CE1485" s="22"/>
      <c r="CF1485" s="22"/>
      <c r="CG1485" s="22"/>
      <c r="CH1485" s="22"/>
      <c r="CI1485" s="22"/>
      <c r="CJ1485" s="22"/>
    </row>
    <row r="1486" spans="1:88" s="61" customFormat="1" ht="23.25" customHeight="1">
      <c r="A1486" s="1">
        <v>1732</v>
      </c>
      <c r="B1486" s="34" t="s">
        <v>2324</v>
      </c>
      <c r="C1486" s="34">
        <v>423</v>
      </c>
      <c r="D1486" s="8">
        <v>317</v>
      </c>
      <c r="E1486" s="88">
        <v>103</v>
      </c>
      <c r="F1486" s="34" t="s">
        <v>2327</v>
      </c>
      <c r="G1486" s="58">
        <v>45000</v>
      </c>
      <c r="H1486" s="58">
        <v>89300</v>
      </c>
      <c r="I1486" s="35">
        <v>44.3</v>
      </c>
      <c r="J1486" s="9">
        <v>2</v>
      </c>
      <c r="K1486" s="88" t="s">
        <v>238</v>
      </c>
      <c r="L1486" s="116">
        <v>42234</v>
      </c>
      <c r="M1486" s="37" t="s">
        <v>191</v>
      </c>
      <c r="N1486" s="38">
        <v>33.088000000000001</v>
      </c>
      <c r="O1486" s="38">
        <v>6.3209999999999997</v>
      </c>
      <c r="P1486" s="38">
        <v>3.2360000000000002</v>
      </c>
      <c r="Q1486" s="38">
        <v>1.655</v>
      </c>
      <c r="R1486" s="38">
        <v>2.1089899999999999</v>
      </c>
      <c r="S1486" s="38">
        <f t="shared" si="183"/>
        <v>2</v>
      </c>
      <c r="T1486" s="38">
        <v>39.375</v>
      </c>
      <c r="U1486" s="38">
        <v>4.0999999999999996</v>
      </c>
      <c r="V1486" s="38">
        <v>0.55000000000000004</v>
      </c>
      <c r="W1486" s="38">
        <v>0.125</v>
      </c>
      <c r="X1486" s="38">
        <v>6.1965500000000002</v>
      </c>
      <c r="Y1486" s="38">
        <f t="shared" si="184"/>
        <v>6</v>
      </c>
      <c r="Z1486" s="38">
        <v>0</v>
      </c>
      <c r="AA1486" s="117">
        <v>0</v>
      </c>
      <c r="AB1486" s="35">
        <v>44.3</v>
      </c>
      <c r="AC1486" s="117">
        <v>1.14131</v>
      </c>
      <c r="AD1486" s="39">
        <v>61.24</v>
      </c>
      <c r="AE1486" s="38">
        <v>23.69</v>
      </c>
      <c r="AF1486" s="38">
        <v>4.7140000000000001E-2</v>
      </c>
      <c r="AG1486" s="38">
        <f t="shared" si="185"/>
        <v>0</v>
      </c>
      <c r="AH1486" s="38">
        <v>0</v>
      </c>
      <c r="AI1486" s="38">
        <v>0</v>
      </c>
      <c r="AJ1486" s="38">
        <v>631</v>
      </c>
      <c r="AK1486" s="38">
        <f>AJ1486/(3.5*I1486*1000)*100</f>
        <v>0.40696549500161244</v>
      </c>
      <c r="AL1486" s="38">
        <v>36.01</v>
      </c>
      <c r="AM1486" s="38">
        <v>2.3220000000000001E-2</v>
      </c>
      <c r="AN1486" s="12"/>
      <c r="AO1486" s="12">
        <f>AE1486*0.5</f>
        <v>11.845000000000001</v>
      </c>
      <c r="AP1486" s="12">
        <f>(AD1486+AH1486+AJ1486+AL1486+AO1486)*I1486</f>
        <v>32786.208500000001</v>
      </c>
      <c r="AQ1486" s="136">
        <f>SUM(N1486:Q1486)</f>
        <v>44.3</v>
      </c>
      <c r="AR1486" s="136">
        <f>SUM(T1486:W1486)</f>
        <v>44.15</v>
      </c>
      <c r="AS1486" s="1"/>
      <c r="AT1486" s="41"/>
      <c r="AU1486" s="41"/>
      <c r="AV1486" s="41"/>
      <c r="AW1486" s="4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</row>
    <row r="1487" spans="1:88" s="61" customFormat="1" ht="23.25" customHeight="1">
      <c r="A1487" s="1">
        <v>70</v>
      </c>
      <c r="B1487" s="4" t="s">
        <v>44</v>
      </c>
      <c r="C1487" s="14">
        <v>524</v>
      </c>
      <c r="D1487" s="19">
        <v>116</v>
      </c>
      <c r="E1487" s="16">
        <v>102</v>
      </c>
      <c r="F1487" s="14" t="s">
        <v>49</v>
      </c>
      <c r="G1487" s="20" t="s">
        <v>132</v>
      </c>
      <c r="H1487" s="20" t="s">
        <v>133</v>
      </c>
      <c r="I1487" s="21">
        <v>7.3029999999999999</v>
      </c>
      <c r="J1487" s="8">
        <v>2</v>
      </c>
      <c r="K1487" s="9" t="s">
        <v>238</v>
      </c>
      <c r="L1487" s="18">
        <v>42227</v>
      </c>
      <c r="M1487" s="37" t="s">
        <v>191</v>
      </c>
      <c r="N1487" s="11">
        <v>4.8499999999999996</v>
      </c>
      <c r="O1487" s="11">
        <v>1.875</v>
      </c>
      <c r="P1487" s="11">
        <v>0.57499999999999996</v>
      </c>
      <c r="Q1487" s="11">
        <v>0.1</v>
      </c>
      <c r="R1487" s="11">
        <v>2.34368</v>
      </c>
      <c r="S1487" s="38">
        <f t="shared" si="183"/>
        <v>2.5</v>
      </c>
      <c r="T1487" s="11">
        <v>6.7750000000000004</v>
      </c>
      <c r="U1487" s="11">
        <v>0.6</v>
      </c>
      <c r="V1487" s="11">
        <v>2.5000000000000001E-2</v>
      </c>
      <c r="W1487" s="11">
        <v>0</v>
      </c>
      <c r="X1487" s="11">
        <v>4.8455199999999996</v>
      </c>
      <c r="Y1487" s="38">
        <f t="shared" si="184"/>
        <v>5</v>
      </c>
      <c r="Z1487" s="11">
        <v>0</v>
      </c>
      <c r="AA1487" s="11">
        <v>0</v>
      </c>
      <c r="AB1487" s="11">
        <v>7.3999999999999995</v>
      </c>
      <c r="AC1487" s="11">
        <v>1.37019</v>
      </c>
      <c r="AD1487" s="164">
        <v>12.036199999999999</v>
      </c>
      <c r="AE1487" s="11">
        <v>0</v>
      </c>
      <c r="AF1487" s="11">
        <f>(AD1487+AE1487*0.5)/(3.5*I1487*1000)*100</f>
        <v>4.708906320298898E-2</v>
      </c>
      <c r="AG1487" s="38">
        <f t="shared" si="185"/>
        <v>0</v>
      </c>
      <c r="AH1487" s="11">
        <v>105.96</v>
      </c>
      <c r="AI1487" s="11">
        <f>AH1487/(3.5*I1487*1000)*100</f>
        <v>0.41454588134034931</v>
      </c>
      <c r="AJ1487" s="11">
        <v>0</v>
      </c>
      <c r="AK1487" s="11">
        <f>AJ1487/(3.5*I1487*1000)*100</f>
        <v>0</v>
      </c>
      <c r="AL1487" s="11">
        <v>1.32</v>
      </c>
      <c r="AM1487" s="11">
        <f>AL1487/(3.5*I1487*1000)*100</f>
        <v>5.1642182273429708E-3</v>
      </c>
      <c r="AN1487" s="25"/>
      <c r="AO1487" s="25"/>
      <c r="AP1487" s="22"/>
      <c r="AQ1487" s="22"/>
      <c r="AR1487" s="22"/>
      <c r="AS1487" s="22"/>
      <c r="AT1487" s="22"/>
      <c r="AU1487" s="22"/>
      <c r="AV1487" s="22"/>
      <c r="AW1487" s="22"/>
      <c r="AX1487" s="22"/>
      <c r="AY1487" s="22"/>
      <c r="AZ1487" s="22"/>
      <c r="BA1487" s="22"/>
      <c r="BB1487" s="22"/>
      <c r="BC1487" s="22"/>
      <c r="BD1487" s="22"/>
      <c r="BE1487" s="22"/>
      <c r="BF1487" s="22"/>
      <c r="BG1487" s="22"/>
      <c r="BH1487" s="22"/>
      <c r="BI1487" s="22"/>
      <c r="BJ1487" s="22"/>
      <c r="BK1487" s="22"/>
      <c r="BL1487" s="22"/>
      <c r="BM1487" s="22"/>
      <c r="BN1487" s="22"/>
      <c r="BO1487" s="22"/>
      <c r="BP1487" s="22"/>
      <c r="BQ1487" s="22"/>
      <c r="BR1487" s="22"/>
      <c r="BS1487" s="22"/>
      <c r="BT1487" s="22"/>
      <c r="BU1487" s="22"/>
      <c r="BV1487" s="22"/>
      <c r="BW1487" s="22"/>
      <c r="BX1487" s="22"/>
      <c r="BY1487" s="22"/>
      <c r="BZ1487" s="22"/>
      <c r="CA1487" s="22"/>
      <c r="CB1487" s="22"/>
      <c r="CC1487" s="22"/>
      <c r="CD1487" s="22"/>
      <c r="CE1487" s="22"/>
      <c r="CF1487" s="22"/>
      <c r="CG1487" s="22"/>
      <c r="CH1487" s="22"/>
      <c r="CI1487" s="22"/>
      <c r="CJ1487" s="22"/>
    </row>
    <row r="1488" spans="1:88" s="61" customFormat="1" ht="23.25" customHeight="1">
      <c r="A1488" s="1">
        <v>2174</v>
      </c>
      <c r="B1488" s="34" t="s">
        <v>2798</v>
      </c>
      <c r="C1488" s="34">
        <v>311</v>
      </c>
      <c r="D1488" s="75">
        <v>414</v>
      </c>
      <c r="E1488" s="8">
        <v>102</v>
      </c>
      <c r="F1488" s="9" t="s">
        <v>2807</v>
      </c>
      <c r="G1488" s="20" t="s">
        <v>2815</v>
      </c>
      <c r="H1488" s="20" t="s">
        <v>2816</v>
      </c>
      <c r="I1488" s="21">
        <v>2.0649999999999999</v>
      </c>
      <c r="J1488" s="8">
        <v>8</v>
      </c>
      <c r="K1488" s="8" t="s">
        <v>238</v>
      </c>
      <c r="L1488" s="18">
        <v>42144</v>
      </c>
      <c r="M1488" s="37" t="s">
        <v>191</v>
      </c>
      <c r="N1488" s="38">
        <v>1.6</v>
      </c>
      <c r="O1488" s="38">
        <v>0.375</v>
      </c>
      <c r="P1488" s="38">
        <v>0.125</v>
      </c>
      <c r="Q1488" s="38">
        <v>0.05</v>
      </c>
      <c r="R1488" s="38">
        <v>2.2330000000000001</v>
      </c>
      <c r="S1488" s="38">
        <f t="shared" si="183"/>
        <v>2</v>
      </c>
      <c r="T1488" s="38">
        <v>2</v>
      </c>
      <c r="U1488" s="38">
        <v>0.125</v>
      </c>
      <c r="V1488" s="38">
        <v>0</v>
      </c>
      <c r="W1488" s="38">
        <v>2.5000000000000001E-2</v>
      </c>
      <c r="X1488" s="38">
        <v>5.4539999999999997</v>
      </c>
      <c r="Y1488" s="38">
        <f t="shared" si="184"/>
        <v>5.5</v>
      </c>
      <c r="Z1488" s="38">
        <v>0</v>
      </c>
      <c r="AA1488" s="38">
        <v>0</v>
      </c>
      <c r="AB1488" s="38">
        <v>2.15</v>
      </c>
      <c r="AC1488" s="38">
        <v>1.2130000000000001</v>
      </c>
      <c r="AD1488" s="39">
        <v>2.4</v>
      </c>
      <c r="AE1488" s="38">
        <v>2</v>
      </c>
      <c r="AF1488" s="38">
        <f>(AD1488+AE1488*0.5)/(3.5*I1488*1000)*100</f>
        <v>4.7042545831892081E-2</v>
      </c>
      <c r="AG1488" s="38">
        <f t="shared" si="185"/>
        <v>0</v>
      </c>
      <c r="AH1488" s="38">
        <v>34.5</v>
      </c>
      <c r="AI1488" s="38">
        <f>AH1488/(3.5*I1488*1000)*100</f>
        <v>0.4773434797647873</v>
      </c>
      <c r="AJ1488" s="38">
        <v>10.8</v>
      </c>
      <c r="AK1488" s="38">
        <f>AJ1488/(3.5*I1488*1000)*100</f>
        <v>0.14942926323071604</v>
      </c>
      <c r="AL1488" s="38">
        <v>0</v>
      </c>
      <c r="AM1488" s="38">
        <f>AL1488/(3.5*I1488*1000)*100</f>
        <v>0</v>
      </c>
      <c r="AN1488" s="72"/>
      <c r="AO1488" s="41"/>
      <c r="AP1488" s="41"/>
      <c r="AQ1488" s="41">
        <f>SUM(N1488:Q1488)</f>
        <v>2.15</v>
      </c>
      <c r="AR1488" s="41">
        <f>SUM(T1488:W1488)</f>
        <v>2.15</v>
      </c>
      <c r="AS1488" s="12">
        <f>SUM(Z1488:AB1488)</f>
        <v>2.15</v>
      </c>
      <c r="AT1488" s="1"/>
      <c r="AU1488" s="1">
        <f>I1488/AQ1488</f>
        <v>0.96046511627906983</v>
      </c>
      <c r="AV1488" s="1">
        <f>I1488/AR1488</f>
        <v>0.96046511627906983</v>
      </c>
      <c r="AW1488" s="1">
        <f>I1488/AS1488</f>
        <v>0.96046511627906983</v>
      </c>
      <c r="AX1488" s="22"/>
      <c r="AY1488" s="22"/>
      <c r="AZ1488" s="22"/>
      <c r="BA1488" s="22"/>
      <c r="BB1488" s="22"/>
      <c r="BC1488" s="22"/>
      <c r="BD1488" s="22"/>
      <c r="BE1488" s="22"/>
      <c r="BF1488" s="22"/>
      <c r="BG1488" s="22"/>
      <c r="BH1488" s="22"/>
      <c r="BI1488" s="22"/>
      <c r="BJ1488" s="22"/>
      <c r="BK1488" s="22"/>
      <c r="BL1488" s="22"/>
      <c r="BM1488" s="22"/>
      <c r="BN1488" s="22"/>
      <c r="BO1488" s="22"/>
      <c r="BP1488" s="22"/>
      <c r="BQ1488" s="22"/>
      <c r="BR1488" s="22"/>
      <c r="BS1488" s="22"/>
      <c r="BT1488" s="22"/>
      <c r="BU1488" s="22"/>
      <c r="BV1488" s="22"/>
      <c r="BW1488" s="22"/>
      <c r="BX1488" s="22"/>
      <c r="BY1488" s="22"/>
      <c r="BZ1488" s="22"/>
      <c r="CA1488" s="22"/>
      <c r="CB1488" s="22"/>
      <c r="CC1488" s="22"/>
      <c r="CD1488" s="22"/>
      <c r="CE1488" s="22"/>
      <c r="CF1488" s="22"/>
      <c r="CG1488" s="22"/>
      <c r="CH1488" s="22"/>
      <c r="CI1488" s="22"/>
      <c r="CJ1488" s="22"/>
    </row>
    <row r="1489" spans="1:88" s="61" customFormat="1" ht="23.25" customHeight="1">
      <c r="A1489" s="1">
        <v>2203</v>
      </c>
      <c r="B1489" s="34" t="s">
        <v>2827</v>
      </c>
      <c r="C1489" s="34">
        <v>314</v>
      </c>
      <c r="D1489" s="75">
        <v>4187</v>
      </c>
      <c r="E1489" s="8">
        <v>101</v>
      </c>
      <c r="F1489" s="9" t="s">
        <v>2848</v>
      </c>
      <c r="G1489" s="20">
        <v>0</v>
      </c>
      <c r="H1489" s="20">
        <v>2770</v>
      </c>
      <c r="I1489" s="21">
        <v>2.77</v>
      </c>
      <c r="J1489" s="8">
        <v>2</v>
      </c>
      <c r="K1489" s="8" t="s">
        <v>238</v>
      </c>
      <c r="L1489" s="18">
        <v>42144</v>
      </c>
      <c r="M1489" s="37" t="s">
        <v>191</v>
      </c>
      <c r="N1489" s="38">
        <v>2.2000000000000002</v>
      </c>
      <c r="O1489" s="38">
        <v>0.32500000000000001</v>
      </c>
      <c r="P1489" s="38">
        <v>0.1</v>
      </c>
      <c r="Q1489" s="38">
        <v>0.17499999999999999</v>
      </c>
      <c r="R1489" s="38">
        <v>2.4283000000000001</v>
      </c>
      <c r="S1489" s="38">
        <f t="shared" si="183"/>
        <v>2.5</v>
      </c>
      <c r="T1489" s="38">
        <v>2.8</v>
      </c>
      <c r="U1489" s="38">
        <v>0</v>
      </c>
      <c r="V1489" s="38">
        <v>0</v>
      </c>
      <c r="W1489" s="38">
        <v>0</v>
      </c>
      <c r="X1489" s="38">
        <v>2.3957999999999999</v>
      </c>
      <c r="Y1489" s="38">
        <f t="shared" si="184"/>
        <v>2.5</v>
      </c>
      <c r="Z1489" s="38">
        <v>0</v>
      </c>
      <c r="AA1489" s="38">
        <v>0</v>
      </c>
      <c r="AB1489" s="38">
        <v>2.8000000000000003</v>
      </c>
      <c r="AC1489" s="38">
        <v>0.97020499999999998</v>
      </c>
      <c r="AD1489" s="39">
        <v>4.5599999999999996</v>
      </c>
      <c r="AE1489" s="38">
        <v>0</v>
      </c>
      <c r="AF1489" s="38">
        <f>(AD1489+AE1489*0.5)/(3.5*I1489*1000)*100</f>
        <v>4.7034553893759663E-2</v>
      </c>
      <c r="AG1489" s="38">
        <f t="shared" si="185"/>
        <v>0</v>
      </c>
      <c r="AH1489" s="38">
        <v>0</v>
      </c>
      <c r="AI1489" s="38">
        <f>AH1489/(3.5*I1489*1000)*100</f>
        <v>0</v>
      </c>
      <c r="AJ1489" s="38">
        <v>0</v>
      </c>
      <c r="AK1489" s="38">
        <v>0</v>
      </c>
      <c r="AL1489" s="38">
        <v>0</v>
      </c>
      <c r="AM1489" s="38">
        <f>AL1489/(3.5*I1489*1000)*100</f>
        <v>0</v>
      </c>
      <c r="AN1489" s="72"/>
      <c r="AO1489" s="41"/>
      <c r="AP1489" s="41"/>
      <c r="AQ1489" s="73"/>
      <c r="AR1489" s="73"/>
      <c r="AS1489" s="73"/>
      <c r="AT1489" s="73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</row>
    <row r="1490" spans="1:88" s="61" customFormat="1" ht="23.25" customHeight="1">
      <c r="A1490" s="1">
        <v>2164</v>
      </c>
      <c r="B1490" s="34" t="s">
        <v>2798</v>
      </c>
      <c r="C1490" s="34">
        <v>311</v>
      </c>
      <c r="D1490" s="75">
        <v>408</v>
      </c>
      <c r="E1490" s="8">
        <v>102</v>
      </c>
      <c r="F1490" s="9" t="s">
        <v>2801</v>
      </c>
      <c r="G1490" s="20" t="s">
        <v>2803</v>
      </c>
      <c r="H1490" s="20" t="s">
        <v>2802</v>
      </c>
      <c r="I1490" s="21">
        <v>30.13</v>
      </c>
      <c r="J1490" s="8">
        <v>2</v>
      </c>
      <c r="K1490" s="8" t="s">
        <v>96</v>
      </c>
      <c r="L1490" s="18">
        <v>42147</v>
      </c>
      <c r="M1490" s="37" t="s">
        <v>191</v>
      </c>
      <c r="N1490" s="38">
        <v>21.4</v>
      </c>
      <c r="O1490" s="38">
        <v>6.625</v>
      </c>
      <c r="P1490" s="38">
        <v>1.6</v>
      </c>
      <c r="Q1490" s="38">
        <v>0.32500000000000001</v>
      </c>
      <c r="R1490" s="38">
        <v>2.2738100000000001</v>
      </c>
      <c r="S1490" s="38">
        <f t="shared" si="183"/>
        <v>2.5</v>
      </c>
      <c r="T1490" s="38">
        <v>24.65</v>
      </c>
      <c r="U1490" s="38">
        <v>4.2249999999999996</v>
      </c>
      <c r="V1490" s="38">
        <v>0.95</v>
      </c>
      <c r="W1490" s="38">
        <v>0.125</v>
      </c>
      <c r="X1490" s="38">
        <v>6.8315400000000004</v>
      </c>
      <c r="Y1490" s="38">
        <f t="shared" si="184"/>
        <v>7</v>
      </c>
      <c r="Z1490" s="38">
        <v>0</v>
      </c>
      <c r="AA1490" s="38">
        <v>0</v>
      </c>
      <c r="AB1490" s="38">
        <v>29.95</v>
      </c>
      <c r="AC1490" s="38">
        <v>1.21594</v>
      </c>
      <c r="AD1490" s="39">
        <v>45.54</v>
      </c>
      <c r="AE1490" s="38">
        <v>7.97</v>
      </c>
      <c r="AF1490" s="38">
        <f>(AD1490+AE1490*0.5)/(3.5*I1490*1000)*100</f>
        <v>4.6963159641553266E-2</v>
      </c>
      <c r="AG1490" s="38">
        <f t="shared" si="185"/>
        <v>0</v>
      </c>
      <c r="AH1490" s="38">
        <v>14.14</v>
      </c>
      <c r="AI1490" s="38">
        <f>AH1490/(3.5*I1490*1000)*100</f>
        <v>1.3408562894125457E-2</v>
      </c>
      <c r="AJ1490" s="38">
        <v>2.96</v>
      </c>
      <c r="AK1490" s="38">
        <f>AJ1490/(3.5*I1490*1000)*100</f>
        <v>2.8068844530842541E-3</v>
      </c>
      <c r="AL1490" s="38">
        <v>0</v>
      </c>
      <c r="AM1490" s="38">
        <f>AL1490/(3.5*I1490*1000)*100</f>
        <v>0</v>
      </c>
      <c r="AN1490" s="72"/>
      <c r="AO1490" s="41"/>
      <c r="AP1490" s="41"/>
      <c r="AQ1490" s="41">
        <f>SUM(N1490:Q1490)</f>
        <v>29.95</v>
      </c>
      <c r="AR1490" s="41">
        <f>SUM(T1490:W1490)</f>
        <v>29.95</v>
      </c>
      <c r="AS1490" s="12">
        <f>SUM(Z1490:AB1490)</f>
        <v>29.95</v>
      </c>
      <c r="AT1490" s="1"/>
      <c r="AU1490" s="1">
        <f>I1490/AQ1490</f>
        <v>1.0060100166944907</v>
      </c>
      <c r="AV1490" s="1">
        <f>I1490/AR1490</f>
        <v>1.0060100166944907</v>
      </c>
      <c r="AW1490" s="1">
        <f>I1490/AS1490</f>
        <v>1.0060100166944907</v>
      </c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</row>
    <row r="1491" spans="1:88" s="61" customFormat="1" ht="23.25" customHeight="1">
      <c r="A1491" s="1">
        <v>593</v>
      </c>
      <c r="B1491" s="34" t="s">
        <v>994</v>
      </c>
      <c r="C1491" s="34">
        <v>554</v>
      </c>
      <c r="D1491" s="34">
        <v>201</v>
      </c>
      <c r="E1491" s="34">
        <v>401</v>
      </c>
      <c r="F1491" s="9" t="s">
        <v>995</v>
      </c>
      <c r="G1491" s="118">
        <v>253485</v>
      </c>
      <c r="H1491" s="118">
        <v>285186</v>
      </c>
      <c r="I1491" s="35">
        <v>31.701000000000001</v>
      </c>
      <c r="J1491" s="71">
        <v>2</v>
      </c>
      <c r="K1491" s="34" t="s">
        <v>237</v>
      </c>
      <c r="L1491" s="10">
        <v>42182</v>
      </c>
      <c r="M1491" s="37" t="s">
        <v>191</v>
      </c>
      <c r="N1491" s="38">
        <v>21.35</v>
      </c>
      <c r="O1491" s="38">
        <v>6.92</v>
      </c>
      <c r="P1491" s="38">
        <v>2</v>
      </c>
      <c r="Q1491" s="38">
        <v>1.43</v>
      </c>
      <c r="R1491" s="38">
        <v>3.1989999999999998</v>
      </c>
      <c r="S1491" s="38">
        <f t="shared" si="183"/>
        <v>3</v>
      </c>
      <c r="T1491" s="38">
        <v>30.32</v>
      </c>
      <c r="U1491" s="38">
        <v>1.03</v>
      </c>
      <c r="V1491" s="38">
        <v>0.2</v>
      </c>
      <c r="W1491" s="38">
        <v>0.15</v>
      </c>
      <c r="X1491" s="38">
        <v>5.8419999999999996</v>
      </c>
      <c r="Y1491" s="38">
        <f t="shared" si="184"/>
        <v>6</v>
      </c>
      <c r="Z1491" s="38">
        <v>0</v>
      </c>
      <c r="AA1491" s="38">
        <v>0</v>
      </c>
      <c r="AB1491" s="38">
        <v>31.71</v>
      </c>
      <c r="AC1491" s="38">
        <v>1.1830000000000001</v>
      </c>
      <c r="AD1491" s="39">
        <v>20.21</v>
      </c>
      <c r="AE1491" s="38">
        <v>63.7</v>
      </c>
      <c r="AF1491" s="38">
        <v>4.6920999999999997E-2</v>
      </c>
      <c r="AG1491" s="38">
        <f t="shared" si="185"/>
        <v>0</v>
      </c>
      <c r="AH1491" s="38">
        <v>0</v>
      </c>
      <c r="AI1491" s="38">
        <v>0</v>
      </c>
      <c r="AJ1491" s="38">
        <v>0</v>
      </c>
      <c r="AK1491" s="38">
        <v>0</v>
      </c>
      <c r="AL1491" s="38">
        <v>0</v>
      </c>
      <c r="AM1491" s="38">
        <v>0</v>
      </c>
      <c r="AN1491" s="60"/>
      <c r="AO1491" s="60">
        <f>AE1491*0.5</f>
        <v>31.85</v>
      </c>
      <c r="AP1491" s="60">
        <f>(AD1491+AH1491+AJ1491+AL1491+AO1491)*I1491</f>
        <v>1650.3540600000001</v>
      </c>
      <c r="AQ1491" s="25">
        <f>SUM(N1491:Q1491)</f>
        <v>31.700000000000003</v>
      </c>
      <c r="AR1491" s="25">
        <f>SUM(T1491:W1491)</f>
        <v>31.7</v>
      </c>
      <c r="AS1491" s="268">
        <v>31.701000000000001</v>
      </c>
      <c r="AT1491" s="40"/>
      <c r="AU1491" s="41">
        <f>SUM(N1491:Q1491)</f>
        <v>31.700000000000003</v>
      </c>
      <c r="AV1491" s="41">
        <f>SUM(T1491:W1491)</f>
        <v>31.7</v>
      </c>
      <c r="AW1491" s="41">
        <f>SUM(Z1491:AB1491)</f>
        <v>31.71</v>
      </c>
      <c r="AX1491" s="22"/>
      <c r="AY1491" s="22">
        <f>I1491/AU1491</f>
        <v>1.0000315457413249</v>
      </c>
      <c r="AZ1491" s="22">
        <f>I1491/AV1491</f>
        <v>1.0000315457413249</v>
      </c>
      <c r="BA1491" s="22">
        <f>I1491/AW1491</f>
        <v>0.99971617786187317</v>
      </c>
    </row>
    <row r="1492" spans="1:88" s="61" customFormat="1" ht="23.25" customHeight="1">
      <c r="A1492" s="1">
        <v>1717</v>
      </c>
      <c r="B1492" s="34" t="s">
        <v>2308</v>
      </c>
      <c r="C1492" s="34">
        <v>422</v>
      </c>
      <c r="D1492" s="8">
        <v>3245</v>
      </c>
      <c r="E1492" s="34">
        <v>302</v>
      </c>
      <c r="F1492" s="34" t="s">
        <v>2315</v>
      </c>
      <c r="G1492" s="58">
        <v>53317</v>
      </c>
      <c r="H1492" s="58">
        <v>81317</v>
      </c>
      <c r="I1492" s="35">
        <v>28</v>
      </c>
      <c r="J1492" s="9">
        <v>2</v>
      </c>
      <c r="K1492" s="34" t="s">
        <v>238</v>
      </c>
      <c r="L1492" s="10">
        <v>42230</v>
      </c>
      <c r="M1492" s="37" t="s">
        <v>191</v>
      </c>
      <c r="N1492" s="38">
        <v>15.55</v>
      </c>
      <c r="O1492" s="38">
        <v>7.61</v>
      </c>
      <c r="P1492" s="38">
        <v>3.34</v>
      </c>
      <c r="Q1492" s="38">
        <v>1.5</v>
      </c>
      <c r="R1492" s="38">
        <v>3.43641</v>
      </c>
      <c r="S1492" s="38">
        <f t="shared" si="183"/>
        <v>3.5</v>
      </c>
      <c r="T1492" s="38">
        <v>23.99</v>
      </c>
      <c r="U1492" s="38">
        <v>3.09</v>
      </c>
      <c r="V1492" s="38">
        <v>0.75</v>
      </c>
      <c r="W1492" s="38">
        <v>0.18</v>
      </c>
      <c r="X1492" s="38">
        <v>6.0596300000000003</v>
      </c>
      <c r="Y1492" s="38">
        <f t="shared" si="184"/>
        <v>6</v>
      </c>
      <c r="Z1492" s="38">
        <v>0</v>
      </c>
      <c r="AA1492" s="38">
        <v>0</v>
      </c>
      <c r="AB1492" s="35">
        <v>28</v>
      </c>
      <c r="AC1492" s="38">
        <v>1.3117099999999999</v>
      </c>
      <c r="AD1492" s="39">
        <v>45.97</v>
      </c>
      <c r="AE1492" s="38">
        <v>0</v>
      </c>
      <c r="AF1492" s="38">
        <v>4.691E-2</v>
      </c>
      <c r="AG1492" s="38">
        <f t="shared" si="185"/>
        <v>0</v>
      </c>
      <c r="AH1492" s="38">
        <v>0</v>
      </c>
      <c r="AI1492" s="38">
        <v>0</v>
      </c>
      <c r="AJ1492" s="38">
        <v>0</v>
      </c>
      <c r="AK1492" s="38">
        <v>0</v>
      </c>
      <c r="AL1492" s="38">
        <v>0</v>
      </c>
      <c r="AM1492" s="55">
        <v>0</v>
      </c>
      <c r="AN1492" s="22"/>
      <c r="AO1492" s="22">
        <f>AE1492*0.5</f>
        <v>0</v>
      </c>
      <c r="AP1492" s="41">
        <f>(AD1492+AH1492+AJ1492+AL1492+AO1492)*I1492</f>
        <v>1287.1599999999999</v>
      </c>
      <c r="AQ1492" s="25">
        <f>SUM(N1492:Q1492)</f>
        <v>28</v>
      </c>
      <c r="AR1492" s="25">
        <f>SUM(T1492:W1492)</f>
        <v>28.009999999999998</v>
      </c>
      <c r="AS1492" s="268">
        <v>28</v>
      </c>
      <c r="AT1492" s="22"/>
      <c r="AU1492" s="25">
        <f>AS1492-AQ1492</f>
        <v>0</v>
      </c>
      <c r="AV1492" s="41">
        <f>SUM(N1492:Q1492)</f>
        <v>28</v>
      </c>
      <c r="AW1492" s="41">
        <f>SUM(T1492:W1492)</f>
        <v>28.009999999999998</v>
      </c>
      <c r="AX1492" s="41">
        <f>SUM(Z1492:AB1492)</f>
        <v>28</v>
      </c>
      <c r="AY1492" s="22"/>
      <c r="AZ1492" s="22">
        <f>I1492/AV1492</f>
        <v>1</v>
      </c>
      <c r="BA1492" s="22">
        <f>I1492/AW1492</f>
        <v>0.99964298464834001</v>
      </c>
      <c r="BB1492" s="22">
        <f>I1492/AX1492</f>
        <v>1</v>
      </c>
      <c r="BC1492" s="22"/>
      <c r="BD1492" s="22"/>
      <c r="BE1492" s="22"/>
      <c r="BF1492" s="22"/>
      <c r="BG1492" s="22"/>
      <c r="BH1492" s="22"/>
      <c r="BI1492" s="22"/>
      <c r="BJ1492" s="22"/>
      <c r="BK1492" s="22"/>
      <c r="BL1492" s="22"/>
      <c r="BM1492" s="22"/>
      <c r="BN1492" s="22"/>
      <c r="BO1492" s="22"/>
      <c r="BP1492" s="22"/>
      <c r="BQ1492" s="22"/>
      <c r="BR1492" s="22"/>
      <c r="BS1492" s="22"/>
      <c r="BT1492" s="22"/>
      <c r="BU1492" s="22"/>
      <c r="BV1492" s="22"/>
      <c r="BW1492" s="22"/>
      <c r="BX1492" s="22"/>
      <c r="BY1492" s="22"/>
      <c r="BZ1492" s="22"/>
      <c r="CA1492" s="22"/>
      <c r="CB1492" s="22"/>
      <c r="CC1492" s="22"/>
      <c r="CD1492" s="22"/>
      <c r="CE1492" s="22"/>
      <c r="CF1492" s="22"/>
      <c r="CG1492" s="22"/>
      <c r="CH1492" s="22"/>
      <c r="CI1492" s="22"/>
      <c r="CJ1492" s="22"/>
    </row>
    <row r="1493" spans="1:88" s="61" customFormat="1" ht="23.25" customHeight="1">
      <c r="A1493" s="1">
        <v>1725</v>
      </c>
      <c r="B1493" s="34" t="s">
        <v>2308</v>
      </c>
      <c r="C1493" s="34">
        <v>422</v>
      </c>
      <c r="D1493" s="8">
        <v>3701</v>
      </c>
      <c r="E1493" s="34">
        <v>402</v>
      </c>
      <c r="F1493" s="34" t="s">
        <v>2322</v>
      </c>
      <c r="G1493" s="58">
        <v>71500</v>
      </c>
      <c r="H1493" s="58">
        <v>65360</v>
      </c>
      <c r="I1493" s="206">
        <v>6.14</v>
      </c>
      <c r="J1493" s="9">
        <v>2</v>
      </c>
      <c r="K1493" s="34" t="s">
        <v>12</v>
      </c>
      <c r="L1493" s="10">
        <v>42231</v>
      </c>
      <c r="M1493" s="37" t="s">
        <v>191</v>
      </c>
      <c r="N1493" s="38">
        <v>0.92</v>
      </c>
      <c r="O1493" s="38">
        <v>1.32</v>
      </c>
      <c r="P1493" s="38">
        <v>1.68</v>
      </c>
      <c r="Q1493" s="38">
        <v>2.2400000000000002</v>
      </c>
      <c r="R1493" s="38">
        <v>3.8807999999999998</v>
      </c>
      <c r="S1493" s="38">
        <f t="shared" si="183"/>
        <v>4</v>
      </c>
      <c r="T1493" s="38">
        <v>5.03</v>
      </c>
      <c r="U1493" s="38">
        <v>0.55000000000000004</v>
      </c>
      <c r="V1493" s="38">
        <v>0.19</v>
      </c>
      <c r="W1493" s="38">
        <v>0.4</v>
      </c>
      <c r="X1493" s="38">
        <v>13.9526</v>
      </c>
      <c r="Y1493" s="38">
        <f t="shared" si="184"/>
        <v>14</v>
      </c>
      <c r="Z1493" s="38">
        <v>0</v>
      </c>
      <c r="AA1493" s="38">
        <v>0</v>
      </c>
      <c r="AB1493" s="206">
        <v>6.14</v>
      </c>
      <c r="AC1493" s="38">
        <v>1.48237</v>
      </c>
      <c r="AD1493" s="39">
        <v>10.039999999999999</v>
      </c>
      <c r="AE1493" s="38">
        <v>0</v>
      </c>
      <c r="AF1493" s="38">
        <v>4.6719999999999998E-2</v>
      </c>
      <c r="AG1493" s="38">
        <f t="shared" si="185"/>
        <v>0</v>
      </c>
      <c r="AH1493" s="38">
        <v>16.059999999999999</v>
      </c>
      <c r="AI1493" s="38">
        <v>7.4730000000000005E-2</v>
      </c>
      <c r="AJ1493" s="38">
        <v>6</v>
      </c>
      <c r="AK1493" s="38">
        <v>2.792E-2</v>
      </c>
      <c r="AL1493" s="38">
        <v>72.94</v>
      </c>
      <c r="AM1493" s="55">
        <v>0.33940999999999999</v>
      </c>
      <c r="AN1493" s="22"/>
      <c r="AO1493" s="22">
        <f>AE1493*0.5</f>
        <v>0</v>
      </c>
      <c r="AP1493" s="41">
        <f>(AD1493+AH1493+AJ1493+AL1493+AO1493)*I1493</f>
        <v>644.9455999999999</v>
      </c>
      <c r="AQ1493" s="25">
        <f>SUM(N1493:Q1493)</f>
        <v>6.16</v>
      </c>
      <c r="AR1493" s="25">
        <f>SUM(T1493:W1493)</f>
        <v>6.1700000000000008</v>
      </c>
      <c r="AS1493" s="268">
        <v>6.14</v>
      </c>
      <c r="AT1493" s="22"/>
      <c r="AU1493" s="25">
        <f>AS1493-AQ1493</f>
        <v>-2.0000000000000462E-2</v>
      </c>
      <c r="AV1493" s="41">
        <f>SUM(N1493:Q1493)</f>
        <v>6.16</v>
      </c>
      <c r="AW1493" s="41">
        <f>SUM(T1493:W1493)</f>
        <v>6.1700000000000008</v>
      </c>
      <c r="AX1493" s="41">
        <f>SUM(Z1493:AB1493)</f>
        <v>6.14</v>
      </c>
      <c r="AY1493" s="22"/>
      <c r="AZ1493" s="22">
        <f>I1493/AV1493</f>
        <v>0.99675324675324672</v>
      </c>
      <c r="BA1493" s="22">
        <f>I1493/AW1493</f>
        <v>0.99513776337115056</v>
      </c>
      <c r="BB1493" s="22">
        <f>I1493/AX1493</f>
        <v>1</v>
      </c>
      <c r="BC1493" s="22"/>
      <c r="BD1493" s="22"/>
      <c r="BE1493" s="22"/>
      <c r="BF1493" s="22"/>
      <c r="BG1493" s="22"/>
      <c r="BH1493" s="22"/>
      <c r="BI1493" s="22"/>
      <c r="BJ1493" s="22"/>
      <c r="BK1493" s="22"/>
      <c r="BL1493" s="22"/>
      <c r="BM1493" s="22"/>
      <c r="BN1493" s="22"/>
      <c r="BO1493" s="22"/>
      <c r="BP1493" s="22"/>
      <c r="BQ1493" s="22"/>
      <c r="BR1493" s="22"/>
      <c r="BS1493" s="22"/>
      <c r="BT1493" s="22"/>
      <c r="BU1493" s="22"/>
      <c r="BV1493" s="22"/>
      <c r="BW1493" s="22"/>
      <c r="BX1493" s="22"/>
      <c r="BY1493" s="22"/>
      <c r="BZ1493" s="22"/>
      <c r="CA1493" s="22"/>
      <c r="CB1493" s="22"/>
      <c r="CC1493" s="22"/>
      <c r="CD1493" s="22"/>
      <c r="CE1493" s="22"/>
      <c r="CF1493" s="22"/>
      <c r="CG1493" s="22"/>
      <c r="CH1493" s="22"/>
      <c r="CI1493" s="22"/>
      <c r="CJ1493" s="22"/>
    </row>
    <row r="1494" spans="1:88" s="61" customFormat="1" ht="23.25" customHeight="1">
      <c r="A1494" s="1">
        <v>1493</v>
      </c>
      <c r="B1494" s="34" t="s">
        <v>2016</v>
      </c>
      <c r="C1494" s="34">
        <v>411</v>
      </c>
      <c r="D1494" s="69">
        <v>3902</v>
      </c>
      <c r="E1494" s="34">
        <v>602</v>
      </c>
      <c r="F1494" s="34" t="s">
        <v>2057</v>
      </c>
      <c r="G1494" s="20" t="s">
        <v>2058</v>
      </c>
      <c r="H1494" s="20" t="s">
        <v>2059</v>
      </c>
      <c r="I1494" s="188">
        <v>1.292</v>
      </c>
      <c r="J1494" s="34">
        <v>2</v>
      </c>
      <c r="K1494" s="34" t="s">
        <v>12</v>
      </c>
      <c r="L1494" s="10">
        <v>42248</v>
      </c>
      <c r="M1494" s="37" t="s">
        <v>191</v>
      </c>
      <c r="N1494" s="38">
        <v>0</v>
      </c>
      <c r="O1494" s="38">
        <v>0</v>
      </c>
      <c r="P1494" s="38">
        <v>0</v>
      </c>
      <c r="Q1494" s="38">
        <v>0</v>
      </c>
      <c r="R1494" s="38"/>
      <c r="S1494" s="38">
        <f t="shared" si="183"/>
        <v>0</v>
      </c>
      <c r="T1494" s="38">
        <v>0</v>
      </c>
      <c r="U1494" s="38">
        <v>0</v>
      </c>
      <c r="V1494" s="38">
        <v>0</v>
      </c>
      <c r="W1494" s="38">
        <v>0</v>
      </c>
      <c r="X1494" s="38"/>
      <c r="Y1494" s="38">
        <f t="shared" si="184"/>
        <v>0</v>
      </c>
      <c r="Z1494" s="38">
        <v>0</v>
      </c>
      <c r="AA1494" s="38">
        <v>0</v>
      </c>
      <c r="AB1494" s="38">
        <f>SUM(T1494:W1494)</f>
        <v>0</v>
      </c>
      <c r="AC1494" s="38"/>
      <c r="AD1494" s="39"/>
      <c r="AE1494" s="38"/>
      <c r="AF1494" s="38">
        <f>(AD1494+AE1494*0.5)/(3.5*I1494*1000)*100</f>
        <v>0</v>
      </c>
      <c r="AG1494" s="38">
        <f t="shared" si="185"/>
        <v>0</v>
      </c>
      <c r="AH1494" s="38"/>
      <c r="AI1494" s="38">
        <f>AH1494/(3.5*I1494*1000)*100</f>
        <v>0</v>
      </c>
      <c r="AJ1494" s="38"/>
      <c r="AK1494" s="38">
        <f>AJ1494/(3.5*I1494*1000)*100</f>
        <v>0</v>
      </c>
      <c r="AL1494" s="38"/>
      <c r="AM1494" s="38">
        <f>AL1494/(3.5*I1494*1000)*100</f>
        <v>0</v>
      </c>
      <c r="AN1494" s="60"/>
      <c r="AO1494" s="60">
        <f>AE1494*0.5</f>
        <v>0</v>
      </c>
      <c r="AP1494" s="60">
        <f>(AD1494+AH1494+AJ1494+AL1494+AO1494)*I1494</f>
        <v>0</v>
      </c>
      <c r="AQ1494" s="60"/>
      <c r="AR1494" s="60"/>
      <c r="AS1494" s="60"/>
      <c r="AT1494" s="60"/>
      <c r="AV1494" s="40"/>
      <c r="AW1494" s="40"/>
      <c r="AX1494" s="40"/>
      <c r="AY1494" s="40"/>
    </row>
    <row r="1495" spans="1:88" s="61" customFormat="1" ht="21" customHeight="1">
      <c r="A1495" s="1">
        <v>339</v>
      </c>
      <c r="B1495" s="34" t="s">
        <v>470</v>
      </c>
      <c r="C1495" s="34">
        <v>639</v>
      </c>
      <c r="D1495" s="34">
        <v>2047</v>
      </c>
      <c r="E1495" s="34">
        <v>100</v>
      </c>
      <c r="F1495" s="34" t="s">
        <v>472</v>
      </c>
      <c r="G1495" s="58">
        <v>0</v>
      </c>
      <c r="H1495" s="58">
        <v>6259</v>
      </c>
      <c r="I1495" s="35">
        <v>6.2590000000000003</v>
      </c>
      <c r="J1495" s="62">
        <v>2</v>
      </c>
      <c r="K1495" s="34" t="s">
        <v>238</v>
      </c>
      <c r="L1495" s="10">
        <v>42157</v>
      </c>
      <c r="M1495" s="37" t="s">
        <v>191</v>
      </c>
      <c r="N1495" s="38">
        <v>3.875</v>
      </c>
      <c r="O1495" s="38">
        <v>1.45</v>
      </c>
      <c r="P1495" s="38">
        <v>0.57499999999999996</v>
      </c>
      <c r="Q1495" s="38">
        <v>0.375</v>
      </c>
      <c r="R1495" s="38">
        <v>2.50976</v>
      </c>
      <c r="S1495" s="38">
        <f t="shared" si="183"/>
        <v>2.5</v>
      </c>
      <c r="T1495" s="38">
        <v>5.625</v>
      </c>
      <c r="U1495" s="38">
        <v>0.6</v>
      </c>
      <c r="V1495" s="38">
        <v>0.05</v>
      </c>
      <c r="W1495" s="38">
        <v>0</v>
      </c>
      <c r="X1495" s="38">
        <v>5.3798700000000004</v>
      </c>
      <c r="Y1495" s="38">
        <f t="shared" si="184"/>
        <v>5.5</v>
      </c>
      <c r="Z1495" s="38">
        <v>0</v>
      </c>
      <c r="AA1495" s="38">
        <v>0</v>
      </c>
      <c r="AB1495" s="38">
        <f>N1495+O1495+P1495+Q1495</f>
        <v>6.2750000000000004</v>
      </c>
      <c r="AC1495" s="38">
        <v>1.2239599999999999</v>
      </c>
      <c r="AD1495" s="39">
        <v>3.94</v>
      </c>
      <c r="AE1495" s="38">
        <v>12.56</v>
      </c>
      <c r="AF1495" s="38">
        <v>4.6649999999999997E-2</v>
      </c>
      <c r="AG1495" s="38">
        <f t="shared" si="185"/>
        <v>0</v>
      </c>
      <c r="AH1495" s="38">
        <v>0</v>
      </c>
      <c r="AI1495" s="38">
        <v>0</v>
      </c>
      <c r="AJ1495" s="38">
        <v>0</v>
      </c>
      <c r="AK1495" s="38">
        <v>0</v>
      </c>
      <c r="AL1495" s="38">
        <v>0</v>
      </c>
      <c r="AM1495" s="38">
        <v>0</v>
      </c>
      <c r="AN1495" s="25"/>
      <c r="AO1495" s="25">
        <f>AE1495*0.5</f>
        <v>6.28</v>
      </c>
      <c r="AP1495" s="25">
        <f>(AD1495+AH1495+AJ1495+AL1495+AO1495)*I1495</f>
        <v>63.966980000000007</v>
      </c>
      <c r="AQ1495" s="25"/>
      <c r="AR1495" s="25"/>
      <c r="AS1495" s="25">
        <f>SUM(N1495:Q1495)</f>
        <v>6.2750000000000004</v>
      </c>
      <c r="AT1495" s="25"/>
      <c r="AU1495" s="41">
        <f>SUM(N1495:Q1495)</f>
        <v>6.2750000000000004</v>
      </c>
      <c r="AV1495" s="41">
        <f>SUM(T1495:W1495)</f>
        <v>6.2749999999999995</v>
      </c>
      <c r="AW1495" s="41">
        <f>SUM(Z1495:AB1495)</f>
        <v>6.2750000000000004</v>
      </c>
      <c r="AX1495" s="22"/>
      <c r="AY1495" s="22">
        <f>I1495/AU1495</f>
        <v>0.99745019920318723</v>
      </c>
      <c r="AZ1495" s="22">
        <f>I1495/AV1495</f>
        <v>0.99745019920318734</v>
      </c>
      <c r="BA1495" s="22">
        <f>I1495/AW1495</f>
        <v>0.99745019920318723</v>
      </c>
      <c r="BB1495" s="22"/>
      <c r="BC1495" s="22"/>
      <c r="BD1495" s="22"/>
      <c r="BE1495" s="22"/>
      <c r="BF1495" s="22"/>
      <c r="BG1495" s="22"/>
      <c r="BH1495" s="22"/>
      <c r="BI1495" s="22"/>
      <c r="BJ1495" s="22"/>
      <c r="BK1495" s="22"/>
      <c r="BL1495" s="22"/>
      <c r="BM1495" s="22"/>
      <c r="BN1495" s="22"/>
      <c r="BO1495" s="22"/>
      <c r="BP1495" s="22"/>
      <c r="BQ1495" s="22"/>
      <c r="BR1495" s="22"/>
      <c r="BS1495" s="22"/>
      <c r="BT1495" s="22"/>
      <c r="BU1495" s="22"/>
      <c r="BV1495" s="22"/>
      <c r="BW1495" s="22"/>
      <c r="BX1495" s="22"/>
      <c r="BY1495" s="22"/>
      <c r="BZ1495" s="22"/>
      <c r="CA1495" s="22"/>
      <c r="CB1495" s="22"/>
      <c r="CC1495" s="22"/>
      <c r="CD1495" s="22"/>
      <c r="CE1495" s="22"/>
      <c r="CF1495" s="22"/>
      <c r="CG1495" s="22"/>
      <c r="CH1495" s="22"/>
      <c r="CI1495" s="22"/>
      <c r="CJ1495" s="22"/>
    </row>
    <row r="1496" spans="1:88" s="61" customFormat="1" ht="21" customHeight="1">
      <c r="A1496" s="1">
        <v>1127</v>
      </c>
      <c r="B1496" s="9" t="s">
        <v>1513</v>
      </c>
      <c r="C1496" s="34">
        <v>431</v>
      </c>
      <c r="D1496" s="75">
        <v>3354</v>
      </c>
      <c r="E1496" s="69">
        <v>102</v>
      </c>
      <c r="F1496" s="34" t="s">
        <v>1567</v>
      </c>
      <c r="G1496" s="58">
        <v>500</v>
      </c>
      <c r="H1496" s="58">
        <v>16959</v>
      </c>
      <c r="I1496" s="34">
        <v>16.459</v>
      </c>
      <c r="J1496" s="5">
        <v>2</v>
      </c>
      <c r="K1496" s="5" t="s">
        <v>238</v>
      </c>
      <c r="L1496" s="18">
        <v>42282</v>
      </c>
      <c r="M1496" s="37" t="s">
        <v>191</v>
      </c>
      <c r="N1496" s="38">
        <v>14.574999999999999</v>
      </c>
      <c r="O1496" s="38">
        <v>1.925</v>
      </c>
      <c r="P1496" s="38">
        <v>0</v>
      </c>
      <c r="Q1496" s="38">
        <v>0</v>
      </c>
      <c r="R1496" s="38">
        <v>2.871</v>
      </c>
      <c r="S1496" s="38">
        <f t="shared" si="183"/>
        <v>3</v>
      </c>
      <c r="T1496" s="38">
        <v>16.5</v>
      </c>
      <c r="U1496" s="38">
        <v>0</v>
      </c>
      <c r="V1496" s="38">
        <v>0</v>
      </c>
      <c r="W1496" s="38">
        <v>0</v>
      </c>
      <c r="X1496" s="38">
        <v>2.5310000000000001</v>
      </c>
      <c r="Y1496" s="38">
        <f t="shared" si="184"/>
        <v>2.5</v>
      </c>
      <c r="Z1496" s="38">
        <v>0</v>
      </c>
      <c r="AA1496" s="38">
        <v>0</v>
      </c>
      <c r="AB1496" s="38">
        <v>16.5</v>
      </c>
      <c r="AC1496" s="38">
        <v>1.242</v>
      </c>
      <c r="AD1496" s="39">
        <v>12.51</v>
      </c>
      <c r="AE1496" s="38">
        <v>28.62</v>
      </c>
      <c r="AF1496" s="38">
        <f t="shared" ref="AF1496:AF1502" si="186">(AD1496+AE1496*0.5)/(3.5*I1496*1000)*100</f>
        <v>4.655724614409832E-2</v>
      </c>
      <c r="AG1496" s="38">
        <f t="shared" si="185"/>
        <v>0</v>
      </c>
      <c r="AH1496" s="38">
        <v>29.63</v>
      </c>
      <c r="AI1496" s="38">
        <f t="shared" ref="AI1496:AI1502" si="187">AH1496/(3.5*I1496*1000)*100</f>
        <v>5.1435167906399452E-2</v>
      </c>
      <c r="AJ1496" s="38">
        <v>5.5</v>
      </c>
      <c r="AK1496" s="38">
        <f t="shared" ref="AK1496:AK1502" si="188">AJ1496/(3.5*I1496*1000)*100</f>
        <v>9.5475336984541682E-3</v>
      </c>
      <c r="AL1496" s="38">
        <v>0</v>
      </c>
      <c r="AM1496" s="38">
        <f t="shared" ref="AM1496:AM1502" si="189">AL1496/(3.5*I1496*1000)*100</f>
        <v>0</v>
      </c>
      <c r="AN1496" s="41"/>
      <c r="AO1496" s="114"/>
      <c r="AP1496" s="73"/>
      <c r="AQ1496" s="73"/>
      <c r="AR1496" s="22"/>
      <c r="AS1496" s="22"/>
      <c r="AT1496" s="22"/>
      <c r="AU1496" s="22"/>
      <c r="AV1496" s="22"/>
      <c r="AW1496" s="22"/>
      <c r="AX1496" s="22"/>
      <c r="AY1496" s="22"/>
      <c r="AZ1496" s="22"/>
      <c r="BA1496" s="22"/>
      <c r="BB1496" s="22"/>
      <c r="BC1496" s="22"/>
      <c r="BD1496" s="22"/>
      <c r="BE1496" s="22"/>
      <c r="BF1496" s="22"/>
      <c r="BG1496" s="22"/>
      <c r="BH1496" s="22"/>
      <c r="BI1496" s="22"/>
      <c r="BJ1496" s="22"/>
      <c r="BK1496" s="22"/>
      <c r="BL1496" s="22"/>
      <c r="BM1496" s="22"/>
      <c r="BN1496" s="22"/>
      <c r="BO1496" s="22"/>
      <c r="BP1496" s="22"/>
      <c r="BQ1496" s="22"/>
      <c r="BR1496" s="22"/>
      <c r="BS1496" s="22"/>
      <c r="BT1496" s="22"/>
      <c r="BU1496" s="22"/>
      <c r="BV1496" s="22"/>
      <c r="BW1496" s="22"/>
      <c r="BX1496" s="22"/>
      <c r="BY1496" s="22"/>
      <c r="BZ1496" s="22"/>
      <c r="CA1496" s="22"/>
      <c r="CB1496" s="22"/>
      <c r="CC1496" s="22"/>
      <c r="CD1496" s="22"/>
      <c r="CE1496" s="22"/>
      <c r="CF1496" s="22"/>
      <c r="CG1496" s="22"/>
      <c r="CH1496" s="22"/>
      <c r="CI1496" s="22"/>
      <c r="CJ1496" s="22"/>
    </row>
    <row r="1497" spans="1:88" s="61" customFormat="1" ht="21" customHeight="1">
      <c r="A1497" s="1">
        <v>940</v>
      </c>
      <c r="B1497" s="34" t="s">
        <v>1329</v>
      </c>
      <c r="C1497" s="34">
        <v>611</v>
      </c>
      <c r="D1497" s="161">
        <v>206</v>
      </c>
      <c r="E1497" s="34">
        <v>100</v>
      </c>
      <c r="F1497" s="34" t="s">
        <v>1339</v>
      </c>
      <c r="G1497" s="58">
        <v>0</v>
      </c>
      <c r="H1497" s="58">
        <v>14702</v>
      </c>
      <c r="I1497" s="35">
        <v>14.702</v>
      </c>
      <c r="J1497" s="71">
        <v>4</v>
      </c>
      <c r="K1497" s="34" t="s">
        <v>237</v>
      </c>
      <c r="L1497" s="10">
        <v>42119</v>
      </c>
      <c r="M1497" s="37" t="s">
        <v>191</v>
      </c>
      <c r="N1497" s="38">
        <v>9.0250000000000004</v>
      </c>
      <c r="O1497" s="38">
        <v>3.0249999999999999</v>
      </c>
      <c r="P1497" s="38">
        <v>1.5</v>
      </c>
      <c r="Q1497" s="38">
        <v>1.075</v>
      </c>
      <c r="R1497" s="38">
        <v>3.1976399999999998</v>
      </c>
      <c r="S1497" s="38">
        <f t="shared" si="183"/>
        <v>3</v>
      </c>
      <c r="T1497" s="38">
        <v>11</v>
      </c>
      <c r="U1497" s="38">
        <v>2.3250000000000002</v>
      </c>
      <c r="V1497" s="38">
        <v>0.72499999999999998</v>
      </c>
      <c r="W1497" s="38">
        <v>0.57499999999999996</v>
      </c>
      <c r="X1497" s="38">
        <v>6.3509500000000001</v>
      </c>
      <c r="Y1497" s="38">
        <f t="shared" si="184"/>
        <v>6.5</v>
      </c>
      <c r="Z1497" s="38">
        <v>0</v>
      </c>
      <c r="AA1497" s="38">
        <v>0</v>
      </c>
      <c r="AB1497" s="38">
        <v>14.702</v>
      </c>
      <c r="AC1497" s="38">
        <v>1.1145</v>
      </c>
      <c r="AD1497" s="39">
        <v>23.67</v>
      </c>
      <c r="AE1497" s="38">
        <v>0</v>
      </c>
      <c r="AF1497" s="38">
        <f t="shared" si="186"/>
        <v>4.5999572458557632E-2</v>
      </c>
      <c r="AG1497" s="38">
        <f t="shared" si="185"/>
        <v>0</v>
      </c>
      <c r="AH1497" s="38">
        <v>15.63</v>
      </c>
      <c r="AI1497" s="38">
        <f t="shared" si="187"/>
        <v>3.0374876110150224E-2</v>
      </c>
      <c r="AJ1497" s="38">
        <v>0</v>
      </c>
      <c r="AK1497" s="38">
        <f t="shared" si="188"/>
        <v>0</v>
      </c>
      <c r="AL1497" s="38">
        <v>0</v>
      </c>
      <c r="AM1497" s="38">
        <f t="shared" si="189"/>
        <v>0</v>
      </c>
      <c r="AN1497" s="25"/>
      <c r="AO1497" s="25">
        <f>AE1497*0.5</f>
        <v>0</v>
      </c>
      <c r="AP1497" s="25">
        <f>(AD1497+AH1497+AJ1497+AL1497+AO1497)*I1497</f>
        <v>577.78860000000009</v>
      </c>
      <c r="AQ1497" s="25"/>
      <c r="AR1497" s="25">
        <f>SUM(N1497:Q1497)</f>
        <v>14.625</v>
      </c>
      <c r="AS1497" s="25">
        <f>SUM(T1497:W1497)</f>
        <v>14.624999999999998</v>
      </c>
      <c r="AT1497" s="268">
        <v>14.702</v>
      </c>
      <c r="AU1497" s="41"/>
      <c r="AV1497" s="41"/>
      <c r="AW1497" s="41"/>
      <c r="AX1497" s="22"/>
      <c r="AY1497" s="22"/>
      <c r="AZ1497" s="22"/>
      <c r="BA1497" s="22"/>
      <c r="BB1497" s="22"/>
      <c r="BC1497" s="22"/>
      <c r="BD1497" s="22"/>
      <c r="BE1497" s="22"/>
      <c r="BF1497" s="22"/>
      <c r="BG1497" s="22"/>
      <c r="BH1497" s="22"/>
      <c r="BI1497" s="22"/>
      <c r="BJ1497" s="22"/>
      <c r="BK1497" s="22"/>
      <c r="BL1497" s="22"/>
      <c r="BM1497" s="22"/>
      <c r="BN1497" s="22"/>
      <c r="BO1497" s="22"/>
      <c r="BP1497" s="22"/>
      <c r="BQ1497" s="22"/>
      <c r="BR1497" s="22"/>
      <c r="BS1497" s="22"/>
      <c r="BT1497" s="22"/>
      <c r="BU1497" s="22"/>
      <c r="BV1497" s="22"/>
      <c r="BW1497" s="22"/>
      <c r="BX1497" s="22"/>
      <c r="BY1497" s="22"/>
      <c r="BZ1497" s="22"/>
      <c r="CA1497" s="22"/>
      <c r="CB1497" s="22"/>
      <c r="CC1497" s="22"/>
      <c r="CD1497" s="22"/>
      <c r="CE1497" s="22"/>
      <c r="CF1497" s="22"/>
      <c r="CG1497" s="22"/>
      <c r="CH1497" s="22"/>
      <c r="CI1497" s="22"/>
      <c r="CJ1497" s="22"/>
    </row>
    <row r="1498" spans="1:88" s="61" customFormat="1" ht="20.25" customHeight="1">
      <c r="A1498" s="1">
        <v>435</v>
      </c>
      <c r="B1498" s="74" t="s">
        <v>699</v>
      </c>
      <c r="C1498" s="34">
        <v>513</v>
      </c>
      <c r="D1498" s="75">
        <v>1177</v>
      </c>
      <c r="E1498" s="69">
        <v>100</v>
      </c>
      <c r="F1498" s="76" t="s">
        <v>736</v>
      </c>
      <c r="G1498" s="58" t="s">
        <v>737</v>
      </c>
      <c r="H1498" s="58" t="s">
        <v>92</v>
      </c>
      <c r="I1498" s="55">
        <v>35.481999999999999</v>
      </c>
      <c r="J1498" s="5" t="s">
        <v>12</v>
      </c>
      <c r="K1498" s="34">
        <v>2</v>
      </c>
      <c r="L1498" s="18">
        <v>42264</v>
      </c>
      <c r="M1498" s="37" t="s">
        <v>191</v>
      </c>
      <c r="N1498" s="38">
        <v>23.34</v>
      </c>
      <c r="O1498" s="38">
        <v>7.72</v>
      </c>
      <c r="P1498" s="38">
        <v>2.9</v>
      </c>
      <c r="Q1498" s="38">
        <v>1.52</v>
      </c>
      <c r="R1498" s="38">
        <v>2.4604599999999999</v>
      </c>
      <c r="S1498" s="38">
        <f t="shared" si="183"/>
        <v>2.5</v>
      </c>
      <c r="T1498" s="38">
        <v>32.99</v>
      </c>
      <c r="U1498" s="38">
        <v>1.78</v>
      </c>
      <c r="V1498" s="38">
        <v>0.57999999999999996</v>
      </c>
      <c r="W1498" s="38">
        <v>0.13</v>
      </c>
      <c r="X1498" s="38">
        <v>4.4689100000000002</v>
      </c>
      <c r="Y1498" s="38">
        <f t="shared" si="184"/>
        <v>4.5</v>
      </c>
      <c r="Z1498" s="38">
        <v>0</v>
      </c>
      <c r="AA1498" s="38">
        <v>0</v>
      </c>
      <c r="AB1498" s="38">
        <v>35.479999999999997</v>
      </c>
      <c r="AC1498" s="38">
        <v>1.2363200000000001</v>
      </c>
      <c r="AD1498" s="39">
        <v>52.15</v>
      </c>
      <c r="AE1498" s="38">
        <v>9.5399999999999991</v>
      </c>
      <c r="AF1498" s="38">
        <f t="shared" si="186"/>
        <v>4.5834105019043864E-2</v>
      </c>
      <c r="AG1498" s="38">
        <f t="shared" si="185"/>
        <v>0</v>
      </c>
      <c r="AH1498" s="38">
        <v>116.45</v>
      </c>
      <c r="AI1498" s="38">
        <f t="shared" si="187"/>
        <v>9.3769879294934258E-2</v>
      </c>
      <c r="AJ1498" s="38">
        <v>0</v>
      </c>
      <c r="AK1498" s="38">
        <f t="shared" si="188"/>
        <v>0</v>
      </c>
      <c r="AL1498" s="38">
        <v>0</v>
      </c>
      <c r="AM1498" s="38">
        <f t="shared" si="189"/>
        <v>0</v>
      </c>
      <c r="AN1498" s="41"/>
      <c r="AO1498" s="41"/>
      <c r="AP1498" s="73"/>
      <c r="AQ1498" s="41">
        <f>SUM(N1498:Q1498)</f>
        <v>35.480000000000004</v>
      </c>
      <c r="AR1498" s="41">
        <f>SUM(T1498:W1498)</f>
        <v>35.480000000000004</v>
      </c>
      <c r="AS1498" s="41">
        <f>SUM(Z1498:AB1498)</f>
        <v>35.479999999999997</v>
      </c>
      <c r="AT1498" s="22"/>
      <c r="AU1498" s="22">
        <f>I1498/AQ1498</f>
        <v>1.0000563697857947</v>
      </c>
      <c r="AV1498" s="22">
        <f>I1498/AR1498</f>
        <v>1.0000563697857947</v>
      </c>
      <c r="AW1498" s="22">
        <f>I1498/AS1498</f>
        <v>1.0000563697857949</v>
      </c>
      <c r="AX1498" s="73"/>
      <c r="AY1498" s="73"/>
      <c r="AZ1498" s="73"/>
      <c r="BA1498" s="73"/>
      <c r="BB1498" s="73"/>
      <c r="BC1498" s="73"/>
      <c r="BD1498" s="73"/>
      <c r="BE1498" s="73"/>
      <c r="BF1498" s="73"/>
      <c r="BG1498" s="73"/>
      <c r="BH1498" s="73"/>
      <c r="BI1498" s="73"/>
      <c r="BJ1498" s="73"/>
      <c r="BK1498" s="73"/>
      <c r="BL1498" s="73"/>
      <c r="BM1498" s="73"/>
      <c r="BN1498" s="73"/>
      <c r="BO1498" s="73"/>
      <c r="BP1498" s="73"/>
      <c r="BQ1498" s="73"/>
      <c r="BR1498" s="73"/>
      <c r="BS1498" s="73"/>
      <c r="BT1498" s="73"/>
      <c r="BU1498" s="73"/>
      <c r="BV1498" s="73"/>
      <c r="BW1498" s="73"/>
      <c r="BX1498" s="73"/>
      <c r="BY1498" s="73"/>
      <c r="BZ1498" s="73"/>
      <c r="CA1498" s="73"/>
      <c r="CB1498" s="73"/>
      <c r="CC1498" s="73"/>
      <c r="CD1498" s="73"/>
      <c r="CE1498" s="73"/>
      <c r="CF1498" s="73"/>
      <c r="CG1498" s="73"/>
      <c r="CH1498" s="73"/>
      <c r="CI1498" s="73"/>
      <c r="CJ1498" s="73"/>
    </row>
    <row r="1499" spans="1:88" s="61" customFormat="1" ht="21" customHeight="1">
      <c r="A1499" s="1">
        <v>467</v>
      </c>
      <c r="B1499" s="74" t="s">
        <v>780</v>
      </c>
      <c r="C1499" s="34">
        <v>515</v>
      </c>
      <c r="D1499" s="34">
        <v>1237</v>
      </c>
      <c r="E1499" s="34">
        <v>100</v>
      </c>
      <c r="F1499" s="34" t="s">
        <v>798</v>
      </c>
      <c r="G1499" s="34" t="s">
        <v>92</v>
      </c>
      <c r="H1499" s="34" t="s">
        <v>799</v>
      </c>
      <c r="I1499" s="55">
        <v>59.026000000000003</v>
      </c>
      <c r="J1499" s="5" t="s">
        <v>238</v>
      </c>
      <c r="K1499" s="34">
        <v>2</v>
      </c>
      <c r="L1499" s="10">
        <v>42268</v>
      </c>
      <c r="M1499" s="37" t="s">
        <v>191</v>
      </c>
      <c r="N1499" s="38">
        <v>34.4</v>
      </c>
      <c r="O1499" s="38">
        <v>15.28</v>
      </c>
      <c r="P1499" s="38">
        <v>7.0250000000000004</v>
      </c>
      <c r="Q1499" s="38">
        <v>2.25</v>
      </c>
      <c r="R1499" s="38">
        <v>2.5977999999999999</v>
      </c>
      <c r="S1499" s="38">
        <f t="shared" si="183"/>
        <v>2.5</v>
      </c>
      <c r="T1499" s="38">
        <v>52.075000000000003</v>
      </c>
      <c r="U1499" s="38">
        <v>2.2000000000000002</v>
      </c>
      <c r="V1499" s="38">
        <v>1.5249999999999999</v>
      </c>
      <c r="W1499" s="38">
        <v>3.15</v>
      </c>
      <c r="X1499" s="38">
        <v>5.57165</v>
      </c>
      <c r="Y1499" s="38">
        <f t="shared" si="184"/>
        <v>5.5</v>
      </c>
      <c r="Z1499" s="38">
        <v>0</v>
      </c>
      <c r="AA1499" s="38">
        <v>0</v>
      </c>
      <c r="AB1499" s="38">
        <v>58.954999999999998</v>
      </c>
      <c r="AC1499" s="38">
        <v>1.2075199999999999</v>
      </c>
      <c r="AD1499" s="39">
        <v>85.64</v>
      </c>
      <c r="AE1499" s="38">
        <v>17.645</v>
      </c>
      <c r="AF1499" s="38">
        <f t="shared" si="186"/>
        <v>4.5724402321495133E-2</v>
      </c>
      <c r="AG1499" s="38">
        <f t="shared" si="185"/>
        <v>0</v>
      </c>
      <c r="AH1499" s="38">
        <v>79.685000000000002</v>
      </c>
      <c r="AI1499" s="38">
        <f t="shared" si="187"/>
        <v>3.8571380166609388E-2</v>
      </c>
      <c r="AJ1499" s="38">
        <v>0</v>
      </c>
      <c r="AK1499" s="38">
        <f t="shared" si="188"/>
        <v>0</v>
      </c>
      <c r="AL1499" s="38">
        <v>0</v>
      </c>
      <c r="AM1499" s="38">
        <f t="shared" si="189"/>
        <v>0</v>
      </c>
      <c r="AN1499" s="41"/>
      <c r="AO1499" s="41"/>
      <c r="AP1499" s="114"/>
      <c r="AQ1499" s="73"/>
      <c r="AR1499" s="73"/>
      <c r="AS1499" s="73"/>
      <c r="AT1499" s="22"/>
      <c r="AU1499" s="22"/>
      <c r="AV1499" s="22"/>
      <c r="AW1499" s="22"/>
      <c r="AX1499" s="22"/>
      <c r="AY1499" s="22"/>
      <c r="AZ1499" s="22"/>
      <c r="BA1499" s="22"/>
      <c r="BB1499" s="22"/>
      <c r="BC1499" s="22"/>
      <c r="BD1499" s="22"/>
      <c r="BE1499" s="22"/>
      <c r="BF1499" s="22"/>
      <c r="BG1499" s="22"/>
      <c r="BH1499" s="22"/>
      <c r="BI1499" s="22"/>
      <c r="BJ1499" s="22"/>
      <c r="BK1499" s="22"/>
      <c r="BL1499" s="22"/>
      <c r="BM1499" s="22"/>
      <c r="BN1499" s="22"/>
      <c r="BO1499" s="22"/>
      <c r="BP1499" s="22"/>
      <c r="BQ1499" s="22"/>
      <c r="BR1499" s="22"/>
      <c r="BS1499" s="22"/>
      <c r="BT1499" s="22"/>
      <c r="BU1499" s="22"/>
      <c r="BV1499" s="22"/>
      <c r="BW1499" s="22"/>
      <c r="BX1499" s="22"/>
      <c r="BY1499" s="22"/>
      <c r="BZ1499" s="22"/>
      <c r="CA1499" s="22"/>
      <c r="CB1499" s="22"/>
      <c r="CC1499" s="22"/>
      <c r="CD1499" s="22"/>
      <c r="CE1499" s="22"/>
      <c r="CF1499" s="22"/>
      <c r="CG1499" s="22"/>
      <c r="CH1499" s="22"/>
      <c r="CI1499" s="22"/>
      <c r="CJ1499" s="22"/>
    </row>
    <row r="1500" spans="1:88">
      <c r="A1500" s="1">
        <v>1031</v>
      </c>
      <c r="B1500" s="9" t="s">
        <v>1394</v>
      </c>
      <c r="C1500" s="9">
        <v>617</v>
      </c>
      <c r="D1500" s="8">
        <v>2166</v>
      </c>
      <c r="E1500" s="9">
        <v>201</v>
      </c>
      <c r="F1500" s="9" t="s">
        <v>1431</v>
      </c>
      <c r="G1500" s="20">
        <v>17263</v>
      </c>
      <c r="H1500" s="20">
        <v>30549</v>
      </c>
      <c r="I1500" s="35">
        <v>13.286</v>
      </c>
      <c r="J1500" s="9">
        <v>2</v>
      </c>
      <c r="K1500" s="9" t="s">
        <v>238</v>
      </c>
      <c r="L1500" s="18">
        <v>42132</v>
      </c>
      <c r="M1500" s="37" t="s">
        <v>191</v>
      </c>
      <c r="N1500" s="11">
        <v>8.6999999999999993</v>
      </c>
      <c r="O1500" s="11">
        <v>3.7749999999999999</v>
      </c>
      <c r="P1500" s="11">
        <v>0.6</v>
      </c>
      <c r="Q1500" s="11">
        <v>0.15</v>
      </c>
      <c r="R1500" s="11">
        <v>2.2777500000000002</v>
      </c>
      <c r="S1500" s="38">
        <f t="shared" si="183"/>
        <v>2.5</v>
      </c>
      <c r="T1500" s="11">
        <v>13.025</v>
      </c>
      <c r="U1500" s="11">
        <v>0.2</v>
      </c>
      <c r="V1500" s="11">
        <v>0</v>
      </c>
      <c r="W1500" s="11">
        <v>0</v>
      </c>
      <c r="X1500" s="11">
        <v>5.1270300000000004</v>
      </c>
      <c r="Y1500" s="38">
        <f t="shared" si="184"/>
        <v>5</v>
      </c>
      <c r="Z1500" s="11">
        <v>0</v>
      </c>
      <c r="AA1500" s="11">
        <v>0</v>
      </c>
      <c r="AB1500" s="11">
        <f>SUM(N1500:Q1500)</f>
        <v>13.225</v>
      </c>
      <c r="AC1500" s="11">
        <v>1.2627299999999999</v>
      </c>
      <c r="AD1500" s="164">
        <v>0</v>
      </c>
      <c r="AE1500" s="11">
        <v>42.43</v>
      </c>
      <c r="AF1500" s="11">
        <f t="shared" si="186"/>
        <v>4.5622674781187499E-2</v>
      </c>
      <c r="AG1500" s="38">
        <f t="shared" si="185"/>
        <v>0</v>
      </c>
      <c r="AH1500" s="11">
        <v>0</v>
      </c>
      <c r="AI1500" s="38">
        <f t="shared" si="187"/>
        <v>0</v>
      </c>
      <c r="AJ1500" s="11">
        <v>0</v>
      </c>
      <c r="AK1500" s="38">
        <f t="shared" si="188"/>
        <v>0</v>
      </c>
      <c r="AL1500" s="11">
        <v>0</v>
      </c>
      <c r="AM1500" s="38">
        <f t="shared" si="189"/>
        <v>0</v>
      </c>
      <c r="AN1500" s="25"/>
      <c r="AO1500" s="25">
        <f>AE1500*0.5</f>
        <v>21.215</v>
      </c>
      <c r="AP1500" s="25">
        <f>(AD1500+AH1500+AJ1500+AL1500+AO1500)*I1500</f>
        <v>281.86248999999998</v>
      </c>
      <c r="AQ1500" s="25"/>
      <c r="AR1500" s="25"/>
      <c r="AS1500" s="25">
        <f>SUM(N1500:Q1500)</f>
        <v>13.225</v>
      </c>
      <c r="AT1500" s="25">
        <f>SUM(T1500:W1500)</f>
        <v>13.225</v>
      </c>
      <c r="AU1500" s="49"/>
      <c r="AV1500" s="41"/>
      <c r="AW1500" s="41"/>
      <c r="AX1500" s="22"/>
      <c r="AY1500" s="22"/>
      <c r="AZ1500" s="22"/>
      <c r="BA1500" s="22"/>
      <c r="BB1500" s="22"/>
      <c r="BC1500" s="22"/>
      <c r="BD1500" s="22"/>
      <c r="BE1500" s="22"/>
      <c r="BF1500" s="22"/>
      <c r="BG1500" s="22"/>
      <c r="BH1500" s="22"/>
      <c r="BI1500" s="22"/>
      <c r="BJ1500" s="22"/>
      <c r="BK1500" s="22"/>
      <c r="BL1500" s="22"/>
      <c r="BM1500" s="22"/>
      <c r="BN1500" s="22"/>
      <c r="BO1500" s="22"/>
      <c r="BP1500" s="22"/>
      <c r="BQ1500" s="22"/>
      <c r="BR1500" s="22"/>
      <c r="BS1500" s="22"/>
      <c r="BT1500" s="22"/>
      <c r="BU1500" s="22"/>
      <c r="BV1500" s="22"/>
      <c r="BW1500" s="22"/>
      <c r="BX1500" s="22"/>
      <c r="BY1500" s="22"/>
      <c r="BZ1500" s="22"/>
      <c r="CA1500" s="22"/>
      <c r="CB1500" s="22"/>
      <c r="CC1500" s="22"/>
      <c r="CD1500" s="22"/>
      <c r="CE1500" s="22"/>
      <c r="CF1500" s="22"/>
      <c r="CG1500" s="22"/>
      <c r="CH1500" s="22"/>
      <c r="CI1500" s="22"/>
      <c r="CJ1500" s="22"/>
    </row>
    <row r="1501" spans="1:88">
      <c r="A1501" s="1">
        <v>1783</v>
      </c>
      <c r="B1501" s="34" t="s">
        <v>2382</v>
      </c>
      <c r="C1501" s="34">
        <v>428</v>
      </c>
      <c r="D1501" s="8">
        <v>331</v>
      </c>
      <c r="E1501" s="34">
        <v>102</v>
      </c>
      <c r="F1501" s="34" t="s">
        <v>2384</v>
      </c>
      <c r="G1501" s="58" t="s">
        <v>2385</v>
      </c>
      <c r="H1501" s="58" t="s">
        <v>279</v>
      </c>
      <c r="I1501" s="35">
        <v>37</v>
      </c>
      <c r="J1501" s="9">
        <v>4</v>
      </c>
      <c r="K1501" s="34" t="s">
        <v>96</v>
      </c>
      <c r="L1501" s="10">
        <v>42230</v>
      </c>
      <c r="M1501" s="37" t="s">
        <v>191</v>
      </c>
      <c r="N1501" s="38">
        <v>26.4</v>
      </c>
      <c r="O1501" s="38">
        <v>4.9749999999999996</v>
      </c>
      <c r="P1501" s="38">
        <v>2.75</v>
      </c>
      <c r="Q1501" s="38">
        <v>2.9</v>
      </c>
      <c r="R1501" s="38">
        <v>2.7480000000000002</v>
      </c>
      <c r="S1501" s="38">
        <f t="shared" si="183"/>
        <v>2.5</v>
      </c>
      <c r="T1501" s="38">
        <v>34.174999999999997</v>
      </c>
      <c r="U1501" s="38">
        <v>2.4</v>
      </c>
      <c r="V1501" s="38">
        <v>0.4</v>
      </c>
      <c r="W1501" s="38">
        <v>0.05</v>
      </c>
      <c r="X1501" s="38">
        <v>6.2679999999999998</v>
      </c>
      <c r="Y1501" s="38">
        <f t="shared" si="184"/>
        <v>6.5</v>
      </c>
      <c r="Z1501" s="38">
        <v>0</v>
      </c>
      <c r="AA1501" s="38">
        <v>0</v>
      </c>
      <c r="AB1501" s="38">
        <f>SUM(N1501:Q1501)</f>
        <v>37.024999999999999</v>
      </c>
      <c r="AC1501" s="38">
        <v>1.3620000000000001</v>
      </c>
      <c r="AD1501" s="39">
        <v>57.83</v>
      </c>
      <c r="AE1501" s="38">
        <v>2.4</v>
      </c>
      <c r="AF1501" s="38">
        <f t="shared" si="186"/>
        <v>4.5583011583011583E-2</v>
      </c>
      <c r="AG1501" s="38">
        <f t="shared" si="185"/>
        <v>0</v>
      </c>
      <c r="AH1501" s="38">
        <v>0</v>
      </c>
      <c r="AI1501" s="38">
        <f t="shared" si="187"/>
        <v>0</v>
      </c>
      <c r="AJ1501" s="38">
        <v>0</v>
      </c>
      <c r="AK1501" s="38">
        <f t="shared" si="188"/>
        <v>0</v>
      </c>
      <c r="AL1501" s="38">
        <v>0</v>
      </c>
      <c r="AM1501" s="38">
        <f t="shared" si="189"/>
        <v>0</v>
      </c>
      <c r="AN1501" s="25"/>
      <c r="AO1501" s="25">
        <f>AE1501*0.5</f>
        <v>1.2</v>
      </c>
      <c r="AP1501" s="25">
        <f>(AD1501+AH1501+AJ1501+AL1501+AO1501)*I1501</f>
        <v>2184.11</v>
      </c>
      <c r="AQ1501" s="25">
        <f>SUM(N1501:Q1501)</f>
        <v>37.024999999999999</v>
      </c>
      <c r="AR1501" s="25">
        <f>SUM(T1501:W1501)</f>
        <v>37.024999999999991</v>
      </c>
      <c r="AS1501" s="22"/>
      <c r="AT1501" s="41"/>
      <c r="AU1501" s="49"/>
      <c r="AV1501" s="41"/>
      <c r="AW1501" s="41"/>
      <c r="AX1501" s="22"/>
      <c r="AY1501" s="22"/>
      <c r="AZ1501" s="22"/>
      <c r="BA1501" s="22"/>
      <c r="BB1501" s="22"/>
      <c r="BC1501" s="22"/>
      <c r="BD1501" s="22"/>
      <c r="BE1501" s="22"/>
      <c r="BF1501" s="22"/>
      <c r="BG1501" s="22"/>
      <c r="BH1501" s="22"/>
      <c r="BI1501" s="22"/>
      <c r="BJ1501" s="22"/>
      <c r="BK1501" s="22"/>
      <c r="BL1501" s="22"/>
      <c r="BM1501" s="22"/>
      <c r="BN1501" s="22"/>
      <c r="BO1501" s="22"/>
      <c r="BP1501" s="22"/>
      <c r="BQ1501" s="22"/>
      <c r="BR1501" s="22"/>
      <c r="BS1501" s="22"/>
      <c r="BT1501" s="22"/>
      <c r="BU1501" s="22"/>
      <c r="BV1501" s="22"/>
      <c r="BW1501" s="22"/>
      <c r="BX1501" s="22"/>
      <c r="BY1501" s="22"/>
      <c r="BZ1501" s="22"/>
      <c r="CA1501" s="22"/>
      <c r="CB1501" s="22"/>
      <c r="CC1501" s="22"/>
      <c r="CD1501" s="22"/>
      <c r="CE1501" s="22"/>
      <c r="CF1501" s="22"/>
      <c r="CG1501" s="22"/>
      <c r="CH1501" s="22"/>
      <c r="CI1501" s="22"/>
      <c r="CJ1501" s="22"/>
    </row>
    <row r="1502" spans="1:88">
      <c r="A1502" s="1">
        <v>97</v>
      </c>
      <c r="B1502" s="4" t="s">
        <v>61</v>
      </c>
      <c r="C1502" s="14">
        <v>526</v>
      </c>
      <c r="D1502" s="19">
        <v>1265</v>
      </c>
      <c r="E1502" s="16">
        <v>100</v>
      </c>
      <c r="F1502" s="14" t="s">
        <v>71</v>
      </c>
      <c r="G1502" s="27" t="s">
        <v>92</v>
      </c>
      <c r="H1502" s="27" t="s">
        <v>160</v>
      </c>
      <c r="I1502" s="28">
        <v>43.619</v>
      </c>
      <c r="J1502" s="16">
        <v>2</v>
      </c>
      <c r="K1502" s="14" t="s">
        <v>238</v>
      </c>
      <c r="L1502" s="29">
        <v>42243</v>
      </c>
      <c r="M1502" s="246" t="s">
        <v>191</v>
      </c>
      <c r="N1502" s="30">
        <v>1.2</v>
      </c>
      <c r="O1502" s="30">
        <v>8.1300000000000008</v>
      </c>
      <c r="P1502" s="30">
        <v>17.14</v>
      </c>
      <c r="Q1502" s="30">
        <v>17.14</v>
      </c>
      <c r="R1502" s="30">
        <v>4.9809400000000004</v>
      </c>
      <c r="S1502" s="38">
        <f t="shared" si="183"/>
        <v>5</v>
      </c>
      <c r="T1502" s="30">
        <v>39.25</v>
      </c>
      <c r="U1502" s="30">
        <v>2.76</v>
      </c>
      <c r="V1502" s="30">
        <v>0.9</v>
      </c>
      <c r="W1502" s="30">
        <v>0.7</v>
      </c>
      <c r="X1502" s="30">
        <v>5.1270100000000003</v>
      </c>
      <c r="Y1502" s="38">
        <f t="shared" si="184"/>
        <v>5</v>
      </c>
      <c r="Z1502" s="30">
        <v>0</v>
      </c>
      <c r="AA1502" s="30">
        <v>0</v>
      </c>
      <c r="AB1502" s="30">
        <v>43.62</v>
      </c>
      <c r="AC1502" s="30">
        <v>1.6544399999999999</v>
      </c>
      <c r="AD1502" s="256">
        <v>62.35</v>
      </c>
      <c r="AE1502" s="30">
        <v>14.3</v>
      </c>
      <c r="AF1502" s="30">
        <f t="shared" si="186"/>
        <v>4.5524067166012198E-2</v>
      </c>
      <c r="AG1502" s="38">
        <f t="shared" si="185"/>
        <v>0</v>
      </c>
      <c r="AH1502" s="30">
        <v>201.36</v>
      </c>
      <c r="AI1502" s="30">
        <f t="shared" si="187"/>
        <v>0.13189534049709664</v>
      </c>
      <c r="AJ1502" s="30">
        <v>1.0029999999999999</v>
      </c>
      <c r="AK1502" s="30">
        <f t="shared" si="188"/>
        <v>6.5698761679870829E-4</v>
      </c>
      <c r="AL1502" s="30">
        <v>0</v>
      </c>
      <c r="AM1502" s="30">
        <f t="shared" si="189"/>
        <v>0</v>
      </c>
      <c r="AN1502" s="22"/>
      <c r="AO1502" s="25"/>
      <c r="AP1502" s="25">
        <f>N1502+O1502+P1502+Q1502</f>
        <v>43.61</v>
      </c>
      <c r="AQ1502" s="25">
        <f>T1502+U1502+V1502+W1502</f>
        <v>43.61</v>
      </c>
      <c r="AR1502" s="25">
        <f>Z1502+AA1502+AB1502</f>
        <v>43.62</v>
      </c>
      <c r="AS1502" s="22"/>
      <c r="AT1502" s="22">
        <f>I1502/AP1502</f>
        <v>1.0002063746847054</v>
      </c>
      <c r="AU1502" s="48">
        <f>I1502/AQ1502</f>
        <v>1.0002063746847054</v>
      </c>
      <c r="AV1502" s="22">
        <f>I1502/AR1502</f>
        <v>0.99997707473635955</v>
      </c>
      <c r="AW1502" s="22"/>
      <c r="AX1502" s="22"/>
      <c r="AY1502" s="22"/>
      <c r="AZ1502" s="22"/>
      <c r="BA1502" s="22"/>
      <c r="BB1502" s="22"/>
      <c r="BC1502" s="22"/>
      <c r="BD1502" s="22"/>
      <c r="BE1502" s="22"/>
      <c r="BF1502" s="22"/>
      <c r="BG1502" s="22"/>
      <c r="BH1502" s="22"/>
      <c r="BI1502" s="22"/>
      <c r="BJ1502" s="22"/>
      <c r="BK1502" s="22"/>
      <c r="BL1502" s="22"/>
      <c r="BM1502" s="22"/>
      <c r="BN1502" s="22"/>
      <c r="BO1502" s="22"/>
      <c r="BP1502" s="22"/>
      <c r="BQ1502" s="22"/>
      <c r="BR1502" s="22"/>
      <c r="BS1502" s="22"/>
      <c r="BT1502" s="22"/>
      <c r="BU1502" s="22"/>
      <c r="BV1502" s="22"/>
      <c r="BW1502" s="22"/>
      <c r="BX1502" s="22"/>
      <c r="BY1502" s="22"/>
      <c r="BZ1502" s="22"/>
      <c r="CA1502" s="22"/>
      <c r="CB1502" s="22"/>
      <c r="CC1502" s="22"/>
      <c r="CD1502" s="22"/>
      <c r="CE1502" s="22"/>
      <c r="CF1502" s="22"/>
      <c r="CG1502" s="22"/>
      <c r="CH1502" s="22"/>
      <c r="CI1502" s="22"/>
      <c r="CJ1502" s="22"/>
    </row>
    <row r="1503" spans="1:88">
      <c r="A1503" s="1">
        <v>1312</v>
      </c>
      <c r="B1503" s="74" t="s">
        <v>1851</v>
      </c>
      <c r="C1503" s="34">
        <v>444</v>
      </c>
      <c r="D1503" s="75">
        <v>323</v>
      </c>
      <c r="E1503" s="69">
        <v>205</v>
      </c>
      <c r="F1503" s="34" t="s">
        <v>1856</v>
      </c>
      <c r="G1503" s="20">
        <v>90012</v>
      </c>
      <c r="H1503" s="20">
        <v>155136</v>
      </c>
      <c r="I1503" s="21">
        <v>65.123999999999995</v>
      </c>
      <c r="J1503" s="8">
        <v>2</v>
      </c>
      <c r="K1503" s="34" t="s">
        <v>238</v>
      </c>
      <c r="L1503" s="10">
        <v>42209</v>
      </c>
      <c r="M1503" s="37" t="s">
        <v>191</v>
      </c>
      <c r="N1503" s="38">
        <v>55.1</v>
      </c>
      <c r="O1503" s="38">
        <v>8.2750000000000004</v>
      </c>
      <c r="P1503" s="38">
        <v>1.575</v>
      </c>
      <c r="Q1503" s="38">
        <v>0.3</v>
      </c>
      <c r="R1503" s="38">
        <v>1.80003</v>
      </c>
      <c r="S1503" s="38">
        <f t="shared" si="183"/>
        <v>2</v>
      </c>
      <c r="T1503" s="38">
        <v>64.95</v>
      </c>
      <c r="U1503" s="38">
        <v>0.3</v>
      </c>
      <c r="V1503" s="38">
        <v>0</v>
      </c>
      <c r="W1503" s="38">
        <v>0</v>
      </c>
      <c r="X1503" s="38">
        <v>2.00536</v>
      </c>
      <c r="Y1503" s="38">
        <f t="shared" si="184"/>
        <v>2</v>
      </c>
      <c r="Z1503" s="38">
        <v>0</v>
      </c>
      <c r="AA1503" s="38">
        <v>0</v>
      </c>
      <c r="AB1503" s="38">
        <v>65.25</v>
      </c>
      <c r="AC1503" s="38">
        <v>1.17136</v>
      </c>
      <c r="AD1503" s="39">
        <v>96.344999999999999</v>
      </c>
      <c r="AE1503" s="38">
        <v>13.561999999999999</v>
      </c>
      <c r="AF1503" s="38">
        <v>4.5243798643466976E-2</v>
      </c>
      <c r="AG1503" s="38">
        <f t="shared" si="185"/>
        <v>0</v>
      </c>
      <c r="AH1503" s="38">
        <v>145.4</v>
      </c>
      <c r="AI1503" s="38">
        <v>6.3790395465354019E-2</v>
      </c>
      <c r="AJ1503" s="38">
        <v>0</v>
      </c>
      <c r="AK1503" s="38">
        <v>0</v>
      </c>
      <c r="AL1503" s="38">
        <v>1.34</v>
      </c>
      <c r="AM1503" s="38">
        <v>5.8788947677836578E-4</v>
      </c>
      <c r="AU1503" s="178"/>
    </row>
    <row r="1504" spans="1:88">
      <c r="A1504" s="1">
        <v>161</v>
      </c>
      <c r="B1504" s="34" t="s">
        <v>332</v>
      </c>
      <c r="C1504" s="34">
        <v>533</v>
      </c>
      <c r="D1504" s="34">
        <v>1</v>
      </c>
      <c r="E1504" s="34">
        <v>1402</v>
      </c>
      <c r="F1504" s="34" t="s">
        <v>336</v>
      </c>
      <c r="G1504" s="50" t="s">
        <v>335</v>
      </c>
      <c r="H1504" s="50" t="s">
        <v>337</v>
      </c>
      <c r="I1504" s="35">
        <v>16.117000000000001</v>
      </c>
      <c r="J1504" s="33">
        <v>4</v>
      </c>
      <c r="K1504" s="34" t="s">
        <v>237</v>
      </c>
      <c r="L1504" s="10">
        <v>42203</v>
      </c>
      <c r="M1504" s="37" t="s">
        <v>191</v>
      </c>
      <c r="N1504" s="38">
        <v>14.3</v>
      </c>
      <c r="O1504" s="38">
        <v>1.29</v>
      </c>
      <c r="P1504" s="38">
        <v>0.33</v>
      </c>
      <c r="Q1504" s="38">
        <v>0.2</v>
      </c>
      <c r="R1504" s="38">
        <v>1.9294899999999999</v>
      </c>
      <c r="S1504" s="38">
        <f t="shared" si="183"/>
        <v>2</v>
      </c>
      <c r="T1504" s="38">
        <v>11.09</v>
      </c>
      <c r="U1504" s="38">
        <v>3.43</v>
      </c>
      <c r="V1504" s="38">
        <v>1.07</v>
      </c>
      <c r="W1504" s="38">
        <v>0.53</v>
      </c>
      <c r="X1504" s="38">
        <v>9.1442200000000007</v>
      </c>
      <c r="Y1504" s="38">
        <f t="shared" si="184"/>
        <v>9</v>
      </c>
      <c r="Z1504" s="38">
        <v>0</v>
      </c>
      <c r="AA1504" s="38">
        <v>0</v>
      </c>
      <c r="AB1504" s="38">
        <v>16.12</v>
      </c>
      <c r="AC1504" s="38">
        <v>1.0683499999999999</v>
      </c>
      <c r="AD1504" s="39">
        <v>13</v>
      </c>
      <c r="AE1504" s="38">
        <v>25.04</v>
      </c>
      <c r="AF1504" s="38">
        <f>(AD1504+AE1504*0.5)/(3.5*I1504*1000)*100</f>
        <v>4.524060663540716E-2</v>
      </c>
      <c r="AG1504" s="38">
        <f t="shared" si="185"/>
        <v>0</v>
      </c>
      <c r="AH1504" s="38">
        <v>0</v>
      </c>
      <c r="AI1504" s="38">
        <f>AH1504/(3.5*I1504*1000)*100</f>
        <v>0</v>
      </c>
      <c r="AJ1504" s="38">
        <v>0</v>
      </c>
      <c r="AK1504" s="38">
        <f>AJ1504/(3.5*I1504*1000)*100</f>
        <v>0</v>
      </c>
      <c r="AL1504" s="38">
        <v>0</v>
      </c>
      <c r="AM1504" s="38">
        <f>AL1504/(3.5*I1504*1000)*100</f>
        <v>0</v>
      </c>
      <c r="AN1504" s="25"/>
      <c r="AO1504" s="25">
        <f>AE1504*0.5</f>
        <v>12.52</v>
      </c>
      <c r="AP1504" s="25">
        <f>(AD1504+AH1504+AJ1504+AL1504+AO1504)*I1504</f>
        <v>411.30583999999999</v>
      </c>
      <c r="AQ1504" s="25"/>
      <c r="AR1504" s="25">
        <f>SUM(N1504:Q1504)</f>
        <v>16.12</v>
      </c>
      <c r="AS1504" s="25">
        <f>SUM(T1504:W1504)</f>
        <v>16.12</v>
      </c>
      <c r="AT1504" s="22"/>
      <c r="AU1504" s="49">
        <f>SUM(N1504:Q1504)</f>
        <v>16.12</v>
      </c>
      <c r="AV1504" s="41">
        <f>SUM(T1504:W1504)</f>
        <v>16.12</v>
      </c>
      <c r="AW1504" s="41">
        <f>SUM(Z1504:AB1504)</f>
        <v>16.12</v>
      </c>
      <c r="AX1504" s="41"/>
      <c r="AY1504" s="22">
        <f>I1504/AU1504</f>
        <v>0.99981389578163771</v>
      </c>
      <c r="AZ1504" s="22">
        <f>I1504/AV1504</f>
        <v>0.99981389578163771</v>
      </c>
      <c r="BA1504" s="22">
        <f>I1504/AW1504</f>
        <v>0.99981389578163771</v>
      </c>
      <c r="BB1504" s="22"/>
      <c r="BC1504" s="22"/>
      <c r="BD1504" s="22"/>
      <c r="BE1504" s="22"/>
      <c r="BF1504" s="22"/>
      <c r="BG1504" s="22"/>
      <c r="BH1504" s="22"/>
      <c r="BI1504" s="22"/>
      <c r="BJ1504" s="22"/>
      <c r="BK1504" s="22"/>
      <c r="BL1504" s="22"/>
      <c r="BM1504" s="22"/>
      <c r="BN1504" s="22"/>
      <c r="BO1504" s="22"/>
      <c r="BP1504" s="22"/>
      <c r="BQ1504" s="22"/>
      <c r="BR1504" s="22"/>
      <c r="BS1504" s="22"/>
      <c r="BT1504" s="22"/>
      <c r="BU1504" s="22"/>
      <c r="BV1504" s="22"/>
      <c r="BW1504" s="22"/>
      <c r="BX1504" s="22"/>
      <c r="BY1504" s="22"/>
      <c r="BZ1504" s="22"/>
      <c r="CA1504" s="22"/>
      <c r="CB1504" s="22"/>
      <c r="CC1504" s="22"/>
      <c r="CD1504" s="22"/>
      <c r="CE1504" s="22"/>
      <c r="CF1504" s="22"/>
      <c r="CG1504" s="22"/>
      <c r="CH1504" s="22"/>
      <c r="CI1504" s="22"/>
      <c r="CJ1504" s="22"/>
    </row>
    <row r="1505" spans="1:88">
      <c r="A1505" s="1">
        <v>1780</v>
      </c>
      <c r="B1505" s="34" t="s">
        <v>2369</v>
      </c>
      <c r="C1505" s="34">
        <v>426</v>
      </c>
      <c r="D1505" s="8">
        <v>3575</v>
      </c>
      <c r="E1505" s="34">
        <v>100</v>
      </c>
      <c r="F1505" s="34" t="s">
        <v>2380</v>
      </c>
      <c r="G1505" s="58" t="s">
        <v>2381</v>
      </c>
      <c r="H1505" s="58" t="s">
        <v>92</v>
      </c>
      <c r="I1505" s="35">
        <v>2.254</v>
      </c>
      <c r="J1505" s="9">
        <v>2</v>
      </c>
      <c r="K1505" s="34" t="s">
        <v>12</v>
      </c>
      <c r="L1505" s="10">
        <v>42233</v>
      </c>
      <c r="M1505" s="37" t="s">
        <v>191</v>
      </c>
      <c r="N1505" s="38">
        <v>1.4</v>
      </c>
      <c r="O1505" s="38">
        <v>0.45</v>
      </c>
      <c r="P1505" s="38">
        <v>0.17499999999999999</v>
      </c>
      <c r="Q1505" s="38">
        <v>2.5000000000000001E-2</v>
      </c>
      <c r="R1505" s="38">
        <v>2.4291900000000002</v>
      </c>
      <c r="S1505" s="38">
        <f t="shared" si="183"/>
        <v>2.5</v>
      </c>
      <c r="T1505" s="38">
        <v>2.0499999999999998</v>
      </c>
      <c r="U1505" s="38">
        <v>0</v>
      </c>
      <c r="V1505" s="38">
        <v>0</v>
      </c>
      <c r="W1505" s="38">
        <v>0</v>
      </c>
      <c r="X1505" s="38">
        <v>4.0362200000000001</v>
      </c>
      <c r="Y1505" s="38">
        <f t="shared" si="184"/>
        <v>4</v>
      </c>
      <c r="Z1505" s="38">
        <v>0</v>
      </c>
      <c r="AA1505" s="38">
        <v>0</v>
      </c>
      <c r="AB1505" s="38">
        <f>SUM(T1505:W1505)</f>
        <v>2.0499999999999998</v>
      </c>
      <c r="AC1505" s="38">
        <v>1.08182</v>
      </c>
      <c r="AD1505" s="39">
        <v>0</v>
      </c>
      <c r="AE1505" s="38">
        <v>10.42</v>
      </c>
      <c r="AF1505" s="38">
        <v>4.5220000000000003E-2</v>
      </c>
      <c r="AG1505" s="38">
        <f t="shared" si="185"/>
        <v>0</v>
      </c>
      <c r="AH1505" s="38">
        <v>0</v>
      </c>
      <c r="AI1505" s="38">
        <v>0</v>
      </c>
      <c r="AJ1505" s="38">
        <v>91</v>
      </c>
      <c r="AK1505" s="38">
        <v>0.78979299999999997</v>
      </c>
      <c r="AL1505" s="38">
        <v>11.51</v>
      </c>
      <c r="AM1505" s="38">
        <v>9.9900000000000003E-2</v>
      </c>
      <c r="AN1505" s="25"/>
      <c r="AO1505" s="25">
        <f>AE1505*0.5</f>
        <v>5.21</v>
      </c>
      <c r="AP1505" s="25">
        <f>(AD1505+AH1505+AJ1505+AL1505+AO1505)*I1505</f>
        <v>242.80088000000001</v>
      </c>
      <c r="AQ1505" s="25">
        <f>SUM(N1505:Q1505)</f>
        <v>2.0499999999999998</v>
      </c>
      <c r="AR1505" s="25">
        <f>SUM(T1505:W1505)</f>
        <v>2.0499999999999998</v>
      </c>
      <c r="AS1505" s="22"/>
      <c r="AT1505" s="41"/>
      <c r="AU1505" s="49"/>
      <c r="AV1505" s="41"/>
      <c r="AW1505" s="41"/>
      <c r="AX1505" s="22"/>
      <c r="AY1505" s="22"/>
      <c r="AZ1505" s="22"/>
      <c r="BA1505" s="22"/>
      <c r="BB1505" s="22"/>
      <c r="BC1505" s="22"/>
      <c r="BD1505" s="22"/>
      <c r="BE1505" s="22"/>
      <c r="BF1505" s="22"/>
      <c r="BG1505" s="22"/>
      <c r="BH1505" s="22"/>
      <c r="BI1505" s="22"/>
      <c r="BJ1505" s="22"/>
      <c r="BK1505" s="22"/>
      <c r="BL1505" s="22"/>
      <c r="BM1505" s="22"/>
      <c r="BN1505" s="22"/>
      <c r="BO1505" s="22"/>
      <c r="BP1505" s="22"/>
      <c r="BQ1505" s="22"/>
      <c r="BR1505" s="22"/>
      <c r="BS1505" s="22"/>
      <c r="BT1505" s="22"/>
      <c r="BU1505" s="22"/>
      <c r="BV1505" s="22"/>
      <c r="BW1505" s="22"/>
      <c r="BX1505" s="22"/>
      <c r="BY1505" s="22"/>
      <c r="BZ1505" s="22"/>
      <c r="CA1505" s="22"/>
      <c r="CB1505" s="22"/>
      <c r="CC1505" s="22"/>
      <c r="CD1505" s="22"/>
      <c r="CE1505" s="22"/>
      <c r="CF1505" s="22"/>
      <c r="CG1505" s="22"/>
      <c r="CH1505" s="22"/>
      <c r="CI1505" s="22"/>
      <c r="CJ1505" s="22"/>
    </row>
    <row r="1506" spans="1:88" s="22" customFormat="1">
      <c r="A1506" s="1">
        <v>233</v>
      </c>
      <c r="B1506" s="34" t="s">
        <v>436</v>
      </c>
      <c r="C1506" s="34">
        <v>537</v>
      </c>
      <c r="D1506" s="34">
        <v>1093</v>
      </c>
      <c r="E1506" s="34">
        <v>100</v>
      </c>
      <c r="F1506" s="34" t="s">
        <v>448</v>
      </c>
      <c r="G1506" s="20">
        <v>40427</v>
      </c>
      <c r="H1506" s="20">
        <v>89767</v>
      </c>
      <c r="I1506" s="35">
        <v>49.24</v>
      </c>
      <c r="J1506" s="33">
        <v>2</v>
      </c>
      <c r="K1506" s="34" t="s">
        <v>12</v>
      </c>
      <c r="L1506" s="10">
        <v>42199</v>
      </c>
      <c r="M1506" s="37" t="s">
        <v>191</v>
      </c>
      <c r="N1506" s="38">
        <v>10.54</v>
      </c>
      <c r="O1506" s="38">
        <v>14.95</v>
      </c>
      <c r="P1506" s="38">
        <v>13.11</v>
      </c>
      <c r="Q1506" s="38">
        <v>10.64</v>
      </c>
      <c r="R1506" s="38">
        <v>3.7415799999999999</v>
      </c>
      <c r="S1506" s="38">
        <f t="shared" si="183"/>
        <v>3.5</v>
      </c>
      <c r="T1506" s="38">
        <v>43.89</v>
      </c>
      <c r="U1506" s="38">
        <v>3.51</v>
      </c>
      <c r="V1506" s="38">
        <v>0.97</v>
      </c>
      <c r="W1506" s="38">
        <v>0.87</v>
      </c>
      <c r="X1506" s="38">
        <v>5.4605199999999998</v>
      </c>
      <c r="Y1506" s="38">
        <f t="shared" si="184"/>
        <v>5.5</v>
      </c>
      <c r="Z1506" s="38">
        <v>0.1</v>
      </c>
      <c r="AA1506" s="38">
        <v>0.25</v>
      </c>
      <c r="AB1506" s="38">
        <v>48.89</v>
      </c>
      <c r="AC1506" s="38">
        <v>1.7552000000000001</v>
      </c>
      <c r="AD1506" s="39">
        <v>78</v>
      </c>
      <c r="AE1506" s="38">
        <v>0</v>
      </c>
      <c r="AF1506" s="38">
        <v>4.5167641438415659E-2</v>
      </c>
      <c r="AG1506" s="38">
        <f t="shared" si="185"/>
        <v>0</v>
      </c>
      <c r="AH1506" s="38">
        <v>40</v>
      </c>
      <c r="AI1506" s="38">
        <v>2.3162893045341363E-2</v>
      </c>
      <c r="AJ1506" s="38">
        <v>50</v>
      </c>
      <c r="AK1506" s="55">
        <v>2.8953616306676703E-2</v>
      </c>
      <c r="AL1506" s="55">
        <v>297</v>
      </c>
      <c r="AM1506" s="55">
        <v>0.17198448086165963</v>
      </c>
      <c r="AN1506" s="40"/>
      <c r="AO1506" s="25">
        <f>SUM(N1506:Q1506)</f>
        <v>49.239999999999995</v>
      </c>
      <c r="AP1506" s="25">
        <f>SUM(T1506:W1506)</f>
        <v>49.239999999999995</v>
      </c>
      <c r="AQ1506" s="268">
        <v>49.34</v>
      </c>
      <c r="AR1506" s="41"/>
      <c r="AS1506" s="41"/>
      <c r="AT1506" s="41"/>
      <c r="AU1506" s="49">
        <f>SUM(N1506:Q1506)</f>
        <v>49.239999999999995</v>
      </c>
      <c r="AV1506" s="41">
        <f>SUM(T1506:W1506)</f>
        <v>49.239999999999995</v>
      </c>
      <c r="AW1506" s="41">
        <f>SUM(Z1506:AB1506)</f>
        <v>49.24</v>
      </c>
      <c r="AY1506" s="22">
        <f>I1506/AU1506</f>
        <v>1.0000000000000002</v>
      </c>
      <c r="AZ1506" s="22">
        <f>I1506/AV1506</f>
        <v>1.0000000000000002</v>
      </c>
      <c r="BA1506" s="22">
        <f>I1506/AW1506</f>
        <v>1</v>
      </c>
    </row>
    <row r="1507" spans="1:88" s="22" customFormat="1">
      <c r="A1507" s="1">
        <v>691</v>
      </c>
      <c r="B1507" s="34" t="s">
        <v>1084</v>
      </c>
      <c r="C1507" s="34">
        <v>624</v>
      </c>
      <c r="D1507" s="34">
        <v>2329</v>
      </c>
      <c r="E1507" s="34">
        <v>100</v>
      </c>
      <c r="F1507" s="34" t="s">
        <v>1101</v>
      </c>
      <c r="G1507" s="58">
        <v>0</v>
      </c>
      <c r="H1507" s="58">
        <v>27512</v>
      </c>
      <c r="I1507" s="35">
        <v>27.512</v>
      </c>
      <c r="J1507" s="127">
        <v>2</v>
      </c>
      <c r="K1507" s="34" t="s">
        <v>238</v>
      </c>
      <c r="L1507" s="10">
        <v>42171</v>
      </c>
      <c r="M1507" s="37" t="s">
        <v>191</v>
      </c>
      <c r="N1507" s="38">
        <v>19.3</v>
      </c>
      <c r="O1507" s="38">
        <v>6.3</v>
      </c>
      <c r="P1507" s="38">
        <v>1.45</v>
      </c>
      <c r="Q1507" s="38">
        <v>0.32500000000000001</v>
      </c>
      <c r="R1507" s="38">
        <v>2.2650399999999999</v>
      </c>
      <c r="S1507" s="38">
        <f t="shared" si="183"/>
        <v>2.5</v>
      </c>
      <c r="T1507" s="38">
        <v>26.9</v>
      </c>
      <c r="U1507" s="38">
        <v>0.4</v>
      </c>
      <c r="V1507" s="38">
        <v>7.4999999999999997E-2</v>
      </c>
      <c r="W1507" s="38">
        <v>0</v>
      </c>
      <c r="X1507" s="38">
        <v>2.6682399999999999</v>
      </c>
      <c r="Y1507" s="38">
        <f t="shared" si="184"/>
        <v>2.5</v>
      </c>
      <c r="Z1507" s="38">
        <v>0</v>
      </c>
      <c r="AA1507" s="38">
        <v>0</v>
      </c>
      <c r="AB1507" s="38">
        <f>N1507+O1507+P1507+Q1507</f>
        <v>27.375</v>
      </c>
      <c r="AC1507" s="38">
        <v>1.28209</v>
      </c>
      <c r="AD1507" s="39">
        <v>25.53</v>
      </c>
      <c r="AE1507" s="38">
        <v>35.85</v>
      </c>
      <c r="AF1507" s="38">
        <v>4.5130000000000003E-2</v>
      </c>
      <c r="AG1507" s="38">
        <f t="shared" si="185"/>
        <v>0</v>
      </c>
      <c r="AH1507" s="38">
        <v>1.7</v>
      </c>
      <c r="AI1507" s="38">
        <v>1.7700000000000001E-3</v>
      </c>
      <c r="AJ1507" s="38">
        <v>0</v>
      </c>
      <c r="AK1507" s="38">
        <v>0</v>
      </c>
      <c r="AL1507" s="38">
        <v>7.87</v>
      </c>
      <c r="AM1507" s="38">
        <v>8.1700000000000002E-3</v>
      </c>
      <c r="AN1507" s="25"/>
      <c r="AO1507" s="25">
        <f>AE1507*0.5</f>
        <v>17.925000000000001</v>
      </c>
      <c r="AP1507" s="25">
        <f>(AD1507+AH1507+AJ1507+AL1507+AO1507)*I1507</f>
        <v>1458.8238000000001</v>
      </c>
      <c r="AQ1507" s="25">
        <f>SUM(N1507:Q1507)</f>
        <v>27.375</v>
      </c>
      <c r="AR1507" s="25">
        <f>SUM(T1507:W1507)</f>
        <v>27.374999999999996</v>
      </c>
      <c r="AT1507" s="41"/>
      <c r="AU1507" s="49"/>
      <c r="AV1507" s="41"/>
      <c r="AW1507" s="41"/>
    </row>
    <row r="1508" spans="1:88" s="22" customFormat="1">
      <c r="A1508" s="1">
        <v>1674</v>
      </c>
      <c r="B1508" s="34" t="s">
        <v>2272</v>
      </c>
      <c r="C1508" s="34">
        <v>419</v>
      </c>
      <c r="D1508" s="69">
        <v>3900</v>
      </c>
      <c r="E1508" s="34">
        <v>101</v>
      </c>
      <c r="F1508" s="34" t="s">
        <v>2273</v>
      </c>
      <c r="G1508" s="58" t="s">
        <v>92</v>
      </c>
      <c r="H1508" s="58">
        <v>12577</v>
      </c>
      <c r="I1508" s="35">
        <v>12.577</v>
      </c>
      <c r="J1508" s="34">
        <v>2</v>
      </c>
      <c r="K1508" s="34" t="s">
        <v>238</v>
      </c>
      <c r="L1508" s="10">
        <v>42243</v>
      </c>
      <c r="M1508" s="37" t="s">
        <v>191</v>
      </c>
      <c r="N1508" s="55">
        <v>4.8250000000000002</v>
      </c>
      <c r="O1508" s="55">
        <v>2.95</v>
      </c>
      <c r="P1508" s="55">
        <v>1.925</v>
      </c>
      <c r="Q1508" s="55">
        <v>1.85</v>
      </c>
      <c r="R1508" s="55">
        <v>3.4769999999999999</v>
      </c>
      <c r="S1508" s="38">
        <f t="shared" si="183"/>
        <v>3.5</v>
      </c>
      <c r="T1508" s="38">
        <v>10.225</v>
      </c>
      <c r="U1508" s="38">
        <v>0.82499999999999996</v>
      </c>
      <c r="V1508" s="38">
        <v>0.27500000000000002</v>
      </c>
      <c r="W1508" s="38">
        <v>0.22500000000000001</v>
      </c>
      <c r="X1508" s="38">
        <v>6.4809999999999999</v>
      </c>
      <c r="Y1508" s="38">
        <f t="shared" si="184"/>
        <v>6.5</v>
      </c>
      <c r="Z1508" s="38">
        <v>0</v>
      </c>
      <c r="AA1508" s="38">
        <v>0</v>
      </c>
      <c r="AB1508" s="38">
        <f>SUM(N1508:Q1508)</f>
        <v>11.55</v>
      </c>
      <c r="AC1508" s="38">
        <v>1.1890000000000001</v>
      </c>
      <c r="AD1508" s="39">
        <v>19</v>
      </c>
      <c r="AE1508" s="38">
        <v>1.67</v>
      </c>
      <c r="AF1508" s="38">
        <f t="shared" ref="AF1508:AF1515" si="190">(AD1508+AE1508*0.5)/(3.5*I1508*1000)*100</f>
        <v>4.5059575869784985E-2</v>
      </c>
      <c r="AG1508" s="38">
        <f t="shared" si="185"/>
        <v>0</v>
      </c>
      <c r="AH1508" s="38">
        <v>0</v>
      </c>
      <c r="AI1508" s="38">
        <f t="shared" ref="AI1508:AI1515" si="191">AH1508/(3.5*I1508*1000)*100</f>
        <v>0</v>
      </c>
      <c r="AJ1508" s="38">
        <v>83.78</v>
      </c>
      <c r="AK1508" s="38">
        <f t="shared" ref="AK1508:AK1515" si="192">AJ1508/(3.5*I1508*1000)*100</f>
        <v>0.19032474244368974</v>
      </c>
      <c r="AL1508" s="38">
        <v>0</v>
      </c>
      <c r="AM1508" s="38">
        <f t="shared" ref="AM1508:AM1515" si="193">AL1508/(3.5*I1508*1000)*100</f>
        <v>0</v>
      </c>
      <c r="AN1508" s="25"/>
      <c r="AO1508" s="25">
        <f>AE1508*0.5</f>
        <v>0.83499999999999996</v>
      </c>
      <c r="AP1508" s="25">
        <f>(AD1508+AH1508+AJ1508+AL1508+AO1508)*I1508</f>
        <v>1303.165855</v>
      </c>
      <c r="AQ1508" s="25">
        <f>(AD1508+AH1508+AJ1508+AL1508)*I1508</f>
        <v>1292.6640600000001</v>
      </c>
      <c r="AR1508" s="25">
        <f>SUM(N1508:Q1508)</f>
        <v>11.55</v>
      </c>
      <c r="AS1508" s="25">
        <f>SUM(T1508:W1508)</f>
        <v>11.549999999999999</v>
      </c>
      <c r="AU1508" s="49"/>
      <c r="AV1508" s="41"/>
      <c r="AW1508" s="41"/>
      <c r="AX1508" s="41"/>
    </row>
    <row r="1509" spans="1:88" s="22" customFormat="1">
      <c r="A1509" s="1">
        <v>80</v>
      </c>
      <c r="B1509" s="4" t="s">
        <v>44</v>
      </c>
      <c r="C1509" s="14">
        <v>524</v>
      </c>
      <c r="D1509" s="19">
        <v>1184</v>
      </c>
      <c r="E1509" s="16">
        <v>100</v>
      </c>
      <c r="F1509" s="14" t="s">
        <v>58</v>
      </c>
      <c r="G1509" s="20" t="s">
        <v>92</v>
      </c>
      <c r="H1509" s="20" t="s">
        <v>143</v>
      </c>
      <c r="I1509" s="21">
        <v>73.3</v>
      </c>
      <c r="J1509" s="8">
        <v>2</v>
      </c>
      <c r="K1509" s="9" t="s">
        <v>238</v>
      </c>
      <c r="L1509" s="18">
        <v>42226</v>
      </c>
      <c r="M1509" s="37" t="s">
        <v>191</v>
      </c>
      <c r="N1509" s="11">
        <v>45.3</v>
      </c>
      <c r="O1509" s="11">
        <v>20.425000000000001</v>
      </c>
      <c r="P1509" s="11">
        <v>5.3250000000000002</v>
      </c>
      <c r="Q1509" s="11">
        <v>2.4500000000000002</v>
      </c>
      <c r="R1509" s="11">
        <v>2.54488</v>
      </c>
      <c r="S1509" s="38">
        <f t="shared" si="183"/>
        <v>2.5</v>
      </c>
      <c r="T1509" s="11">
        <v>71.224999999999994</v>
      </c>
      <c r="U1509" s="11">
        <v>2</v>
      </c>
      <c r="V1509" s="11">
        <v>0.2</v>
      </c>
      <c r="W1509" s="11">
        <v>7.4999999999999997E-2</v>
      </c>
      <c r="X1509" s="11">
        <v>4.2726499999999996</v>
      </c>
      <c r="Y1509" s="38">
        <f t="shared" si="184"/>
        <v>4.5</v>
      </c>
      <c r="Z1509" s="11">
        <v>0</v>
      </c>
      <c r="AA1509" s="11">
        <v>0</v>
      </c>
      <c r="AB1509" s="11">
        <v>73.5</v>
      </c>
      <c r="AC1509" s="11">
        <v>1.3776299999999999</v>
      </c>
      <c r="AD1509" s="164">
        <v>114.62</v>
      </c>
      <c r="AE1509" s="11">
        <v>1.6099999999999999</v>
      </c>
      <c r="AF1509" s="11">
        <f t="shared" si="190"/>
        <v>4.4991229779770027E-2</v>
      </c>
      <c r="AG1509" s="38">
        <f t="shared" si="185"/>
        <v>0</v>
      </c>
      <c r="AH1509" s="11">
        <v>0</v>
      </c>
      <c r="AI1509" s="11">
        <f t="shared" si="191"/>
        <v>0</v>
      </c>
      <c r="AJ1509" s="11">
        <v>0</v>
      </c>
      <c r="AK1509" s="11">
        <f t="shared" si="192"/>
        <v>0</v>
      </c>
      <c r="AL1509" s="11">
        <v>0</v>
      </c>
      <c r="AM1509" s="11">
        <f t="shared" si="193"/>
        <v>0</v>
      </c>
      <c r="AN1509" s="25"/>
      <c r="AO1509" s="25"/>
      <c r="AU1509" s="48"/>
    </row>
    <row r="1510" spans="1:88" s="22" customFormat="1">
      <c r="A1510" s="1">
        <v>777</v>
      </c>
      <c r="B1510" s="34" t="s">
        <v>1149</v>
      </c>
      <c r="C1510" s="34">
        <v>622</v>
      </c>
      <c r="D1510" s="8">
        <v>2381</v>
      </c>
      <c r="E1510" s="34">
        <v>100</v>
      </c>
      <c r="F1510" s="34" t="s">
        <v>1169</v>
      </c>
      <c r="G1510" s="58">
        <v>0</v>
      </c>
      <c r="H1510" s="58">
        <v>30003</v>
      </c>
      <c r="I1510" s="35">
        <v>30.003</v>
      </c>
      <c r="J1510" s="9">
        <v>2</v>
      </c>
      <c r="K1510" s="34" t="s">
        <v>238</v>
      </c>
      <c r="L1510" s="10">
        <v>42151</v>
      </c>
      <c r="M1510" s="37" t="s">
        <v>191</v>
      </c>
      <c r="N1510" s="38">
        <v>23.274999999999999</v>
      </c>
      <c r="O1510" s="38">
        <v>5.35</v>
      </c>
      <c r="P1510" s="38">
        <v>1</v>
      </c>
      <c r="Q1510" s="38">
        <v>0.27500000000000002</v>
      </c>
      <c r="R1510" s="38">
        <v>2.6920000000000002</v>
      </c>
      <c r="S1510" s="38">
        <f t="shared" si="183"/>
        <v>2.5</v>
      </c>
      <c r="T1510" s="38">
        <v>29.05</v>
      </c>
      <c r="U1510" s="38">
        <v>0.85</v>
      </c>
      <c r="V1510" s="38">
        <v>0.1</v>
      </c>
      <c r="W1510" s="38">
        <v>0</v>
      </c>
      <c r="X1510" s="38">
        <v>3.3809999999999998</v>
      </c>
      <c r="Y1510" s="38">
        <f t="shared" si="184"/>
        <v>3.5</v>
      </c>
      <c r="Z1510" s="38">
        <v>0</v>
      </c>
      <c r="AA1510" s="38">
        <v>0</v>
      </c>
      <c r="AB1510" s="38">
        <v>30</v>
      </c>
      <c r="AC1510" s="38">
        <v>1.2609999999999999</v>
      </c>
      <c r="AD1510" s="39">
        <v>1</v>
      </c>
      <c r="AE1510" s="38">
        <v>92</v>
      </c>
      <c r="AF1510" s="38">
        <f t="shared" si="190"/>
        <v>4.4757429019002856E-2</v>
      </c>
      <c r="AG1510" s="38">
        <f t="shared" si="185"/>
        <v>0</v>
      </c>
      <c r="AH1510" s="38">
        <v>15</v>
      </c>
      <c r="AI1510" s="38">
        <f t="shared" si="191"/>
        <v>1.4284285857128572E-2</v>
      </c>
      <c r="AJ1510" s="38">
        <v>0</v>
      </c>
      <c r="AK1510" s="38">
        <f t="shared" si="192"/>
        <v>0</v>
      </c>
      <c r="AL1510" s="38">
        <v>0</v>
      </c>
      <c r="AM1510" s="38">
        <f t="shared" si="193"/>
        <v>0</v>
      </c>
      <c r="AN1510" s="25"/>
      <c r="AO1510" s="25">
        <f>AE1510*0.5</f>
        <v>46</v>
      </c>
      <c r="AP1510" s="25">
        <f>(AD1510+AH1510+AJ1510+AL1510+AO1510)*I1510</f>
        <v>1860.1859999999999</v>
      </c>
      <c r="AQ1510" s="25">
        <f>SUM(N1510:Q1510)</f>
        <v>29.9</v>
      </c>
      <c r="AR1510" s="25">
        <f>SUM(T1510:W1510)</f>
        <v>30.000000000000004</v>
      </c>
      <c r="AS1510" s="268">
        <v>30.003</v>
      </c>
      <c r="AT1510" s="41"/>
      <c r="AU1510" s="49">
        <f>SUM(N1510:Q1510)</f>
        <v>29.9</v>
      </c>
      <c r="AV1510" s="41">
        <f>SUM(T1510:W1510)</f>
        <v>30.000000000000004</v>
      </c>
      <c r="AW1510" s="41">
        <f>SUM(Z1510:AB1510)</f>
        <v>30</v>
      </c>
      <c r="AY1510" s="22">
        <f>I1510/AU1510</f>
        <v>1.0034448160535117</v>
      </c>
      <c r="AZ1510" s="22">
        <f>I1510/AV1510</f>
        <v>1.0001</v>
      </c>
      <c r="BA1510" s="22">
        <f>I1510/AW1510</f>
        <v>1.0001</v>
      </c>
    </row>
    <row r="1511" spans="1:88" s="22" customFormat="1">
      <c r="A1511" s="1">
        <v>620</v>
      </c>
      <c r="B1511" s="34" t="s">
        <v>1017</v>
      </c>
      <c r="C1511" s="34">
        <v>555</v>
      </c>
      <c r="D1511" s="34">
        <v>2115</v>
      </c>
      <c r="E1511" s="34">
        <v>101</v>
      </c>
      <c r="F1511" s="9" t="s">
        <v>1023</v>
      </c>
      <c r="G1511" s="118">
        <v>0</v>
      </c>
      <c r="H1511" s="118">
        <v>27450</v>
      </c>
      <c r="I1511" s="35">
        <v>27.45</v>
      </c>
      <c r="J1511" s="78">
        <v>2</v>
      </c>
      <c r="K1511" s="34" t="s">
        <v>238</v>
      </c>
      <c r="L1511" s="10">
        <v>42186</v>
      </c>
      <c r="M1511" s="37" t="s">
        <v>191</v>
      </c>
      <c r="N1511" s="38">
        <v>14</v>
      </c>
      <c r="O1511" s="38">
        <v>7.9749999999999996</v>
      </c>
      <c r="P1511" s="38">
        <v>3.85</v>
      </c>
      <c r="Q1511" s="38">
        <v>1.55</v>
      </c>
      <c r="R1511" s="38">
        <v>2.5058500000000001</v>
      </c>
      <c r="S1511" s="38">
        <f t="shared" si="183"/>
        <v>2.5</v>
      </c>
      <c r="T1511" s="38">
        <v>25.7</v>
      </c>
      <c r="U1511" s="38">
        <v>1.45</v>
      </c>
      <c r="V1511" s="38">
        <v>0.2</v>
      </c>
      <c r="W1511" s="38">
        <v>2.5000000000000001E-2</v>
      </c>
      <c r="X1511" s="38">
        <v>4.1527000000000003</v>
      </c>
      <c r="Y1511" s="38">
        <f t="shared" si="184"/>
        <v>4</v>
      </c>
      <c r="Z1511" s="38">
        <v>0</v>
      </c>
      <c r="AA1511" s="38">
        <v>0</v>
      </c>
      <c r="AB1511" s="38">
        <f>N1511+O1511+P1511+Q1511</f>
        <v>27.375000000000004</v>
      </c>
      <c r="AC1511" s="38">
        <v>1.1695599999999999</v>
      </c>
      <c r="AD1511" s="39">
        <v>43</v>
      </c>
      <c r="AE1511" s="38">
        <v>0</v>
      </c>
      <c r="AF1511" s="38">
        <f t="shared" si="190"/>
        <v>4.4756700494405416E-2</v>
      </c>
      <c r="AG1511" s="38">
        <f t="shared" si="185"/>
        <v>0</v>
      </c>
      <c r="AH1511" s="38">
        <v>9</v>
      </c>
      <c r="AI1511" s="38">
        <f t="shared" si="191"/>
        <v>9.3676814988290398E-3</v>
      </c>
      <c r="AJ1511" s="38">
        <v>0</v>
      </c>
      <c r="AK1511" s="38">
        <f t="shared" si="192"/>
        <v>0</v>
      </c>
      <c r="AL1511" s="38">
        <v>0</v>
      </c>
      <c r="AM1511" s="38">
        <f t="shared" si="193"/>
        <v>0</v>
      </c>
      <c r="AN1511" s="25"/>
      <c r="AO1511" s="25">
        <f>AE1511*0.5</f>
        <v>0</v>
      </c>
      <c r="AP1511" s="25">
        <f>(AD1511+AH1511+AJ1511+AL1511+AO1511)*I1511</f>
        <v>1427.3999999999999</v>
      </c>
      <c r="AQ1511" s="25">
        <f>SUM(N1511:Q1511)</f>
        <v>27.375000000000004</v>
      </c>
      <c r="AR1511" s="25">
        <f>SUM(T1511:W1511)</f>
        <v>27.374999999999996</v>
      </c>
      <c r="AT1511" s="41"/>
      <c r="AU1511" s="49"/>
      <c r="AV1511" s="41"/>
      <c r="AW1511" s="41"/>
    </row>
    <row r="1512" spans="1:88" s="22" customFormat="1">
      <c r="A1512" s="1">
        <v>1791</v>
      </c>
      <c r="B1512" s="34" t="s">
        <v>2382</v>
      </c>
      <c r="C1512" s="34">
        <v>428</v>
      </c>
      <c r="D1512" s="8">
        <v>3134</v>
      </c>
      <c r="E1512" s="34">
        <v>100</v>
      </c>
      <c r="F1512" s="34" t="s">
        <v>2392</v>
      </c>
      <c r="G1512" s="58">
        <v>0</v>
      </c>
      <c r="H1512" s="58">
        <v>7533</v>
      </c>
      <c r="I1512" s="35">
        <v>7.5330000000000004</v>
      </c>
      <c r="J1512" s="9">
        <v>6</v>
      </c>
      <c r="K1512" s="34" t="s">
        <v>237</v>
      </c>
      <c r="L1512" s="10">
        <v>42230</v>
      </c>
      <c r="M1512" s="37" t="s">
        <v>191</v>
      </c>
      <c r="N1512" s="38">
        <v>4.05</v>
      </c>
      <c r="O1512" s="38">
        <v>2.2250000000000001</v>
      </c>
      <c r="P1512" s="38">
        <v>1.0249999999999999</v>
      </c>
      <c r="Q1512" s="38">
        <v>0.27500000000000002</v>
      </c>
      <c r="R1512" s="38">
        <v>2.8803700000000001</v>
      </c>
      <c r="S1512" s="38">
        <f t="shared" si="183"/>
        <v>3</v>
      </c>
      <c r="T1512" s="38">
        <v>5.7</v>
      </c>
      <c r="U1512" s="38">
        <v>1.625</v>
      </c>
      <c r="V1512" s="38">
        <v>0.2</v>
      </c>
      <c r="W1512" s="38">
        <v>0.05</v>
      </c>
      <c r="X1512" s="38">
        <v>7.3857699999999999</v>
      </c>
      <c r="Y1512" s="38">
        <f t="shared" si="184"/>
        <v>7.5</v>
      </c>
      <c r="Z1512" s="38">
        <v>0</v>
      </c>
      <c r="AA1512" s="38">
        <v>0</v>
      </c>
      <c r="AB1512" s="38">
        <f>SUM(N1512:Q1512)</f>
        <v>7.5750000000000011</v>
      </c>
      <c r="AC1512" s="38">
        <v>1.14228</v>
      </c>
      <c r="AD1512" s="39">
        <v>5.9</v>
      </c>
      <c r="AE1512" s="38">
        <v>11.78</v>
      </c>
      <c r="AF1512" s="38">
        <f t="shared" si="190"/>
        <v>4.4717528588496328E-2</v>
      </c>
      <c r="AG1512" s="38">
        <f t="shared" si="185"/>
        <v>0</v>
      </c>
      <c r="AH1512" s="38">
        <v>0</v>
      </c>
      <c r="AI1512" s="38">
        <f t="shared" si="191"/>
        <v>0</v>
      </c>
      <c r="AJ1512" s="38">
        <v>0</v>
      </c>
      <c r="AK1512" s="38">
        <f t="shared" si="192"/>
        <v>0</v>
      </c>
      <c r="AL1512" s="38">
        <v>0</v>
      </c>
      <c r="AM1512" s="38">
        <f t="shared" si="193"/>
        <v>0</v>
      </c>
      <c r="AN1512" s="25"/>
      <c r="AO1512" s="25">
        <f>AE1512*0.5</f>
        <v>5.89</v>
      </c>
      <c r="AP1512" s="25">
        <f>(AD1512+AH1512+AJ1512+AL1512+AO1512)*I1512</f>
        <v>88.814070000000001</v>
      </c>
      <c r="AQ1512" s="25">
        <f>SUM(N1512:Q1512)</f>
        <v>7.5750000000000011</v>
      </c>
      <c r="AR1512" s="25">
        <f>SUM(T1512:W1512)</f>
        <v>7.5750000000000002</v>
      </c>
      <c r="AT1512" s="41"/>
      <c r="AU1512" s="49"/>
      <c r="AV1512" s="41"/>
      <c r="AW1512" s="41"/>
    </row>
    <row r="1513" spans="1:88" s="22" customFormat="1">
      <c r="A1513" s="1">
        <v>1781</v>
      </c>
      <c r="B1513" s="34" t="s">
        <v>2382</v>
      </c>
      <c r="C1513" s="34">
        <v>428</v>
      </c>
      <c r="D1513" s="8">
        <v>331</v>
      </c>
      <c r="E1513" s="34">
        <v>101</v>
      </c>
      <c r="F1513" s="34" t="s">
        <v>2383</v>
      </c>
      <c r="G1513" s="58" t="s">
        <v>279</v>
      </c>
      <c r="H1513" s="58" t="s">
        <v>92</v>
      </c>
      <c r="I1513" s="35">
        <v>10</v>
      </c>
      <c r="J1513" s="9">
        <v>2</v>
      </c>
      <c r="K1513" s="34" t="s">
        <v>96</v>
      </c>
      <c r="L1513" s="10">
        <v>42230</v>
      </c>
      <c r="M1513" s="37" t="s">
        <v>191</v>
      </c>
      <c r="N1513" s="38">
        <v>6.6749999999999998</v>
      </c>
      <c r="O1513" s="38">
        <v>2</v>
      </c>
      <c r="P1513" s="38">
        <v>0.85</v>
      </c>
      <c r="Q1513" s="38">
        <v>0.45</v>
      </c>
      <c r="R1513" s="38">
        <v>2.31176</v>
      </c>
      <c r="S1513" s="38">
        <f t="shared" si="183"/>
        <v>2.5</v>
      </c>
      <c r="T1513" s="38">
        <v>9.5500000000000007</v>
      </c>
      <c r="U1513" s="38">
        <v>0.4</v>
      </c>
      <c r="V1513" s="38">
        <v>2.5000000000000001E-2</v>
      </c>
      <c r="W1513" s="38">
        <v>0</v>
      </c>
      <c r="X1513" s="38">
        <v>5.0850400000000002</v>
      </c>
      <c r="Y1513" s="38">
        <f t="shared" si="184"/>
        <v>5</v>
      </c>
      <c r="Z1513" s="38">
        <v>0</v>
      </c>
      <c r="AA1513" s="38">
        <v>0</v>
      </c>
      <c r="AB1513" s="38">
        <f>SUM(N1513:Q1513)</f>
        <v>9.9749999999999996</v>
      </c>
      <c r="AC1513" s="38">
        <v>1.29434</v>
      </c>
      <c r="AD1513" s="39">
        <v>15.64</v>
      </c>
      <c r="AE1513" s="38">
        <v>0</v>
      </c>
      <c r="AF1513" s="38">
        <f t="shared" si="190"/>
        <v>4.4685714285714287E-2</v>
      </c>
      <c r="AG1513" s="38">
        <f t="shared" si="185"/>
        <v>0</v>
      </c>
      <c r="AH1513" s="38">
        <v>0</v>
      </c>
      <c r="AI1513" s="38">
        <f t="shared" si="191"/>
        <v>0</v>
      </c>
      <c r="AJ1513" s="38">
        <v>0</v>
      </c>
      <c r="AK1513" s="38">
        <f t="shared" si="192"/>
        <v>0</v>
      </c>
      <c r="AL1513" s="38">
        <v>0</v>
      </c>
      <c r="AM1513" s="38">
        <f t="shared" si="193"/>
        <v>0</v>
      </c>
      <c r="AN1513" s="25"/>
      <c r="AO1513" s="25">
        <f>AE1513*0.5</f>
        <v>0</v>
      </c>
      <c r="AP1513" s="25">
        <f>(AD1513+AH1513+AJ1513+AL1513+AO1513)*I1513</f>
        <v>156.4</v>
      </c>
      <c r="AQ1513" s="25">
        <f>SUM(N1513:Q1513)</f>
        <v>9.9749999999999996</v>
      </c>
      <c r="AR1513" s="25">
        <f>SUM(T1513:W1513)</f>
        <v>9.9750000000000014</v>
      </c>
      <c r="AT1513" s="41"/>
      <c r="AU1513" s="49"/>
      <c r="AV1513" s="41"/>
      <c r="AW1513" s="41"/>
    </row>
    <row r="1514" spans="1:88" s="22" customFormat="1">
      <c r="A1514" s="1">
        <v>1073</v>
      </c>
      <c r="B1514" s="34" t="s">
        <v>1467</v>
      </c>
      <c r="C1514" s="34">
        <v>619</v>
      </c>
      <c r="D1514" s="8">
        <v>3076</v>
      </c>
      <c r="E1514" s="34">
        <v>402</v>
      </c>
      <c r="F1514" s="34" t="s">
        <v>1478</v>
      </c>
      <c r="G1514" s="58" t="s">
        <v>1479</v>
      </c>
      <c r="H1514" s="58" t="s">
        <v>1476</v>
      </c>
      <c r="I1514" s="35">
        <v>41.728000000000002</v>
      </c>
      <c r="J1514" s="9">
        <v>2</v>
      </c>
      <c r="K1514" s="34" t="s">
        <v>12</v>
      </c>
      <c r="L1514" s="10">
        <v>42095</v>
      </c>
      <c r="M1514" s="37" t="s">
        <v>191</v>
      </c>
      <c r="N1514" s="38">
        <v>26.16</v>
      </c>
      <c r="O1514" s="38">
        <v>9.93</v>
      </c>
      <c r="P1514" s="38">
        <v>3.85</v>
      </c>
      <c r="Q1514" s="38">
        <v>1.79</v>
      </c>
      <c r="R1514" s="38">
        <v>2.44713</v>
      </c>
      <c r="S1514" s="38">
        <f t="shared" si="183"/>
        <v>2.5</v>
      </c>
      <c r="T1514" s="38">
        <v>33.380000000000003</v>
      </c>
      <c r="U1514" s="38">
        <v>4.8499999999999996</v>
      </c>
      <c r="V1514" s="38">
        <v>2.19</v>
      </c>
      <c r="W1514" s="38">
        <v>1.32</v>
      </c>
      <c r="X1514" s="38">
        <v>7.0902200000000004</v>
      </c>
      <c r="Y1514" s="38">
        <f t="shared" si="184"/>
        <v>7</v>
      </c>
      <c r="Z1514" s="117">
        <v>0</v>
      </c>
      <c r="AA1514" s="117">
        <v>0</v>
      </c>
      <c r="AB1514" s="117">
        <v>41.73</v>
      </c>
      <c r="AC1514" s="38">
        <v>1.2279500000000001</v>
      </c>
      <c r="AD1514" s="39">
        <v>64.67</v>
      </c>
      <c r="AE1514" s="38">
        <v>0</v>
      </c>
      <c r="AF1514" s="11">
        <f t="shared" si="190"/>
        <v>4.4279962751971956E-2</v>
      </c>
      <c r="AG1514" s="38">
        <f t="shared" si="185"/>
        <v>0</v>
      </c>
      <c r="AH1514" s="38">
        <v>0</v>
      </c>
      <c r="AI1514" s="38">
        <f t="shared" si="191"/>
        <v>0</v>
      </c>
      <c r="AJ1514" s="38">
        <v>0</v>
      </c>
      <c r="AK1514" s="38">
        <f t="shared" si="192"/>
        <v>0</v>
      </c>
      <c r="AL1514" s="38">
        <v>0</v>
      </c>
      <c r="AM1514" s="38">
        <f t="shared" si="193"/>
        <v>0</v>
      </c>
      <c r="AN1514" s="25"/>
      <c r="AO1514" s="25"/>
      <c r="AP1514" s="12">
        <f>AE1514*0.5</f>
        <v>0</v>
      </c>
      <c r="AQ1514" s="12">
        <f>(AD1514+AH1514+AJ1514+AL1514+AP1514)*I1514</f>
        <v>2698.5497600000003</v>
      </c>
      <c r="AR1514" s="25"/>
      <c r="AS1514" s="25">
        <f>SUM(N1514:Q1514)</f>
        <v>41.730000000000004</v>
      </c>
      <c r="AT1514" s="22">
        <f>SUM(T1514:W1514)</f>
        <v>41.74</v>
      </c>
      <c r="AU1514" s="51">
        <v>41.728000000000002</v>
      </c>
      <c r="AV1514" s="41">
        <f>SUM(N1514:Q1514)</f>
        <v>41.730000000000004</v>
      </c>
      <c r="AW1514" s="41">
        <f>SUM(T1514:W1514)</f>
        <v>41.74</v>
      </c>
      <c r="AX1514" s="41">
        <f>SUM(Z1514:AB1514)</f>
        <v>41.73</v>
      </c>
      <c r="AZ1514" s="22">
        <f>I1514/AV1514</f>
        <v>0.99995207284926901</v>
      </c>
      <c r="BA1514" s="22">
        <f>I1514/AW1514</f>
        <v>0.99971250598945849</v>
      </c>
      <c r="BB1514" s="22">
        <f>I1514/AX1514</f>
        <v>0.99995207284926924</v>
      </c>
    </row>
    <row r="1515" spans="1:88" s="22" customFormat="1">
      <c r="A1515" s="1">
        <v>565</v>
      </c>
      <c r="B1515" s="34" t="s">
        <v>948</v>
      </c>
      <c r="C1515" s="34">
        <v>551</v>
      </c>
      <c r="D1515" s="34">
        <v>2323</v>
      </c>
      <c r="E1515" s="34">
        <v>100</v>
      </c>
      <c r="F1515" s="9" t="s">
        <v>966</v>
      </c>
      <c r="G1515" s="20">
        <v>5818</v>
      </c>
      <c r="H1515" s="20">
        <v>0</v>
      </c>
      <c r="I1515" s="35">
        <v>5.8179999999999996</v>
      </c>
      <c r="J1515" s="71">
        <v>2</v>
      </c>
      <c r="K1515" s="34" t="s">
        <v>12</v>
      </c>
      <c r="L1515" s="10">
        <v>42224</v>
      </c>
      <c r="M1515" s="37" t="s">
        <v>191</v>
      </c>
      <c r="N1515" s="38">
        <v>1.81</v>
      </c>
      <c r="O1515" s="38">
        <v>1.99</v>
      </c>
      <c r="P1515" s="38">
        <v>1.43</v>
      </c>
      <c r="Q1515" s="38">
        <v>0.6</v>
      </c>
      <c r="R1515" s="38">
        <v>3.3255599999999998</v>
      </c>
      <c r="S1515" s="38">
        <f t="shared" si="183"/>
        <v>3.5</v>
      </c>
      <c r="T1515" s="38">
        <v>5.53</v>
      </c>
      <c r="U1515" s="38">
        <v>0.2</v>
      </c>
      <c r="V1515" s="38">
        <v>0.04</v>
      </c>
      <c r="W1515" s="38">
        <v>0.03</v>
      </c>
      <c r="X1515" s="38">
        <v>2.4363199999999998</v>
      </c>
      <c r="Y1515" s="38">
        <f t="shared" si="184"/>
        <v>2.5</v>
      </c>
      <c r="Z1515" s="38">
        <v>0</v>
      </c>
      <c r="AA1515" s="38">
        <v>0</v>
      </c>
      <c r="AB1515" s="38">
        <f>T1515+U1515+V1515+W1515</f>
        <v>5.8000000000000007</v>
      </c>
      <c r="AC1515" s="38">
        <v>1.24718</v>
      </c>
      <c r="AD1515" s="39">
        <v>9</v>
      </c>
      <c r="AE1515" s="38">
        <v>0</v>
      </c>
      <c r="AF1515" s="38">
        <f t="shared" si="190"/>
        <v>4.4197809752983354E-2</v>
      </c>
      <c r="AG1515" s="38">
        <f t="shared" si="185"/>
        <v>0</v>
      </c>
      <c r="AH1515" s="38">
        <v>0</v>
      </c>
      <c r="AI1515" s="38">
        <f t="shared" si="191"/>
        <v>0</v>
      </c>
      <c r="AJ1515" s="38">
        <v>0</v>
      </c>
      <c r="AK1515" s="38">
        <f t="shared" si="192"/>
        <v>0</v>
      </c>
      <c r="AL1515" s="38">
        <v>0</v>
      </c>
      <c r="AM1515" s="38">
        <f t="shared" si="193"/>
        <v>0</v>
      </c>
      <c r="AN1515" s="25"/>
      <c r="AO1515" s="25">
        <f>AE1515*0.5</f>
        <v>0</v>
      </c>
      <c r="AP1515" s="25">
        <f>(AD1515+AH1515+AJ1515+AL1515+AO1515)*I1515</f>
        <v>52.361999999999995</v>
      </c>
      <c r="AQ1515" s="25">
        <f>SUM(N1515:Q1515)</f>
        <v>5.8299999999999992</v>
      </c>
      <c r="AR1515" s="25">
        <f>SUM(T1515:W1515)</f>
        <v>5.8000000000000007</v>
      </c>
      <c r="AS1515" s="268">
        <v>5.8179999999999996</v>
      </c>
      <c r="AT1515" s="41"/>
      <c r="AU1515" s="49">
        <f>SUM(N1515:Q1515)</f>
        <v>5.8299999999999992</v>
      </c>
      <c r="AV1515" s="41">
        <f>SUM(T1515:W1515)</f>
        <v>5.8000000000000007</v>
      </c>
      <c r="AW1515" s="41">
        <f>SUM(Z1515:AB1515)</f>
        <v>5.8000000000000007</v>
      </c>
      <c r="AY1515" s="22">
        <f>I1515/AU1515</f>
        <v>0.99794168096054892</v>
      </c>
      <c r="AZ1515" s="22">
        <f>I1515/AV1515</f>
        <v>1.0031034482758618</v>
      </c>
      <c r="BA1515" s="22">
        <f>I1515/AW1515</f>
        <v>1.0031034482758618</v>
      </c>
    </row>
    <row r="1516" spans="1:88" s="22" customFormat="1">
      <c r="A1516" s="1">
        <v>859</v>
      </c>
      <c r="B1516" s="34" t="s">
        <v>1231</v>
      </c>
      <c r="C1516" s="34">
        <v>615</v>
      </c>
      <c r="D1516" s="34">
        <v>2333</v>
      </c>
      <c r="E1516" s="34">
        <v>101</v>
      </c>
      <c r="F1516" s="34" t="s">
        <v>1253</v>
      </c>
      <c r="G1516" s="58">
        <v>0</v>
      </c>
      <c r="H1516" s="58">
        <v>16600</v>
      </c>
      <c r="I1516" s="35">
        <v>16.600000000000001</v>
      </c>
      <c r="J1516" s="9">
        <v>2</v>
      </c>
      <c r="K1516" s="34" t="s">
        <v>238</v>
      </c>
      <c r="L1516" s="10">
        <v>42136</v>
      </c>
      <c r="M1516" s="37" t="s">
        <v>191</v>
      </c>
      <c r="N1516" s="38">
        <v>12.65</v>
      </c>
      <c r="O1516" s="38">
        <v>2.6749999999999998</v>
      </c>
      <c r="P1516" s="38">
        <v>1.05</v>
      </c>
      <c r="Q1516" s="38">
        <v>0.2</v>
      </c>
      <c r="R1516" s="38">
        <v>2.3119999999999998</v>
      </c>
      <c r="S1516" s="38">
        <f t="shared" si="183"/>
        <v>2.5</v>
      </c>
      <c r="T1516" s="38">
        <v>15.05</v>
      </c>
      <c r="U1516" s="38">
        <v>1.25</v>
      </c>
      <c r="V1516" s="38">
        <v>0.22500000000000001</v>
      </c>
      <c r="W1516" s="38">
        <v>0.05</v>
      </c>
      <c r="X1516" s="38">
        <v>5.8609999999999998</v>
      </c>
      <c r="Y1516" s="38">
        <f t="shared" si="184"/>
        <v>6</v>
      </c>
      <c r="Z1516" s="38">
        <v>0</v>
      </c>
      <c r="AA1516" s="38">
        <v>0</v>
      </c>
      <c r="AB1516" s="38">
        <f>N1516+O1516+P1516+Q1516</f>
        <v>16.574999999999999</v>
      </c>
      <c r="AC1516" s="38">
        <v>1.718</v>
      </c>
      <c r="AD1516" s="39">
        <v>19.02</v>
      </c>
      <c r="AE1516" s="38">
        <v>13.16</v>
      </c>
      <c r="AF1516" s="38">
        <v>4.4061999999999997E-2</v>
      </c>
      <c r="AG1516" s="38">
        <f t="shared" si="185"/>
        <v>0</v>
      </c>
      <c r="AH1516" s="38">
        <v>1.46</v>
      </c>
      <c r="AI1516" s="38">
        <v>2.513E-3</v>
      </c>
      <c r="AJ1516" s="38">
        <v>63.57</v>
      </c>
      <c r="AK1516" s="38">
        <v>0.109415</v>
      </c>
      <c r="AL1516" s="38">
        <v>0</v>
      </c>
      <c r="AM1516" s="38">
        <v>0</v>
      </c>
      <c r="AN1516" s="25"/>
      <c r="AO1516" s="25">
        <f>AE1516*0.5</f>
        <v>6.58</v>
      </c>
      <c r="AP1516" s="25">
        <f>(AD1516+AH1516+AJ1516+AL1516+AO1516)*I1516</f>
        <v>1504.4580000000001</v>
      </c>
      <c r="AQ1516" s="25">
        <f>SUM(N1516:Q1516)</f>
        <v>16.574999999999999</v>
      </c>
      <c r="AR1516" s="25">
        <f>SUM(T1516:W1516)</f>
        <v>16.575000000000003</v>
      </c>
      <c r="AS1516" s="268">
        <v>16.600000000000001</v>
      </c>
      <c r="AT1516" s="41"/>
      <c r="AU1516" s="49"/>
      <c r="AV1516" s="41"/>
      <c r="AW1516" s="41"/>
    </row>
    <row r="1517" spans="1:88" s="22" customFormat="1">
      <c r="A1517" s="1">
        <v>113</v>
      </c>
      <c r="B1517" s="4" t="s">
        <v>78</v>
      </c>
      <c r="C1517" s="14">
        <v>527</v>
      </c>
      <c r="D1517" s="19">
        <v>1150</v>
      </c>
      <c r="E1517" s="16">
        <v>101</v>
      </c>
      <c r="F1517" s="31" t="s">
        <v>83</v>
      </c>
      <c r="G1517" s="20">
        <v>16000</v>
      </c>
      <c r="H1517" s="20">
        <v>0</v>
      </c>
      <c r="I1517" s="21">
        <v>16</v>
      </c>
      <c r="J1517" s="8">
        <v>2</v>
      </c>
      <c r="K1517" s="9" t="s">
        <v>12</v>
      </c>
      <c r="L1517" s="18">
        <v>42240</v>
      </c>
      <c r="M1517" s="37" t="s">
        <v>191</v>
      </c>
      <c r="N1517" s="11">
        <v>4.3499999999999996</v>
      </c>
      <c r="O1517" s="11">
        <v>6.94</v>
      </c>
      <c r="P1517" s="11">
        <v>3.14</v>
      </c>
      <c r="Q1517" s="11">
        <v>1.56</v>
      </c>
      <c r="R1517" s="11">
        <v>3.3271899999999999</v>
      </c>
      <c r="S1517" s="38">
        <f t="shared" si="183"/>
        <v>3.5</v>
      </c>
      <c r="T1517" s="11">
        <v>11.09</v>
      </c>
      <c r="U1517" s="11">
        <v>3.35</v>
      </c>
      <c r="V1517" s="11">
        <v>1.01</v>
      </c>
      <c r="W1517" s="11">
        <v>0.55000000000000004</v>
      </c>
      <c r="X1517" s="11">
        <v>8.6918299999999995</v>
      </c>
      <c r="Y1517" s="38">
        <f t="shared" si="184"/>
        <v>8.5</v>
      </c>
      <c r="Z1517" s="11">
        <v>0</v>
      </c>
      <c r="AA1517" s="11">
        <v>0</v>
      </c>
      <c r="AB1517" s="11">
        <v>16</v>
      </c>
      <c r="AC1517" s="11">
        <v>1.5047699999999999</v>
      </c>
      <c r="AD1517" s="164">
        <v>21.367999999999999</v>
      </c>
      <c r="AE1517" s="11">
        <v>6.35</v>
      </c>
      <c r="AF1517" s="11">
        <f t="shared" ref="AF1517:AF1524" si="194">(AD1517+AE1517*0.5)/(3.5*I1517*1000)*100</f>
        <v>4.3826785714285714E-2</v>
      </c>
      <c r="AG1517" s="38">
        <f t="shared" si="185"/>
        <v>0</v>
      </c>
      <c r="AH1517" s="11">
        <v>25.68</v>
      </c>
      <c r="AI1517" s="11">
        <f>AH1517/(3.5*I1517*1000)*100</f>
        <v>4.585714285714286E-2</v>
      </c>
      <c r="AJ1517" s="11">
        <v>0</v>
      </c>
      <c r="AK1517" s="11">
        <f>AJ1517/(3.5*I1517*1000)*100</f>
        <v>0</v>
      </c>
      <c r="AL1517" s="11">
        <v>0</v>
      </c>
      <c r="AM1517" s="11">
        <f>AL1517/(3.5*I1517*1000)*100</f>
        <v>0</v>
      </c>
      <c r="AO1517" s="25"/>
      <c r="AP1517" s="25">
        <f>SUM(N1517:Q1517)</f>
        <v>15.99</v>
      </c>
      <c r="AQ1517" s="25">
        <f>SUM(T1517:W1517)</f>
        <v>16</v>
      </c>
      <c r="AR1517" s="25">
        <f>SUM(Z1517:AB1517)</f>
        <v>16</v>
      </c>
      <c r="AT1517" s="22">
        <f>I1517/AP1517</f>
        <v>1.0006253908692933</v>
      </c>
      <c r="AU1517" s="48">
        <f>I1517/AQ1517</f>
        <v>1</v>
      </c>
      <c r="AV1517" s="22">
        <f>I1517/AR1517</f>
        <v>1</v>
      </c>
    </row>
    <row r="1518" spans="1:88" s="22" customFormat="1">
      <c r="A1518" s="1">
        <v>954</v>
      </c>
      <c r="B1518" s="34" t="s">
        <v>1329</v>
      </c>
      <c r="C1518" s="34">
        <v>611</v>
      </c>
      <c r="D1518" s="161">
        <v>2285</v>
      </c>
      <c r="E1518" s="34">
        <v>100</v>
      </c>
      <c r="F1518" s="34" t="s">
        <v>1353</v>
      </c>
      <c r="G1518" s="58">
        <v>0</v>
      </c>
      <c r="H1518" s="58">
        <v>22390</v>
      </c>
      <c r="I1518" s="35">
        <v>22.39</v>
      </c>
      <c r="J1518" s="71">
        <v>2</v>
      </c>
      <c r="K1518" s="34" t="s">
        <v>238</v>
      </c>
      <c r="L1518" s="10">
        <v>42118</v>
      </c>
      <c r="M1518" s="37" t="s">
        <v>191</v>
      </c>
      <c r="N1518" s="38">
        <v>19.024999999999999</v>
      </c>
      <c r="O1518" s="38">
        <v>2.2250000000000001</v>
      </c>
      <c r="P1518" s="38">
        <v>0.6</v>
      </c>
      <c r="Q1518" s="38">
        <v>0.42499999999999999</v>
      </c>
      <c r="R1518" s="38">
        <v>1.95296</v>
      </c>
      <c r="S1518" s="38">
        <f t="shared" si="183"/>
        <v>2</v>
      </c>
      <c r="T1518" s="38">
        <v>21.925000000000001</v>
      </c>
      <c r="U1518" s="38">
        <v>0.32500000000000001</v>
      </c>
      <c r="V1518" s="38">
        <v>2.5000000000000001E-2</v>
      </c>
      <c r="W1518" s="38">
        <v>0</v>
      </c>
      <c r="X1518" s="38">
        <v>3.29657</v>
      </c>
      <c r="Y1518" s="38">
        <f t="shared" si="184"/>
        <v>3.5</v>
      </c>
      <c r="Z1518" s="38">
        <v>0</v>
      </c>
      <c r="AA1518" s="38">
        <v>0</v>
      </c>
      <c r="AB1518" s="38">
        <v>22.39</v>
      </c>
      <c r="AC1518" s="38">
        <v>1.14131</v>
      </c>
      <c r="AD1518" s="39">
        <v>34.29</v>
      </c>
      <c r="AE1518" s="38">
        <v>0</v>
      </c>
      <c r="AF1518" s="38">
        <f t="shared" si="194"/>
        <v>4.3756779174376308E-2</v>
      </c>
      <c r="AG1518" s="38">
        <f t="shared" si="185"/>
        <v>0</v>
      </c>
      <c r="AH1518" s="38">
        <v>16.34</v>
      </c>
      <c r="AI1518" s="38">
        <f>AH1518/(3.5*I1518*1000)*100</f>
        <v>2.0851145281694631E-2</v>
      </c>
      <c r="AJ1518" s="38">
        <v>0</v>
      </c>
      <c r="AK1518" s="38">
        <f>AJ1518/(3.5*I1518*1000)*100</f>
        <v>0</v>
      </c>
      <c r="AL1518" s="38">
        <v>0</v>
      </c>
      <c r="AM1518" s="38">
        <f>AL1518/(3.5*I1518*1000)*100</f>
        <v>0</v>
      </c>
      <c r="AN1518" s="25"/>
      <c r="AO1518" s="25">
        <f>AE1518*0.5</f>
        <v>0</v>
      </c>
      <c r="AP1518" s="25">
        <f>(AD1518+AH1518+AJ1518+AL1518+AO1518)*I1518</f>
        <v>1133.6056999999998</v>
      </c>
      <c r="AQ1518" s="25"/>
      <c r="AR1518" s="25">
        <f>SUM(N1518:Q1518)</f>
        <v>22.275000000000002</v>
      </c>
      <c r="AS1518" s="25">
        <f>SUM(T1518:W1518)</f>
        <v>22.274999999999999</v>
      </c>
      <c r="AT1518" s="268">
        <v>22.39</v>
      </c>
      <c r="AU1518" s="49"/>
      <c r="AV1518" s="41"/>
      <c r="AW1518" s="41"/>
    </row>
    <row r="1519" spans="1:88" s="22" customFormat="1">
      <c r="A1519" s="1">
        <v>2042</v>
      </c>
      <c r="B1519" s="34" t="s">
        <v>2678</v>
      </c>
      <c r="C1519" s="34">
        <v>326</v>
      </c>
      <c r="D1519" s="75">
        <v>4227</v>
      </c>
      <c r="E1519" s="8">
        <v>100</v>
      </c>
      <c r="F1519" s="34" t="s">
        <v>2692</v>
      </c>
      <c r="G1519" s="58">
        <v>0</v>
      </c>
      <c r="H1519" s="58">
        <v>13840</v>
      </c>
      <c r="I1519" s="21">
        <v>13.84</v>
      </c>
      <c r="J1519" s="8">
        <v>2</v>
      </c>
      <c r="K1519" s="8" t="s">
        <v>238</v>
      </c>
      <c r="L1519" s="18">
        <v>42126</v>
      </c>
      <c r="M1519" s="37" t="s">
        <v>191</v>
      </c>
      <c r="N1519" s="38">
        <v>10.75</v>
      </c>
      <c r="O1519" s="38">
        <v>1.825</v>
      </c>
      <c r="P1519" s="38">
        <v>0.72499999999999998</v>
      </c>
      <c r="Q1519" s="38">
        <v>0.45</v>
      </c>
      <c r="R1519" s="38">
        <v>2.2362700000000002</v>
      </c>
      <c r="S1519" s="38">
        <f t="shared" si="183"/>
        <v>2</v>
      </c>
      <c r="T1519" s="38">
        <v>13.65</v>
      </c>
      <c r="U1519" s="38">
        <v>0.1</v>
      </c>
      <c r="V1519" s="38">
        <v>0</v>
      </c>
      <c r="W1519" s="38">
        <v>0</v>
      </c>
      <c r="X1519" s="38">
        <v>2.0596800000000002</v>
      </c>
      <c r="Y1519" s="38">
        <f t="shared" si="184"/>
        <v>2</v>
      </c>
      <c r="Z1519" s="38">
        <v>0</v>
      </c>
      <c r="AA1519" s="38">
        <v>0</v>
      </c>
      <c r="AB1519" s="38">
        <v>13.749999999999998</v>
      </c>
      <c r="AC1519" s="38">
        <v>1.1189899999999999</v>
      </c>
      <c r="AD1519" s="39">
        <v>5.71</v>
      </c>
      <c r="AE1519" s="38">
        <v>30.86</v>
      </c>
      <c r="AF1519" s="38">
        <f t="shared" si="194"/>
        <v>4.3641618497109833E-2</v>
      </c>
      <c r="AG1519" s="38">
        <f t="shared" si="185"/>
        <v>0</v>
      </c>
      <c r="AH1519" s="38">
        <v>74.28</v>
      </c>
      <c r="AI1519" s="38">
        <v>0.15334434351775392</v>
      </c>
      <c r="AJ1519" s="55">
        <v>0</v>
      </c>
      <c r="AK1519" s="55">
        <v>0</v>
      </c>
      <c r="AL1519" s="55">
        <v>0</v>
      </c>
      <c r="AM1519" s="55">
        <f>AL1519/(3.5*I1519*1000)*100</f>
        <v>0</v>
      </c>
      <c r="AN1519" s="1"/>
      <c r="AO1519" s="12"/>
      <c r="AP1519" s="12"/>
      <c r="AQ1519" s="1"/>
      <c r="AR1519" s="1"/>
      <c r="AS1519" s="1"/>
      <c r="AT1519" s="1"/>
      <c r="AU1519" s="178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</row>
    <row r="1520" spans="1:88" s="22" customFormat="1">
      <c r="A1520" s="1">
        <v>2096</v>
      </c>
      <c r="B1520" s="34" t="s">
        <v>2732</v>
      </c>
      <c r="C1520" s="34">
        <v>323</v>
      </c>
      <c r="D1520" s="75">
        <v>4203</v>
      </c>
      <c r="E1520" s="8">
        <v>100</v>
      </c>
      <c r="F1520" s="9" t="s">
        <v>2745</v>
      </c>
      <c r="G1520" s="20">
        <v>0</v>
      </c>
      <c r="H1520" s="20">
        <v>4590</v>
      </c>
      <c r="I1520" s="21">
        <v>4.59</v>
      </c>
      <c r="J1520" s="9">
        <v>2</v>
      </c>
      <c r="K1520" s="34" t="s">
        <v>238</v>
      </c>
      <c r="L1520" s="18">
        <v>42132</v>
      </c>
      <c r="M1520" s="37" t="s">
        <v>191</v>
      </c>
      <c r="N1520" s="38">
        <v>3.52</v>
      </c>
      <c r="O1520" s="38">
        <v>0.71</v>
      </c>
      <c r="P1520" s="38">
        <v>0.33</v>
      </c>
      <c r="Q1520" s="38">
        <v>0.03</v>
      </c>
      <c r="R1520" s="38">
        <v>1.95055</v>
      </c>
      <c r="S1520" s="38">
        <f t="shared" si="183"/>
        <v>2</v>
      </c>
      <c r="T1520" s="38">
        <v>4.54</v>
      </c>
      <c r="U1520" s="38">
        <v>0.03</v>
      </c>
      <c r="V1520" s="38">
        <v>0.03</v>
      </c>
      <c r="W1520" s="38">
        <v>0</v>
      </c>
      <c r="X1520" s="38">
        <v>1.9396500000000001</v>
      </c>
      <c r="Y1520" s="38">
        <f t="shared" si="184"/>
        <v>2</v>
      </c>
      <c r="Z1520" s="38">
        <v>0</v>
      </c>
      <c r="AA1520" s="38">
        <v>0</v>
      </c>
      <c r="AB1520" s="38">
        <v>4.59</v>
      </c>
      <c r="AC1520" s="38">
        <v>1.05409</v>
      </c>
      <c r="AD1520" s="39">
        <v>6.33</v>
      </c>
      <c r="AE1520" s="38">
        <v>1.2</v>
      </c>
      <c r="AF1520" s="38">
        <f t="shared" si="194"/>
        <v>4.3137254901960791E-2</v>
      </c>
      <c r="AG1520" s="38">
        <f t="shared" si="185"/>
        <v>0</v>
      </c>
      <c r="AH1520" s="38">
        <v>4.96</v>
      </c>
      <c r="AI1520" s="38">
        <f t="shared" ref="AI1520:AI1525" si="195">AH1520/(3.5*I1520*1000)*100</f>
        <v>3.0874572051042642E-2</v>
      </c>
      <c r="AJ1520" s="38">
        <v>0</v>
      </c>
      <c r="AK1520" s="38">
        <v>0</v>
      </c>
      <c r="AL1520" s="38">
        <v>1.03</v>
      </c>
      <c r="AM1520" s="38">
        <f>AL1520/(3.5*I1520*1000)*100</f>
        <v>6.4114534702770006E-3</v>
      </c>
      <c r="AN1520" s="25"/>
      <c r="AO1520" s="25"/>
      <c r="AQ1520" s="41">
        <f>SUM(N1520:Q1520)</f>
        <v>4.5900000000000007</v>
      </c>
      <c r="AR1520" s="41">
        <f>SUM(T1520:W1520)</f>
        <v>4.6000000000000005</v>
      </c>
      <c r="AS1520" s="12">
        <f>SUM(Z1520:AB1520)</f>
        <v>4.59</v>
      </c>
      <c r="AT1520" s="1"/>
      <c r="AU1520" s="178">
        <f>I1520/AQ1520</f>
        <v>0.99999999999999978</v>
      </c>
      <c r="AV1520" s="1">
        <f>I1520/AR1520</f>
        <v>0.99782608695652164</v>
      </c>
      <c r="AW1520" s="1">
        <f>I1520/AS1520</f>
        <v>1</v>
      </c>
    </row>
    <row r="1521" spans="1:88" s="22" customFormat="1">
      <c r="A1521" s="1">
        <v>1174</v>
      </c>
      <c r="B1521" s="34" t="s">
        <v>1639</v>
      </c>
      <c r="C1521" s="34">
        <v>433</v>
      </c>
      <c r="D1521" s="34">
        <v>311</v>
      </c>
      <c r="E1521" s="34">
        <v>201</v>
      </c>
      <c r="F1521" s="34" t="s">
        <v>1645</v>
      </c>
      <c r="G1521" s="58" t="s">
        <v>1647</v>
      </c>
      <c r="H1521" s="58" t="s">
        <v>1648</v>
      </c>
      <c r="I1521" s="55">
        <v>11.701000000000001</v>
      </c>
      <c r="J1521" s="34">
        <v>4</v>
      </c>
      <c r="K1521" s="34" t="s">
        <v>1520</v>
      </c>
      <c r="L1521" s="10">
        <v>42282</v>
      </c>
      <c r="M1521" s="37" t="s">
        <v>191</v>
      </c>
      <c r="N1521" s="38">
        <v>8.4499999999999993</v>
      </c>
      <c r="O1521" s="38">
        <v>2.375</v>
      </c>
      <c r="P1521" s="38">
        <v>0.65</v>
      </c>
      <c r="Q1521" s="38">
        <v>0.27500000000000002</v>
      </c>
      <c r="R1521" s="38">
        <v>2.33202</v>
      </c>
      <c r="S1521" s="38">
        <f t="shared" si="183"/>
        <v>2.5</v>
      </c>
      <c r="T1521" s="38">
        <v>11.675000000000001</v>
      </c>
      <c r="U1521" s="38">
        <v>7.4999999999999997E-2</v>
      </c>
      <c r="V1521" s="38">
        <v>0</v>
      </c>
      <c r="W1521" s="38">
        <v>0</v>
      </c>
      <c r="X1521" s="38">
        <v>2.8794</v>
      </c>
      <c r="Y1521" s="38">
        <f t="shared" si="184"/>
        <v>3</v>
      </c>
      <c r="Z1521" s="38">
        <v>0</v>
      </c>
      <c r="AA1521" s="38">
        <v>0</v>
      </c>
      <c r="AB1521" s="38">
        <v>11.701000000000001</v>
      </c>
      <c r="AC1521" s="38">
        <v>1.1623600000000001</v>
      </c>
      <c r="AD1521" s="38">
        <v>15.87</v>
      </c>
      <c r="AE1521" s="38">
        <v>3.25</v>
      </c>
      <c r="AF1521" s="38">
        <f t="shared" si="194"/>
        <v>4.2719181510737773E-2</v>
      </c>
      <c r="AG1521" s="38">
        <f t="shared" si="185"/>
        <v>0</v>
      </c>
      <c r="AH1521" s="38">
        <v>9.1560000000000006</v>
      </c>
      <c r="AI1521" s="38">
        <f t="shared" si="195"/>
        <v>2.2357063498846249E-2</v>
      </c>
      <c r="AJ1521" s="38">
        <v>0</v>
      </c>
      <c r="AK1521" s="38">
        <f>AJ1521/(3.5*I1521*1000)*100</f>
        <v>0</v>
      </c>
      <c r="AL1521" s="38">
        <v>0</v>
      </c>
      <c r="AM1521" s="38">
        <f>AJ1521/(3.5*I1521*1000)*100</f>
        <v>0</v>
      </c>
      <c r="AN1521" s="25"/>
      <c r="AU1521" s="48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</row>
    <row r="1522" spans="1:88" s="22" customFormat="1">
      <c r="A1522" s="1">
        <v>770</v>
      </c>
      <c r="B1522" s="34" t="s">
        <v>1149</v>
      </c>
      <c r="C1522" s="34">
        <v>622</v>
      </c>
      <c r="D1522" s="8">
        <v>2188</v>
      </c>
      <c r="E1522" s="34">
        <v>100</v>
      </c>
      <c r="F1522" s="34" t="s">
        <v>1162</v>
      </c>
      <c r="G1522" s="58">
        <v>0</v>
      </c>
      <c r="H1522" s="58">
        <v>22349</v>
      </c>
      <c r="I1522" s="35">
        <v>22.349</v>
      </c>
      <c r="J1522" s="9">
        <v>2</v>
      </c>
      <c r="K1522" s="34" t="s">
        <v>238</v>
      </c>
      <c r="L1522" s="10">
        <v>42152</v>
      </c>
      <c r="M1522" s="37" t="s">
        <v>191</v>
      </c>
      <c r="N1522" s="38">
        <v>18.524999999999999</v>
      </c>
      <c r="O1522" s="38">
        <v>3.1749999999999998</v>
      </c>
      <c r="P1522" s="38">
        <v>0.3</v>
      </c>
      <c r="Q1522" s="38">
        <v>0.22500000000000001</v>
      </c>
      <c r="R1522" s="38">
        <v>2.0179299999999998</v>
      </c>
      <c r="S1522" s="38">
        <f t="shared" si="183"/>
        <v>2</v>
      </c>
      <c r="T1522" s="38">
        <v>22.17</v>
      </c>
      <c r="U1522" s="38">
        <v>0.18</v>
      </c>
      <c r="V1522" s="38">
        <v>0</v>
      </c>
      <c r="W1522" s="38">
        <v>0</v>
      </c>
      <c r="X1522" s="38">
        <v>3.3871500000000001</v>
      </c>
      <c r="Y1522" s="38">
        <f t="shared" si="184"/>
        <v>3.5</v>
      </c>
      <c r="Z1522" s="38">
        <v>0</v>
      </c>
      <c r="AA1522" s="38">
        <v>0</v>
      </c>
      <c r="AB1522" s="38">
        <v>22.35</v>
      </c>
      <c r="AC1522" s="38">
        <v>1.1687000000000001</v>
      </c>
      <c r="AD1522" s="38">
        <v>19</v>
      </c>
      <c r="AE1522" s="38">
        <v>28.72</v>
      </c>
      <c r="AF1522" s="38">
        <f t="shared" si="194"/>
        <v>4.2648121040890288E-2</v>
      </c>
      <c r="AG1522" s="38">
        <f t="shared" si="185"/>
        <v>0</v>
      </c>
      <c r="AH1522" s="38">
        <v>3.3149999999999999</v>
      </c>
      <c r="AI1522" s="38">
        <f t="shared" si="195"/>
        <v>4.2379652653042957E-3</v>
      </c>
      <c r="AJ1522" s="38">
        <v>0</v>
      </c>
      <c r="AK1522" s="38">
        <f>AJ1522/(3.5*I1522*1000)*100</f>
        <v>0</v>
      </c>
      <c r="AL1522" s="38">
        <v>2</v>
      </c>
      <c r="AM1522" s="38">
        <f>AL1522/(3.5*I1522*1000)*100</f>
        <v>2.5568417890221998E-3</v>
      </c>
      <c r="AN1522" s="25"/>
      <c r="AO1522" s="25">
        <f>AE1522*0.5</f>
        <v>14.36</v>
      </c>
      <c r="AP1522" s="25">
        <f>(AD1522+AH1522+AJ1522+AL1522+AO1522)*I1522</f>
        <v>864.34757499999989</v>
      </c>
      <c r="AQ1522" s="25">
        <f>SUM(N1522:Q1522)</f>
        <v>22.225000000000001</v>
      </c>
      <c r="AR1522" s="25">
        <f>SUM(T1522:W1522)</f>
        <v>22.35</v>
      </c>
      <c r="AS1522" s="268">
        <v>22.349</v>
      </c>
      <c r="AT1522" s="41"/>
      <c r="AU1522" s="49">
        <f>SUM(N1522:Q1522)</f>
        <v>22.225000000000001</v>
      </c>
      <c r="AV1522" s="41">
        <f>SUM(T1522:W1522)</f>
        <v>22.35</v>
      </c>
      <c r="AW1522" s="41">
        <f>SUM(Z1522:AB1522)</f>
        <v>22.35</v>
      </c>
      <c r="AY1522" s="22">
        <f>I1522/AU1522</f>
        <v>1.0055793025871766</v>
      </c>
      <c r="AZ1522" s="22">
        <f>I1522/AV1522</f>
        <v>0.99995525727069345</v>
      </c>
      <c r="BA1522" s="22">
        <f>I1522/AW1522</f>
        <v>0.99995525727069345</v>
      </c>
    </row>
    <row r="1523" spans="1:88" s="22" customFormat="1">
      <c r="A1523" s="1">
        <v>1877</v>
      </c>
      <c r="B1523" s="34" t="s">
        <v>2495</v>
      </c>
      <c r="C1523" s="34">
        <v>335</v>
      </c>
      <c r="D1523" s="75">
        <v>3291</v>
      </c>
      <c r="E1523" s="8">
        <v>101</v>
      </c>
      <c r="F1523" s="9" t="s">
        <v>2510</v>
      </c>
      <c r="G1523" s="20" t="s">
        <v>2512</v>
      </c>
      <c r="H1523" s="20" t="s">
        <v>2513</v>
      </c>
      <c r="I1523" s="21">
        <v>10</v>
      </c>
      <c r="J1523" s="34">
        <v>2</v>
      </c>
      <c r="K1523" s="34" t="s">
        <v>238</v>
      </c>
      <c r="L1523" s="18">
        <v>42095</v>
      </c>
      <c r="M1523" s="247" t="s">
        <v>191</v>
      </c>
      <c r="N1523" s="38">
        <v>6.53</v>
      </c>
      <c r="O1523" s="38">
        <v>3.24</v>
      </c>
      <c r="P1523" s="38">
        <v>0.23</v>
      </c>
      <c r="Q1523" s="38">
        <v>0</v>
      </c>
      <c r="R1523" s="38">
        <v>2.3182200000000002</v>
      </c>
      <c r="S1523" s="38">
        <f t="shared" si="183"/>
        <v>2.5</v>
      </c>
      <c r="T1523" s="38">
        <v>8.89</v>
      </c>
      <c r="U1523" s="38">
        <v>0.93</v>
      </c>
      <c r="V1523" s="38">
        <v>0.13</v>
      </c>
      <c r="W1523" s="38">
        <v>0.05</v>
      </c>
      <c r="X1523" s="38">
        <v>5.37859</v>
      </c>
      <c r="Y1523" s="38">
        <f t="shared" si="184"/>
        <v>5.5</v>
      </c>
      <c r="Z1523" s="38">
        <v>0</v>
      </c>
      <c r="AA1523" s="38">
        <v>0</v>
      </c>
      <c r="AB1523" s="38">
        <v>10</v>
      </c>
      <c r="AC1523" s="38">
        <v>1.2419100000000001</v>
      </c>
      <c r="AD1523" s="38">
        <v>10.73</v>
      </c>
      <c r="AE1523" s="38">
        <v>8.1999999999999993</v>
      </c>
      <c r="AF1523" s="38">
        <f t="shared" si="194"/>
        <v>4.2371428571428574E-2</v>
      </c>
      <c r="AG1523" s="38">
        <f t="shared" si="185"/>
        <v>0</v>
      </c>
      <c r="AH1523" s="38">
        <v>7.68</v>
      </c>
      <c r="AI1523" s="38">
        <f t="shared" si="195"/>
        <v>2.1942857142857142E-2</v>
      </c>
      <c r="AJ1523" s="38">
        <v>0</v>
      </c>
      <c r="AK1523" s="38">
        <f>AJ1523/(3.5*I1523*1000)*100</f>
        <v>0</v>
      </c>
      <c r="AL1523" s="38">
        <v>10.33</v>
      </c>
      <c r="AM1523" s="38">
        <f>AL1523/(3.5*I1523*1000)*100</f>
        <v>2.9514285714285715E-2</v>
      </c>
      <c r="AN1523" s="73"/>
      <c r="AO1523" s="73"/>
      <c r="AP1523" s="73"/>
      <c r="AQ1523" s="41">
        <f>SUM(N1523:Q1523)</f>
        <v>10</v>
      </c>
      <c r="AR1523" s="41">
        <f>SUM(T1523:W1523)</f>
        <v>10.000000000000002</v>
      </c>
      <c r="AS1523" s="12">
        <f>SUM(Z1523:AB1523)</f>
        <v>10</v>
      </c>
      <c r="AT1523" s="1"/>
      <c r="AU1523" s="178">
        <f>I1523/AQ1523</f>
        <v>1</v>
      </c>
      <c r="AV1523" s="1">
        <f>I1523/AR1523</f>
        <v>0.99999999999999978</v>
      </c>
      <c r="AW1523" s="1">
        <f>I1523/AS1523</f>
        <v>1</v>
      </c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</row>
    <row r="1524" spans="1:88" s="22" customFormat="1">
      <c r="A1524" s="1">
        <v>1117</v>
      </c>
      <c r="B1524" s="9" t="s">
        <v>1513</v>
      </c>
      <c r="C1524" s="34">
        <v>431</v>
      </c>
      <c r="D1524" s="75">
        <v>3196</v>
      </c>
      <c r="E1524" s="69">
        <v>301</v>
      </c>
      <c r="F1524" s="34" t="s">
        <v>1550</v>
      </c>
      <c r="G1524" s="20" t="s">
        <v>1551</v>
      </c>
      <c r="H1524" s="20" t="s">
        <v>1552</v>
      </c>
      <c r="I1524" s="21">
        <v>33.299999999999997</v>
      </c>
      <c r="J1524" s="5">
        <v>2</v>
      </c>
      <c r="K1524" s="5" t="s">
        <v>238</v>
      </c>
      <c r="L1524" s="18">
        <v>42282</v>
      </c>
      <c r="M1524" s="37" t="s">
        <v>191</v>
      </c>
      <c r="N1524" s="38">
        <v>16.399999999999999</v>
      </c>
      <c r="O1524" s="38">
        <v>9.0250000000000004</v>
      </c>
      <c r="P1524" s="38">
        <v>5.0250000000000004</v>
      </c>
      <c r="Q1524" s="38">
        <v>3.2250000000000001</v>
      </c>
      <c r="R1524" s="38">
        <v>3.0148799999999998</v>
      </c>
      <c r="S1524" s="38">
        <f t="shared" si="183"/>
        <v>3</v>
      </c>
      <c r="T1524" s="38">
        <v>31.125</v>
      </c>
      <c r="U1524" s="38">
        <v>1.7749999999999999</v>
      </c>
      <c r="V1524" s="38">
        <v>0.57499999999999996</v>
      </c>
      <c r="W1524" s="38">
        <v>0.2</v>
      </c>
      <c r="X1524" s="38">
        <v>4.3625600000000002</v>
      </c>
      <c r="Y1524" s="38">
        <f t="shared" si="184"/>
        <v>4.5</v>
      </c>
      <c r="Z1524" s="38">
        <v>0</v>
      </c>
      <c r="AA1524" s="38">
        <v>0</v>
      </c>
      <c r="AB1524" s="38">
        <v>33.674999999999997</v>
      </c>
      <c r="AC1524" s="38">
        <v>1.2768699999999999</v>
      </c>
      <c r="AD1524" s="38">
        <v>49.220999999999997</v>
      </c>
      <c r="AE1524" s="38">
        <v>6.0000000000000001E-3</v>
      </c>
      <c r="AF1524" s="38">
        <f t="shared" si="194"/>
        <v>4.2234234234234239E-2</v>
      </c>
      <c r="AG1524" s="38">
        <f t="shared" si="185"/>
        <v>0</v>
      </c>
      <c r="AH1524" s="38">
        <v>64.319999999999993</v>
      </c>
      <c r="AI1524" s="38">
        <f t="shared" si="195"/>
        <v>5.5186615186615183E-2</v>
      </c>
      <c r="AJ1524" s="38">
        <v>3.2</v>
      </c>
      <c r="AK1524" s="38">
        <f>AJ1524/(3.5*I1524*1000)*100</f>
        <v>2.745602745602746E-3</v>
      </c>
      <c r="AL1524" s="38">
        <v>0</v>
      </c>
      <c r="AM1524" s="38">
        <f>AL1524/(3.5*I1524*1000)*100</f>
        <v>0</v>
      </c>
      <c r="AN1524" s="41"/>
      <c r="AO1524" s="72"/>
      <c r="AP1524" s="73"/>
      <c r="AQ1524" s="73"/>
      <c r="AU1524" s="48"/>
    </row>
    <row r="1525" spans="1:88" s="22" customFormat="1">
      <c r="A1525" s="1">
        <v>1426</v>
      </c>
      <c r="B1525" s="34" t="s">
        <v>1957</v>
      </c>
      <c r="C1525" s="34">
        <v>447</v>
      </c>
      <c r="D1525" s="75">
        <v>3456</v>
      </c>
      <c r="E1525" s="69">
        <v>101</v>
      </c>
      <c r="F1525" s="184" t="s">
        <v>1980</v>
      </c>
      <c r="G1525" s="77">
        <v>0</v>
      </c>
      <c r="H1525" s="20">
        <v>50107</v>
      </c>
      <c r="I1525" s="21">
        <v>50.106999999999999</v>
      </c>
      <c r="J1525" s="8">
        <v>2</v>
      </c>
      <c r="K1525" s="34" t="s">
        <v>238</v>
      </c>
      <c r="L1525" s="10">
        <v>42217</v>
      </c>
      <c r="M1525" s="37" t="s">
        <v>191</v>
      </c>
      <c r="N1525" s="38">
        <v>31.5</v>
      </c>
      <c r="O1525" s="38">
        <v>12.2</v>
      </c>
      <c r="P1525" s="38">
        <v>4.8</v>
      </c>
      <c r="Q1525" s="38">
        <v>1.7250000000000001</v>
      </c>
      <c r="R1525" s="38">
        <v>2.45966</v>
      </c>
      <c r="S1525" s="38">
        <f t="shared" si="183"/>
        <v>2.5</v>
      </c>
      <c r="T1525" s="38">
        <v>46.85</v>
      </c>
      <c r="U1525" s="38">
        <v>2.6</v>
      </c>
      <c r="V1525" s="38">
        <v>0.6</v>
      </c>
      <c r="W1525" s="38">
        <v>0.17499999999999999</v>
      </c>
      <c r="X1525" s="38">
        <v>3.8143899999999999</v>
      </c>
      <c r="Y1525" s="38">
        <f t="shared" si="184"/>
        <v>4</v>
      </c>
      <c r="Z1525" s="38">
        <v>0</v>
      </c>
      <c r="AA1525" s="38">
        <v>0</v>
      </c>
      <c r="AB1525" s="38">
        <v>50.225000000000001</v>
      </c>
      <c r="AC1525" s="38">
        <v>1.24028</v>
      </c>
      <c r="AD1525" s="39">
        <v>13.55</v>
      </c>
      <c r="AE1525" s="38">
        <v>120.545</v>
      </c>
      <c r="AF1525" s="38">
        <v>4.2094204117474325E-2</v>
      </c>
      <c r="AG1525" s="38">
        <f t="shared" si="185"/>
        <v>0</v>
      </c>
      <c r="AH1525" s="38">
        <v>13.246499999999999</v>
      </c>
      <c r="AI1525" s="38">
        <f t="shared" si="195"/>
        <v>7.5532645852162085E-3</v>
      </c>
      <c r="AJ1525" s="38">
        <v>1.256</v>
      </c>
      <c r="AK1525" s="38">
        <f>AJ1525/(3.5*I1525*1000)*100</f>
        <v>7.1618165696837345E-4</v>
      </c>
      <c r="AL1525" s="38">
        <v>0</v>
      </c>
      <c r="AM1525" s="38">
        <f>AL1525/(3.5*I1525*1000)*100</f>
        <v>0</v>
      </c>
      <c r="AN1525" s="41"/>
      <c r="AU1525" s="48"/>
    </row>
    <row r="1526" spans="1:88" s="22" customFormat="1">
      <c r="A1526" s="1">
        <v>398</v>
      </c>
      <c r="B1526" s="74" t="s">
        <v>655</v>
      </c>
      <c r="C1526" s="34">
        <v>511</v>
      </c>
      <c r="D1526" s="75">
        <v>126</v>
      </c>
      <c r="E1526" s="69">
        <v>200</v>
      </c>
      <c r="F1526" s="34" t="s">
        <v>663</v>
      </c>
      <c r="G1526" s="20" t="s">
        <v>664</v>
      </c>
      <c r="H1526" s="20" t="s">
        <v>665</v>
      </c>
      <c r="I1526" s="21">
        <v>20.850999999999999</v>
      </c>
      <c r="J1526" s="8" t="s">
        <v>237</v>
      </c>
      <c r="K1526" s="34">
        <v>2</v>
      </c>
      <c r="L1526" s="18">
        <v>42266</v>
      </c>
      <c r="M1526" s="37" t="s">
        <v>191</v>
      </c>
      <c r="N1526" s="38">
        <v>15.65</v>
      </c>
      <c r="O1526" s="38">
        <v>3.25</v>
      </c>
      <c r="P1526" s="38">
        <v>1.42</v>
      </c>
      <c r="Q1526" s="38">
        <v>0.53</v>
      </c>
      <c r="R1526" s="38">
        <v>2.0924299999999998</v>
      </c>
      <c r="S1526" s="38">
        <f t="shared" si="183"/>
        <v>2</v>
      </c>
      <c r="T1526" s="38">
        <v>20.85</v>
      </c>
      <c r="U1526" s="38">
        <v>0</v>
      </c>
      <c r="V1526" s="38">
        <v>0</v>
      </c>
      <c r="W1526" s="38">
        <v>0</v>
      </c>
      <c r="X1526" s="38">
        <v>1.5823</v>
      </c>
      <c r="Y1526" s="38">
        <f t="shared" si="184"/>
        <v>1.5</v>
      </c>
      <c r="Z1526" s="38">
        <v>0</v>
      </c>
      <c r="AA1526" s="38">
        <v>0</v>
      </c>
      <c r="AB1526" s="38">
        <v>20.85</v>
      </c>
      <c r="AC1526" s="38">
        <v>1.32161</v>
      </c>
      <c r="AD1526" s="39">
        <v>14.32</v>
      </c>
      <c r="AE1526" s="38">
        <v>32.658000000000001</v>
      </c>
      <c r="AF1526" s="38">
        <v>4.1997E-2</v>
      </c>
      <c r="AG1526" s="38">
        <f t="shared" si="185"/>
        <v>0</v>
      </c>
      <c r="AH1526" s="38">
        <v>10.36</v>
      </c>
      <c r="AI1526" s="38">
        <v>1.4196E-2</v>
      </c>
      <c r="AJ1526" s="38">
        <v>0</v>
      </c>
      <c r="AK1526" s="38">
        <v>0</v>
      </c>
      <c r="AL1526" s="38">
        <v>0</v>
      </c>
      <c r="AM1526" s="38">
        <v>0</v>
      </c>
      <c r="AN1526" s="72"/>
      <c r="AO1526" s="41"/>
      <c r="AP1526" s="41"/>
      <c r="AQ1526" s="41">
        <f>SUM(N1526:Q1526)</f>
        <v>20.85</v>
      </c>
      <c r="AR1526" s="41">
        <f>SUM(T1526:W1526)</f>
        <v>20.85</v>
      </c>
      <c r="AS1526" s="41">
        <f>SUM(Z1526:AB1526)</f>
        <v>20.85</v>
      </c>
      <c r="AU1526" s="48">
        <f>I1526/AQ1526</f>
        <v>1.0000479616306954</v>
      </c>
      <c r="AV1526" s="22">
        <f>I1526/AR1526</f>
        <v>1.0000479616306954</v>
      </c>
      <c r="AW1526" s="22">
        <f>I1526/AS1526</f>
        <v>1.0000479616306954</v>
      </c>
    </row>
    <row r="1527" spans="1:88" s="22" customFormat="1">
      <c r="A1527" s="1">
        <v>882</v>
      </c>
      <c r="B1527" s="34" t="s">
        <v>1271</v>
      </c>
      <c r="C1527" s="34">
        <v>632</v>
      </c>
      <c r="D1527" s="161">
        <v>2172</v>
      </c>
      <c r="E1527" s="34">
        <v>102</v>
      </c>
      <c r="F1527" s="34" t="s">
        <v>1275</v>
      </c>
      <c r="G1527" s="58">
        <v>22000</v>
      </c>
      <c r="H1527" s="58">
        <v>44683</v>
      </c>
      <c r="I1527" s="35">
        <v>22.683</v>
      </c>
      <c r="J1527" s="9">
        <v>2</v>
      </c>
      <c r="K1527" s="34" t="s">
        <v>238</v>
      </c>
      <c r="L1527" s="10">
        <v>42144</v>
      </c>
      <c r="M1527" s="37" t="s">
        <v>191</v>
      </c>
      <c r="N1527" s="38">
        <v>16.574999999999999</v>
      </c>
      <c r="O1527" s="38">
        <v>4.1500000000000004</v>
      </c>
      <c r="P1527" s="38">
        <v>1.075</v>
      </c>
      <c r="Q1527" s="38">
        <v>0.8</v>
      </c>
      <c r="R1527" s="38">
        <v>2.4548399999999999</v>
      </c>
      <c r="S1527" s="38">
        <f t="shared" si="183"/>
        <v>2.5</v>
      </c>
      <c r="T1527" s="38">
        <v>22.1</v>
      </c>
      <c r="U1527" s="38">
        <v>0.42499999999999999</v>
      </c>
      <c r="V1527" s="38">
        <v>7.4999999999999997E-2</v>
      </c>
      <c r="W1527" s="38">
        <v>0</v>
      </c>
      <c r="X1527" s="38">
        <v>3.1599400000000002</v>
      </c>
      <c r="Y1527" s="38">
        <f t="shared" si="184"/>
        <v>3</v>
      </c>
      <c r="Z1527" s="38">
        <v>0</v>
      </c>
      <c r="AA1527" s="38">
        <v>0</v>
      </c>
      <c r="AB1527" s="38">
        <f>N1527+O1527+P1527+Q1527</f>
        <v>22.6</v>
      </c>
      <c r="AC1527" s="38">
        <v>1.7443</v>
      </c>
      <c r="AD1527" s="39">
        <v>0</v>
      </c>
      <c r="AE1527" s="38">
        <v>66.680000000000007</v>
      </c>
      <c r="AF1527" s="38">
        <v>4.1994999999999998E-2</v>
      </c>
      <c r="AG1527" s="38">
        <f t="shared" si="185"/>
        <v>0</v>
      </c>
      <c r="AH1527" s="38">
        <v>598.53</v>
      </c>
      <c r="AI1527" s="38">
        <v>0.75390599999999997</v>
      </c>
      <c r="AJ1527" s="38">
        <v>0</v>
      </c>
      <c r="AK1527" s="38">
        <v>0</v>
      </c>
      <c r="AL1527" s="38">
        <v>0.4</v>
      </c>
      <c r="AM1527" s="38">
        <v>5.04E-4</v>
      </c>
      <c r="AN1527" s="25"/>
      <c r="AO1527" s="25">
        <f>AE1527*0.5</f>
        <v>33.340000000000003</v>
      </c>
      <c r="AP1527" s="25">
        <f>(AD1527+AH1527+AJ1527+AL1527+AO1527)*I1527</f>
        <v>14341.780409999999</v>
      </c>
      <c r="AQ1527" s="25">
        <f>SUM(N1527:Q1527)</f>
        <v>22.6</v>
      </c>
      <c r="AR1527" s="25">
        <f>SUM(T1527:W1527)</f>
        <v>22.6</v>
      </c>
      <c r="AT1527" s="41"/>
      <c r="AU1527" s="49"/>
      <c r="AV1527" s="25" t="e">
        <f>SUM(#REF!)/O1527</f>
        <v>#REF!</v>
      </c>
      <c r="AW1527" s="41"/>
    </row>
    <row r="1528" spans="1:88" s="22" customFormat="1" ht="23.25" customHeight="1">
      <c r="A1528" s="1">
        <v>2175</v>
      </c>
      <c r="B1528" s="34" t="s">
        <v>2798</v>
      </c>
      <c r="C1528" s="34">
        <v>311</v>
      </c>
      <c r="D1528" s="75">
        <v>414</v>
      </c>
      <c r="E1528" s="8">
        <v>102</v>
      </c>
      <c r="F1528" s="9" t="s">
        <v>2807</v>
      </c>
      <c r="G1528" s="20" t="s">
        <v>2811</v>
      </c>
      <c r="H1528" s="20" t="s">
        <v>2810</v>
      </c>
      <c r="I1528" s="21">
        <v>3.282</v>
      </c>
      <c r="J1528" s="8">
        <v>2</v>
      </c>
      <c r="K1528" s="8" t="s">
        <v>12</v>
      </c>
      <c r="L1528" s="18">
        <v>42145</v>
      </c>
      <c r="M1528" s="37" t="s">
        <v>191</v>
      </c>
      <c r="N1528" s="38">
        <v>2.125</v>
      </c>
      <c r="O1528" s="38">
        <v>1.125</v>
      </c>
      <c r="P1528" s="38">
        <v>0.05</v>
      </c>
      <c r="Q1528" s="38">
        <v>0</v>
      </c>
      <c r="R1528" s="38">
        <v>2.3140000000000001</v>
      </c>
      <c r="S1528" s="38">
        <f t="shared" si="183"/>
        <v>2.5</v>
      </c>
      <c r="T1528" s="38">
        <v>3.3</v>
      </c>
      <c r="U1528" s="38">
        <v>0</v>
      </c>
      <c r="V1528" s="38">
        <v>0</v>
      </c>
      <c r="W1528" s="38">
        <v>0</v>
      </c>
      <c r="X1528" s="38">
        <v>5.1239999999999997</v>
      </c>
      <c r="Y1528" s="38">
        <f t="shared" si="184"/>
        <v>5</v>
      </c>
      <c r="Z1528" s="38">
        <v>0</v>
      </c>
      <c r="AA1528" s="38">
        <v>0</v>
      </c>
      <c r="AB1528" s="38">
        <v>3.3</v>
      </c>
      <c r="AC1528" s="38">
        <v>1.137</v>
      </c>
      <c r="AD1528" s="39">
        <v>3.87</v>
      </c>
      <c r="AE1528" s="38">
        <v>1.87</v>
      </c>
      <c r="AF1528" s="38">
        <f>(AD1528+AE1528*0.5)/(3.5*I1528*1000)*100</f>
        <v>4.1829894663532687E-2</v>
      </c>
      <c r="AG1528" s="38">
        <f t="shared" si="185"/>
        <v>0</v>
      </c>
      <c r="AH1528" s="38">
        <v>21.8</v>
      </c>
      <c r="AI1528" s="38">
        <f>AH1528/(3.5*I1528*1000)*100</f>
        <v>0.18977975102289546</v>
      </c>
      <c r="AJ1528" s="38">
        <v>12.8</v>
      </c>
      <c r="AK1528" s="38">
        <f>AJ1528/(3.5*I1528*1000)*100</f>
        <v>0.11143031252720467</v>
      </c>
      <c r="AL1528" s="38">
        <v>0</v>
      </c>
      <c r="AM1528" s="38">
        <f>AL1528/(3.5*I1528*1000)*100</f>
        <v>0</v>
      </c>
      <c r="AN1528" s="72"/>
      <c r="AO1528" s="41"/>
      <c r="AP1528" s="41"/>
      <c r="AQ1528" s="41">
        <f>SUM(N1528:Q1528)</f>
        <v>3.3</v>
      </c>
      <c r="AR1528" s="41">
        <f>SUM(T1528:W1528)</f>
        <v>3.3</v>
      </c>
      <c r="AS1528" s="12">
        <f>SUM(Z1528:AB1528)</f>
        <v>3.3</v>
      </c>
      <c r="AT1528" s="1"/>
      <c r="AU1528" s="178">
        <f>I1528/AQ1528</f>
        <v>0.99454545454545462</v>
      </c>
      <c r="AV1528" s="1">
        <f>I1528/AR1528</f>
        <v>0.99454545454545462</v>
      </c>
      <c r="AW1528" s="1">
        <f>I1528/AS1528</f>
        <v>0.99454545454545462</v>
      </c>
    </row>
    <row r="1529" spans="1:88" s="22" customFormat="1">
      <c r="A1529" s="1">
        <v>846</v>
      </c>
      <c r="B1529" s="34" t="s">
        <v>1231</v>
      </c>
      <c r="C1529" s="34">
        <v>615</v>
      </c>
      <c r="D1529" s="34">
        <v>224</v>
      </c>
      <c r="E1529" s="34">
        <v>400</v>
      </c>
      <c r="F1529" s="34" t="s">
        <v>1240</v>
      </c>
      <c r="G1529" s="58">
        <v>189040</v>
      </c>
      <c r="H1529" s="58">
        <v>225356</v>
      </c>
      <c r="I1529" s="35">
        <v>36.316000000000003</v>
      </c>
      <c r="J1529" s="9">
        <v>2</v>
      </c>
      <c r="K1529" s="34" t="s">
        <v>238</v>
      </c>
      <c r="L1529" s="10">
        <v>42133</v>
      </c>
      <c r="M1529" s="37" t="s">
        <v>191</v>
      </c>
      <c r="N1529" s="38">
        <v>25.425000000000001</v>
      </c>
      <c r="O1529" s="38">
        <v>7.7750000000000004</v>
      </c>
      <c r="P1529" s="38">
        <v>2.375</v>
      </c>
      <c r="Q1529" s="38">
        <v>0.65</v>
      </c>
      <c r="R1529" s="38">
        <v>2.4632700000000001</v>
      </c>
      <c r="S1529" s="38">
        <f t="shared" si="183"/>
        <v>2.5</v>
      </c>
      <c r="T1529" s="38">
        <v>35.024999999999999</v>
      </c>
      <c r="U1529" s="38">
        <v>0.85</v>
      </c>
      <c r="V1529" s="38">
        <v>0.3</v>
      </c>
      <c r="W1529" s="38">
        <v>0.05</v>
      </c>
      <c r="X1529" s="38">
        <v>4.3564499999999997</v>
      </c>
      <c r="Y1529" s="38">
        <f t="shared" si="184"/>
        <v>4.5</v>
      </c>
      <c r="Z1529" s="38">
        <v>0</v>
      </c>
      <c r="AA1529" s="38">
        <v>2.5000000000000001E-2</v>
      </c>
      <c r="AB1529" s="38">
        <f>N1529+O1529+P1529+Q1529</f>
        <v>36.225000000000001</v>
      </c>
      <c r="AC1529" s="38">
        <v>1.3295999999999999</v>
      </c>
      <c r="AD1529" s="39">
        <v>25.16</v>
      </c>
      <c r="AE1529" s="38">
        <v>55.78</v>
      </c>
      <c r="AF1529" s="38">
        <v>4.1739999999999999E-2</v>
      </c>
      <c r="AG1529" s="38">
        <f t="shared" si="185"/>
        <v>0</v>
      </c>
      <c r="AH1529" s="38">
        <v>3716.36</v>
      </c>
      <c r="AI1529" s="38">
        <v>2.9238300000000002</v>
      </c>
      <c r="AJ1529" s="38">
        <v>0</v>
      </c>
      <c r="AK1529" s="38">
        <v>0</v>
      </c>
      <c r="AL1529" s="38">
        <v>2.69</v>
      </c>
      <c r="AM1529" s="38">
        <v>2.1199999999999999E-3</v>
      </c>
      <c r="AN1529" s="25"/>
      <c r="AO1529" s="25">
        <f>AE1529*0.5</f>
        <v>27.89</v>
      </c>
      <c r="AP1529" s="25">
        <f>(AD1529+AH1529+AJ1529+AL1529+AO1529)*I1529</f>
        <v>136987.58360000001</v>
      </c>
      <c r="AQ1529" s="25">
        <f>SUM(N1529:Q1529)</f>
        <v>36.225000000000001</v>
      </c>
      <c r="AR1529" s="25">
        <f>SUM(T1529:W1529)</f>
        <v>36.224999999999994</v>
      </c>
      <c r="AS1529" s="268">
        <v>36.316000000000003</v>
      </c>
      <c r="AT1529" s="41"/>
      <c r="AU1529" s="49"/>
      <c r="AV1529" s="41"/>
      <c r="AW1529" s="41"/>
    </row>
    <row r="1530" spans="1:88" s="22" customFormat="1">
      <c r="A1530" s="1">
        <v>582</v>
      </c>
      <c r="B1530" s="34" t="s">
        <v>976</v>
      </c>
      <c r="C1530" s="34">
        <v>552</v>
      </c>
      <c r="D1530" s="34">
        <v>2012</v>
      </c>
      <c r="E1530" s="34">
        <v>100</v>
      </c>
      <c r="F1530" s="9" t="s">
        <v>983</v>
      </c>
      <c r="G1530" s="118">
        <v>7200</v>
      </c>
      <c r="H1530" s="118">
        <v>0</v>
      </c>
      <c r="I1530" s="35">
        <v>7.2</v>
      </c>
      <c r="J1530" s="71">
        <v>6</v>
      </c>
      <c r="K1530" s="34" t="s">
        <v>96</v>
      </c>
      <c r="L1530" s="10">
        <v>42194</v>
      </c>
      <c r="M1530" s="37" t="s">
        <v>191</v>
      </c>
      <c r="N1530" s="38">
        <v>4.4000000000000004</v>
      </c>
      <c r="O1530" s="38">
        <v>1.2</v>
      </c>
      <c r="P1530" s="38">
        <v>1.075</v>
      </c>
      <c r="Q1530" s="38">
        <v>0.52500000000000002</v>
      </c>
      <c r="R1530" s="38">
        <v>3.1078999999999999</v>
      </c>
      <c r="S1530" s="38">
        <f t="shared" si="183"/>
        <v>3</v>
      </c>
      <c r="T1530" s="38">
        <v>6.9</v>
      </c>
      <c r="U1530" s="38">
        <v>0.22500000000000001</v>
      </c>
      <c r="V1530" s="38">
        <v>2.5000000000000001E-2</v>
      </c>
      <c r="W1530" s="38">
        <v>0.05</v>
      </c>
      <c r="X1530" s="38">
        <v>4.4017099999999996</v>
      </c>
      <c r="Y1530" s="38">
        <f t="shared" si="184"/>
        <v>4.5</v>
      </c>
      <c r="Z1530" s="38">
        <v>0</v>
      </c>
      <c r="AA1530" s="38">
        <v>0</v>
      </c>
      <c r="AB1530" s="38">
        <f>N1530+O1530+P1530+Q1530</f>
        <v>7.2000000000000011</v>
      </c>
      <c r="AC1530" s="38">
        <v>1.40055</v>
      </c>
      <c r="AD1530" s="39">
        <v>0</v>
      </c>
      <c r="AE1530" s="38">
        <v>21</v>
      </c>
      <c r="AF1530" s="38">
        <f>(AD1530+AE1530*0.5)/(3.5*I1530*1000)*100</f>
        <v>4.1666666666666671E-2</v>
      </c>
      <c r="AG1530" s="38">
        <f t="shared" si="185"/>
        <v>0</v>
      </c>
      <c r="AH1530" s="38">
        <v>0</v>
      </c>
      <c r="AI1530" s="38">
        <f>AH1530/(3.5*I1530*1000)*100</f>
        <v>0</v>
      </c>
      <c r="AJ1530" s="38">
        <v>45</v>
      </c>
      <c r="AK1530" s="38">
        <f>AJ1530/(3.5*I1530*1000)*100</f>
        <v>0.17857142857142858</v>
      </c>
      <c r="AL1530" s="38">
        <v>4</v>
      </c>
      <c r="AM1530" s="38">
        <f>AL1530/(3.5*I1530*1000)*100</f>
        <v>1.5873015873015872E-2</v>
      </c>
      <c r="AN1530" s="25"/>
      <c r="AO1530" s="25">
        <f>AE1530*0.5</f>
        <v>10.5</v>
      </c>
      <c r="AP1530" s="25">
        <f>(AD1530+AH1530+AJ1530+AL1530+AO1530)*I1530</f>
        <v>428.40000000000003</v>
      </c>
      <c r="AQ1530" s="25">
        <f>SUM(N1530:Q1530)</f>
        <v>7.2000000000000011</v>
      </c>
      <c r="AR1530" s="25">
        <f>SUM(T1530:W1530)</f>
        <v>7.2</v>
      </c>
      <c r="AS1530" s="268">
        <v>7.2</v>
      </c>
      <c r="AT1530" s="41"/>
      <c r="AU1530" s="49"/>
      <c r="AV1530" s="41"/>
      <c r="AW1530" s="41"/>
    </row>
    <row r="1531" spans="1:88" s="22" customFormat="1">
      <c r="A1531" s="1">
        <v>996</v>
      </c>
      <c r="B1531" s="9" t="s">
        <v>1394</v>
      </c>
      <c r="C1531" s="9">
        <v>617</v>
      </c>
      <c r="D1531" s="8">
        <v>202</v>
      </c>
      <c r="E1531" s="9">
        <v>300</v>
      </c>
      <c r="F1531" s="9" t="s">
        <v>1395</v>
      </c>
      <c r="G1531" s="20">
        <v>94878</v>
      </c>
      <c r="H1531" s="20">
        <v>127975</v>
      </c>
      <c r="I1531" s="35">
        <v>33.097000000000001</v>
      </c>
      <c r="J1531" s="9">
        <v>2</v>
      </c>
      <c r="K1531" s="9" t="s">
        <v>238</v>
      </c>
      <c r="L1531" s="18">
        <v>42129</v>
      </c>
      <c r="M1531" s="37" t="s">
        <v>191</v>
      </c>
      <c r="N1531" s="11">
        <v>18.88</v>
      </c>
      <c r="O1531" s="11">
        <v>8.9499999999999993</v>
      </c>
      <c r="P1531" s="11">
        <v>3.7250000000000001</v>
      </c>
      <c r="Q1531" s="11">
        <v>1.45</v>
      </c>
      <c r="R1531" s="11">
        <v>2.9043100000000002</v>
      </c>
      <c r="S1531" s="38">
        <f t="shared" si="183"/>
        <v>3</v>
      </c>
      <c r="T1531" s="11">
        <v>24.95</v>
      </c>
      <c r="U1531" s="11">
        <v>6.0250000000000004</v>
      </c>
      <c r="V1531" s="11">
        <v>1.6</v>
      </c>
      <c r="W1531" s="11">
        <v>0.42499999999999999</v>
      </c>
      <c r="X1531" s="11">
        <v>8.0472900000000003</v>
      </c>
      <c r="Y1531" s="38">
        <f t="shared" si="184"/>
        <v>8</v>
      </c>
      <c r="Z1531" s="11">
        <v>0</v>
      </c>
      <c r="AA1531" s="11">
        <v>0</v>
      </c>
      <c r="AB1531" s="11">
        <f>SUM(N1531:Q1531)</f>
        <v>33.005000000000003</v>
      </c>
      <c r="AC1531" s="11">
        <v>1.14917</v>
      </c>
      <c r="AD1531" s="164">
        <v>47.96</v>
      </c>
      <c r="AE1531" s="11">
        <v>0</v>
      </c>
      <c r="AF1531" s="169">
        <f>(AD1531+AE1531*0.5)/(3.5*I1531*1000)*100</f>
        <v>4.1402112405526617E-2</v>
      </c>
      <c r="AG1531" s="38">
        <f t="shared" si="185"/>
        <v>0</v>
      </c>
      <c r="AH1531" s="169">
        <v>982.37</v>
      </c>
      <c r="AI1531" s="99">
        <f>AH1531/(3.5*I1531*1000)*100</f>
        <v>0.84804406096366092</v>
      </c>
      <c r="AJ1531" s="169">
        <v>563.42999999999995</v>
      </c>
      <c r="AK1531" s="99">
        <f>AJ1531/(3.5*I1531*1000)*100</f>
        <v>0.4863884944254766</v>
      </c>
      <c r="AL1531" s="169">
        <v>0</v>
      </c>
      <c r="AM1531" s="99">
        <f>AL1531/(3.5*I1531*1000)*100</f>
        <v>0</v>
      </c>
      <c r="AN1531" s="25"/>
      <c r="AO1531" s="25">
        <f>AE1531*0.5</f>
        <v>0</v>
      </c>
      <c r="AP1531" s="25">
        <f>(AD1531+AH1531+AJ1531+AL1531+AO1531)*I1531</f>
        <v>52748.674719999995</v>
      </c>
      <c r="AQ1531" s="25"/>
      <c r="AR1531" s="25"/>
      <c r="AS1531" s="25">
        <f>SUM(N1531:Q1531)</f>
        <v>33.005000000000003</v>
      </c>
      <c r="AT1531" s="25">
        <f>SUM(T1531:W1531)</f>
        <v>33</v>
      </c>
      <c r="AU1531" s="41"/>
      <c r="AV1531" s="41"/>
      <c r="AW1531" s="4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</row>
    <row r="1532" spans="1:88" s="22" customFormat="1">
      <c r="A1532" s="1">
        <v>1742</v>
      </c>
      <c r="B1532" s="34" t="s">
        <v>2324</v>
      </c>
      <c r="C1532" s="34">
        <v>423</v>
      </c>
      <c r="D1532" s="8">
        <v>3322</v>
      </c>
      <c r="E1532" s="34">
        <v>102</v>
      </c>
      <c r="F1532" s="34" t="s">
        <v>2338</v>
      </c>
      <c r="G1532" s="58">
        <v>29475</v>
      </c>
      <c r="H1532" s="58">
        <v>15000</v>
      </c>
      <c r="I1532" s="35">
        <v>14.475</v>
      </c>
      <c r="J1532" s="9">
        <v>2</v>
      </c>
      <c r="K1532" s="34" t="s">
        <v>12</v>
      </c>
      <c r="L1532" s="10">
        <v>42235</v>
      </c>
      <c r="M1532" s="37" t="s">
        <v>191</v>
      </c>
      <c r="N1532" s="38">
        <v>7.9139999999999997</v>
      </c>
      <c r="O1532" s="38">
        <v>4.2569999999999997</v>
      </c>
      <c r="P1532" s="38">
        <v>1.853</v>
      </c>
      <c r="Q1532" s="38">
        <v>0.45100000000000001</v>
      </c>
      <c r="R1532" s="38">
        <v>2.84918</v>
      </c>
      <c r="S1532" s="38">
        <f t="shared" si="183"/>
        <v>3</v>
      </c>
      <c r="T1532" s="38">
        <v>13.9</v>
      </c>
      <c r="U1532" s="38">
        <v>0.47499999999999998</v>
      </c>
      <c r="V1532" s="38">
        <v>0.05</v>
      </c>
      <c r="W1532" s="38">
        <v>2.5000000000000001E-2</v>
      </c>
      <c r="X1532" s="38">
        <v>4.7341800000000003</v>
      </c>
      <c r="Y1532" s="38">
        <f t="shared" si="184"/>
        <v>4.5</v>
      </c>
      <c r="Z1532" s="38">
        <v>0</v>
      </c>
      <c r="AA1532" s="117">
        <v>0</v>
      </c>
      <c r="AB1532" s="35">
        <v>14.475</v>
      </c>
      <c r="AC1532" s="38">
        <v>1.1068100000000001</v>
      </c>
      <c r="AD1532" s="39">
        <v>14.65</v>
      </c>
      <c r="AE1532" s="38">
        <v>12.62</v>
      </c>
      <c r="AF1532" s="38">
        <f>(AD1532+AE1532*0.5)/(3.5*I1532*1000)*100</f>
        <v>4.1371823340735261E-2</v>
      </c>
      <c r="AG1532" s="38">
        <f t="shared" si="185"/>
        <v>0</v>
      </c>
      <c r="AH1532" s="38">
        <v>19.34</v>
      </c>
      <c r="AI1532" s="38">
        <f>AH1532/(3.5*I1532*1000)*100</f>
        <v>3.8174191956575371E-2</v>
      </c>
      <c r="AJ1532" s="38">
        <v>0</v>
      </c>
      <c r="AK1532" s="38">
        <f>AJ1532/(3.5*I1532*1000)*100</f>
        <v>0</v>
      </c>
      <c r="AL1532" s="38">
        <v>0.42</v>
      </c>
      <c r="AM1532" s="38">
        <f>AL1532/(3.5*I1532*1000)*100</f>
        <v>8.2901554404145078E-4</v>
      </c>
      <c r="AN1532" s="25"/>
      <c r="AO1532" s="12">
        <f>AE1532*0.5</f>
        <v>6.31</v>
      </c>
      <c r="AP1532" s="12">
        <f>(AD1532+AH1532+AJ1532+AL1532+AO1532)*I1532</f>
        <v>589.42200000000003</v>
      </c>
      <c r="AQ1532" s="25">
        <f>SUM(N1532:Q1532)</f>
        <v>14.475</v>
      </c>
      <c r="AR1532" s="25">
        <f>SUM(T1532:W1532)</f>
        <v>14.450000000000001</v>
      </c>
      <c r="AT1532" s="41"/>
      <c r="AU1532" s="41"/>
      <c r="AV1532" s="41"/>
      <c r="AW1532" s="41"/>
    </row>
    <row r="1533" spans="1:88" s="22" customFormat="1">
      <c r="A1533" s="1">
        <v>1968</v>
      </c>
      <c r="B1533" s="34" t="s">
        <v>2586</v>
      </c>
      <c r="C1533" s="34">
        <v>321</v>
      </c>
      <c r="D1533" s="75">
        <v>4316</v>
      </c>
      <c r="E1533" s="8">
        <v>100</v>
      </c>
      <c r="F1533" s="9" t="s">
        <v>2613</v>
      </c>
      <c r="G1533" s="58">
        <v>0</v>
      </c>
      <c r="H1533" s="58">
        <v>1393</v>
      </c>
      <c r="I1533" s="21">
        <v>1.393</v>
      </c>
      <c r="J1533" s="8">
        <v>2</v>
      </c>
      <c r="K1533" s="8" t="s">
        <v>238</v>
      </c>
      <c r="L1533" s="18">
        <v>42124</v>
      </c>
      <c r="M1533" s="37" t="s">
        <v>191</v>
      </c>
      <c r="N1533" s="38">
        <v>1</v>
      </c>
      <c r="O1533" s="249">
        <v>0.1</v>
      </c>
      <c r="P1533" s="38">
        <v>2.5000000000000001E-2</v>
      </c>
      <c r="Q1533" s="38">
        <v>0.1</v>
      </c>
      <c r="R1533" s="38">
        <v>2.2814299999999998</v>
      </c>
      <c r="S1533" s="38">
        <f t="shared" si="183"/>
        <v>2.5</v>
      </c>
      <c r="T1533" s="38">
        <v>1.2250000000000001</v>
      </c>
      <c r="U1533" s="38">
        <v>0</v>
      </c>
      <c r="V1533" s="38">
        <v>0</v>
      </c>
      <c r="W1533" s="38">
        <v>0</v>
      </c>
      <c r="X1533" s="38">
        <v>2.0034100000000001</v>
      </c>
      <c r="Y1533" s="38">
        <f t="shared" si="184"/>
        <v>2</v>
      </c>
      <c r="Z1533" s="38">
        <v>0</v>
      </c>
      <c r="AA1533" s="38">
        <v>0</v>
      </c>
      <c r="AB1533" s="38">
        <v>1.2250000000000001</v>
      </c>
      <c r="AC1533" s="38">
        <v>1.05084</v>
      </c>
      <c r="AD1533" s="39">
        <v>0</v>
      </c>
      <c r="AE1533" s="38">
        <v>4</v>
      </c>
      <c r="AF1533" s="38">
        <f>(AD1533+AE1533*0.5)/(3.5*I1533*1000)*100</f>
        <v>4.1021433699107782E-2</v>
      </c>
      <c r="AG1533" s="38">
        <f t="shared" si="185"/>
        <v>0</v>
      </c>
      <c r="AH1533" s="38">
        <v>0</v>
      </c>
      <c r="AI1533" s="38">
        <f>AH1533/(3.5*I1533*1000)*100</f>
        <v>0</v>
      </c>
      <c r="AJ1533" s="38">
        <v>0</v>
      </c>
      <c r="AK1533" s="38">
        <f>AH1533/(3.5*L1533*1000)*100</f>
        <v>0</v>
      </c>
      <c r="AL1533" s="38">
        <v>0</v>
      </c>
      <c r="AM1533" s="38">
        <f>AL1533/(3.5*I1533*1000)*100</f>
        <v>0</v>
      </c>
      <c r="AN1533" s="73"/>
      <c r="AO1533" s="72"/>
      <c r="AP1533" s="41"/>
      <c r="AQ1533" s="41"/>
      <c r="AR1533" s="73"/>
      <c r="AS1533" s="73"/>
      <c r="AT1533" s="73"/>
      <c r="AU1533" s="73"/>
      <c r="AV1533" s="73"/>
      <c r="AW1533" s="73"/>
      <c r="AX1533" s="73"/>
      <c r="AY1533" s="73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</row>
    <row r="1534" spans="1:88" s="22" customFormat="1">
      <c r="A1534" s="1">
        <v>1547</v>
      </c>
      <c r="B1534" s="88" t="s">
        <v>2121</v>
      </c>
      <c r="C1534" s="88">
        <v>415</v>
      </c>
      <c r="D1534" s="199">
        <v>3242</v>
      </c>
      <c r="E1534" s="88">
        <v>100</v>
      </c>
      <c r="F1534" s="88" t="s">
        <v>2127</v>
      </c>
      <c r="G1534" s="200" t="s">
        <v>2128</v>
      </c>
      <c r="H1534" s="200" t="s">
        <v>2129</v>
      </c>
      <c r="I1534" s="51">
        <v>12.53</v>
      </c>
      <c r="J1534" s="88">
        <v>6</v>
      </c>
      <c r="K1534" s="88" t="s">
        <v>237</v>
      </c>
      <c r="L1534" s="116">
        <v>42242</v>
      </c>
      <c r="M1534" s="37" t="s">
        <v>191</v>
      </c>
      <c r="N1534" s="117">
        <v>8.875</v>
      </c>
      <c r="O1534" s="117">
        <v>2.2250000000000001</v>
      </c>
      <c r="P1534" s="117">
        <v>0.9</v>
      </c>
      <c r="Q1534" s="117">
        <v>0.65</v>
      </c>
      <c r="R1534" s="117">
        <v>2.77841</v>
      </c>
      <c r="S1534" s="38">
        <f t="shared" si="183"/>
        <v>3</v>
      </c>
      <c r="T1534" s="117">
        <v>11.2</v>
      </c>
      <c r="U1534" s="117">
        <v>0.95</v>
      </c>
      <c r="V1534" s="117">
        <v>0.4</v>
      </c>
      <c r="W1534" s="117">
        <v>0.1</v>
      </c>
      <c r="X1534" s="117">
        <v>5.0141499999999999</v>
      </c>
      <c r="Y1534" s="38">
        <f t="shared" si="184"/>
        <v>5</v>
      </c>
      <c r="Z1534" s="117">
        <v>0</v>
      </c>
      <c r="AA1534" s="117">
        <v>0</v>
      </c>
      <c r="AB1534" s="117">
        <f>SUM(N1534:Q1534)</f>
        <v>12.65</v>
      </c>
      <c r="AC1534" s="117">
        <v>1.04922</v>
      </c>
      <c r="AD1534" s="39">
        <v>0</v>
      </c>
      <c r="AE1534" s="38">
        <v>35.85</v>
      </c>
      <c r="AF1534" s="38">
        <v>4.0869999999999997E-2</v>
      </c>
      <c r="AG1534" s="38">
        <f t="shared" si="185"/>
        <v>0</v>
      </c>
      <c r="AH1534" s="38">
        <v>0</v>
      </c>
      <c r="AI1534" s="38">
        <v>0</v>
      </c>
      <c r="AJ1534" s="38">
        <v>0</v>
      </c>
      <c r="AK1534" s="38">
        <v>0</v>
      </c>
      <c r="AL1534" s="38">
        <v>0</v>
      </c>
      <c r="AM1534" s="38">
        <v>0</v>
      </c>
      <c r="AN1534" s="12"/>
      <c r="AO1534" s="12">
        <f>AE1534*0.5</f>
        <v>17.925000000000001</v>
      </c>
      <c r="AP1534" s="12">
        <f>(AD1534+AH1534+AJ1534+AL1534+AO1534)*I1534</f>
        <v>224.60024999999999</v>
      </c>
      <c r="AQ1534" s="12">
        <f>SUM(N1534:Q1534)</f>
        <v>12.65</v>
      </c>
      <c r="AR1534" s="12">
        <f>SUM(T1534:W1534)</f>
        <v>12.649999999999999</v>
      </c>
      <c r="AS1534" s="12"/>
      <c r="AT1534" s="1"/>
      <c r="AU1534" s="41"/>
      <c r="AV1534" s="41"/>
      <c r="AW1534" s="41"/>
      <c r="AX1534" s="4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</row>
    <row r="1535" spans="1:88" s="22" customFormat="1">
      <c r="A1535" s="1">
        <v>147</v>
      </c>
      <c r="B1535" s="34" t="s">
        <v>294</v>
      </c>
      <c r="C1535" s="34">
        <v>531</v>
      </c>
      <c r="D1535" s="34">
        <v>1023</v>
      </c>
      <c r="E1535" s="34">
        <v>102</v>
      </c>
      <c r="F1535" s="34" t="s">
        <v>311</v>
      </c>
      <c r="G1535" s="20" t="s">
        <v>312</v>
      </c>
      <c r="H1535" s="20" t="s">
        <v>309</v>
      </c>
      <c r="I1535" s="35">
        <v>20.722000000000001</v>
      </c>
      <c r="J1535" s="36">
        <v>2</v>
      </c>
      <c r="K1535" s="34" t="s">
        <v>12</v>
      </c>
      <c r="L1535" s="18">
        <v>42223</v>
      </c>
      <c r="M1535" s="37" t="s">
        <v>191</v>
      </c>
      <c r="N1535" s="38">
        <v>14.42</v>
      </c>
      <c r="O1535" s="38">
        <v>3.65</v>
      </c>
      <c r="P1535" s="38">
        <v>1.8</v>
      </c>
      <c r="Q1535" s="38">
        <v>0.85</v>
      </c>
      <c r="R1535" s="38">
        <v>2.3851</v>
      </c>
      <c r="S1535" s="38">
        <f t="shared" si="183"/>
        <v>2.5</v>
      </c>
      <c r="T1535" s="38">
        <v>4.83</v>
      </c>
      <c r="U1535" s="38">
        <v>0.2</v>
      </c>
      <c r="V1535" s="38">
        <v>0.03</v>
      </c>
      <c r="W1535" s="38">
        <v>15.68</v>
      </c>
      <c r="X1535" s="38">
        <v>35.341500000000003</v>
      </c>
      <c r="Y1535" s="38">
        <f t="shared" si="184"/>
        <v>35.5</v>
      </c>
      <c r="Z1535" s="38">
        <v>0</v>
      </c>
      <c r="AA1535" s="38">
        <v>0</v>
      </c>
      <c r="AB1535" s="38">
        <v>20.73</v>
      </c>
      <c r="AC1535" s="38">
        <v>1.38296</v>
      </c>
      <c r="AD1535" s="39">
        <v>28</v>
      </c>
      <c r="AE1535" s="38">
        <v>3.19</v>
      </c>
      <c r="AF1535" s="38">
        <f>(AD1535+AE1535*0.5)/(3.5*I1535*1000)*100</f>
        <v>4.0805493126697644E-2</v>
      </c>
      <c r="AG1535" s="38">
        <f t="shared" si="185"/>
        <v>0</v>
      </c>
      <c r="AH1535" s="38">
        <v>115</v>
      </c>
      <c r="AI1535" s="38">
        <f>AH1535/(3.5*I1535*1000)*100</f>
        <v>0.15856163911370938</v>
      </c>
      <c r="AJ1535" s="38">
        <v>0</v>
      </c>
      <c r="AK1535" s="38">
        <f>AJ1535/(3.5*I1535*1000)*100</f>
        <v>0</v>
      </c>
      <c r="AL1535" s="38">
        <v>2</v>
      </c>
      <c r="AM1535" s="38">
        <f>AL1535/(3.5*I1535*1000)*100</f>
        <v>2.7575937237166851E-3</v>
      </c>
      <c r="AN1535" s="40"/>
      <c r="AO1535" s="40">
        <f>AE1535*0.5</f>
        <v>1.595</v>
      </c>
      <c r="AP1535" s="40">
        <f>(AD1535+AH1535+AJ1535+AL1535+AO1535)*I1535</f>
        <v>3037.7415900000001</v>
      </c>
      <c r="AQ1535" s="25">
        <f>SUM(N1535:Q1535)</f>
        <v>20.720000000000002</v>
      </c>
      <c r="AR1535" s="25">
        <f>SUM(T1535:W1535)</f>
        <v>20.740000000000002</v>
      </c>
      <c r="AT1535" s="41"/>
      <c r="AU1535" s="41">
        <f>SUM(N1535:Q1535)</f>
        <v>20.720000000000002</v>
      </c>
      <c r="AV1535" s="41">
        <f>SUM(T1535:W1535)</f>
        <v>20.740000000000002</v>
      </c>
      <c r="AW1535" s="41">
        <f>SUM(Z1535:AB1535)</f>
        <v>20.73</v>
      </c>
      <c r="AY1535" s="22">
        <f>I1535/AU1535</f>
        <v>1.000096525096525</v>
      </c>
      <c r="AZ1535" s="22">
        <f>I1535/AV1535</f>
        <v>0.99913211186113782</v>
      </c>
      <c r="BA1535" s="22">
        <f>I1535/AW1535</f>
        <v>0.99961408586589484</v>
      </c>
    </row>
    <row r="1536" spans="1:88" s="22" customFormat="1">
      <c r="A1536" s="1">
        <v>514</v>
      </c>
      <c r="B1536" s="88" t="s">
        <v>871</v>
      </c>
      <c r="C1536" s="88">
        <v>557</v>
      </c>
      <c r="D1536" s="88">
        <v>117</v>
      </c>
      <c r="E1536" s="88">
        <v>403</v>
      </c>
      <c r="F1536" s="88" t="s">
        <v>878</v>
      </c>
      <c r="G1536" s="88" t="s">
        <v>879</v>
      </c>
      <c r="H1536" s="88" t="s">
        <v>880</v>
      </c>
      <c r="I1536" s="115">
        <v>46</v>
      </c>
      <c r="J1536" s="88" t="s">
        <v>238</v>
      </c>
      <c r="K1536" s="88">
        <v>2</v>
      </c>
      <c r="L1536" s="116">
        <v>42270</v>
      </c>
      <c r="M1536" s="37" t="s">
        <v>191</v>
      </c>
      <c r="N1536" s="38">
        <v>35.35</v>
      </c>
      <c r="O1536" s="38">
        <v>7.3</v>
      </c>
      <c r="P1536" s="38">
        <v>2.6</v>
      </c>
      <c r="Q1536" s="38">
        <v>0.8</v>
      </c>
      <c r="R1536" s="38">
        <v>2.1808700000000001</v>
      </c>
      <c r="S1536" s="38">
        <f t="shared" si="183"/>
        <v>2</v>
      </c>
      <c r="T1536" s="38">
        <v>43.725000000000001</v>
      </c>
      <c r="U1536" s="38">
        <v>2.0750000000000002</v>
      </c>
      <c r="V1536" s="38">
        <v>0.2</v>
      </c>
      <c r="W1536" s="38">
        <v>0.05</v>
      </c>
      <c r="X1536" s="38">
        <v>4.2564700000000002</v>
      </c>
      <c r="Y1536" s="38">
        <f t="shared" si="184"/>
        <v>4.5</v>
      </c>
      <c r="Z1536" s="117">
        <v>0</v>
      </c>
      <c r="AA1536" s="117">
        <v>0</v>
      </c>
      <c r="AB1536" s="117">
        <v>46.05</v>
      </c>
      <c r="AC1536" s="117">
        <v>1.2003200000000001</v>
      </c>
      <c r="AD1536" s="254">
        <v>62.14</v>
      </c>
      <c r="AE1536" s="117">
        <v>6.54</v>
      </c>
      <c r="AF1536" s="117">
        <v>4.0627000000000003E-2</v>
      </c>
      <c r="AG1536" s="38">
        <f t="shared" si="185"/>
        <v>0</v>
      </c>
      <c r="AH1536" s="117">
        <v>126.49</v>
      </c>
      <c r="AI1536" s="117">
        <v>7.8564999999999996E-2</v>
      </c>
      <c r="AJ1536" s="117">
        <v>0</v>
      </c>
      <c r="AK1536" s="117">
        <v>0</v>
      </c>
      <c r="AL1536" s="117">
        <v>0</v>
      </c>
      <c r="AM1536" s="117">
        <v>0</v>
      </c>
      <c r="AN1536" s="25"/>
      <c r="AO1536" s="25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</row>
    <row r="1537" spans="1:88" s="22" customFormat="1">
      <c r="A1537" s="1">
        <v>1367</v>
      </c>
      <c r="B1537" s="74" t="s">
        <v>1905</v>
      </c>
      <c r="C1537" s="34">
        <v>445</v>
      </c>
      <c r="D1537" s="75">
        <v>3342</v>
      </c>
      <c r="E1537" s="69">
        <v>100</v>
      </c>
      <c r="F1537" s="184" t="s">
        <v>1917</v>
      </c>
      <c r="G1537" s="20">
        <v>38776</v>
      </c>
      <c r="H1537" s="20">
        <v>0</v>
      </c>
      <c r="I1537" s="21">
        <v>38.776000000000003</v>
      </c>
      <c r="J1537" s="8">
        <v>2</v>
      </c>
      <c r="K1537" s="34" t="s">
        <v>12</v>
      </c>
      <c r="L1537" s="10">
        <v>42188</v>
      </c>
      <c r="M1537" s="37" t="s">
        <v>191</v>
      </c>
      <c r="N1537" s="38">
        <v>27.625</v>
      </c>
      <c r="O1537" s="38">
        <v>6.0750000000000002</v>
      </c>
      <c r="P1537" s="38">
        <v>2.9750000000000001</v>
      </c>
      <c r="Q1537" s="38">
        <v>2.0249999999999999</v>
      </c>
      <c r="R1537" s="38">
        <v>2.3712300000000002</v>
      </c>
      <c r="S1537" s="38">
        <f t="shared" si="183"/>
        <v>2.5</v>
      </c>
      <c r="T1537" s="38">
        <v>35.450000000000003</v>
      </c>
      <c r="U1537" s="38">
        <v>2.4500000000000002</v>
      </c>
      <c r="V1537" s="38">
        <v>0.67500000000000004</v>
      </c>
      <c r="W1537" s="38">
        <v>0.125</v>
      </c>
      <c r="X1537" s="38">
        <v>4.9515000000000002</v>
      </c>
      <c r="Y1537" s="38">
        <f t="shared" si="184"/>
        <v>5</v>
      </c>
      <c r="Z1537" s="38">
        <v>0</v>
      </c>
      <c r="AA1537" s="38">
        <v>0</v>
      </c>
      <c r="AB1537" s="38">
        <v>38.700000000000003</v>
      </c>
      <c r="AC1537" s="38">
        <v>1.3128</v>
      </c>
      <c r="AD1537" s="39">
        <v>55</v>
      </c>
      <c r="AE1537" s="38">
        <v>0</v>
      </c>
      <c r="AF1537" s="38">
        <v>4.0525803884582511E-2</v>
      </c>
      <c r="AG1537" s="38">
        <f t="shared" si="185"/>
        <v>0</v>
      </c>
      <c r="AH1537" s="38">
        <v>0</v>
      </c>
      <c r="AI1537" s="38">
        <v>0</v>
      </c>
      <c r="AJ1537" s="38">
        <v>6</v>
      </c>
      <c r="AK1537" s="38">
        <v>4.4209967874090017E-3</v>
      </c>
      <c r="AL1537" s="38">
        <v>0</v>
      </c>
      <c r="AM1537" s="38">
        <v>0</v>
      </c>
      <c r="AN1537" s="72"/>
      <c r="AO1537" s="41"/>
      <c r="AP1537" s="41"/>
      <c r="AQ1537" s="41"/>
      <c r="AR1537" s="41"/>
      <c r="AS1537" s="73"/>
      <c r="AT1537" s="73"/>
      <c r="AU1537" s="73"/>
      <c r="AV1537" s="73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</row>
    <row r="1538" spans="1:88" s="22" customFormat="1">
      <c r="A1538" s="1">
        <v>841</v>
      </c>
      <c r="B1538" s="34" t="s">
        <v>1231</v>
      </c>
      <c r="C1538" s="34">
        <v>615</v>
      </c>
      <c r="D1538" s="34">
        <v>214</v>
      </c>
      <c r="E1538" s="34">
        <v>306</v>
      </c>
      <c r="F1538" s="34" t="s">
        <v>1235</v>
      </c>
      <c r="G1538" s="58">
        <v>224189</v>
      </c>
      <c r="H1538" s="58">
        <v>264660</v>
      </c>
      <c r="I1538" s="35">
        <v>40.470999999999997</v>
      </c>
      <c r="J1538" s="9">
        <v>2</v>
      </c>
      <c r="K1538" s="34" t="s">
        <v>238</v>
      </c>
      <c r="L1538" s="10">
        <v>42133</v>
      </c>
      <c r="M1538" s="37" t="s">
        <v>191</v>
      </c>
      <c r="N1538" s="38">
        <v>24.475000000000001</v>
      </c>
      <c r="O1538" s="38">
        <v>10.275</v>
      </c>
      <c r="P1538" s="38">
        <v>4.05</v>
      </c>
      <c r="Q1538" s="38">
        <v>1.4750000000000001</v>
      </c>
      <c r="R1538" s="38">
        <v>3.0139999999999998</v>
      </c>
      <c r="S1538" s="38">
        <f t="shared" si="183"/>
        <v>3</v>
      </c>
      <c r="T1538" s="38">
        <v>36.6</v>
      </c>
      <c r="U1538" s="38">
        <v>3.25</v>
      </c>
      <c r="V1538" s="38">
        <v>0.32500000000000001</v>
      </c>
      <c r="W1538" s="38">
        <v>0.1</v>
      </c>
      <c r="X1538" s="38">
        <v>5.9710000000000001</v>
      </c>
      <c r="Y1538" s="38">
        <f t="shared" si="184"/>
        <v>6</v>
      </c>
      <c r="Z1538" s="38">
        <v>0</v>
      </c>
      <c r="AA1538" s="38">
        <v>0</v>
      </c>
      <c r="AB1538" s="38">
        <f>N1538+O1538+P1538+Q1538</f>
        <v>40.274999999999999</v>
      </c>
      <c r="AC1538" s="38">
        <v>1.351</v>
      </c>
      <c r="AD1538" s="39">
        <v>55.39</v>
      </c>
      <c r="AE1538" s="38">
        <v>3.88</v>
      </c>
      <c r="AF1538" s="38">
        <v>4.0469999999999999E-2</v>
      </c>
      <c r="AG1538" s="38">
        <f t="shared" si="185"/>
        <v>0</v>
      </c>
      <c r="AH1538" s="38">
        <v>673.67</v>
      </c>
      <c r="AI1538" s="38">
        <v>0.47559000000000001</v>
      </c>
      <c r="AJ1538" s="38">
        <v>0</v>
      </c>
      <c r="AK1538" s="38">
        <v>0</v>
      </c>
      <c r="AL1538" s="38">
        <v>0.65</v>
      </c>
      <c r="AM1538" s="38">
        <v>4.6000000000000001E-4</v>
      </c>
      <c r="AN1538" s="25"/>
      <c r="AO1538" s="25">
        <f>AE1538*0.5</f>
        <v>1.94</v>
      </c>
      <c r="AP1538" s="25">
        <f>(AD1538+AH1538+AJ1538+AL1538+AO1538)*I1538</f>
        <v>29610.607149999996</v>
      </c>
      <c r="AQ1538" s="25">
        <f>SUM(N1538:Q1538)</f>
        <v>40.274999999999999</v>
      </c>
      <c r="AR1538" s="25">
        <f>SUM(T1538:W1538)</f>
        <v>40.275000000000006</v>
      </c>
      <c r="AS1538" s="268">
        <v>40.470999999999997</v>
      </c>
      <c r="AT1538" s="41"/>
      <c r="AU1538" s="41"/>
      <c r="AV1538" s="41"/>
      <c r="AW1538" s="41"/>
    </row>
    <row r="1539" spans="1:88" s="22" customFormat="1">
      <c r="A1539" s="1">
        <v>390</v>
      </c>
      <c r="B1539" s="74" t="s">
        <v>626</v>
      </c>
      <c r="C1539" s="34">
        <v>517</v>
      </c>
      <c r="D1539" s="75">
        <v>1117</v>
      </c>
      <c r="E1539" s="69">
        <v>100</v>
      </c>
      <c r="F1539" s="34" t="s">
        <v>648</v>
      </c>
      <c r="G1539" s="20" t="s">
        <v>92</v>
      </c>
      <c r="H1539" s="20">
        <v>99900</v>
      </c>
      <c r="I1539" s="21">
        <v>99.9</v>
      </c>
      <c r="J1539" s="8">
        <v>2</v>
      </c>
      <c r="K1539" s="34" t="s">
        <v>238</v>
      </c>
      <c r="L1539" s="18">
        <v>42262</v>
      </c>
      <c r="M1539" s="123" t="s">
        <v>191</v>
      </c>
      <c r="N1539" s="38">
        <v>34.64</v>
      </c>
      <c r="O1539" s="38">
        <v>34.32</v>
      </c>
      <c r="P1539" s="38">
        <v>20.68</v>
      </c>
      <c r="Q1539" s="38">
        <v>10.25</v>
      </c>
      <c r="R1539" s="38">
        <v>3.3132000000000001</v>
      </c>
      <c r="S1539" s="38">
        <f t="shared" ref="S1539:S1602" si="196">ROUND(R1539/5,1)*5</f>
        <v>3.5</v>
      </c>
      <c r="T1539" s="38">
        <v>92.37</v>
      </c>
      <c r="U1539" s="38">
        <v>5.22</v>
      </c>
      <c r="V1539" s="38">
        <v>1.43</v>
      </c>
      <c r="W1539" s="38">
        <v>0.89</v>
      </c>
      <c r="X1539" s="38">
        <v>4.2342399999999998</v>
      </c>
      <c r="Y1539" s="38">
        <f t="shared" ref="Y1539:Y1602" si="197">ROUND(X1539/5,1)*5</f>
        <v>4</v>
      </c>
      <c r="Z1539" s="38">
        <v>0</v>
      </c>
      <c r="AA1539" s="38">
        <v>0</v>
      </c>
      <c r="AB1539" s="38">
        <v>99.9</v>
      </c>
      <c r="AC1539" s="38">
        <v>1.4050800000000001</v>
      </c>
      <c r="AD1539" s="39">
        <v>124.258</v>
      </c>
      <c r="AE1539" s="38">
        <v>34.270000000000003</v>
      </c>
      <c r="AF1539" s="38">
        <f>(AD1539+AE1539*0.5)/(3.5*I1539*1000)*100</f>
        <v>4.0438438438438432E-2</v>
      </c>
      <c r="AG1539" s="38">
        <f t="shared" ref="AG1539:AG1602" si="198">ROUND(AF1539,1)</f>
        <v>0</v>
      </c>
      <c r="AH1539" s="38">
        <v>86.48</v>
      </c>
      <c r="AI1539" s="38">
        <f>AH1539/(3.5*I1539*1000)*100</f>
        <v>2.4733304733304727E-2</v>
      </c>
      <c r="AJ1539" s="38">
        <v>0</v>
      </c>
      <c r="AK1539" s="38">
        <f>AJ1539/(3.5*I1539*1000)*100</f>
        <v>0</v>
      </c>
      <c r="AL1539" s="38">
        <v>0</v>
      </c>
      <c r="AM1539" s="38">
        <f>AL1539/(3.5*I1539*1000)*100</f>
        <v>0</v>
      </c>
      <c r="AQ1539" s="25">
        <f>SUM(N1539:Q1539)</f>
        <v>99.890000000000015</v>
      </c>
      <c r="AR1539" s="25">
        <f>SUM(T1539:W1539)</f>
        <v>99.910000000000011</v>
      </c>
      <c r="AS1539" s="25">
        <f>SUM(Z1539:AB1539)</f>
        <v>99.9</v>
      </c>
      <c r="AU1539" s="1">
        <f>I1539/AQ1539</f>
        <v>1.0001001101211331</v>
      </c>
      <c r="AV1539" s="1">
        <f>I1539/AR1539</f>
        <v>0.99989990991892697</v>
      </c>
      <c r="AW1539" s="1">
        <f>I1539/AS1539</f>
        <v>1</v>
      </c>
    </row>
    <row r="1540" spans="1:88" s="22" customFormat="1">
      <c r="A1540" s="1">
        <v>1792</v>
      </c>
      <c r="B1540" s="34" t="s">
        <v>2382</v>
      </c>
      <c r="C1540" s="34">
        <v>428</v>
      </c>
      <c r="D1540" s="8">
        <v>3134</v>
      </c>
      <c r="E1540" s="34">
        <v>100</v>
      </c>
      <c r="F1540" s="34" t="s">
        <v>2392</v>
      </c>
      <c r="G1540" s="58" t="s">
        <v>2393</v>
      </c>
      <c r="H1540" s="58" t="s">
        <v>92</v>
      </c>
      <c r="I1540" s="35">
        <v>7.5330000000000004</v>
      </c>
      <c r="J1540" s="9">
        <v>6</v>
      </c>
      <c r="K1540" s="34" t="s">
        <v>96</v>
      </c>
      <c r="L1540" s="10">
        <v>42230</v>
      </c>
      <c r="M1540" s="37" t="s">
        <v>191</v>
      </c>
      <c r="N1540" s="38">
        <v>4.2</v>
      </c>
      <c r="O1540" s="38">
        <v>2.25</v>
      </c>
      <c r="P1540" s="38">
        <v>0.875</v>
      </c>
      <c r="Q1540" s="38">
        <v>0.2</v>
      </c>
      <c r="R1540" s="38">
        <v>2.7742100000000001</v>
      </c>
      <c r="S1540" s="38">
        <f t="shared" si="196"/>
        <v>3</v>
      </c>
      <c r="T1540" s="38">
        <v>7.0250000000000004</v>
      </c>
      <c r="U1540" s="38">
        <v>0.42499999999999999</v>
      </c>
      <c r="V1540" s="38">
        <v>0.05</v>
      </c>
      <c r="W1540" s="38">
        <v>2.5000000000000001E-2</v>
      </c>
      <c r="X1540" s="38">
        <v>6.25631</v>
      </c>
      <c r="Y1540" s="38">
        <f t="shared" si="197"/>
        <v>6.5</v>
      </c>
      <c r="Z1540" s="38">
        <v>0</v>
      </c>
      <c r="AA1540" s="38">
        <v>0</v>
      </c>
      <c r="AB1540" s="38">
        <f>SUM(N1540:Q1540)</f>
        <v>7.5250000000000004</v>
      </c>
      <c r="AC1540" s="38">
        <v>1.2153799999999999</v>
      </c>
      <c r="AD1540" s="39">
        <v>3.47</v>
      </c>
      <c r="AE1540" s="38">
        <v>14.19</v>
      </c>
      <c r="AF1540" s="38">
        <f>(AD1540+AE1540*0.5)/(3.5*I1540*1000)*100</f>
        <v>4.0071305304280214E-2</v>
      </c>
      <c r="AG1540" s="38">
        <f t="shared" si="198"/>
        <v>0</v>
      </c>
      <c r="AH1540" s="38">
        <v>0</v>
      </c>
      <c r="AI1540" s="38">
        <f>AH1540/(3.5*I1540*1000)*100</f>
        <v>0</v>
      </c>
      <c r="AJ1540" s="38">
        <v>0</v>
      </c>
      <c r="AK1540" s="38">
        <f>AJ1540/(3.5*I1540*1000)*100</f>
        <v>0</v>
      </c>
      <c r="AL1540" s="38">
        <v>0</v>
      </c>
      <c r="AM1540" s="38">
        <f>AL1540/(3.5*I1540*1000)*100</f>
        <v>0</v>
      </c>
      <c r="AN1540" s="25"/>
      <c r="AO1540" s="25">
        <f>AE1540*0.5</f>
        <v>7.0949999999999998</v>
      </c>
      <c r="AP1540" s="25">
        <f>(AD1540+AH1540+AJ1540+AL1540+AO1540)*I1540</f>
        <v>79.586145000000002</v>
      </c>
      <c r="AQ1540" s="25">
        <f>SUM(N1540:Q1540)</f>
        <v>7.5250000000000004</v>
      </c>
      <c r="AR1540" s="25">
        <f>SUM(T1540:W1540)</f>
        <v>7.5250000000000004</v>
      </c>
      <c r="AT1540" s="41"/>
      <c r="AU1540" s="41"/>
      <c r="AV1540" s="41"/>
      <c r="AW1540" s="41"/>
    </row>
    <row r="1541" spans="1:88" s="22" customFormat="1">
      <c r="A1541" s="1">
        <v>908</v>
      </c>
      <c r="B1541" s="34" t="s">
        <v>1285</v>
      </c>
      <c r="C1541" s="34">
        <v>634</v>
      </c>
      <c r="D1541" s="162">
        <v>2460</v>
      </c>
      <c r="E1541" s="34">
        <v>100</v>
      </c>
      <c r="F1541" s="34" t="s">
        <v>1301</v>
      </c>
      <c r="G1541" s="58">
        <v>0</v>
      </c>
      <c r="H1541" s="58">
        <v>1675</v>
      </c>
      <c r="I1541" s="35">
        <v>1.675</v>
      </c>
      <c r="J1541" s="9">
        <v>2</v>
      </c>
      <c r="K1541" s="34" t="s">
        <v>238</v>
      </c>
      <c r="L1541" s="10">
        <v>42146</v>
      </c>
      <c r="M1541" s="37" t="s">
        <v>191</v>
      </c>
      <c r="N1541" s="38">
        <v>0.22500000000000001</v>
      </c>
      <c r="O1541" s="38">
        <v>0.6</v>
      </c>
      <c r="P1541" s="38">
        <v>0.42499999999999999</v>
      </c>
      <c r="Q1541" s="38">
        <v>0.3</v>
      </c>
      <c r="R1541" s="38">
        <v>3.9903599999999999</v>
      </c>
      <c r="S1541" s="38">
        <f t="shared" si="196"/>
        <v>4</v>
      </c>
      <c r="T1541" s="38">
        <v>1.55</v>
      </c>
      <c r="U1541" s="38">
        <v>0</v>
      </c>
      <c r="V1541" s="38">
        <v>0</v>
      </c>
      <c r="W1541" s="38">
        <v>0</v>
      </c>
      <c r="X1541" s="38">
        <v>1.64829</v>
      </c>
      <c r="Y1541" s="38">
        <f t="shared" si="197"/>
        <v>1.5</v>
      </c>
      <c r="Z1541" s="38">
        <v>0</v>
      </c>
      <c r="AA1541" s="38">
        <v>0</v>
      </c>
      <c r="AB1541" s="38">
        <f>N1541+O1541+P1541+Q1541</f>
        <v>1.55</v>
      </c>
      <c r="AC1541" s="38">
        <v>1.5617000000000001</v>
      </c>
      <c r="AD1541" s="39">
        <v>0</v>
      </c>
      <c r="AE1541" s="38">
        <v>4.67</v>
      </c>
      <c r="AF1541" s="38">
        <v>3.9829999999999997E-2</v>
      </c>
      <c r="AG1541" s="38">
        <f t="shared" si="198"/>
        <v>0</v>
      </c>
      <c r="AH1541" s="38">
        <v>1.94</v>
      </c>
      <c r="AI1541" s="38">
        <v>3.3090000000000001E-2</v>
      </c>
      <c r="AJ1541" s="38">
        <v>0</v>
      </c>
      <c r="AK1541" s="38">
        <v>0</v>
      </c>
      <c r="AL1541" s="38">
        <v>0</v>
      </c>
      <c r="AM1541" s="38">
        <v>0</v>
      </c>
      <c r="AN1541" s="25"/>
      <c r="AO1541" s="25">
        <f>AE1541*0.5</f>
        <v>2.335</v>
      </c>
      <c r="AP1541" s="25">
        <f>(AD1541+AH1541+AJ1541+AL1541+AO1541)*I1541</f>
        <v>7.1606250000000005</v>
      </c>
      <c r="AQ1541" s="25">
        <f>SUM(N1541:Q1541)</f>
        <v>1.55</v>
      </c>
      <c r="AR1541" s="25">
        <f>SUM(T1541:W1541)</f>
        <v>1.55</v>
      </c>
      <c r="AT1541" s="41"/>
      <c r="AU1541" s="41"/>
      <c r="AV1541" s="41"/>
      <c r="AW1541" s="41"/>
    </row>
    <row r="1542" spans="1:88" s="22" customFormat="1">
      <c r="A1542" s="1">
        <v>323</v>
      </c>
      <c r="B1542" s="34" t="s">
        <v>542</v>
      </c>
      <c r="C1542" s="34">
        <v>644</v>
      </c>
      <c r="D1542" s="34">
        <v>2390</v>
      </c>
      <c r="E1542" s="34">
        <v>100</v>
      </c>
      <c r="F1542" s="34" t="s">
        <v>555</v>
      </c>
      <c r="G1542" s="58">
        <v>18421</v>
      </c>
      <c r="H1542" s="58">
        <v>0</v>
      </c>
      <c r="I1542" s="35">
        <v>18.420999999999999</v>
      </c>
      <c r="J1542" s="62">
        <v>2</v>
      </c>
      <c r="K1542" s="34" t="s">
        <v>12</v>
      </c>
      <c r="L1542" s="10">
        <v>42158</v>
      </c>
      <c r="M1542" s="37" t="s">
        <v>191</v>
      </c>
      <c r="N1542" s="38">
        <v>12.18</v>
      </c>
      <c r="O1542" s="38">
        <v>4.2</v>
      </c>
      <c r="P1542" s="38">
        <v>1.45</v>
      </c>
      <c r="Q1542" s="38">
        <v>0.6</v>
      </c>
      <c r="R1542" s="38">
        <v>2.4415499999999999</v>
      </c>
      <c r="S1542" s="38">
        <f t="shared" si="196"/>
        <v>2.5</v>
      </c>
      <c r="T1542" s="38">
        <v>18.43</v>
      </c>
      <c r="U1542" s="38">
        <v>0</v>
      </c>
      <c r="V1542" s="38">
        <v>0</v>
      </c>
      <c r="W1542" s="38">
        <v>0</v>
      </c>
      <c r="X1542" s="38">
        <v>2.7904800000000001</v>
      </c>
      <c r="Y1542" s="38">
        <f t="shared" si="197"/>
        <v>3</v>
      </c>
      <c r="Z1542" s="38">
        <v>0</v>
      </c>
      <c r="AA1542" s="38">
        <v>0</v>
      </c>
      <c r="AB1542" s="38">
        <v>18.43</v>
      </c>
      <c r="AC1542" s="38">
        <v>1.2584599999999999</v>
      </c>
      <c r="AD1542" s="39">
        <v>3</v>
      </c>
      <c r="AE1542" s="38">
        <v>45</v>
      </c>
      <c r="AF1542" s="38">
        <v>3.9550000000000002E-2</v>
      </c>
      <c r="AG1542" s="38">
        <f t="shared" si="198"/>
        <v>0</v>
      </c>
      <c r="AH1542" s="38">
        <v>0</v>
      </c>
      <c r="AI1542" s="38">
        <v>0</v>
      </c>
      <c r="AJ1542" s="38">
        <v>0</v>
      </c>
      <c r="AK1542" s="38">
        <v>0</v>
      </c>
      <c r="AL1542" s="38">
        <v>0</v>
      </c>
      <c r="AM1542" s="38">
        <v>0</v>
      </c>
      <c r="AN1542" s="60"/>
      <c r="AO1542" s="60">
        <f>AE1542*0.5</f>
        <v>22.5</v>
      </c>
      <c r="AP1542" s="60">
        <f>(AD1542+AH1542+AJ1542+AL1542+AO1542)*I1542</f>
        <v>469.7355</v>
      </c>
      <c r="AQ1542" s="25">
        <f>SUM(N1542:Q1542)</f>
        <v>18.43</v>
      </c>
      <c r="AR1542" s="25">
        <f>SUM(T1542:W1542)</f>
        <v>18.43</v>
      </c>
      <c r="AS1542" s="268">
        <v>18.420999999999999</v>
      </c>
      <c r="AT1542" s="40"/>
      <c r="AU1542" s="41">
        <f>SUM(N1542:Q1542)</f>
        <v>18.43</v>
      </c>
      <c r="AV1542" s="41">
        <f>SUM(T1542:W1542)</f>
        <v>18.43</v>
      </c>
      <c r="AW1542" s="41">
        <f>SUM(Z1542:AB1542)</f>
        <v>18.43</v>
      </c>
      <c r="AY1542" s="22">
        <f>I1542/AU1542</f>
        <v>0.99951166576234396</v>
      </c>
      <c r="AZ1542" s="22">
        <f>I1542/AV1542</f>
        <v>0.99951166576234396</v>
      </c>
      <c r="BA1542" s="22">
        <f>I1542/AW1542</f>
        <v>0.99951166576234396</v>
      </c>
      <c r="BB1542" s="61"/>
      <c r="BC1542" s="61"/>
      <c r="BD1542" s="61"/>
      <c r="BE1542" s="61"/>
      <c r="BF1542" s="61"/>
      <c r="BG1542" s="61"/>
      <c r="BH1542" s="61"/>
      <c r="BI1542" s="61"/>
      <c r="BJ1542" s="61"/>
      <c r="BK1542" s="61"/>
      <c r="BL1542" s="61"/>
      <c r="BM1542" s="61"/>
      <c r="BN1542" s="61"/>
      <c r="BO1542" s="61"/>
      <c r="BP1542" s="61"/>
      <c r="BQ1542" s="61"/>
      <c r="BR1542" s="61"/>
      <c r="BS1542" s="61"/>
      <c r="BT1542" s="61"/>
      <c r="BU1542" s="61"/>
      <c r="BV1542" s="61"/>
      <c r="BW1542" s="61"/>
      <c r="BX1542" s="61"/>
      <c r="BY1542" s="61"/>
      <c r="BZ1542" s="61"/>
      <c r="CA1542" s="61"/>
      <c r="CB1542" s="61"/>
      <c r="CC1542" s="61"/>
      <c r="CD1542" s="61"/>
      <c r="CE1542" s="61"/>
      <c r="CF1542" s="61"/>
      <c r="CG1542" s="61"/>
      <c r="CH1542" s="61"/>
      <c r="CI1542" s="61"/>
      <c r="CJ1542" s="61"/>
    </row>
    <row r="1543" spans="1:88" s="22" customFormat="1">
      <c r="A1543" s="1">
        <v>180</v>
      </c>
      <c r="B1543" s="34" t="s">
        <v>332</v>
      </c>
      <c r="C1543" s="34">
        <v>533</v>
      </c>
      <c r="D1543" s="34">
        <v>1211</v>
      </c>
      <c r="E1543" s="34">
        <v>100</v>
      </c>
      <c r="F1543" s="34" t="s">
        <v>363</v>
      </c>
      <c r="G1543" s="20" t="s">
        <v>364</v>
      </c>
      <c r="H1543" s="20" t="s">
        <v>365</v>
      </c>
      <c r="I1543" s="35">
        <v>29.709</v>
      </c>
      <c r="J1543" s="51">
        <v>2</v>
      </c>
      <c r="K1543" s="34" t="s">
        <v>238</v>
      </c>
      <c r="L1543" s="10">
        <v>42203</v>
      </c>
      <c r="M1543" s="37" t="s">
        <v>191</v>
      </c>
      <c r="N1543" s="38">
        <v>20.47</v>
      </c>
      <c r="O1543" s="38">
        <v>6.73</v>
      </c>
      <c r="P1543" s="38">
        <v>1.72</v>
      </c>
      <c r="Q1543" s="38">
        <v>0.79</v>
      </c>
      <c r="R1543" s="38">
        <v>2.3620000000000001</v>
      </c>
      <c r="S1543" s="38">
        <f t="shared" si="196"/>
        <v>2.5</v>
      </c>
      <c r="T1543" s="38">
        <v>28.59</v>
      </c>
      <c r="U1543" s="38">
        <v>0.99</v>
      </c>
      <c r="V1543" s="38">
        <v>0.1</v>
      </c>
      <c r="W1543" s="38">
        <v>0.03</v>
      </c>
      <c r="X1543" s="38">
        <v>4.6210000000000004</v>
      </c>
      <c r="Y1543" s="38">
        <f t="shared" si="197"/>
        <v>4.5</v>
      </c>
      <c r="Z1543" s="38">
        <v>0</v>
      </c>
      <c r="AA1543" s="38">
        <v>0</v>
      </c>
      <c r="AB1543" s="38">
        <v>29.71</v>
      </c>
      <c r="AC1543" s="38">
        <v>1.254</v>
      </c>
      <c r="AD1543" s="39">
        <v>31.93</v>
      </c>
      <c r="AE1543" s="38">
        <v>18.02</v>
      </c>
      <c r="AF1543" s="38">
        <f>(AD1543+AE1543*0.5)/(3.5*I1543*1000)*100</f>
        <v>3.937238835754437E-2</v>
      </c>
      <c r="AG1543" s="38">
        <f t="shared" si="198"/>
        <v>0</v>
      </c>
      <c r="AH1543" s="38">
        <v>0</v>
      </c>
      <c r="AI1543" s="38">
        <f>AH1543/(3.5*I1543*1000)*100</f>
        <v>0</v>
      </c>
      <c r="AJ1543" s="38">
        <v>0</v>
      </c>
      <c r="AK1543" s="38">
        <f>AJ1543/(3.5*I1543*1000)*100</f>
        <v>0</v>
      </c>
      <c r="AL1543" s="38">
        <v>0</v>
      </c>
      <c r="AM1543" s="38">
        <f>AL1543/(3.5*I1543*1000)*100</f>
        <v>0</v>
      </c>
      <c r="AN1543" s="25"/>
      <c r="AO1543" s="25">
        <f>AE1543*0.5</f>
        <v>9.01</v>
      </c>
      <c r="AP1543" s="25">
        <f>(AD1543+AH1543+AJ1543+AL1543+AO1543)*I1543</f>
        <v>1216.2864599999998</v>
      </c>
      <c r="AQ1543" s="25"/>
      <c r="AR1543" s="25">
        <f>SUM(N1543:Q1543)</f>
        <v>29.709999999999997</v>
      </c>
      <c r="AS1543" s="25">
        <f>SUM(T1543:W1543)</f>
        <v>29.71</v>
      </c>
      <c r="AU1543" s="41">
        <f>SUM(N1543:Q1543)</f>
        <v>29.709999999999997</v>
      </c>
      <c r="AV1543" s="41">
        <f>SUM(T1543:W1543)</f>
        <v>29.71</v>
      </c>
      <c r="AW1543" s="41">
        <f>SUM(Z1543:AB1543)</f>
        <v>29.71</v>
      </c>
      <c r="AX1543" s="41"/>
      <c r="AY1543" s="22">
        <f>I1543/AU1543</f>
        <v>0.9999663412992259</v>
      </c>
      <c r="AZ1543" s="22">
        <f>I1543/AV1543</f>
        <v>0.99996634129922579</v>
      </c>
      <c r="BA1543" s="22">
        <f>I1543/AW1543</f>
        <v>0.99996634129922579</v>
      </c>
    </row>
    <row r="1544" spans="1:88" s="22" customFormat="1">
      <c r="A1544" s="1">
        <v>1666</v>
      </c>
      <c r="B1544" s="34" t="s">
        <v>2272</v>
      </c>
      <c r="C1544" s="34">
        <v>419</v>
      </c>
      <c r="D1544" s="69">
        <v>9</v>
      </c>
      <c r="E1544" s="34">
        <v>101</v>
      </c>
      <c r="F1544" s="34" t="s">
        <v>2273</v>
      </c>
      <c r="G1544" s="58">
        <v>0</v>
      </c>
      <c r="H1544" s="58">
        <v>19972</v>
      </c>
      <c r="I1544" s="35">
        <v>19.972000000000001</v>
      </c>
      <c r="J1544" s="34">
        <v>8</v>
      </c>
      <c r="K1544" s="34" t="s">
        <v>237</v>
      </c>
      <c r="L1544" s="10">
        <v>42243</v>
      </c>
      <c r="M1544" s="37" t="s">
        <v>191</v>
      </c>
      <c r="N1544" s="55">
        <v>5.0999999999999996</v>
      </c>
      <c r="O1544" s="55">
        <v>10.45</v>
      </c>
      <c r="P1544" s="55">
        <v>2.0499999999999998</v>
      </c>
      <c r="Q1544" s="55">
        <v>2.25</v>
      </c>
      <c r="R1544" s="55">
        <v>3.3761399999999999</v>
      </c>
      <c r="S1544" s="38">
        <f t="shared" si="196"/>
        <v>3.5</v>
      </c>
      <c r="T1544" s="38">
        <v>19.5</v>
      </c>
      <c r="U1544" s="38">
        <v>0.3</v>
      </c>
      <c r="V1544" s="38">
        <v>0.05</v>
      </c>
      <c r="W1544" s="38">
        <v>0</v>
      </c>
      <c r="X1544" s="38">
        <v>4.3579499999999998</v>
      </c>
      <c r="Y1544" s="38">
        <f t="shared" si="197"/>
        <v>4.5</v>
      </c>
      <c r="Z1544" s="38">
        <v>0</v>
      </c>
      <c r="AA1544" s="38">
        <v>0</v>
      </c>
      <c r="AB1544" s="38">
        <f>SUM(N1544:Q1544)</f>
        <v>19.849999999999998</v>
      </c>
      <c r="AC1544" s="38">
        <v>1.2367600000000001</v>
      </c>
      <c r="AD1544" s="39">
        <v>0</v>
      </c>
      <c r="AE1544" s="38">
        <v>54.9</v>
      </c>
      <c r="AF1544" s="38">
        <f>(AD1544+AE1544*0.5)/(3.5*I1544*1000)*100</f>
        <v>3.9269262682040569E-2</v>
      </c>
      <c r="AG1544" s="38">
        <f t="shared" si="198"/>
        <v>0</v>
      </c>
      <c r="AH1544" s="38">
        <v>0</v>
      </c>
      <c r="AI1544" s="38">
        <f>AH1544/(3.5*I1544*1000)*100</f>
        <v>0</v>
      </c>
      <c r="AJ1544" s="38">
        <v>116.25</v>
      </c>
      <c r="AK1544" s="38">
        <f>AJ1544/(3.5*I1544*1000)*100</f>
        <v>0.16630425452776743</v>
      </c>
      <c r="AL1544" s="38">
        <v>0</v>
      </c>
      <c r="AM1544" s="38">
        <f>AL1544/(3.5*I1544*1000)*100</f>
        <v>0</v>
      </c>
      <c r="AN1544" s="25"/>
      <c r="AO1544" s="25">
        <f>AE1544*0.5</f>
        <v>27.45</v>
      </c>
      <c r="AP1544" s="25">
        <f>(AD1544+AH1544+AJ1544+AL1544+AO1544)*I1544</f>
        <v>2869.9764</v>
      </c>
      <c r="AQ1544" s="25">
        <f>(AD1544+AH1544+AJ1544+AL1544)*I1544</f>
        <v>2321.7450000000003</v>
      </c>
      <c r="AR1544" s="25">
        <f>SUM(N1544:Q1544)</f>
        <v>19.849999999999998</v>
      </c>
      <c r="AS1544" s="25">
        <f>SUM(T1544:W1544)</f>
        <v>19.850000000000001</v>
      </c>
      <c r="AU1544" s="41"/>
      <c r="AV1544" s="41"/>
      <c r="AW1544" s="41"/>
      <c r="AX1544" s="41"/>
    </row>
    <row r="1545" spans="1:88">
      <c r="A1545" s="1">
        <v>1195</v>
      </c>
      <c r="B1545" s="34" t="s">
        <v>1674</v>
      </c>
      <c r="C1545" s="34">
        <v>435</v>
      </c>
      <c r="D1545" s="34">
        <v>205</v>
      </c>
      <c r="E1545" s="34">
        <v>203</v>
      </c>
      <c r="F1545" s="34" t="s">
        <v>1677</v>
      </c>
      <c r="G1545" s="34" t="s">
        <v>1678</v>
      </c>
      <c r="H1545" s="34" t="s">
        <v>1679</v>
      </c>
      <c r="I1545" s="55">
        <v>37.1</v>
      </c>
      <c r="J1545" s="34">
        <v>2</v>
      </c>
      <c r="K1545" s="181" t="s">
        <v>238</v>
      </c>
      <c r="L1545" s="10">
        <v>42282</v>
      </c>
      <c r="M1545" s="37" t="s">
        <v>191</v>
      </c>
      <c r="N1545" s="38">
        <v>22.95</v>
      </c>
      <c r="O1545" s="38">
        <v>7.75</v>
      </c>
      <c r="P1545" s="38">
        <v>4.4000000000000004</v>
      </c>
      <c r="Q1545" s="38">
        <v>1.75</v>
      </c>
      <c r="R1545" s="38">
        <v>2.5827200000000001</v>
      </c>
      <c r="S1545" s="38">
        <f t="shared" si="196"/>
        <v>2.5</v>
      </c>
      <c r="T1545" s="38">
        <v>32.475000000000001</v>
      </c>
      <c r="U1545" s="38">
        <v>3.125</v>
      </c>
      <c r="V1545" s="38">
        <v>0.82499999999999996</v>
      </c>
      <c r="W1545" s="38">
        <v>0.42499999999999999</v>
      </c>
      <c r="X1545" s="38">
        <v>5.7622200000000001</v>
      </c>
      <c r="Y1545" s="38">
        <f t="shared" si="197"/>
        <v>6</v>
      </c>
      <c r="Z1545" s="38">
        <v>0</v>
      </c>
      <c r="AA1545" s="38">
        <v>0</v>
      </c>
      <c r="AB1545" s="55">
        <v>37.1</v>
      </c>
      <c r="AC1545" s="38">
        <v>1.21953</v>
      </c>
      <c r="AD1545" s="39">
        <v>47.65</v>
      </c>
      <c r="AE1545" s="38">
        <v>6.41</v>
      </c>
      <c r="AF1545" s="38">
        <f>(AD1545+AE1545*0.5)/(3.5*I1545*1000)*100</f>
        <v>3.9164420485175204E-2</v>
      </c>
      <c r="AG1545" s="38">
        <f t="shared" si="198"/>
        <v>0</v>
      </c>
      <c r="AH1545" s="38">
        <v>63.54</v>
      </c>
      <c r="AI1545" s="38">
        <v>4.8932999999999997E-2</v>
      </c>
      <c r="AJ1545" s="38">
        <v>0</v>
      </c>
      <c r="AK1545" s="38">
        <v>0</v>
      </c>
      <c r="AL1545" s="38">
        <v>0</v>
      </c>
      <c r="AM1545" s="38">
        <v>0</v>
      </c>
      <c r="AN1545" s="12"/>
    </row>
    <row r="1546" spans="1:88">
      <c r="A1546" s="1">
        <v>717</v>
      </c>
      <c r="B1546" s="34" t="s">
        <v>1123</v>
      </c>
      <c r="C1546" s="34">
        <v>627</v>
      </c>
      <c r="D1546" s="34">
        <v>201</v>
      </c>
      <c r="E1546" s="34">
        <v>302</v>
      </c>
      <c r="F1546" s="34" t="s">
        <v>1125</v>
      </c>
      <c r="G1546" s="58">
        <v>200955</v>
      </c>
      <c r="H1546" s="58">
        <v>221081</v>
      </c>
      <c r="I1546" s="51">
        <v>20.126000000000001</v>
      </c>
      <c r="J1546" s="127">
        <v>4</v>
      </c>
      <c r="K1546" s="34" t="s">
        <v>238</v>
      </c>
      <c r="L1546" s="10">
        <v>42178</v>
      </c>
      <c r="M1546" s="37" t="s">
        <v>191</v>
      </c>
      <c r="N1546" s="38">
        <f>22.1*0.468</f>
        <v>10.3428</v>
      </c>
      <c r="O1546" s="38">
        <f>13.35*0.468</f>
        <v>6.2477999999999998</v>
      </c>
      <c r="P1546" s="38">
        <f>5.65*0.468</f>
        <v>2.6442000000000001</v>
      </c>
      <c r="Q1546" s="38">
        <f>1.875*0.468</f>
        <v>0.87750000000000006</v>
      </c>
      <c r="R1546" s="38">
        <v>2.60128</v>
      </c>
      <c r="S1546" s="38">
        <f t="shared" si="196"/>
        <v>2.5</v>
      </c>
      <c r="T1546" s="38">
        <v>18.059999999999999</v>
      </c>
      <c r="U1546" s="38">
        <v>2.2000000000000002</v>
      </c>
      <c r="V1546" s="38">
        <v>0.42</v>
      </c>
      <c r="W1546" s="38">
        <v>0.23</v>
      </c>
      <c r="X1546" s="38">
        <v>5.7771699999999999</v>
      </c>
      <c r="Y1546" s="38">
        <f t="shared" si="197"/>
        <v>6</v>
      </c>
      <c r="Z1546" s="38">
        <v>0</v>
      </c>
      <c r="AA1546" s="38">
        <v>0</v>
      </c>
      <c r="AB1546" s="38">
        <v>20.126000000000001</v>
      </c>
      <c r="AC1546" s="38">
        <v>1.02121</v>
      </c>
      <c r="AD1546" s="39">
        <v>27.35</v>
      </c>
      <c r="AE1546" s="38">
        <v>0</v>
      </c>
      <c r="AF1546" s="38">
        <v>3.8830000000000003E-2</v>
      </c>
      <c r="AG1546" s="38">
        <f t="shared" si="198"/>
        <v>0</v>
      </c>
      <c r="AH1546" s="38">
        <v>124.2</v>
      </c>
      <c r="AI1546" s="38">
        <v>0.176318</v>
      </c>
      <c r="AJ1546" s="38">
        <v>0</v>
      </c>
      <c r="AK1546" s="38">
        <v>0</v>
      </c>
      <c r="AL1546" s="38">
        <v>10.8</v>
      </c>
      <c r="AM1546" s="147">
        <f>AL1546/(3.5*I1546*1000)*100</f>
        <v>1.5331979954855838E-2</v>
      </c>
      <c r="AN1546" s="25"/>
      <c r="AO1546" s="25">
        <f>AE1546*0.5</f>
        <v>0</v>
      </c>
      <c r="AP1546" s="25">
        <f>(AD1546+AH1546+AJ1546+AL1546+AO1546)*I1546</f>
        <v>3267.4561000000008</v>
      </c>
      <c r="AQ1546" s="25">
        <f>SUM(N1546:Q1546)</f>
        <v>20.112300000000005</v>
      </c>
      <c r="AR1546" s="25">
        <f>SUM(T1546:W1546)</f>
        <v>20.91</v>
      </c>
      <c r="AS1546" s="268">
        <v>20.126000000000001</v>
      </c>
      <c r="AT1546" s="41">
        <f>AS1546/AQ1546</f>
        <v>1.0006811752012448</v>
      </c>
      <c r="AU1546" s="41"/>
      <c r="AV1546" s="41"/>
      <c r="AW1546" s="41"/>
      <c r="AX1546" s="22"/>
      <c r="AY1546" s="22"/>
      <c r="AZ1546" s="22"/>
      <c r="BA1546" s="22"/>
      <c r="BB1546" s="22"/>
      <c r="BC1546" s="22"/>
      <c r="BD1546" s="22"/>
      <c r="BE1546" s="22"/>
      <c r="BF1546" s="22"/>
      <c r="BG1546" s="22"/>
      <c r="BH1546" s="22"/>
      <c r="BI1546" s="22"/>
      <c r="BJ1546" s="22"/>
      <c r="BK1546" s="22"/>
      <c r="BL1546" s="22"/>
      <c r="BM1546" s="22"/>
      <c r="BN1546" s="22"/>
      <c r="BO1546" s="22"/>
      <c r="BP1546" s="22"/>
      <c r="BQ1546" s="22"/>
      <c r="BR1546" s="22"/>
      <c r="BS1546" s="22"/>
      <c r="BT1546" s="22"/>
      <c r="BU1546" s="22"/>
      <c r="BV1546" s="22"/>
      <c r="BW1546" s="22"/>
      <c r="BX1546" s="22"/>
      <c r="BY1546" s="22"/>
      <c r="BZ1546" s="22"/>
      <c r="CA1546" s="22"/>
      <c r="CB1546" s="22"/>
      <c r="CC1546" s="22"/>
      <c r="CD1546" s="22"/>
      <c r="CE1546" s="22"/>
      <c r="CF1546" s="22"/>
      <c r="CG1546" s="22"/>
      <c r="CH1546" s="22"/>
      <c r="CI1546" s="22"/>
      <c r="CJ1546" s="22"/>
    </row>
    <row r="1547" spans="1:88">
      <c r="A1547" s="1">
        <v>1491</v>
      </c>
      <c r="B1547" s="34" t="s">
        <v>2016</v>
      </c>
      <c r="C1547" s="34">
        <v>411</v>
      </c>
      <c r="D1547" s="69">
        <v>3901</v>
      </c>
      <c r="E1547" s="34">
        <v>601</v>
      </c>
      <c r="F1547" s="34" t="s">
        <v>2052</v>
      </c>
      <c r="G1547" s="20" t="s">
        <v>2053</v>
      </c>
      <c r="H1547" s="20" t="s">
        <v>2054</v>
      </c>
      <c r="I1547" s="188">
        <v>4.3159999999999998</v>
      </c>
      <c r="J1547" s="34">
        <v>2</v>
      </c>
      <c r="K1547" s="34" t="s">
        <v>238</v>
      </c>
      <c r="L1547" s="10">
        <v>42247</v>
      </c>
      <c r="M1547" s="37" t="s">
        <v>191</v>
      </c>
      <c r="N1547" s="38">
        <v>2.0299999999999998</v>
      </c>
      <c r="O1547" s="38">
        <v>1.107</v>
      </c>
      <c r="P1547" s="38">
        <v>0.63900000000000001</v>
      </c>
      <c r="Q1547" s="38">
        <v>0.54</v>
      </c>
      <c r="R1547" s="38">
        <v>3.266</v>
      </c>
      <c r="S1547" s="38">
        <f t="shared" si="196"/>
        <v>3.5</v>
      </c>
      <c r="T1547" s="38">
        <v>1.4750000000000001</v>
      </c>
      <c r="U1547" s="38">
        <v>1.05</v>
      </c>
      <c r="V1547" s="38">
        <v>0.4</v>
      </c>
      <c r="W1547" s="38">
        <v>0.1</v>
      </c>
      <c r="X1547" s="38">
        <v>10.509</v>
      </c>
      <c r="Y1547" s="38">
        <f t="shared" si="197"/>
        <v>10.5</v>
      </c>
      <c r="Z1547" s="38">
        <v>0</v>
      </c>
      <c r="AA1547" s="38">
        <v>0</v>
      </c>
      <c r="AB1547" s="38">
        <f>SUM(T1547:W1547)</f>
        <v>3.0250000000000004</v>
      </c>
      <c r="AC1547" s="38">
        <v>1.0129999999999999</v>
      </c>
      <c r="AD1547" s="39">
        <v>0</v>
      </c>
      <c r="AE1547" s="38">
        <v>11.67</v>
      </c>
      <c r="AF1547" s="38">
        <f>(AD1547+AE1547*0.5)/(3.5*I1547*1000)*100</f>
        <v>3.8627035614987419E-2</v>
      </c>
      <c r="AG1547" s="38">
        <f t="shared" si="198"/>
        <v>0</v>
      </c>
      <c r="AH1547" s="38">
        <v>0</v>
      </c>
      <c r="AI1547" s="38">
        <f>AH1547/(3.5*I1547*1000)*100</f>
        <v>0</v>
      </c>
      <c r="AJ1547" s="38">
        <v>0</v>
      </c>
      <c r="AK1547" s="38">
        <f>AJ1547/(3.5*I1547*1000)*100</f>
        <v>0</v>
      </c>
      <c r="AL1547" s="38">
        <v>0</v>
      </c>
      <c r="AM1547" s="38">
        <f>AL1547/(3.5*I1547*1000)*100</f>
        <v>0</v>
      </c>
      <c r="AN1547" s="60"/>
      <c r="AO1547" s="60">
        <f>AE1547*0.5</f>
        <v>5.835</v>
      </c>
      <c r="AP1547" s="60">
        <f>(AD1547+AH1547+AJ1547+AL1547+AO1547)*I1547</f>
        <v>25.183859999999999</v>
      </c>
      <c r="AQ1547" s="60"/>
      <c r="AR1547" s="60"/>
      <c r="AS1547" s="60"/>
      <c r="AT1547" s="60"/>
      <c r="AU1547" s="61"/>
      <c r="AV1547" s="40"/>
      <c r="AW1547" s="40"/>
      <c r="AX1547" s="40"/>
      <c r="AY1547" s="40"/>
      <c r="AZ1547" s="61"/>
      <c r="BA1547" s="61"/>
      <c r="BB1547" s="61"/>
      <c r="BC1547" s="61"/>
      <c r="BD1547" s="61"/>
      <c r="BE1547" s="61"/>
      <c r="BF1547" s="61"/>
      <c r="BG1547" s="61"/>
      <c r="BH1547" s="61"/>
      <c r="BI1547" s="61"/>
      <c r="BJ1547" s="61"/>
      <c r="BK1547" s="61"/>
      <c r="BL1547" s="61"/>
      <c r="BM1547" s="61"/>
      <c r="BN1547" s="61"/>
      <c r="BO1547" s="61"/>
      <c r="BP1547" s="61"/>
      <c r="BQ1547" s="61"/>
      <c r="BR1547" s="61"/>
      <c r="BS1547" s="61"/>
      <c r="BT1547" s="61"/>
      <c r="BU1547" s="61"/>
      <c r="BV1547" s="61"/>
      <c r="BW1547" s="61"/>
      <c r="BX1547" s="61"/>
      <c r="BY1547" s="61"/>
      <c r="BZ1547" s="61"/>
      <c r="CA1547" s="61"/>
      <c r="CB1547" s="61"/>
      <c r="CC1547" s="61"/>
      <c r="CD1547" s="61"/>
      <c r="CE1547" s="61"/>
      <c r="CF1547" s="61"/>
      <c r="CG1547" s="61"/>
      <c r="CH1547" s="61"/>
      <c r="CI1547" s="61"/>
      <c r="CJ1547" s="61"/>
    </row>
    <row r="1548" spans="1:88">
      <c r="A1548" s="1">
        <v>894</v>
      </c>
      <c r="B1548" s="34" t="s">
        <v>1285</v>
      </c>
      <c r="C1548" s="34">
        <v>634</v>
      </c>
      <c r="D1548" s="148">
        <v>2050</v>
      </c>
      <c r="E1548" s="34">
        <v>202</v>
      </c>
      <c r="F1548" s="34" t="s">
        <v>1288</v>
      </c>
      <c r="G1548" s="58">
        <v>77923</v>
      </c>
      <c r="H1548" s="58">
        <v>101069</v>
      </c>
      <c r="I1548" s="35">
        <v>23.146000000000001</v>
      </c>
      <c r="J1548" s="9">
        <v>2</v>
      </c>
      <c r="K1548" s="34" t="s">
        <v>238</v>
      </c>
      <c r="L1548" s="10">
        <v>42145</v>
      </c>
      <c r="M1548" s="37" t="s">
        <v>191</v>
      </c>
      <c r="N1548" s="38">
        <v>13.1</v>
      </c>
      <c r="O1548" s="38">
        <v>5.4249999999999998</v>
      </c>
      <c r="P1548" s="38">
        <v>2.875</v>
      </c>
      <c r="Q1548" s="38">
        <v>1.1000000000000001</v>
      </c>
      <c r="R1548" s="38">
        <v>3.1269999999999998</v>
      </c>
      <c r="S1548" s="38">
        <f t="shared" si="196"/>
        <v>3</v>
      </c>
      <c r="T1548" s="38">
        <v>20.100000000000001</v>
      </c>
      <c r="U1548" s="38">
        <v>2.1</v>
      </c>
      <c r="V1548" s="38">
        <v>0.2</v>
      </c>
      <c r="W1548" s="38">
        <v>0.1</v>
      </c>
      <c r="X1548" s="38">
        <v>7.3109999999999999</v>
      </c>
      <c r="Y1548" s="38">
        <f t="shared" si="197"/>
        <v>7.5</v>
      </c>
      <c r="Z1548" s="38">
        <v>0</v>
      </c>
      <c r="AA1548" s="38">
        <v>0</v>
      </c>
      <c r="AB1548" s="38">
        <f>N1548+O1548+P1548+Q1548</f>
        <v>22.5</v>
      </c>
      <c r="AC1548" s="38">
        <v>1.6859999999999999</v>
      </c>
      <c r="AD1548" s="39">
        <v>23.29</v>
      </c>
      <c r="AE1548" s="38">
        <v>15.95</v>
      </c>
      <c r="AF1548" s="38">
        <v>3.8589999999999999E-2</v>
      </c>
      <c r="AG1548" s="38">
        <f t="shared" si="198"/>
        <v>0</v>
      </c>
      <c r="AH1548" s="38">
        <v>0.14000000000000001</v>
      </c>
      <c r="AI1548" s="38">
        <v>1.6699999999999999E-4</v>
      </c>
      <c r="AJ1548" s="38">
        <v>182.55</v>
      </c>
      <c r="AK1548" s="38">
        <v>0.22534000000000001</v>
      </c>
      <c r="AL1548" s="38">
        <v>0</v>
      </c>
      <c r="AM1548" s="38">
        <v>0</v>
      </c>
      <c r="AN1548" s="25"/>
      <c r="AO1548" s="25">
        <f>AE1548*0.5</f>
        <v>7.9749999999999996</v>
      </c>
      <c r="AP1548" s="25">
        <f>(AD1548+AH1548+AJ1548+AL1548+AO1548)*I1548</f>
        <v>4952.2024300000003</v>
      </c>
      <c r="AQ1548" s="25">
        <f>SUM(N1548:Q1548)</f>
        <v>22.5</v>
      </c>
      <c r="AR1548" s="25">
        <f>SUM(T1548:W1548)</f>
        <v>22.500000000000004</v>
      </c>
      <c r="AS1548" s="22"/>
      <c r="AT1548" s="41"/>
      <c r="AU1548" s="41"/>
      <c r="AV1548" s="41"/>
      <c r="AW1548" s="41"/>
      <c r="AX1548" s="22"/>
      <c r="AY1548" s="22"/>
      <c r="AZ1548" s="22"/>
      <c r="BA1548" s="22"/>
      <c r="BB1548" s="22"/>
      <c r="BC1548" s="22"/>
      <c r="BD1548" s="22"/>
      <c r="BE1548" s="22"/>
      <c r="BF1548" s="22"/>
      <c r="BG1548" s="22"/>
      <c r="BH1548" s="22"/>
      <c r="BI1548" s="22"/>
      <c r="BJ1548" s="22"/>
      <c r="BK1548" s="22"/>
      <c r="BL1548" s="22"/>
      <c r="BM1548" s="22"/>
      <c r="BN1548" s="22"/>
      <c r="BO1548" s="22"/>
      <c r="BP1548" s="22"/>
      <c r="BQ1548" s="22"/>
      <c r="BR1548" s="22"/>
      <c r="BS1548" s="22"/>
      <c r="BT1548" s="22"/>
      <c r="BU1548" s="22"/>
      <c r="BV1548" s="22"/>
      <c r="BW1548" s="22"/>
      <c r="BX1548" s="22"/>
      <c r="BY1548" s="22"/>
      <c r="BZ1548" s="22"/>
      <c r="CA1548" s="22"/>
      <c r="CB1548" s="22"/>
      <c r="CC1548" s="22"/>
      <c r="CD1548" s="22"/>
      <c r="CE1548" s="22"/>
      <c r="CF1548" s="22"/>
      <c r="CG1548" s="22"/>
      <c r="CH1548" s="22"/>
      <c r="CI1548" s="22"/>
      <c r="CJ1548" s="22"/>
    </row>
    <row r="1549" spans="1:88" s="22" customFormat="1">
      <c r="A1549" s="1">
        <v>1228</v>
      </c>
      <c r="B1549" s="34" t="s">
        <v>1725</v>
      </c>
      <c r="C1549" s="88">
        <v>437</v>
      </c>
      <c r="D1549" s="88">
        <v>1084</v>
      </c>
      <c r="E1549" s="88">
        <v>100</v>
      </c>
      <c r="F1549" s="88" t="s">
        <v>1732</v>
      </c>
      <c r="G1549" s="88" t="s">
        <v>640</v>
      </c>
      <c r="H1549" s="88" t="s">
        <v>92</v>
      </c>
      <c r="I1549" s="115">
        <v>48.188000000000002</v>
      </c>
      <c r="J1549" s="88">
        <v>2</v>
      </c>
      <c r="K1549" s="88" t="s">
        <v>12</v>
      </c>
      <c r="L1549" s="116">
        <v>42282</v>
      </c>
      <c r="M1549" s="37" t="s">
        <v>191</v>
      </c>
      <c r="N1549" s="38">
        <v>25.7</v>
      </c>
      <c r="O1549" s="38">
        <v>10.375</v>
      </c>
      <c r="P1549" s="38">
        <v>7.25</v>
      </c>
      <c r="Q1549" s="38">
        <v>4.8499999999999996</v>
      </c>
      <c r="R1549" s="38">
        <v>2.9157700000000002</v>
      </c>
      <c r="S1549" s="38">
        <f t="shared" si="196"/>
        <v>3</v>
      </c>
      <c r="T1549" s="38">
        <v>45.3</v>
      </c>
      <c r="U1549" s="38">
        <v>2.1749999999999998</v>
      </c>
      <c r="V1549" s="38">
        <v>0.4</v>
      </c>
      <c r="W1549" s="38">
        <v>0.3</v>
      </c>
      <c r="X1549" s="38">
        <v>4.3583499999999997</v>
      </c>
      <c r="Y1549" s="38">
        <f t="shared" si="197"/>
        <v>4.5</v>
      </c>
      <c r="Z1549" s="38">
        <v>0</v>
      </c>
      <c r="AA1549" s="117">
        <v>0</v>
      </c>
      <c r="AB1549" s="117">
        <v>48.188000000000002</v>
      </c>
      <c r="AC1549" s="117">
        <v>1.2432700000000001</v>
      </c>
      <c r="AD1549" s="254">
        <v>63.96</v>
      </c>
      <c r="AE1549" s="117">
        <v>1.25</v>
      </c>
      <c r="AF1549" s="117">
        <f>(AD1549+AE1549*0.5)/(3.5*I1549*1000)*100</f>
        <v>3.8293469624921438E-2</v>
      </c>
      <c r="AG1549" s="38">
        <f t="shared" si="198"/>
        <v>0</v>
      </c>
      <c r="AH1549" s="117">
        <v>15.32</v>
      </c>
      <c r="AI1549" s="117">
        <f>AH1549/(3.5*I1549*1000)*100</f>
        <v>9.0834706921699513E-3</v>
      </c>
      <c r="AJ1549" s="117">
        <v>0</v>
      </c>
      <c r="AK1549" s="117">
        <f>AJ1549/(3.5*I1549*1000)*100</f>
        <v>0</v>
      </c>
      <c r="AL1549" s="117">
        <v>0</v>
      </c>
      <c r="AM1549" s="117">
        <f>AJ1549/(3.5*I1549*1000)*100</f>
        <v>0</v>
      </c>
      <c r="AN1549" s="12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</row>
    <row r="1550" spans="1:88" s="22" customFormat="1">
      <c r="A1550" s="1">
        <v>1948</v>
      </c>
      <c r="B1550" s="34" t="s">
        <v>2586</v>
      </c>
      <c r="C1550" s="34">
        <v>321</v>
      </c>
      <c r="D1550" s="75">
        <v>408</v>
      </c>
      <c r="E1550" s="8">
        <v>102</v>
      </c>
      <c r="F1550" s="34" t="s">
        <v>2591</v>
      </c>
      <c r="G1550" s="58">
        <v>70891</v>
      </c>
      <c r="H1550" s="58">
        <v>28721</v>
      </c>
      <c r="I1550" s="21">
        <v>42.17</v>
      </c>
      <c r="J1550" s="8">
        <v>4</v>
      </c>
      <c r="K1550" s="8" t="s">
        <v>12</v>
      </c>
      <c r="L1550" s="18">
        <v>42123</v>
      </c>
      <c r="M1550" s="37" t="s">
        <v>191</v>
      </c>
      <c r="N1550" s="38">
        <v>30.6</v>
      </c>
      <c r="O1550" s="38">
        <v>7.5250000000000004</v>
      </c>
      <c r="P1550" s="38">
        <v>2.7749999999999999</v>
      </c>
      <c r="Q1550" s="38">
        <v>1.325</v>
      </c>
      <c r="R1550" s="38">
        <v>2.25373</v>
      </c>
      <c r="S1550" s="38">
        <f t="shared" si="196"/>
        <v>2.5</v>
      </c>
      <c r="T1550" s="38">
        <v>39.15</v>
      </c>
      <c r="U1550" s="38">
        <v>2.5</v>
      </c>
      <c r="V1550" s="38">
        <v>0.45</v>
      </c>
      <c r="W1550" s="38">
        <v>0.125</v>
      </c>
      <c r="X1550" s="38">
        <v>4.9767299999999999</v>
      </c>
      <c r="Y1550" s="38">
        <f t="shared" si="197"/>
        <v>5</v>
      </c>
      <c r="Z1550" s="38">
        <v>0</v>
      </c>
      <c r="AA1550" s="38">
        <v>0</v>
      </c>
      <c r="AB1550" s="38">
        <v>42.225000000000001</v>
      </c>
      <c r="AC1550" s="38">
        <v>1.1046</v>
      </c>
      <c r="AD1550" s="39">
        <v>56.27</v>
      </c>
      <c r="AE1550" s="38">
        <v>0</v>
      </c>
      <c r="AF1550" s="38">
        <v>3.8124597716724822E-2</v>
      </c>
      <c r="AG1550" s="38">
        <f t="shared" si="198"/>
        <v>0</v>
      </c>
      <c r="AH1550" s="38">
        <v>0</v>
      </c>
      <c r="AI1550" s="38">
        <f>AH1550/(3.5*I1550*1000)*100</f>
        <v>0</v>
      </c>
      <c r="AJ1550" s="38">
        <v>0</v>
      </c>
      <c r="AK1550" s="38">
        <v>0</v>
      </c>
      <c r="AL1550" s="38">
        <v>0</v>
      </c>
      <c r="AM1550" s="38">
        <f>AL1550/(3.5*I1550*1000)*100</f>
        <v>0</v>
      </c>
      <c r="AN1550" s="73"/>
      <c r="AO1550" s="72"/>
      <c r="AP1550" s="41"/>
      <c r="AQ1550" s="41"/>
      <c r="AR1550" s="73"/>
      <c r="AS1550" s="73"/>
      <c r="AT1550" s="73"/>
      <c r="AU1550" s="73"/>
      <c r="AV1550" s="73"/>
      <c r="AW1550" s="73"/>
      <c r="AX1550" s="73"/>
      <c r="AY1550" s="73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</row>
    <row r="1551" spans="1:88" s="22" customFormat="1">
      <c r="A1551" s="1">
        <v>2120</v>
      </c>
      <c r="B1551" s="34" t="s">
        <v>2754</v>
      </c>
      <c r="C1551" s="34">
        <v>324</v>
      </c>
      <c r="D1551" s="75">
        <v>4026</v>
      </c>
      <c r="E1551" s="8">
        <v>100</v>
      </c>
      <c r="F1551" s="9" t="s">
        <v>2764</v>
      </c>
      <c r="G1551" s="20">
        <v>0</v>
      </c>
      <c r="H1551" s="20">
        <v>4130</v>
      </c>
      <c r="I1551" s="21">
        <v>4.13</v>
      </c>
      <c r="J1551" s="9">
        <v>4</v>
      </c>
      <c r="K1551" s="34" t="s">
        <v>96</v>
      </c>
      <c r="L1551" s="18">
        <v>42139</v>
      </c>
      <c r="M1551" s="37" t="s">
        <v>191</v>
      </c>
      <c r="N1551" s="38">
        <v>2.8250000000000002</v>
      </c>
      <c r="O1551" s="38">
        <v>0.97499999999999998</v>
      </c>
      <c r="P1551" s="38">
        <v>0.2</v>
      </c>
      <c r="Q1551" s="38">
        <v>0.1</v>
      </c>
      <c r="R1551" s="38">
        <v>2.36646</v>
      </c>
      <c r="S1551" s="38">
        <f t="shared" si="196"/>
        <v>2.5</v>
      </c>
      <c r="T1551" s="38">
        <v>4.05</v>
      </c>
      <c r="U1551" s="38">
        <v>0.05</v>
      </c>
      <c r="V1551" s="38">
        <v>0</v>
      </c>
      <c r="W1551" s="38">
        <v>0</v>
      </c>
      <c r="X1551" s="38">
        <v>2.5350100000000002</v>
      </c>
      <c r="Y1551" s="38">
        <f t="shared" si="197"/>
        <v>2.5</v>
      </c>
      <c r="Z1551" s="38">
        <v>0</v>
      </c>
      <c r="AA1551" s="38">
        <v>0</v>
      </c>
      <c r="AB1551" s="38">
        <v>4.0999999999999996</v>
      </c>
      <c r="AC1551" s="38">
        <v>1.3242700000000001</v>
      </c>
      <c r="AD1551" s="39">
        <v>5.32</v>
      </c>
      <c r="AE1551" s="38">
        <v>0.36</v>
      </c>
      <c r="AF1551" s="38">
        <v>3.8049117952265649E-2</v>
      </c>
      <c r="AG1551" s="38">
        <f t="shared" si="198"/>
        <v>0</v>
      </c>
      <c r="AH1551" s="38">
        <v>14.53</v>
      </c>
      <c r="AI1551" s="38">
        <v>0.10051885160843999</v>
      </c>
      <c r="AJ1551" s="38">
        <v>0</v>
      </c>
      <c r="AK1551" s="38">
        <v>0</v>
      </c>
      <c r="AL1551" s="38">
        <v>0</v>
      </c>
      <c r="AM1551" s="38">
        <v>0</v>
      </c>
      <c r="AN1551" s="41"/>
      <c r="AO1551" s="41"/>
      <c r="AP1551" s="73"/>
      <c r="AQ1551" s="73"/>
      <c r="AR1551" s="73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</row>
    <row r="1552" spans="1:88" s="22" customFormat="1">
      <c r="A1552" s="1">
        <v>2087</v>
      </c>
      <c r="B1552" s="34" t="s">
        <v>2732</v>
      </c>
      <c r="C1552" s="34">
        <v>323</v>
      </c>
      <c r="D1552" s="75">
        <v>4034</v>
      </c>
      <c r="E1552" s="8">
        <v>100</v>
      </c>
      <c r="F1552" s="9" t="s">
        <v>2734</v>
      </c>
      <c r="G1552" s="20">
        <v>25565</v>
      </c>
      <c r="H1552" s="20">
        <v>3750</v>
      </c>
      <c r="I1552" s="21">
        <v>21.815000000000001</v>
      </c>
      <c r="J1552" s="9">
        <v>4</v>
      </c>
      <c r="K1552" s="34" t="s">
        <v>12</v>
      </c>
      <c r="L1552" s="18">
        <v>42132</v>
      </c>
      <c r="M1552" s="37" t="s">
        <v>191</v>
      </c>
      <c r="N1552" s="38">
        <v>13.57</v>
      </c>
      <c r="O1552" s="38">
        <v>4.75</v>
      </c>
      <c r="P1552" s="38">
        <v>2.64</v>
      </c>
      <c r="Q1552" s="38">
        <v>0.85</v>
      </c>
      <c r="R1552" s="38">
        <v>2.4496500000000001</v>
      </c>
      <c r="S1552" s="38">
        <f t="shared" si="196"/>
        <v>2.5</v>
      </c>
      <c r="T1552" s="38">
        <v>20.86</v>
      </c>
      <c r="U1552" s="38">
        <v>0.75</v>
      </c>
      <c r="V1552" s="38">
        <v>0.18</v>
      </c>
      <c r="W1552" s="38">
        <v>0.03</v>
      </c>
      <c r="X1552" s="38">
        <v>4.5906000000000002</v>
      </c>
      <c r="Y1552" s="38">
        <f t="shared" si="197"/>
        <v>4.5</v>
      </c>
      <c r="Z1552" s="38">
        <v>0</v>
      </c>
      <c r="AA1552" s="38">
        <v>0</v>
      </c>
      <c r="AB1552" s="38">
        <v>21.82</v>
      </c>
      <c r="AC1552" s="38">
        <v>1.3722799999999999</v>
      </c>
      <c r="AD1552" s="39">
        <v>29</v>
      </c>
      <c r="AE1552" s="38">
        <v>0</v>
      </c>
      <c r="AF1552" s="38">
        <f>(AD1552+AE1552*0.5)/(3.5*I1552*1000)*100</f>
        <v>3.7981729478406077E-2</v>
      </c>
      <c r="AG1552" s="38">
        <f t="shared" si="198"/>
        <v>0</v>
      </c>
      <c r="AH1552" s="38">
        <v>4</v>
      </c>
      <c r="AI1552" s="38">
        <f>AH1552/(3.5*I1552*1000)*100</f>
        <v>5.2388592384008384E-3</v>
      </c>
      <c r="AJ1552" s="38">
        <v>0</v>
      </c>
      <c r="AK1552" s="38">
        <v>0</v>
      </c>
      <c r="AL1552" s="38">
        <v>0</v>
      </c>
      <c r="AM1552" s="38">
        <f>AL1552/(3.5*I1552*1000)*100</f>
        <v>0</v>
      </c>
      <c r="AN1552" s="25"/>
      <c r="AO1552" s="25"/>
      <c r="AQ1552" s="41">
        <f>SUM(N1552:Q1552)</f>
        <v>21.810000000000002</v>
      </c>
      <c r="AR1552" s="41">
        <f>SUM(T1552:W1552)</f>
        <v>21.82</v>
      </c>
      <c r="AS1552" s="12">
        <f>SUM(Z1552:AB1552)</f>
        <v>21.82</v>
      </c>
      <c r="AT1552" s="1"/>
      <c r="AU1552" s="1">
        <f>I1552/AQ1552</f>
        <v>1.0002292526364052</v>
      </c>
      <c r="AV1552" s="1">
        <f>I1552/AR1552</f>
        <v>0.99977085242896435</v>
      </c>
      <c r="AW1552" s="1">
        <f>I1552/AS1552</f>
        <v>0.99977085242896435</v>
      </c>
    </row>
    <row r="1553" spans="1:88" s="61" customFormat="1">
      <c r="A1553" s="1">
        <v>938</v>
      </c>
      <c r="B1553" s="34" t="s">
        <v>1329</v>
      </c>
      <c r="C1553" s="34">
        <v>611</v>
      </c>
      <c r="D1553" s="8">
        <v>205</v>
      </c>
      <c r="E1553" s="34">
        <v>402</v>
      </c>
      <c r="F1553" s="34" t="s">
        <v>1337</v>
      </c>
      <c r="G1553" s="58" t="s">
        <v>1336</v>
      </c>
      <c r="H1553" s="58" t="s">
        <v>1338</v>
      </c>
      <c r="I1553" s="35">
        <v>28.251999999999999</v>
      </c>
      <c r="J1553" s="9">
        <v>4</v>
      </c>
      <c r="K1553" s="34" t="s">
        <v>237</v>
      </c>
      <c r="L1553" s="10">
        <v>42118</v>
      </c>
      <c r="M1553" s="9" t="s">
        <v>191</v>
      </c>
      <c r="N1553" s="38">
        <v>23.9</v>
      </c>
      <c r="O1553" s="38">
        <v>1.875</v>
      </c>
      <c r="P1553" s="38">
        <v>1.55</v>
      </c>
      <c r="Q1553" s="38">
        <v>0.85</v>
      </c>
      <c r="R1553" s="38">
        <v>2.11713</v>
      </c>
      <c r="S1553" s="38">
        <f t="shared" si="196"/>
        <v>2</v>
      </c>
      <c r="T1553" s="38">
        <v>25.725000000000001</v>
      </c>
      <c r="U1553" s="38">
        <v>2.15</v>
      </c>
      <c r="V1553" s="38">
        <v>0.27500000000000002</v>
      </c>
      <c r="W1553" s="38">
        <v>2.5000000000000001E-2</v>
      </c>
      <c r="X1553" s="38">
        <v>4.8742400000000004</v>
      </c>
      <c r="Y1553" s="38">
        <f t="shared" si="197"/>
        <v>5</v>
      </c>
      <c r="Z1553" s="38">
        <v>0</v>
      </c>
      <c r="AA1553" s="38">
        <v>0</v>
      </c>
      <c r="AB1553" s="38">
        <v>28.251999999999999</v>
      </c>
      <c r="AC1553" s="38">
        <v>1.2176899999999999</v>
      </c>
      <c r="AD1553" s="38">
        <v>37.51</v>
      </c>
      <c r="AE1553" s="38">
        <v>0</v>
      </c>
      <c r="AF1553" s="38">
        <f>(AD1553+AE1553*0.5)/(3.5*I1553*1000)*100</f>
        <v>3.7934103274610144E-2</v>
      </c>
      <c r="AG1553" s="38">
        <f t="shared" si="198"/>
        <v>0</v>
      </c>
      <c r="AH1553" s="56">
        <v>3.32</v>
      </c>
      <c r="AI1553" s="56">
        <f>AH1553/(3.5*I1553*1000)*100</f>
        <v>3.3575372666410468E-3</v>
      </c>
      <c r="AJ1553" s="56">
        <v>0</v>
      </c>
      <c r="AK1553" s="56">
        <f>AJ1553/(3.5*I1553*1000)*100</f>
        <v>0</v>
      </c>
      <c r="AL1553" s="56">
        <v>0</v>
      </c>
      <c r="AM1553" s="56">
        <f>AL1553/(3.5*I1553*1000)*100</f>
        <v>0</v>
      </c>
      <c r="AN1553" s="25"/>
      <c r="AO1553" s="25">
        <f>AE1553*0.5</f>
        <v>0</v>
      </c>
      <c r="AP1553" s="25">
        <f>(AD1553+AH1553+AJ1553+AL1553+AO1553)*I1553</f>
        <v>1153.5291599999998</v>
      </c>
      <c r="AQ1553" s="25"/>
      <c r="AR1553" s="25">
        <f>SUM(N1553:Q1553)</f>
        <v>28.175000000000001</v>
      </c>
      <c r="AS1553" s="25">
        <f>SUM(T1553:W1553)</f>
        <v>28.174999999999997</v>
      </c>
      <c r="AT1553" s="268">
        <v>28.251999999999999</v>
      </c>
      <c r="AU1553" s="41"/>
      <c r="AV1553" s="41"/>
      <c r="AW1553" s="41"/>
      <c r="AX1553" s="22"/>
      <c r="AY1553" s="22"/>
      <c r="AZ1553" s="22"/>
      <c r="BA1553" s="22"/>
      <c r="BB1553" s="22"/>
      <c r="BC1553" s="22"/>
      <c r="BD1553" s="22"/>
      <c r="BE1553" s="22"/>
      <c r="BF1553" s="22"/>
      <c r="BG1553" s="22"/>
      <c r="BH1553" s="22"/>
      <c r="BI1553" s="22"/>
      <c r="BJ1553" s="22"/>
      <c r="BK1553" s="22"/>
      <c r="BL1553" s="22"/>
      <c r="BM1553" s="22"/>
      <c r="BN1553" s="22"/>
      <c r="BO1553" s="22"/>
      <c r="BP1553" s="22"/>
      <c r="BQ1553" s="22"/>
      <c r="BR1553" s="22"/>
      <c r="BS1553" s="22"/>
      <c r="BT1553" s="22"/>
      <c r="BU1553" s="22"/>
      <c r="BV1553" s="22"/>
      <c r="BW1553" s="22"/>
      <c r="BX1553" s="22"/>
      <c r="BY1553" s="22"/>
      <c r="BZ1553" s="22"/>
      <c r="CA1553" s="22"/>
      <c r="CB1553" s="22"/>
      <c r="CC1553" s="22"/>
      <c r="CD1553" s="22"/>
      <c r="CE1553" s="22"/>
      <c r="CF1553" s="22"/>
      <c r="CG1553" s="22"/>
      <c r="CH1553" s="22"/>
      <c r="CI1553" s="22"/>
      <c r="CJ1553" s="22"/>
    </row>
    <row r="1554" spans="1:88" s="61" customFormat="1">
      <c r="A1554" s="1">
        <v>828</v>
      </c>
      <c r="B1554" s="34" t="s">
        <v>1204</v>
      </c>
      <c r="C1554" s="34">
        <v>647</v>
      </c>
      <c r="D1554" s="8">
        <v>2322</v>
      </c>
      <c r="E1554" s="34">
        <v>300</v>
      </c>
      <c r="F1554" s="34" t="s">
        <v>1220</v>
      </c>
      <c r="G1554" s="58">
        <v>126942</v>
      </c>
      <c r="H1554" s="58">
        <v>110692</v>
      </c>
      <c r="I1554" s="35">
        <v>16.25</v>
      </c>
      <c r="J1554" s="9">
        <v>2</v>
      </c>
      <c r="K1554" s="34" t="s">
        <v>12</v>
      </c>
      <c r="L1554" s="10">
        <v>42154</v>
      </c>
      <c r="M1554" s="9" t="s">
        <v>191</v>
      </c>
      <c r="N1554" s="38">
        <v>12.574999999999999</v>
      </c>
      <c r="O1554" s="38">
        <v>2.2999999999999998</v>
      </c>
      <c r="P1554" s="38">
        <v>0.92500000000000004</v>
      </c>
      <c r="Q1554" s="38">
        <v>0.42500000000000004</v>
      </c>
      <c r="R1554" s="38">
        <v>2.62</v>
      </c>
      <c r="S1554" s="38">
        <f t="shared" si="196"/>
        <v>2.5</v>
      </c>
      <c r="T1554" s="38">
        <v>15.725</v>
      </c>
      <c r="U1554" s="38">
        <v>0.25</v>
      </c>
      <c r="V1554" s="38">
        <v>0.15</v>
      </c>
      <c r="W1554" s="38">
        <v>0.1</v>
      </c>
      <c r="X1554" s="38">
        <v>4.718</v>
      </c>
      <c r="Y1554" s="38">
        <f t="shared" si="197"/>
        <v>4.5</v>
      </c>
      <c r="Z1554" s="38">
        <v>0</v>
      </c>
      <c r="AA1554" s="38">
        <v>0</v>
      </c>
      <c r="AB1554" s="38">
        <f>N1554+O1554+P1554+Q1554</f>
        <v>16.225000000000001</v>
      </c>
      <c r="AC1554" s="38">
        <v>1.1718</v>
      </c>
      <c r="AD1554" s="38">
        <v>0</v>
      </c>
      <c r="AE1554" s="38">
        <v>43</v>
      </c>
      <c r="AF1554" s="38">
        <f>(AD1554+AE1554*0.5)/(3.5*I1554*1000)*100</f>
        <v>3.7802197802197797E-2</v>
      </c>
      <c r="AG1554" s="38">
        <f t="shared" si="198"/>
        <v>0</v>
      </c>
      <c r="AH1554" s="56">
        <v>2</v>
      </c>
      <c r="AI1554" s="56">
        <f>AH1554/(3.5*I1554*1000)*100</f>
        <v>3.5164835164835169E-3</v>
      </c>
      <c r="AJ1554" s="56">
        <v>5</v>
      </c>
      <c r="AK1554" s="56">
        <v>8.7910000000000002E-3</v>
      </c>
      <c r="AL1554" s="56">
        <v>0</v>
      </c>
      <c r="AM1554" s="56">
        <v>0</v>
      </c>
      <c r="AN1554" s="25"/>
      <c r="AO1554" s="25">
        <f>AE1554*0.5</f>
        <v>21.5</v>
      </c>
      <c r="AP1554" s="25">
        <f>(AD1554+AH1554+AJ1554+AL1554+AO1554)*I1554</f>
        <v>463.125</v>
      </c>
      <c r="AQ1554" s="25">
        <f>SUM(N1554:Q1554)</f>
        <v>16.225000000000001</v>
      </c>
      <c r="AR1554" s="25">
        <f>SUM(T1554:W1554)</f>
        <v>16.225000000000001</v>
      </c>
      <c r="AS1554" s="268">
        <v>16.25</v>
      </c>
      <c r="AT1554" s="41"/>
      <c r="AU1554" s="41"/>
      <c r="AV1554" s="41"/>
      <c r="AW1554" s="41"/>
      <c r="AX1554" s="22"/>
      <c r="AY1554" s="22"/>
      <c r="AZ1554" s="22"/>
      <c r="BA1554" s="22"/>
      <c r="BB1554" s="22"/>
      <c r="BC1554" s="22"/>
      <c r="BD1554" s="22"/>
      <c r="BE1554" s="22"/>
      <c r="BF1554" s="22"/>
      <c r="BG1554" s="22"/>
      <c r="BH1554" s="22"/>
      <c r="BI1554" s="22"/>
      <c r="BJ1554" s="22"/>
      <c r="BK1554" s="22"/>
      <c r="BL1554" s="22"/>
      <c r="BM1554" s="22"/>
      <c r="BN1554" s="22"/>
      <c r="BO1554" s="22"/>
      <c r="BP1554" s="22"/>
      <c r="BQ1554" s="22"/>
      <c r="BR1554" s="22"/>
      <c r="BS1554" s="22"/>
      <c r="BT1554" s="22"/>
      <c r="BU1554" s="22"/>
      <c r="BV1554" s="22"/>
      <c r="BW1554" s="22"/>
      <c r="BX1554" s="22"/>
      <c r="BY1554" s="22"/>
      <c r="BZ1554" s="22"/>
      <c r="CA1554" s="22"/>
      <c r="CB1554" s="22"/>
      <c r="CC1554" s="22"/>
      <c r="CD1554" s="22"/>
      <c r="CE1554" s="22"/>
      <c r="CF1554" s="22"/>
      <c r="CG1554" s="22"/>
      <c r="CH1554" s="22"/>
      <c r="CI1554" s="22"/>
      <c r="CJ1554" s="22"/>
    </row>
    <row r="1555" spans="1:88" s="61" customFormat="1">
      <c r="A1555" s="1">
        <v>1748</v>
      </c>
      <c r="B1555" s="34" t="s">
        <v>2324</v>
      </c>
      <c r="C1555" s="34">
        <v>423</v>
      </c>
      <c r="D1555" s="8">
        <v>3493</v>
      </c>
      <c r="E1555" s="34">
        <v>100</v>
      </c>
      <c r="F1555" s="34" t="s">
        <v>2345</v>
      </c>
      <c r="G1555" s="58">
        <v>0</v>
      </c>
      <c r="H1555" s="58">
        <v>8430</v>
      </c>
      <c r="I1555" s="35">
        <v>8.43</v>
      </c>
      <c r="J1555" s="9">
        <v>4</v>
      </c>
      <c r="K1555" s="34" t="s">
        <v>237</v>
      </c>
      <c r="L1555" s="10">
        <v>42235</v>
      </c>
      <c r="M1555" s="9" t="s">
        <v>191</v>
      </c>
      <c r="N1555" s="38">
        <v>5.7</v>
      </c>
      <c r="O1555" s="38">
        <v>1.5249999999999999</v>
      </c>
      <c r="P1555" s="38">
        <v>0.92500000000000004</v>
      </c>
      <c r="Q1555" s="38">
        <v>0.3</v>
      </c>
      <c r="R1555" s="38">
        <v>2.2821600000000002</v>
      </c>
      <c r="S1555" s="38">
        <f t="shared" si="196"/>
        <v>2.5</v>
      </c>
      <c r="T1555" s="38">
        <v>5.0999999999999996</v>
      </c>
      <c r="U1555" s="38">
        <v>2.8250000000000002</v>
      </c>
      <c r="V1555" s="38">
        <v>0.4</v>
      </c>
      <c r="W1555" s="38">
        <v>0.125</v>
      </c>
      <c r="X1555" s="38">
        <v>9.5870599999999992</v>
      </c>
      <c r="Y1555" s="38">
        <f t="shared" si="197"/>
        <v>9.5</v>
      </c>
      <c r="Z1555" s="38">
        <v>0</v>
      </c>
      <c r="AA1555" s="117">
        <v>0</v>
      </c>
      <c r="AB1555" s="35">
        <v>8.43</v>
      </c>
      <c r="AC1555" s="38">
        <v>1.23203</v>
      </c>
      <c r="AD1555" s="38">
        <v>8.2349999999999994</v>
      </c>
      <c r="AE1555" s="38">
        <v>5.6710000000000003</v>
      </c>
      <c r="AF1555" s="38">
        <f>(AD1555+AE1555*0.5)/(3.5*I1555*1000)*100</f>
        <v>3.7520759193357053E-2</v>
      </c>
      <c r="AG1555" s="38">
        <f t="shared" si="198"/>
        <v>0</v>
      </c>
      <c r="AH1555" s="56">
        <v>0</v>
      </c>
      <c r="AI1555" s="56">
        <f>AH1555/(3.5*I1555*1000)*100</f>
        <v>0</v>
      </c>
      <c r="AJ1555" s="56">
        <v>0</v>
      </c>
      <c r="AK1555" s="56">
        <f>AJ1555/(3.5*I1555*1000)*100</f>
        <v>0</v>
      </c>
      <c r="AL1555" s="56">
        <v>0</v>
      </c>
      <c r="AM1555" s="56">
        <v>0</v>
      </c>
      <c r="AN1555" s="25"/>
      <c r="AO1555" s="12">
        <f>AE1555*0.5</f>
        <v>2.8355000000000001</v>
      </c>
      <c r="AP1555" s="12">
        <f>(AD1555+AH1555+AJ1555+AL1555+AO1555)*I1555</f>
        <v>93.324314999999984</v>
      </c>
      <c r="AQ1555" s="25">
        <f>SUM(N1555:Q1555)</f>
        <v>8.4500000000000011</v>
      </c>
      <c r="AR1555" s="25">
        <f>SUM(T1555:W1555)</f>
        <v>8.4499999999999993</v>
      </c>
      <c r="AS1555" s="22"/>
      <c r="AT1555" s="41"/>
      <c r="AU1555" s="41"/>
      <c r="AV1555" s="41"/>
      <c r="AW1555" s="41"/>
      <c r="AX1555" s="22"/>
      <c r="AY1555" s="22"/>
      <c r="AZ1555" s="22"/>
      <c r="BA1555" s="22"/>
      <c r="BB1555" s="22"/>
      <c r="BC1555" s="22"/>
      <c r="BD1555" s="22"/>
      <c r="BE1555" s="22"/>
      <c r="BF1555" s="22"/>
      <c r="BG1555" s="22"/>
      <c r="BH1555" s="22"/>
      <c r="BI1555" s="22"/>
      <c r="BJ1555" s="22"/>
      <c r="BK1555" s="22"/>
      <c r="BL1555" s="22"/>
      <c r="BM1555" s="22"/>
      <c r="BN1555" s="22"/>
      <c r="BO1555" s="22"/>
      <c r="BP1555" s="22"/>
      <c r="BQ1555" s="22"/>
      <c r="BR1555" s="22"/>
      <c r="BS1555" s="22"/>
      <c r="BT1555" s="22"/>
      <c r="BU1555" s="22"/>
      <c r="BV1555" s="22"/>
      <c r="BW1555" s="22"/>
      <c r="BX1555" s="22"/>
      <c r="BY1555" s="22"/>
      <c r="BZ1555" s="22"/>
      <c r="CA1555" s="22"/>
      <c r="CB1555" s="22"/>
      <c r="CC1555" s="22"/>
      <c r="CD1555" s="22"/>
      <c r="CE1555" s="22"/>
      <c r="CF1555" s="22"/>
      <c r="CG1555" s="22"/>
      <c r="CH1555" s="22"/>
      <c r="CI1555" s="22"/>
      <c r="CJ1555" s="22"/>
    </row>
    <row r="1556" spans="1:88" s="61" customFormat="1">
      <c r="A1556" s="1">
        <v>843</v>
      </c>
      <c r="B1556" s="34" t="s">
        <v>1231</v>
      </c>
      <c r="C1556" s="34">
        <v>615</v>
      </c>
      <c r="D1556" s="34">
        <v>215</v>
      </c>
      <c r="E1556" s="34">
        <v>300</v>
      </c>
      <c r="F1556" s="34" t="s">
        <v>1237</v>
      </c>
      <c r="G1556" s="58">
        <v>73993</v>
      </c>
      <c r="H1556" s="58">
        <v>85195</v>
      </c>
      <c r="I1556" s="35">
        <v>11.202</v>
      </c>
      <c r="J1556" s="9">
        <v>2</v>
      </c>
      <c r="K1556" s="34" t="s">
        <v>238</v>
      </c>
      <c r="L1556" s="10">
        <v>42135</v>
      </c>
      <c r="M1556" s="9" t="s">
        <v>191</v>
      </c>
      <c r="N1556" s="38">
        <v>8.0749999999999993</v>
      </c>
      <c r="O1556" s="38">
        <v>2.2999999999999998</v>
      </c>
      <c r="P1556" s="38">
        <v>0.67500000000000004</v>
      </c>
      <c r="Q1556" s="38">
        <v>0.125</v>
      </c>
      <c r="R1556" s="38">
        <v>2.84951</v>
      </c>
      <c r="S1556" s="38">
        <f t="shared" si="196"/>
        <v>3</v>
      </c>
      <c r="T1556" s="38">
        <v>10.875</v>
      </c>
      <c r="U1556" s="38">
        <v>0.22500000000000001</v>
      </c>
      <c r="V1556" s="38">
        <v>0.05</v>
      </c>
      <c r="W1556" s="38">
        <v>2.5000000000000001E-2</v>
      </c>
      <c r="X1556" s="38">
        <v>5.2827999999999999</v>
      </c>
      <c r="Y1556" s="38">
        <f t="shared" si="197"/>
        <v>5.5</v>
      </c>
      <c r="Z1556" s="38">
        <v>0</v>
      </c>
      <c r="AA1556" s="38">
        <v>0</v>
      </c>
      <c r="AB1556" s="38">
        <f>N1556+O1556+P1556+Q1556</f>
        <v>11.175000000000001</v>
      </c>
      <c r="AC1556" s="38">
        <v>1.14588</v>
      </c>
      <c r="AD1556" s="38">
        <v>14.68</v>
      </c>
      <c r="AE1556" s="38">
        <v>0</v>
      </c>
      <c r="AF1556" s="38">
        <v>3.7440000000000001E-2</v>
      </c>
      <c r="AG1556" s="38">
        <f t="shared" si="198"/>
        <v>0</v>
      </c>
      <c r="AH1556" s="56">
        <v>22.6</v>
      </c>
      <c r="AI1556" s="56">
        <v>5.7639999999999997E-2</v>
      </c>
      <c r="AJ1556" s="56">
        <v>6.84</v>
      </c>
      <c r="AK1556" s="56">
        <v>1.7446E-2</v>
      </c>
      <c r="AL1556" s="56">
        <v>0</v>
      </c>
      <c r="AM1556" s="56">
        <v>0</v>
      </c>
      <c r="AN1556" s="25"/>
      <c r="AO1556" s="25">
        <f>AE1556*0.5</f>
        <v>0</v>
      </c>
      <c r="AP1556" s="25">
        <f>(AD1556+AH1556+AJ1556+AL1556+AO1556)*I1556</f>
        <v>494.23224000000005</v>
      </c>
      <c r="AQ1556" s="25">
        <f>SUM(N1556:Q1556)</f>
        <v>11.175000000000001</v>
      </c>
      <c r="AR1556" s="25">
        <f>SUM(T1556:W1556)</f>
        <v>11.175000000000001</v>
      </c>
      <c r="AS1556" s="268">
        <v>11.202</v>
      </c>
      <c r="AT1556" s="41"/>
      <c r="AU1556" s="41"/>
      <c r="AV1556" s="41"/>
      <c r="AW1556" s="41"/>
      <c r="AX1556" s="22"/>
      <c r="AY1556" s="22"/>
      <c r="AZ1556" s="22"/>
      <c r="BA1556" s="22"/>
      <c r="BB1556" s="22"/>
      <c r="BC1556" s="22"/>
      <c r="BD1556" s="22"/>
      <c r="BE1556" s="22"/>
      <c r="BF1556" s="22"/>
      <c r="BG1556" s="22"/>
      <c r="BH1556" s="22"/>
      <c r="BI1556" s="22"/>
      <c r="BJ1556" s="22"/>
      <c r="BK1556" s="22"/>
      <c r="BL1556" s="22"/>
      <c r="BM1556" s="22"/>
      <c r="BN1556" s="22"/>
      <c r="BO1556" s="22"/>
      <c r="BP1556" s="22"/>
      <c r="BQ1556" s="22"/>
      <c r="BR1556" s="22"/>
      <c r="BS1556" s="22"/>
      <c r="BT1556" s="22"/>
      <c r="BU1556" s="22"/>
      <c r="BV1556" s="22"/>
      <c r="BW1556" s="22"/>
      <c r="BX1556" s="22"/>
      <c r="BY1556" s="22"/>
      <c r="BZ1556" s="22"/>
      <c r="CA1556" s="22"/>
      <c r="CB1556" s="22"/>
      <c r="CC1556" s="22"/>
      <c r="CD1556" s="22"/>
      <c r="CE1556" s="22"/>
      <c r="CF1556" s="22"/>
      <c r="CG1556" s="22"/>
      <c r="CH1556" s="22"/>
      <c r="CI1556" s="22"/>
      <c r="CJ1556" s="22"/>
    </row>
    <row r="1557" spans="1:88" s="61" customFormat="1">
      <c r="A1557" s="1">
        <v>988</v>
      </c>
      <c r="B1557" s="34" t="s">
        <v>1380</v>
      </c>
      <c r="C1557" s="34">
        <v>614</v>
      </c>
      <c r="D1557" s="8">
        <v>2162</v>
      </c>
      <c r="E1557" s="34">
        <v>100</v>
      </c>
      <c r="F1557" s="34" t="s">
        <v>1385</v>
      </c>
      <c r="G1557" s="58">
        <v>0</v>
      </c>
      <c r="H1557" s="58" t="s">
        <v>1386</v>
      </c>
      <c r="I1557" s="35">
        <v>0.56699999999999995</v>
      </c>
      <c r="J1557" s="9">
        <v>2</v>
      </c>
      <c r="K1557" s="34" t="s">
        <v>238</v>
      </c>
      <c r="L1557" s="10">
        <v>42125</v>
      </c>
      <c r="M1557" s="9" t="s">
        <v>191</v>
      </c>
      <c r="N1557" s="38">
        <v>0.4</v>
      </c>
      <c r="O1557" s="38">
        <v>7.4999999999999997E-2</v>
      </c>
      <c r="P1557" s="38">
        <v>2.5000000000000001E-2</v>
      </c>
      <c r="Q1557" s="38">
        <v>7.4999999999999997E-2</v>
      </c>
      <c r="R1557" s="38">
        <v>2.98</v>
      </c>
      <c r="S1557" s="38">
        <f t="shared" si="196"/>
        <v>3</v>
      </c>
      <c r="T1557" s="38">
        <v>0.57499999999999996</v>
      </c>
      <c r="U1557" s="38">
        <v>0</v>
      </c>
      <c r="V1557" s="38">
        <v>0</v>
      </c>
      <c r="W1557" s="38">
        <v>0</v>
      </c>
      <c r="X1557" s="38">
        <v>2.363</v>
      </c>
      <c r="Y1557" s="38">
        <f t="shared" si="197"/>
        <v>2.5</v>
      </c>
      <c r="Z1557" s="38">
        <v>0</v>
      </c>
      <c r="AA1557" s="38">
        <v>0</v>
      </c>
      <c r="AB1557" s="38">
        <f>SUM(N1557:Q1557)</f>
        <v>0.57499999999999996</v>
      </c>
      <c r="AC1557" s="38">
        <v>0.99399999999999999</v>
      </c>
      <c r="AD1557" s="38">
        <v>0.74</v>
      </c>
      <c r="AE1557" s="38">
        <v>0</v>
      </c>
      <c r="AF1557" s="11">
        <f>(AD1557+AE1557*0.5)/(3.5*I1557*1000)*100</f>
        <v>3.7288989669942055E-2</v>
      </c>
      <c r="AG1557" s="38">
        <f t="shared" si="198"/>
        <v>0</v>
      </c>
      <c r="AH1557" s="56">
        <v>0</v>
      </c>
      <c r="AI1557" s="56">
        <f>AH1557/(3.5*I1557*1000)*100</f>
        <v>0</v>
      </c>
      <c r="AJ1557" s="56">
        <v>0</v>
      </c>
      <c r="AK1557" s="56">
        <f>AJ1557/(3.5*I1557*1000)*100</f>
        <v>0</v>
      </c>
      <c r="AL1557" s="56">
        <v>0</v>
      </c>
      <c r="AM1557" s="56">
        <f>AL1557/(3.5*I1557*1000)*100</f>
        <v>0</v>
      </c>
      <c r="AN1557" s="25"/>
      <c r="AO1557" s="25">
        <f>(AD1557+AH1557+AJ1557+AL1557)*I1557</f>
        <v>0.41957999999999995</v>
      </c>
      <c r="AP1557" s="25"/>
      <c r="AQ1557" s="25">
        <f>SUM(N1557:Q1557)</f>
        <v>0.57499999999999996</v>
      </c>
      <c r="AR1557" s="25">
        <f>SUM(T1557:W1557)</f>
        <v>0.57499999999999996</v>
      </c>
      <c r="AS1557" s="268">
        <v>2.2770000000000001</v>
      </c>
      <c r="AT1557" s="41"/>
      <c r="AU1557" s="41"/>
      <c r="AV1557" s="41"/>
      <c r="AW1557" s="22"/>
      <c r="AX1557" s="22"/>
      <c r="AY1557" s="22"/>
      <c r="AZ1557" s="22"/>
      <c r="BA1557" s="22"/>
      <c r="BB1557" s="22"/>
      <c r="BC1557" s="22"/>
      <c r="BD1557" s="22"/>
      <c r="BE1557" s="22"/>
      <c r="BF1557" s="22"/>
      <c r="BG1557" s="22"/>
      <c r="BH1557" s="22"/>
      <c r="BI1557" s="22"/>
      <c r="BJ1557" s="22"/>
      <c r="BK1557" s="22"/>
      <c r="BL1557" s="22"/>
      <c r="BM1557" s="22"/>
      <c r="BN1557" s="22"/>
      <c r="BO1557" s="22"/>
      <c r="BP1557" s="22"/>
      <c r="BQ1557" s="22"/>
      <c r="BR1557" s="22"/>
      <c r="BS1557" s="22"/>
      <c r="BT1557" s="22"/>
      <c r="BU1557" s="22"/>
      <c r="BV1557" s="22"/>
      <c r="BW1557" s="22"/>
      <c r="BX1557" s="22"/>
      <c r="BY1557" s="22"/>
      <c r="BZ1557" s="22"/>
      <c r="CA1557" s="22"/>
      <c r="CB1557" s="22"/>
      <c r="CC1557" s="22"/>
      <c r="CD1557" s="22"/>
      <c r="CE1557" s="22"/>
      <c r="CF1557" s="22"/>
      <c r="CG1557" s="22"/>
      <c r="CH1557" s="22"/>
      <c r="CI1557" s="22"/>
      <c r="CJ1557" s="22"/>
    </row>
    <row r="1558" spans="1:88" s="61" customFormat="1">
      <c r="A1558" s="1">
        <v>1347</v>
      </c>
      <c r="B1558" s="74" t="s">
        <v>1851</v>
      </c>
      <c r="C1558" s="34">
        <v>444</v>
      </c>
      <c r="D1558" s="75">
        <v>3570</v>
      </c>
      <c r="E1558" s="69">
        <v>100</v>
      </c>
      <c r="F1558" s="34" t="s">
        <v>1897</v>
      </c>
      <c r="G1558" s="20" t="s">
        <v>1898</v>
      </c>
      <c r="H1558" s="20" t="s">
        <v>92</v>
      </c>
      <c r="I1558" s="21">
        <v>7.806</v>
      </c>
      <c r="J1558" s="8">
        <v>2</v>
      </c>
      <c r="K1558" s="34" t="s">
        <v>12</v>
      </c>
      <c r="L1558" s="10">
        <v>42211</v>
      </c>
      <c r="M1558" s="9" t="s">
        <v>191</v>
      </c>
      <c r="N1558" s="38">
        <v>6.4749999999999996</v>
      </c>
      <c r="O1558" s="38">
        <v>1.05</v>
      </c>
      <c r="P1558" s="38">
        <v>0.2</v>
      </c>
      <c r="Q1558" s="38">
        <v>7.4999999999999997E-2</v>
      </c>
      <c r="R1558" s="38">
        <v>2.0110299999999999</v>
      </c>
      <c r="S1558" s="38">
        <f t="shared" si="196"/>
        <v>2</v>
      </c>
      <c r="T1558" s="38">
        <v>7.8</v>
      </c>
      <c r="U1558" s="38">
        <v>0</v>
      </c>
      <c r="V1558" s="38">
        <v>0</v>
      </c>
      <c r="W1558" s="38">
        <v>0</v>
      </c>
      <c r="X1558" s="38">
        <v>1.8264499999999999</v>
      </c>
      <c r="Y1558" s="38">
        <f t="shared" si="197"/>
        <v>2</v>
      </c>
      <c r="Z1558" s="38">
        <v>0</v>
      </c>
      <c r="AA1558" s="38">
        <v>0</v>
      </c>
      <c r="AB1558" s="38">
        <v>7.8</v>
      </c>
      <c r="AC1558" s="38">
        <v>1.19581</v>
      </c>
      <c r="AD1558" s="38">
        <v>0</v>
      </c>
      <c r="AE1558" s="38">
        <v>36</v>
      </c>
      <c r="AF1558" s="38">
        <v>3.7256281823074062E-2</v>
      </c>
      <c r="AG1558" s="38">
        <f t="shared" si="198"/>
        <v>0</v>
      </c>
      <c r="AH1558" s="56">
        <v>2</v>
      </c>
      <c r="AI1558" s="56">
        <v>7.3203762673401413E-3</v>
      </c>
      <c r="AJ1558" s="56">
        <v>11</v>
      </c>
      <c r="AK1558" s="56">
        <v>4.0262069470370775E-2</v>
      </c>
      <c r="AL1558" s="56">
        <v>0</v>
      </c>
      <c r="AM1558" s="56">
        <v>0</v>
      </c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</row>
    <row r="1559" spans="1:88" s="61" customFormat="1">
      <c r="A1559" s="1">
        <v>88</v>
      </c>
      <c r="B1559" s="4" t="s">
        <v>61</v>
      </c>
      <c r="C1559" s="14">
        <v>526</v>
      </c>
      <c r="D1559" s="19">
        <v>108</v>
      </c>
      <c r="E1559" s="16">
        <v>203</v>
      </c>
      <c r="F1559" s="14" t="s">
        <v>65</v>
      </c>
      <c r="G1559" s="27" t="s">
        <v>153</v>
      </c>
      <c r="H1559" s="27" t="s">
        <v>151</v>
      </c>
      <c r="I1559" s="28">
        <v>13</v>
      </c>
      <c r="J1559" s="16">
        <v>2</v>
      </c>
      <c r="K1559" s="14" t="s">
        <v>12</v>
      </c>
      <c r="L1559" s="29">
        <v>42244</v>
      </c>
      <c r="M1559" s="14" t="s">
        <v>191</v>
      </c>
      <c r="N1559" s="30">
        <v>5.98</v>
      </c>
      <c r="O1559" s="30">
        <v>2.99</v>
      </c>
      <c r="P1559" s="30">
        <v>2.34</v>
      </c>
      <c r="Q1559" s="30">
        <v>1.68</v>
      </c>
      <c r="R1559" s="30">
        <v>3.09545</v>
      </c>
      <c r="S1559" s="38">
        <f t="shared" si="196"/>
        <v>3</v>
      </c>
      <c r="T1559" s="30">
        <v>12.3</v>
      </c>
      <c r="U1559" s="30">
        <v>0.53</v>
      </c>
      <c r="V1559" s="30">
        <v>0.13</v>
      </c>
      <c r="W1559" s="30">
        <v>0.05</v>
      </c>
      <c r="X1559" s="30">
        <v>3.7977300000000001</v>
      </c>
      <c r="Y1559" s="38">
        <f t="shared" si="197"/>
        <v>4</v>
      </c>
      <c r="Z1559" s="30">
        <v>0</v>
      </c>
      <c r="AA1559" s="30">
        <v>0</v>
      </c>
      <c r="AB1559" s="30">
        <v>13</v>
      </c>
      <c r="AC1559" s="30">
        <v>1.3131200000000001</v>
      </c>
      <c r="AD1559" s="30">
        <v>16.95</v>
      </c>
      <c r="AE1559" s="30">
        <v>0</v>
      </c>
      <c r="AF1559" s="30">
        <f>(AD1559+AE1559*0.5)/(3.5*I1559*1000)*100</f>
        <v>3.7252747252747249E-2</v>
      </c>
      <c r="AG1559" s="38">
        <f t="shared" si="198"/>
        <v>0</v>
      </c>
      <c r="AH1559" s="263">
        <v>8.0239999999999991</v>
      </c>
      <c r="AI1559" s="263">
        <f>AH1559/(3.5*I1559*1000)*100</f>
        <v>1.7635164835164831E-2</v>
      </c>
      <c r="AJ1559" s="263">
        <v>1.36</v>
      </c>
      <c r="AK1559" s="263">
        <f>AJ1559/(3.5*I1559*1000)*100</f>
        <v>2.9890109890109893E-3</v>
      </c>
      <c r="AL1559" s="263">
        <v>0</v>
      </c>
      <c r="AM1559" s="263">
        <f>AL1559/(3.5*I1559*1000)*100</f>
        <v>0</v>
      </c>
      <c r="AN1559" s="22"/>
      <c r="AO1559" s="25"/>
      <c r="AP1559" s="25">
        <f>N1559+O1559+P1559+Q1559</f>
        <v>12.99</v>
      </c>
      <c r="AQ1559" s="25">
        <f>T1559+U1559+V1559+W1559</f>
        <v>13.010000000000002</v>
      </c>
      <c r="AR1559" s="25">
        <f>Z1559+AA1559+AB1559</f>
        <v>13</v>
      </c>
      <c r="AS1559" s="22"/>
      <c r="AT1559" s="22">
        <f>I1559/AP1559</f>
        <v>1.0007698229407236</v>
      </c>
      <c r="AU1559" s="22">
        <f>I1559/AQ1559</f>
        <v>0.99923136049192918</v>
      </c>
      <c r="AV1559" s="22">
        <f>I1559/AR1559</f>
        <v>1</v>
      </c>
      <c r="AW1559" s="22"/>
      <c r="AX1559" s="22"/>
      <c r="AY1559" s="22"/>
      <c r="AZ1559" s="22"/>
      <c r="BA1559" s="22"/>
      <c r="BB1559" s="22"/>
      <c r="BC1559" s="22"/>
      <c r="BD1559" s="22"/>
      <c r="BE1559" s="22"/>
      <c r="BF1559" s="22"/>
      <c r="BG1559" s="22"/>
      <c r="BH1559" s="22"/>
      <c r="BI1559" s="22"/>
      <c r="BJ1559" s="22"/>
      <c r="BK1559" s="22"/>
      <c r="BL1559" s="22"/>
      <c r="BM1559" s="22"/>
      <c r="BN1559" s="22"/>
      <c r="BO1559" s="22"/>
      <c r="BP1559" s="22"/>
      <c r="BQ1559" s="22"/>
      <c r="BR1559" s="22"/>
      <c r="BS1559" s="22"/>
      <c r="BT1559" s="22"/>
      <c r="BU1559" s="22"/>
      <c r="BV1559" s="22"/>
      <c r="BW1559" s="22"/>
      <c r="BX1559" s="22"/>
      <c r="BY1559" s="22"/>
      <c r="BZ1559" s="22"/>
      <c r="CA1559" s="22"/>
      <c r="CB1559" s="22"/>
      <c r="CC1559" s="22"/>
      <c r="CD1559" s="22"/>
      <c r="CE1559" s="22"/>
      <c r="CF1559" s="22"/>
      <c r="CG1559" s="22"/>
      <c r="CH1559" s="22"/>
      <c r="CI1559" s="22"/>
      <c r="CJ1559" s="22"/>
    </row>
    <row r="1560" spans="1:88" s="61" customFormat="1">
      <c r="A1560" s="1">
        <v>1758</v>
      </c>
      <c r="B1560" s="34" t="s">
        <v>2348</v>
      </c>
      <c r="C1560" s="34">
        <v>425</v>
      </c>
      <c r="D1560" s="8">
        <v>3271</v>
      </c>
      <c r="E1560" s="34">
        <v>100</v>
      </c>
      <c r="F1560" s="34" t="s">
        <v>2356</v>
      </c>
      <c r="G1560" s="58" t="s">
        <v>92</v>
      </c>
      <c r="H1560" s="58" t="s">
        <v>2357</v>
      </c>
      <c r="I1560" s="35">
        <v>24.815000000000001</v>
      </c>
      <c r="J1560" s="9">
        <v>2</v>
      </c>
      <c r="K1560" s="34" t="s">
        <v>238</v>
      </c>
      <c r="L1560" s="10">
        <v>42236</v>
      </c>
      <c r="M1560" s="9" t="s">
        <v>191</v>
      </c>
      <c r="N1560" s="38">
        <v>9.1750000000000007</v>
      </c>
      <c r="O1560" s="38">
        <v>8.7750000000000004</v>
      </c>
      <c r="P1560" s="38">
        <v>4.3</v>
      </c>
      <c r="Q1560" s="38">
        <v>2.6</v>
      </c>
      <c r="R1560" s="38">
        <v>3.6970000000000001</v>
      </c>
      <c r="S1560" s="38">
        <f t="shared" si="196"/>
        <v>3.5</v>
      </c>
      <c r="T1560" s="38">
        <v>22.1</v>
      </c>
      <c r="U1560" s="38">
        <v>1.875</v>
      </c>
      <c r="V1560" s="38">
        <v>0.67500000000000004</v>
      </c>
      <c r="W1560" s="38">
        <v>0.2</v>
      </c>
      <c r="X1560" s="38">
        <v>5.88</v>
      </c>
      <c r="Y1560" s="38">
        <f t="shared" si="197"/>
        <v>6</v>
      </c>
      <c r="Z1560" s="38">
        <v>0</v>
      </c>
      <c r="AA1560" s="38">
        <v>0</v>
      </c>
      <c r="AB1560" s="38">
        <f>SUM(T1560:W1560)</f>
        <v>24.85</v>
      </c>
      <c r="AC1560" s="38">
        <v>1.5449999999999999</v>
      </c>
      <c r="AD1560" s="38">
        <v>0.97</v>
      </c>
      <c r="AE1560" s="38">
        <v>62.6</v>
      </c>
      <c r="AF1560" s="38">
        <f>(AD1560+AE1560*0.5)/(3.5*I1560*1000)*100</f>
        <v>3.7154946604876088E-2</v>
      </c>
      <c r="AG1560" s="38">
        <f t="shared" si="198"/>
        <v>0</v>
      </c>
      <c r="AH1560" s="56">
        <v>7.43</v>
      </c>
      <c r="AI1560" s="56">
        <f>AH1560/(3.5*I1560*1000)*100</f>
        <v>8.5547336000690831E-3</v>
      </c>
      <c r="AJ1560" s="56">
        <v>35.82</v>
      </c>
      <c r="AK1560" s="56">
        <f>AJ1560/(3.5*I1560*1000)*100</f>
        <v>4.1242336144612993E-2</v>
      </c>
      <c r="AL1560" s="56">
        <v>38.06</v>
      </c>
      <c r="AM1560" s="40">
        <f>AL1560/(3.5*I1560*1000)*100</f>
        <v>4.3821421375320226E-2</v>
      </c>
      <c r="AN1560" s="25"/>
      <c r="AO1560" s="25">
        <f>AE1560*0.5</f>
        <v>31.3</v>
      </c>
      <c r="AP1560" s="25">
        <f>(AD1560+AH1560+AJ1560+AL1560+AO1560)*I1560</f>
        <v>2818.4877000000001</v>
      </c>
      <c r="AQ1560" s="25"/>
      <c r="AR1560" s="25"/>
      <c r="AS1560" s="22"/>
      <c r="AT1560" s="41"/>
      <c r="AU1560" s="41"/>
      <c r="AV1560" s="41"/>
      <c r="AW1560" s="41"/>
      <c r="AX1560" s="22"/>
      <c r="AY1560" s="22"/>
      <c r="AZ1560" s="22"/>
      <c r="BA1560" s="22"/>
      <c r="BB1560" s="22"/>
      <c r="BC1560" s="22"/>
      <c r="BD1560" s="22"/>
      <c r="BE1560" s="22"/>
      <c r="BF1560" s="22"/>
      <c r="BG1560" s="22"/>
      <c r="BH1560" s="22"/>
      <c r="BI1560" s="22"/>
      <c r="BJ1560" s="22"/>
      <c r="BK1560" s="22"/>
      <c r="BL1560" s="22"/>
      <c r="BM1560" s="22"/>
      <c r="BN1560" s="22"/>
      <c r="BO1560" s="22"/>
      <c r="BP1560" s="22"/>
      <c r="BQ1560" s="22"/>
      <c r="BR1560" s="22"/>
      <c r="BS1560" s="22"/>
      <c r="BT1560" s="22"/>
      <c r="BU1560" s="22"/>
      <c r="BV1560" s="22"/>
      <c r="BW1560" s="22"/>
      <c r="BX1560" s="22"/>
      <c r="BY1560" s="22"/>
      <c r="BZ1560" s="22"/>
      <c r="CA1560" s="22"/>
      <c r="CB1560" s="22"/>
      <c r="CC1560" s="22"/>
      <c r="CD1560" s="22"/>
      <c r="CE1560" s="22"/>
      <c r="CF1560" s="22"/>
      <c r="CG1560" s="22"/>
      <c r="CH1560" s="22"/>
      <c r="CI1560" s="22"/>
      <c r="CJ1560" s="22"/>
    </row>
    <row r="1561" spans="1:88" s="61" customFormat="1">
      <c r="A1561" s="1">
        <v>1382</v>
      </c>
      <c r="B1561" s="74" t="s">
        <v>1905</v>
      </c>
      <c r="C1561" s="34">
        <v>445</v>
      </c>
      <c r="D1561" s="75">
        <v>3472</v>
      </c>
      <c r="E1561" s="69">
        <v>100</v>
      </c>
      <c r="F1561" s="184" t="s">
        <v>1935</v>
      </c>
      <c r="G1561" s="20">
        <v>0</v>
      </c>
      <c r="H1561" s="20">
        <v>19626</v>
      </c>
      <c r="I1561" s="21">
        <v>19.626000000000001</v>
      </c>
      <c r="J1561" s="8">
        <v>2</v>
      </c>
      <c r="K1561" s="34" t="s">
        <v>238</v>
      </c>
      <c r="L1561" s="10">
        <v>42206</v>
      </c>
      <c r="M1561" s="9" t="s">
        <v>191</v>
      </c>
      <c r="N1561" s="38">
        <v>15.775</v>
      </c>
      <c r="O1561" s="38">
        <v>1.27755</v>
      </c>
      <c r="P1561" s="38">
        <v>1</v>
      </c>
      <c r="Q1561" s="38">
        <v>0.3</v>
      </c>
      <c r="R1561" s="38">
        <v>2.0394999999999999</v>
      </c>
      <c r="S1561" s="38">
        <f t="shared" si="196"/>
        <v>2</v>
      </c>
      <c r="T1561" s="38">
        <v>19.324999999999999</v>
      </c>
      <c r="U1561" s="38">
        <v>0.27500000000000002</v>
      </c>
      <c r="V1561" s="38">
        <v>2.5000000000000001E-2</v>
      </c>
      <c r="W1561" s="38">
        <v>0</v>
      </c>
      <c r="X1561" s="38">
        <v>4.7813800000000004</v>
      </c>
      <c r="Y1561" s="38">
        <f t="shared" si="197"/>
        <v>5</v>
      </c>
      <c r="Z1561" s="38">
        <v>0</v>
      </c>
      <c r="AA1561" s="38">
        <v>0</v>
      </c>
      <c r="AB1561" s="38">
        <v>18.352550000000001</v>
      </c>
      <c r="AC1561" s="38">
        <v>1.3486100000000001</v>
      </c>
      <c r="AD1561" s="38">
        <v>10</v>
      </c>
      <c r="AE1561" s="38">
        <v>31</v>
      </c>
      <c r="AF1561" s="38">
        <v>3.7122767174739051E-2</v>
      </c>
      <c r="AG1561" s="38">
        <f t="shared" si="198"/>
        <v>0</v>
      </c>
      <c r="AH1561" s="56">
        <v>5</v>
      </c>
      <c r="AI1561" s="56">
        <v>7.2789739558311861E-3</v>
      </c>
      <c r="AJ1561" s="56">
        <v>17</v>
      </c>
      <c r="AK1561" s="56">
        <v>2.4748511449826031E-2</v>
      </c>
      <c r="AL1561" s="56">
        <v>2</v>
      </c>
      <c r="AM1561" s="56">
        <v>2.9115895823324744E-3</v>
      </c>
      <c r="AN1561" s="72"/>
      <c r="AO1561" s="41"/>
      <c r="AP1561" s="41"/>
      <c r="AQ1561" s="41"/>
      <c r="AR1561" s="41"/>
      <c r="AS1561" s="73"/>
      <c r="AT1561" s="73"/>
      <c r="AU1561" s="73"/>
      <c r="AV1561" s="73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</row>
    <row r="1562" spans="1:88" s="61" customFormat="1">
      <c r="A1562" s="1">
        <v>45</v>
      </c>
      <c r="B1562" s="4" t="s">
        <v>21</v>
      </c>
      <c r="C1562" s="14">
        <v>522</v>
      </c>
      <c r="D1562" s="19">
        <v>1367</v>
      </c>
      <c r="E1562" s="16">
        <v>100</v>
      </c>
      <c r="F1562" s="14" t="s">
        <v>36</v>
      </c>
      <c r="G1562" s="20" t="s">
        <v>92</v>
      </c>
      <c r="H1562" s="20" t="s">
        <v>203</v>
      </c>
      <c r="I1562" s="21">
        <v>13.122999999999999</v>
      </c>
      <c r="J1562" s="8">
        <v>2</v>
      </c>
      <c r="K1562" s="9" t="s">
        <v>96</v>
      </c>
      <c r="L1562" s="24">
        <v>42236</v>
      </c>
      <c r="M1562" s="9" t="s">
        <v>191</v>
      </c>
      <c r="N1562" s="26">
        <v>5.3</v>
      </c>
      <c r="O1562" s="26">
        <v>3.4750000000000001</v>
      </c>
      <c r="P1562" s="26">
        <v>2.875</v>
      </c>
      <c r="Q1562" s="26">
        <v>1.5249999999999999</v>
      </c>
      <c r="R1562" s="26">
        <v>3.2709899999999998</v>
      </c>
      <c r="S1562" s="38">
        <f t="shared" si="196"/>
        <v>3.5</v>
      </c>
      <c r="T1562" s="26">
        <v>13.15</v>
      </c>
      <c r="U1562" s="26">
        <v>2.5000000000000001E-2</v>
      </c>
      <c r="V1562" s="26">
        <v>0</v>
      </c>
      <c r="W1562" s="26">
        <v>0</v>
      </c>
      <c r="X1562" s="26">
        <v>2.2533400000000001</v>
      </c>
      <c r="Y1562" s="38">
        <f t="shared" si="197"/>
        <v>2.5</v>
      </c>
      <c r="Z1562" s="11">
        <v>0</v>
      </c>
      <c r="AA1562" s="11">
        <v>0</v>
      </c>
      <c r="AB1562" s="11">
        <f>SUM(N1562:Q1562)</f>
        <v>13.175000000000001</v>
      </c>
      <c r="AC1562" s="26">
        <v>1.19872</v>
      </c>
      <c r="AD1562" s="26">
        <v>0</v>
      </c>
      <c r="AE1562" s="26">
        <v>33.86</v>
      </c>
      <c r="AF1562" s="11">
        <f>(AD1562+AE1562*0.5)/(3.5*I1562*1000)*100</f>
        <v>3.6860038536484473E-2</v>
      </c>
      <c r="AG1562" s="38">
        <f t="shared" si="198"/>
        <v>0</v>
      </c>
      <c r="AH1562" s="262">
        <v>0</v>
      </c>
      <c r="AI1562" s="259">
        <f>AH1562/(3.5*I1562*1000)*100</f>
        <v>0</v>
      </c>
      <c r="AJ1562" s="262">
        <v>2</v>
      </c>
      <c r="AK1562" s="259">
        <f>AJ1562/(3.5*I1562*1000)*100</f>
        <v>4.3544050249833995E-3</v>
      </c>
      <c r="AL1562" s="262">
        <v>0</v>
      </c>
      <c r="AM1562" s="259">
        <f>AL1562/(3.5*I1562*1000)*100</f>
        <v>0</v>
      </c>
      <c r="AN1562" s="22"/>
      <c r="AO1562" s="25"/>
      <c r="AP1562" s="25"/>
      <c r="AQ1562" s="22"/>
      <c r="AR1562" s="22"/>
      <c r="AS1562" s="22"/>
      <c r="AT1562" s="22"/>
      <c r="AU1562" s="22"/>
      <c r="AV1562" s="22"/>
      <c r="AW1562" s="22"/>
      <c r="AX1562" s="22"/>
      <c r="AY1562" s="22"/>
      <c r="AZ1562" s="22"/>
      <c r="BA1562" s="22"/>
      <c r="BB1562" s="22"/>
      <c r="BC1562" s="22"/>
      <c r="BD1562" s="22"/>
      <c r="BE1562" s="22"/>
      <c r="BF1562" s="22"/>
      <c r="BG1562" s="22"/>
      <c r="BH1562" s="22"/>
      <c r="BI1562" s="22"/>
      <c r="BJ1562" s="22"/>
      <c r="BK1562" s="22"/>
      <c r="BL1562" s="22"/>
      <c r="BM1562" s="22"/>
      <c r="BN1562" s="22"/>
      <c r="BO1562" s="22"/>
      <c r="BP1562" s="22"/>
      <c r="BQ1562" s="22"/>
      <c r="BR1562" s="22"/>
      <c r="BS1562" s="22"/>
      <c r="BT1562" s="22"/>
      <c r="BU1562" s="22"/>
      <c r="BV1562" s="22"/>
      <c r="BW1562" s="22"/>
      <c r="BX1562" s="22"/>
      <c r="BY1562" s="22"/>
      <c r="BZ1562" s="22"/>
      <c r="CA1562" s="22"/>
      <c r="CB1562" s="22"/>
      <c r="CC1562" s="22"/>
      <c r="CD1562" s="22"/>
      <c r="CE1562" s="22"/>
      <c r="CF1562" s="22"/>
      <c r="CG1562" s="22"/>
      <c r="CH1562" s="22"/>
      <c r="CI1562" s="22"/>
      <c r="CJ1562" s="22"/>
    </row>
    <row r="1563" spans="1:88" s="61" customFormat="1">
      <c r="A1563" s="1">
        <v>2191</v>
      </c>
      <c r="B1563" s="34" t="s">
        <v>2827</v>
      </c>
      <c r="C1563" s="34">
        <v>314</v>
      </c>
      <c r="D1563" s="75">
        <v>4048</v>
      </c>
      <c r="E1563" s="8">
        <v>100</v>
      </c>
      <c r="F1563" s="9" t="s">
        <v>2836</v>
      </c>
      <c r="G1563" s="20">
        <v>0</v>
      </c>
      <c r="H1563" s="20">
        <v>7960</v>
      </c>
      <c r="I1563" s="21">
        <v>7.96</v>
      </c>
      <c r="J1563" s="8">
        <v>2</v>
      </c>
      <c r="K1563" s="8" t="s">
        <v>238</v>
      </c>
      <c r="L1563" s="18">
        <v>42144</v>
      </c>
      <c r="M1563" s="9" t="s">
        <v>191</v>
      </c>
      <c r="N1563" s="38">
        <v>5.2</v>
      </c>
      <c r="O1563" s="38">
        <v>1.45</v>
      </c>
      <c r="P1563" s="38">
        <v>0.55000000000000004</v>
      </c>
      <c r="Q1563" s="38">
        <v>0.55000000000000004</v>
      </c>
      <c r="R1563" s="38">
        <v>2.4609399999999999</v>
      </c>
      <c r="S1563" s="38">
        <f t="shared" si="196"/>
        <v>2.5</v>
      </c>
      <c r="T1563" s="38">
        <v>7.4249999999999998</v>
      </c>
      <c r="U1563" s="38">
        <v>0.3</v>
      </c>
      <c r="V1563" s="38">
        <v>2.5000000000000001E-2</v>
      </c>
      <c r="W1563" s="38">
        <v>0</v>
      </c>
      <c r="X1563" s="38">
        <v>4.7646199999999999</v>
      </c>
      <c r="Y1563" s="38">
        <f t="shared" si="197"/>
        <v>5</v>
      </c>
      <c r="Z1563" s="38">
        <v>0</v>
      </c>
      <c r="AA1563" s="38">
        <v>0</v>
      </c>
      <c r="AB1563" s="38">
        <v>7.75</v>
      </c>
      <c r="AC1563" s="38">
        <v>1.1960299999999999</v>
      </c>
      <c r="AD1563" s="38">
        <v>0</v>
      </c>
      <c r="AE1563" s="38">
        <v>20.48</v>
      </c>
      <c r="AF1563" s="38">
        <f>(AD1563+AE1563*0.5)/(3.5*I1563*1000)*100</f>
        <v>3.6755204594400577E-2</v>
      </c>
      <c r="AG1563" s="38">
        <f t="shared" si="198"/>
        <v>0</v>
      </c>
      <c r="AH1563" s="56">
        <v>7.17</v>
      </c>
      <c r="AI1563" s="56">
        <f>AH1563/(3.5*I1563*1000)*100</f>
        <v>2.5735821966977743E-2</v>
      </c>
      <c r="AJ1563" s="56">
        <v>0</v>
      </c>
      <c r="AK1563" s="56">
        <v>0</v>
      </c>
      <c r="AL1563" s="56">
        <v>0</v>
      </c>
      <c r="AM1563" s="56">
        <f>AL1563/(3.5*I1563*1000)*100</f>
        <v>0</v>
      </c>
      <c r="AN1563" s="72"/>
      <c r="AO1563" s="41"/>
      <c r="AP1563" s="41"/>
      <c r="AQ1563" s="73"/>
      <c r="AR1563" s="73"/>
      <c r="AS1563" s="73"/>
      <c r="AT1563" s="73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</row>
    <row r="1564" spans="1:88" s="61" customFormat="1">
      <c r="A1564" s="1">
        <v>338</v>
      </c>
      <c r="B1564" s="34" t="s">
        <v>470</v>
      </c>
      <c r="C1564" s="34">
        <v>639</v>
      </c>
      <c r="D1564" s="34">
        <v>2034</v>
      </c>
      <c r="E1564" s="34">
        <v>102</v>
      </c>
      <c r="F1564" s="34" t="s">
        <v>471</v>
      </c>
      <c r="G1564" s="58">
        <v>13000</v>
      </c>
      <c r="H1564" s="58">
        <v>62715</v>
      </c>
      <c r="I1564" s="35">
        <v>49.715000000000003</v>
      </c>
      <c r="J1564" s="62">
        <v>2</v>
      </c>
      <c r="K1564" s="34" t="s">
        <v>238</v>
      </c>
      <c r="L1564" s="10">
        <v>42157</v>
      </c>
      <c r="M1564" s="9" t="s">
        <v>191</v>
      </c>
      <c r="N1564" s="38">
        <v>41.25</v>
      </c>
      <c r="O1564" s="38">
        <v>4.6749999999999998</v>
      </c>
      <c r="P1564" s="38">
        <v>2.2999999999999998</v>
      </c>
      <c r="Q1564" s="38">
        <v>1.425</v>
      </c>
      <c r="R1564" s="38">
        <v>2.1528200000000002</v>
      </c>
      <c r="S1564" s="38">
        <f t="shared" si="196"/>
        <v>2</v>
      </c>
      <c r="T1564" s="38">
        <v>46.024999999999999</v>
      </c>
      <c r="U1564" s="38">
        <v>2.95</v>
      </c>
      <c r="V1564" s="38">
        <v>0.47499999999999998</v>
      </c>
      <c r="W1564" s="38">
        <v>0.2</v>
      </c>
      <c r="X1564" s="38">
        <v>5.5466600000000001</v>
      </c>
      <c r="Y1564" s="38">
        <f t="shared" si="197"/>
        <v>5.5</v>
      </c>
      <c r="Z1564" s="38">
        <v>0</v>
      </c>
      <c r="AA1564" s="38">
        <v>0</v>
      </c>
      <c r="AB1564" s="38">
        <f>N1564+O1564+P1564+Q1564</f>
        <v>49.649999999999991</v>
      </c>
      <c r="AC1564" s="38">
        <v>1.3948100000000001</v>
      </c>
      <c r="AD1564" s="38">
        <v>38</v>
      </c>
      <c r="AE1564" s="38">
        <v>51</v>
      </c>
      <c r="AF1564" s="38">
        <f>(AD1564+AE1564*0.5)/(3.5*I1564*1000)*100</f>
        <v>3.649372853838307E-2</v>
      </c>
      <c r="AG1564" s="38">
        <f t="shared" si="198"/>
        <v>0</v>
      </c>
      <c r="AH1564" s="56">
        <v>19.920000000000002</v>
      </c>
      <c r="AI1564" s="56">
        <f>AH1564/(3.5*I1564*1000)*100</f>
        <v>1.1448111377710091E-2</v>
      </c>
      <c r="AJ1564" s="56">
        <v>0</v>
      </c>
      <c r="AK1564" s="56">
        <v>0</v>
      </c>
      <c r="AL1564" s="56">
        <v>0</v>
      </c>
      <c r="AM1564" s="56">
        <v>0</v>
      </c>
      <c r="AN1564" s="25"/>
      <c r="AO1564" s="25">
        <f>AE1564*0.5</f>
        <v>25.5</v>
      </c>
      <c r="AP1564" s="25">
        <f>(AD1564+AH1564+AJ1564+AL1564+AO1564)*I1564</f>
        <v>4147.2253000000001</v>
      </c>
      <c r="AQ1564" s="25"/>
      <c r="AR1564" s="25"/>
      <c r="AS1564" s="25">
        <f>SUM(N1564:Q1564)</f>
        <v>49.649999999999991</v>
      </c>
      <c r="AT1564" s="25"/>
      <c r="AU1564" s="41">
        <f>SUM(N1564:Q1564)</f>
        <v>49.649999999999991</v>
      </c>
      <c r="AV1564" s="41">
        <f>SUM(T1564:W1564)</f>
        <v>49.650000000000006</v>
      </c>
      <c r="AW1564" s="41">
        <f>SUM(Z1564:AB1564)</f>
        <v>49.649999999999991</v>
      </c>
      <c r="AX1564" s="22"/>
      <c r="AY1564" s="22">
        <f>I1564/AU1564</f>
        <v>1.0013091641490435</v>
      </c>
      <c r="AZ1564" s="22">
        <f>I1564/AV1564</f>
        <v>1.0013091641490433</v>
      </c>
      <c r="BA1564" s="22">
        <f>I1564/AW1564</f>
        <v>1.0013091641490435</v>
      </c>
      <c r="BB1564" s="22"/>
      <c r="BC1564" s="22"/>
      <c r="BD1564" s="22"/>
      <c r="BE1564" s="22"/>
      <c r="BF1564" s="22"/>
      <c r="BG1564" s="22"/>
      <c r="BH1564" s="22"/>
      <c r="BI1564" s="22"/>
      <c r="BJ1564" s="22"/>
      <c r="BK1564" s="22"/>
      <c r="BL1564" s="22"/>
      <c r="BM1564" s="22"/>
      <c r="BN1564" s="22"/>
      <c r="BO1564" s="22"/>
      <c r="BP1564" s="22"/>
      <c r="BQ1564" s="22"/>
      <c r="BR1564" s="22"/>
      <c r="BS1564" s="22"/>
      <c r="BT1564" s="22"/>
      <c r="BU1564" s="22"/>
      <c r="BV1564" s="22"/>
      <c r="BW1564" s="22"/>
      <c r="BX1564" s="22"/>
      <c r="BY1564" s="22"/>
      <c r="BZ1564" s="22"/>
      <c r="CA1564" s="22"/>
      <c r="CB1564" s="22"/>
      <c r="CC1564" s="22"/>
      <c r="CD1564" s="22"/>
      <c r="CE1564" s="22"/>
      <c r="CF1564" s="22"/>
      <c r="CG1564" s="22"/>
      <c r="CH1564" s="22"/>
      <c r="CI1564" s="22"/>
      <c r="CJ1564" s="22"/>
    </row>
    <row r="1565" spans="1:88" s="61" customFormat="1">
      <c r="A1565" s="1">
        <v>1564</v>
      </c>
      <c r="B1565" s="34" t="s">
        <v>2137</v>
      </c>
      <c r="C1565" s="5">
        <v>416</v>
      </c>
      <c r="D1565" s="5">
        <v>9</v>
      </c>
      <c r="E1565" s="5">
        <v>301</v>
      </c>
      <c r="F1565" s="5" t="s">
        <v>2138</v>
      </c>
      <c r="G1565" s="53" t="s">
        <v>2146</v>
      </c>
      <c r="H1565" s="53" t="s">
        <v>2147</v>
      </c>
      <c r="I1565" s="198">
        <v>0</v>
      </c>
      <c r="J1565" s="78">
        <v>4</v>
      </c>
      <c r="K1565" s="5" t="s">
        <v>237</v>
      </c>
      <c r="L1565" s="10">
        <v>42249</v>
      </c>
      <c r="M1565" s="34" t="s">
        <v>218</v>
      </c>
      <c r="N1565" s="147">
        <v>6.7249999999999996</v>
      </c>
      <c r="O1565" s="147">
        <v>6.375</v>
      </c>
      <c r="P1565" s="147">
        <v>4.45</v>
      </c>
      <c r="Q1565" s="147">
        <v>1.125</v>
      </c>
      <c r="R1565" s="147">
        <v>3.08514</v>
      </c>
      <c r="S1565" s="38">
        <f t="shared" si="196"/>
        <v>3</v>
      </c>
      <c r="T1565" s="147">
        <v>0</v>
      </c>
      <c r="U1565" s="147">
        <v>0</v>
      </c>
      <c r="V1565" s="147">
        <f>SUM(N1565:Q1565)</f>
        <v>18.675000000000001</v>
      </c>
      <c r="W1565" s="147">
        <v>1.2177500000000001</v>
      </c>
      <c r="X1565" s="201">
        <v>0</v>
      </c>
      <c r="Y1565" s="38">
        <f t="shared" si="197"/>
        <v>0</v>
      </c>
      <c r="Z1565" s="201">
        <v>0</v>
      </c>
      <c r="AA1565" s="201">
        <v>0</v>
      </c>
      <c r="AB1565" s="201">
        <v>0</v>
      </c>
      <c r="AC1565" s="201">
        <v>0</v>
      </c>
      <c r="AD1565" s="147">
        <v>0</v>
      </c>
      <c r="AE1565" s="147">
        <v>0.29379866836489543</v>
      </c>
      <c r="AF1565" s="201">
        <v>0</v>
      </c>
      <c r="AG1565" s="38">
        <f t="shared" si="198"/>
        <v>0</v>
      </c>
      <c r="AH1565" s="202"/>
      <c r="AI1565" s="202"/>
      <c r="AJ1565" s="202"/>
    </row>
    <row r="1566" spans="1:88" s="61" customFormat="1">
      <c r="A1566" s="1">
        <v>1565</v>
      </c>
      <c r="B1566" s="34" t="s">
        <v>2137</v>
      </c>
      <c r="C1566" s="5">
        <v>416</v>
      </c>
      <c r="D1566" s="5">
        <v>9</v>
      </c>
      <c r="E1566" s="5">
        <v>301</v>
      </c>
      <c r="F1566" s="5" t="s">
        <v>2138</v>
      </c>
      <c r="G1566" s="53" t="s">
        <v>2147</v>
      </c>
      <c r="H1566" s="53" t="s">
        <v>2146</v>
      </c>
      <c r="I1566" s="198">
        <v>0</v>
      </c>
      <c r="J1566" s="78">
        <v>4</v>
      </c>
      <c r="K1566" s="5" t="s">
        <v>96</v>
      </c>
      <c r="L1566" s="10">
        <v>42249</v>
      </c>
      <c r="M1566" s="34" t="s">
        <v>218</v>
      </c>
      <c r="N1566" s="147">
        <v>6.85</v>
      </c>
      <c r="O1566" s="147">
        <v>5.9749999999999996</v>
      </c>
      <c r="P1566" s="147">
        <v>3.875</v>
      </c>
      <c r="Q1566" s="147">
        <v>1.9750000000000001</v>
      </c>
      <c r="R1566" s="147">
        <v>3.2073100000000001</v>
      </c>
      <c r="S1566" s="38">
        <f t="shared" si="196"/>
        <v>3</v>
      </c>
      <c r="T1566" s="147">
        <v>0</v>
      </c>
      <c r="U1566" s="147">
        <v>0</v>
      </c>
      <c r="V1566" s="147">
        <f>SUM(N1566:Q1566)</f>
        <v>18.675000000000001</v>
      </c>
      <c r="W1566" s="147">
        <v>1.0098400000000001</v>
      </c>
      <c r="X1566" s="201">
        <v>0</v>
      </c>
      <c r="Y1566" s="38">
        <f t="shared" si="197"/>
        <v>0</v>
      </c>
      <c r="Z1566" s="201">
        <v>0</v>
      </c>
      <c r="AA1566" s="201">
        <v>0</v>
      </c>
      <c r="AB1566" s="201">
        <v>0</v>
      </c>
      <c r="AC1566" s="201">
        <v>0</v>
      </c>
      <c r="AD1566" s="147">
        <v>0</v>
      </c>
      <c r="AE1566" s="147">
        <v>8.84706025915785E-3</v>
      </c>
      <c r="AF1566" s="201">
        <v>0</v>
      </c>
      <c r="AG1566" s="38">
        <f t="shared" si="198"/>
        <v>0</v>
      </c>
      <c r="AH1566" s="202"/>
      <c r="AI1566" s="202"/>
      <c r="AJ1566" s="202"/>
    </row>
    <row r="1567" spans="1:88" s="61" customFormat="1">
      <c r="A1567" s="1">
        <v>719</v>
      </c>
      <c r="B1567" s="34" t="s">
        <v>1123</v>
      </c>
      <c r="C1567" s="34">
        <v>627</v>
      </c>
      <c r="D1567" s="34">
        <v>201</v>
      </c>
      <c r="E1567" s="34">
        <v>303</v>
      </c>
      <c r="F1567" s="34" t="s">
        <v>1126</v>
      </c>
      <c r="G1567" s="58">
        <v>221081</v>
      </c>
      <c r="H1567" s="58">
        <v>253485</v>
      </c>
      <c r="I1567" s="51">
        <v>32.404000000000003</v>
      </c>
      <c r="J1567" s="127">
        <v>4</v>
      </c>
      <c r="K1567" s="34" t="s">
        <v>238</v>
      </c>
      <c r="L1567" s="10">
        <v>42178</v>
      </c>
      <c r="M1567" s="9" t="s">
        <v>191</v>
      </c>
      <c r="N1567" s="38">
        <v>21.925000000000001</v>
      </c>
      <c r="O1567" s="38">
        <v>6.5250000000000004</v>
      </c>
      <c r="P1567" s="38">
        <v>2.85</v>
      </c>
      <c r="Q1567" s="38">
        <v>0.95</v>
      </c>
      <c r="R1567" s="38">
        <v>2.5267499999999998</v>
      </c>
      <c r="S1567" s="38">
        <f t="shared" si="196"/>
        <v>2.5</v>
      </c>
      <c r="T1567" s="38">
        <v>30.25</v>
      </c>
      <c r="U1567" s="38">
        <v>1.875</v>
      </c>
      <c r="V1567" s="38">
        <v>0.125</v>
      </c>
      <c r="W1567" s="38">
        <v>0</v>
      </c>
      <c r="X1567" s="38">
        <v>6.0082800000000001</v>
      </c>
      <c r="Y1567" s="38">
        <f t="shared" si="197"/>
        <v>6</v>
      </c>
      <c r="Z1567" s="38">
        <v>0</v>
      </c>
      <c r="AA1567" s="38">
        <v>0</v>
      </c>
      <c r="AB1567" s="38">
        <v>32.404000000000003</v>
      </c>
      <c r="AC1567" s="38">
        <v>1.19597</v>
      </c>
      <c r="AD1567" s="38">
        <v>13.76</v>
      </c>
      <c r="AE1567" s="38">
        <v>54.68</v>
      </c>
      <c r="AF1567" s="38">
        <v>3.6238912303595675E-2</v>
      </c>
      <c r="AG1567" s="38">
        <f t="shared" si="198"/>
        <v>0</v>
      </c>
      <c r="AH1567" s="56">
        <v>0</v>
      </c>
      <c r="AI1567" s="56">
        <v>0</v>
      </c>
      <c r="AJ1567" s="56">
        <v>0</v>
      </c>
      <c r="AK1567" s="56">
        <v>0</v>
      </c>
      <c r="AL1567" s="56">
        <v>95.56</v>
      </c>
      <c r="AM1567" s="265">
        <f>AL1567/(3.5*I1567*1000)*100</f>
        <v>8.4257675419260408E-2</v>
      </c>
      <c r="AN1567" s="25"/>
      <c r="AO1567" s="25">
        <f>AE1567*0.5</f>
        <v>27.34</v>
      </c>
      <c r="AP1567" s="25">
        <f>(AD1567+AH1567+AJ1567+AL1567+AO1567)*I1567</f>
        <v>4428.3306400000001</v>
      </c>
      <c r="AQ1567" s="25">
        <f>SUM(N1567:Q1567)</f>
        <v>32.250000000000007</v>
      </c>
      <c r="AR1567" s="25">
        <f>SUM(T1567:W1567)</f>
        <v>32.25</v>
      </c>
      <c r="AS1567" s="268">
        <v>32.404000000000003</v>
      </c>
      <c r="AT1567" s="41"/>
      <c r="AU1567" s="41"/>
      <c r="AV1567" s="41"/>
      <c r="AW1567" s="41"/>
      <c r="AX1567" s="22"/>
      <c r="AY1567" s="22"/>
      <c r="AZ1567" s="22"/>
      <c r="BA1567" s="22"/>
      <c r="BB1567" s="22"/>
      <c r="BC1567" s="22"/>
      <c r="BD1567" s="22"/>
      <c r="BE1567" s="22"/>
      <c r="BF1567" s="22"/>
      <c r="BG1567" s="22"/>
      <c r="BH1567" s="22"/>
      <c r="BI1567" s="22"/>
      <c r="BJ1567" s="22"/>
      <c r="BK1567" s="22"/>
      <c r="BL1567" s="22"/>
      <c r="BM1567" s="22"/>
      <c r="BN1567" s="22"/>
      <c r="BO1567" s="22"/>
      <c r="BP1567" s="22"/>
      <c r="BQ1567" s="22"/>
      <c r="BR1567" s="22"/>
      <c r="BS1567" s="22"/>
      <c r="BT1567" s="22"/>
      <c r="BU1567" s="22"/>
      <c r="BV1567" s="22"/>
      <c r="BW1567" s="22"/>
      <c r="BX1567" s="22"/>
      <c r="BY1567" s="22"/>
      <c r="BZ1567" s="22"/>
      <c r="CA1567" s="22"/>
      <c r="CB1567" s="22"/>
      <c r="CC1567" s="22"/>
      <c r="CD1567" s="22"/>
      <c r="CE1567" s="22"/>
      <c r="CF1567" s="22"/>
      <c r="CG1567" s="22"/>
      <c r="CH1567" s="22"/>
      <c r="CI1567" s="22"/>
      <c r="CJ1567" s="22"/>
    </row>
    <row r="1568" spans="1:88" s="61" customFormat="1">
      <c r="A1568" s="1">
        <v>1920</v>
      </c>
      <c r="B1568" s="34" t="s">
        <v>2559</v>
      </c>
      <c r="C1568" s="34">
        <v>338</v>
      </c>
      <c r="D1568" s="75">
        <v>3175</v>
      </c>
      <c r="E1568" s="8">
        <v>100</v>
      </c>
      <c r="F1568" s="34" t="s">
        <v>2566</v>
      </c>
      <c r="G1568" s="20">
        <v>1447</v>
      </c>
      <c r="H1568" s="20">
        <v>2177</v>
      </c>
      <c r="I1568" s="21">
        <v>0.73</v>
      </c>
      <c r="J1568" s="8">
        <v>2</v>
      </c>
      <c r="K1568" s="8" t="s">
        <v>238</v>
      </c>
      <c r="L1568" s="18">
        <v>42096</v>
      </c>
      <c r="M1568" s="207" t="s">
        <v>191</v>
      </c>
      <c r="N1568" s="38">
        <v>0</v>
      </c>
      <c r="O1568" s="38">
        <v>0.03</v>
      </c>
      <c r="P1568" s="38">
        <v>0.47</v>
      </c>
      <c r="Q1568" s="38">
        <v>0.23</v>
      </c>
      <c r="R1568" s="38">
        <v>4.6692900000000002</v>
      </c>
      <c r="S1568" s="38">
        <f t="shared" si="196"/>
        <v>4.5</v>
      </c>
      <c r="T1568" s="38">
        <v>0.73</v>
      </c>
      <c r="U1568" s="38">
        <v>0</v>
      </c>
      <c r="V1568" s="38">
        <v>0</v>
      </c>
      <c r="W1568" s="38">
        <v>0</v>
      </c>
      <c r="X1568" s="38">
        <v>1.46282</v>
      </c>
      <c r="Y1568" s="38">
        <f t="shared" si="197"/>
        <v>1.5</v>
      </c>
      <c r="Z1568" s="38">
        <v>0</v>
      </c>
      <c r="AA1568" s="38">
        <v>0</v>
      </c>
      <c r="AB1568" s="38">
        <v>0.73</v>
      </c>
      <c r="AC1568" s="38">
        <v>0.908107</v>
      </c>
      <c r="AD1568" s="38">
        <v>0</v>
      </c>
      <c r="AE1568" s="38">
        <v>1.85</v>
      </c>
      <c r="AF1568" s="38">
        <v>3.6203522504892373E-2</v>
      </c>
      <c r="AG1568" s="38">
        <f t="shared" si="198"/>
        <v>0</v>
      </c>
      <c r="AH1568" s="56">
        <v>150.214</v>
      </c>
      <c r="AI1568" s="56">
        <f>AH1568/(3.5*L1568*1000)*100</f>
        <v>1.0195335831025682E-4</v>
      </c>
      <c r="AJ1568" s="56">
        <v>0</v>
      </c>
      <c r="AK1568" s="56">
        <v>0</v>
      </c>
      <c r="AL1568" s="56">
        <v>0</v>
      </c>
      <c r="AM1568" s="56">
        <f>AL1568/(3.5*I1568*1000)*100</f>
        <v>0</v>
      </c>
      <c r="AN1568" s="41"/>
      <c r="AO1568" s="73"/>
      <c r="AP1568" s="41"/>
      <c r="AQ1568" s="41">
        <f>SUM(N1568:Q1568)</f>
        <v>0.73</v>
      </c>
      <c r="AR1568" s="41">
        <f>SUM(T1568:W1568)</f>
        <v>0.73</v>
      </c>
      <c r="AS1568" s="12">
        <f>SUM(Z1568:AB1568)</f>
        <v>0.73</v>
      </c>
      <c r="AT1568" s="1"/>
      <c r="AU1568" s="1">
        <f>I1568/AQ1568</f>
        <v>1</v>
      </c>
      <c r="AV1568" s="1">
        <f>I1568/AR1568</f>
        <v>1</v>
      </c>
      <c r="AW1568" s="1">
        <f>I1568/AS1568</f>
        <v>1</v>
      </c>
      <c r="AX1568" s="1" t="e">
        <f>AT1568/I1593</f>
        <v>#DIV/0!</v>
      </c>
      <c r="AY1568" s="22"/>
      <c r="AZ1568" s="22"/>
      <c r="BA1568" s="22"/>
      <c r="BB1568" s="22"/>
      <c r="BC1568" s="22"/>
      <c r="BD1568" s="22"/>
      <c r="BE1568" s="22"/>
      <c r="BF1568" s="22"/>
      <c r="BG1568" s="22"/>
      <c r="BH1568" s="22"/>
      <c r="BI1568" s="22"/>
      <c r="BJ1568" s="22"/>
      <c r="BK1568" s="22"/>
      <c r="BL1568" s="22"/>
      <c r="BM1568" s="22"/>
      <c r="BN1568" s="22"/>
      <c r="BO1568" s="22"/>
      <c r="BP1568" s="22"/>
      <c r="BQ1568" s="22"/>
      <c r="BR1568" s="22"/>
      <c r="BS1568" s="22"/>
      <c r="BT1568" s="22"/>
      <c r="BU1568" s="22"/>
      <c r="BV1568" s="22"/>
      <c r="BW1568" s="22"/>
      <c r="BX1568" s="22"/>
      <c r="BY1568" s="22"/>
      <c r="BZ1568" s="22"/>
      <c r="CA1568" s="22"/>
      <c r="CB1568" s="22"/>
      <c r="CC1568" s="22"/>
      <c r="CD1568" s="22"/>
      <c r="CE1568" s="22"/>
      <c r="CF1568" s="22"/>
      <c r="CG1568" s="22"/>
      <c r="CH1568" s="22"/>
      <c r="CI1568" s="22"/>
      <c r="CJ1568" s="22"/>
    </row>
    <row r="1569" spans="1:88" s="61" customFormat="1">
      <c r="A1569" s="1">
        <v>1239</v>
      </c>
      <c r="B1569" s="34" t="s">
        <v>1725</v>
      </c>
      <c r="C1569" s="88">
        <v>437</v>
      </c>
      <c r="D1569" s="88">
        <v>3013</v>
      </c>
      <c r="E1569" s="88">
        <v>200</v>
      </c>
      <c r="F1569" s="88" t="s">
        <v>1749</v>
      </c>
      <c r="G1569" s="88" t="s">
        <v>1750</v>
      </c>
      <c r="H1569" s="88" t="s">
        <v>1751</v>
      </c>
      <c r="I1569" s="115">
        <v>15.916</v>
      </c>
      <c r="J1569" s="88">
        <v>2</v>
      </c>
      <c r="K1569" s="181" t="s">
        <v>238</v>
      </c>
      <c r="L1569" s="116">
        <v>42282</v>
      </c>
      <c r="M1569" s="9" t="s">
        <v>191</v>
      </c>
      <c r="N1569" s="38">
        <v>10.8</v>
      </c>
      <c r="O1569" s="38">
        <v>3.875</v>
      </c>
      <c r="P1569" s="38">
        <v>1.625</v>
      </c>
      <c r="Q1569" s="38">
        <v>0.57499999999999996</v>
      </c>
      <c r="R1569" s="38">
        <v>2.5265900000000001</v>
      </c>
      <c r="S1569" s="38">
        <f t="shared" si="196"/>
        <v>2.5</v>
      </c>
      <c r="T1569" s="38">
        <v>13.1</v>
      </c>
      <c r="U1569" s="38">
        <v>2.4500000000000002</v>
      </c>
      <c r="V1569" s="38">
        <v>0.85</v>
      </c>
      <c r="W1569" s="38">
        <v>0.47499999999999998</v>
      </c>
      <c r="X1569" s="38">
        <v>7.02555</v>
      </c>
      <c r="Y1569" s="38">
        <f t="shared" si="197"/>
        <v>7</v>
      </c>
      <c r="Z1569" s="38">
        <v>0</v>
      </c>
      <c r="AA1569" s="117">
        <v>0</v>
      </c>
      <c r="AB1569" s="117">
        <v>15.916</v>
      </c>
      <c r="AC1569" s="117">
        <v>1.33439</v>
      </c>
      <c r="AD1569" s="117">
        <v>14.58</v>
      </c>
      <c r="AE1569" s="117">
        <v>11.002000000000001</v>
      </c>
      <c r="AF1569" s="117">
        <f>(AD1569+AE1569*0.5)/(3.5*I1569*1000)*100</f>
        <v>3.6048181524431844E-2</v>
      </c>
      <c r="AG1569" s="38">
        <f t="shared" si="198"/>
        <v>0</v>
      </c>
      <c r="AH1569" s="260">
        <v>4.12</v>
      </c>
      <c r="AI1569" s="260">
        <f>AH1569/(3.5*I1569*1000)*100</f>
        <v>7.3959717086130765E-3</v>
      </c>
      <c r="AJ1569" s="260">
        <v>0</v>
      </c>
      <c r="AK1569" s="260">
        <f>AJ1569/(3.5*I1569*1000)*100</f>
        <v>0</v>
      </c>
      <c r="AL1569" s="260">
        <v>0</v>
      </c>
      <c r="AM1569" s="260">
        <f>AJ1569/(3.5*I1569*1000)*100</f>
        <v>0</v>
      </c>
      <c r="AN1569" s="12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</row>
    <row r="1570" spans="1:88" s="61" customFormat="1">
      <c r="A1570" s="1">
        <v>789</v>
      </c>
      <c r="B1570" s="34" t="s">
        <v>1171</v>
      </c>
      <c r="C1570" s="34">
        <v>633</v>
      </c>
      <c r="D1570" s="8">
        <v>2169</v>
      </c>
      <c r="E1570" s="34">
        <v>100</v>
      </c>
      <c r="F1570" s="34" t="s">
        <v>1182</v>
      </c>
      <c r="G1570" s="58">
        <v>2234</v>
      </c>
      <c r="H1570" s="58">
        <v>37241</v>
      </c>
      <c r="I1570" s="35">
        <v>35.006999999999998</v>
      </c>
      <c r="J1570" s="9">
        <v>2</v>
      </c>
      <c r="K1570" s="34" t="s">
        <v>238</v>
      </c>
      <c r="L1570" s="10">
        <v>42147</v>
      </c>
      <c r="M1570" s="9" t="s">
        <v>191</v>
      </c>
      <c r="N1570" s="38">
        <v>23</v>
      </c>
      <c r="O1570" s="38">
        <v>7.5</v>
      </c>
      <c r="P1570" s="38">
        <v>3.1749999999999998</v>
      </c>
      <c r="Q1570" s="38">
        <v>1.3</v>
      </c>
      <c r="R1570" s="38">
        <v>3.7088999999999999</v>
      </c>
      <c r="S1570" s="38">
        <f t="shared" si="196"/>
        <v>3.5</v>
      </c>
      <c r="T1570" s="38">
        <v>33.1</v>
      </c>
      <c r="U1570" s="38">
        <v>1.5249999999999999</v>
      </c>
      <c r="V1570" s="38">
        <v>0.32500000000000001</v>
      </c>
      <c r="W1570" s="38">
        <v>2.5000000000000001E-2</v>
      </c>
      <c r="X1570" s="38">
        <v>6.2687999999999997</v>
      </c>
      <c r="Y1570" s="38">
        <f t="shared" si="197"/>
        <v>6.5</v>
      </c>
      <c r="Z1570" s="38">
        <v>0</v>
      </c>
      <c r="AA1570" s="38">
        <v>0</v>
      </c>
      <c r="AB1570" s="38">
        <f>N1570+O1570+P1570+Q1570</f>
        <v>34.974999999999994</v>
      </c>
      <c r="AC1570" s="38">
        <v>1.3959999999999999</v>
      </c>
      <c r="AD1570" s="38">
        <v>44</v>
      </c>
      <c r="AE1570" s="38">
        <v>0</v>
      </c>
      <c r="AF1570" s="38">
        <v>3.5909999999999997E-2</v>
      </c>
      <c r="AG1570" s="38">
        <f t="shared" si="198"/>
        <v>0</v>
      </c>
      <c r="AH1570" s="56">
        <v>19</v>
      </c>
      <c r="AI1570" s="56">
        <f>AH1570/(3.5*I1570*1000)*100</f>
        <v>1.5507102661100435E-2</v>
      </c>
      <c r="AJ1570" s="56">
        <v>100</v>
      </c>
      <c r="AK1570" s="56">
        <f>AJ1570/(3.5*I1570*1000)*100</f>
        <v>8.1616329795265452E-2</v>
      </c>
      <c r="AL1570" s="56">
        <v>0</v>
      </c>
      <c r="AM1570" s="56">
        <f>AL1570/(3.5*I1570*1000)*100</f>
        <v>0</v>
      </c>
      <c r="AN1570" s="25"/>
      <c r="AO1570" s="25">
        <f>AE1570*0.5</f>
        <v>0</v>
      </c>
      <c r="AP1570" s="25">
        <f>(AD1570+AH1570+AJ1570+AL1570+AO1570)*I1570</f>
        <v>5706.1409999999996</v>
      </c>
      <c r="AQ1570" s="25">
        <f>SUM(N1570:Q1570)</f>
        <v>34.974999999999994</v>
      </c>
      <c r="AR1570" s="25">
        <f>SUM(T1570:W1570)</f>
        <v>34.975000000000001</v>
      </c>
      <c r="AS1570" s="22"/>
      <c r="AT1570" s="41"/>
      <c r="AU1570" s="41"/>
      <c r="AV1570" s="41"/>
      <c r="AW1570" s="41"/>
      <c r="AX1570" s="22"/>
      <c r="AY1570" s="22"/>
      <c r="AZ1570" s="22"/>
      <c r="BA1570" s="22"/>
      <c r="BB1570" s="22"/>
      <c r="BC1570" s="22"/>
      <c r="BD1570" s="22"/>
      <c r="BE1570" s="22"/>
      <c r="BF1570" s="22"/>
      <c r="BG1570" s="22"/>
      <c r="BH1570" s="22"/>
      <c r="BI1570" s="22"/>
      <c r="BJ1570" s="22"/>
      <c r="BK1570" s="22"/>
      <c r="BL1570" s="22"/>
      <c r="BM1570" s="22"/>
      <c r="BN1570" s="22"/>
      <c r="BO1570" s="22"/>
      <c r="BP1570" s="22"/>
      <c r="BQ1570" s="22"/>
      <c r="BR1570" s="22"/>
      <c r="BS1570" s="22"/>
      <c r="BT1570" s="22"/>
      <c r="BU1570" s="22"/>
      <c r="BV1570" s="22"/>
      <c r="BW1570" s="22"/>
      <c r="BX1570" s="22"/>
      <c r="BY1570" s="22"/>
      <c r="BZ1570" s="22"/>
      <c r="CA1570" s="22"/>
      <c r="CB1570" s="22"/>
      <c r="CC1570" s="22"/>
      <c r="CD1570" s="22"/>
      <c r="CE1570" s="22"/>
      <c r="CF1570" s="22"/>
      <c r="CG1570" s="22"/>
      <c r="CH1570" s="22"/>
      <c r="CI1570" s="22"/>
      <c r="CJ1570" s="22"/>
    </row>
    <row r="1571" spans="1:88" s="61" customFormat="1">
      <c r="A1571" s="1">
        <v>2221</v>
      </c>
      <c r="B1571" s="34" t="s">
        <v>2853</v>
      </c>
      <c r="C1571" s="34">
        <v>318</v>
      </c>
      <c r="D1571" s="75">
        <v>4053</v>
      </c>
      <c r="E1571" s="8">
        <v>100</v>
      </c>
      <c r="F1571" s="9" t="s">
        <v>2867</v>
      </c>
      <c r="G1571" s="20">
        <v>1447</v>
      </c>
      <c r="H1571" s="20">
        <v>6600</v>
      </c>
      <c r="I1571" s="21">
        <v>5.1529999999999996</v>
      </c>
      <c r="J1571" s="8">
        <v>2</v>
      </c>
      <c r="K1571" s="8" t="s">
        <v>238</v>
      </c>
      <c r="L1571" s="18">
        <v>42149</v>
      </c>
      <c r="M1571" s="9" t="s">
        <v>191</v>
      </c>
      <c r="N1571" s="38">
        <v>1.825</v>
      </c>
      <c r="O1571" s="38">
        <v>2</v>
      </c>
      <c r="P1571" s="38">
        <v>1.35</v>
      </c>
      <c r="Q1571" s="38">
        <v>0.77500000000000002</v>
      </c>
      <c r="R1571" s="38">
        <v>3.40571</v>
      </c>
      <c r="S1571" s="38">
        <f t="shared" si="196"/>
        <v>3.5</v>
      </c>
      <c r="T1571" s="38">
        <v>5.5250000000000004</v>
      </c>
      <c r="U1571" s="38">
        <v>0.3</v>
      </c>
      <c r="V1571" s="38">
        <v>0.125</v>
      </c>
      <c r="W1571" s="38">
        <v>0</v>
      </c>
      <c r="X1571" s="38">
        <v>4.6216900000000001</v>
      </c>
      <c r="Y1571" s="38">
        <f t="shared" si="197"/>
        <v>4.5</v>
      </c>
      <c r="Z1571" s="38">
        <v>0</v>
      </c>
      <c r="AA1571" s="38">
        <v>0</v>
      </c>
      <c r="AB1571" s="38">
        <v>5.9500000000000011</v>
      </c>
      <c r="AC1571" s="38">
        <v>1.24011</v>
      </c>
      <c r="AD1571" s="38">
        <v>6.47</v>
      </c>
      <c r="AE1571" s="38">
        <v>0</v>
      </c>
      <c r="AF1571" s="38">
        <v>3.587369354883424E-2</v>
      </c>
      <c r="AG1571" s="38">
        <f t="shared" si="198"/>
        <v>0</v>
      </c>
      <c r="AH1571" s="56">
        <v>0</v>
      </c>
      <c r="AI1571" s="56">
        <v>0</v>
      </c>
      <c r="AJ1571" s="56">
        <v>0</v>
      </c>
      <c r="AK1571" s="56">
        <v>0</v>
      </c>
      <c r="AL1571" s="56">
        <v>0</v>
      </c>
      <c r="AM1571" s="56">
        <f>AL1571/(3.5*I1571*1000)*100</f>
        <v>0</v>
      </c>
      <c r="AN1571" s="22"/>
      <c r="AO1571" s="25"/>
      <c r="AP1571" s="25"/>
      <c r="AQ1571" s="22"/>
      <c r="AR1571" s="22"/>
      <c r="AS1571" s="22"/>
      <c r="AT1571" s="22"/>
      <c r="AU1571" s="22"/>
      <c r="AV1571" s="22"/>
      <c r="AW1571" s="22"/>
      <c r="AX1571" s="22"/>
      <c r="AY1571" s="22"/>
      <c r="AZ1571" s="22"/>
      <c r="BA1571" s="22"/>
      <c r="BB1571" s="22"/>
      <c r="BC1571" s="22"/>
      <c r="BD1571" s="22"/>
      <c r="BE1571" s="22"/>
      <c r="BF1571" s="22"/>
      <c r="BG1571" s="22"/>
      <c r="BH1571" s="22"/>
      <c r="BI1571" s="22"/>
      <c r="BJ1571" s="22"/>
      <c r="BK1571" s="22"/>
      <c r="BL1571" s="22"/>
      <c r="BM1571" s="22"/>
      <c r="BN1571" s="22"/>
      <c r="BO1571" s="22"/>
      <c r="BP1571" s="22"/>
      <c r="BQ1571" s="22"/>
      <c r="BR1571" s="22"/>
      <c r="BS1571" s="22"/>
      <c r="BT1571" s="22"/>
      <c r="BU1571" s="22"/>
      <c r="BV1571" s="22"/>
      <c r="BW1571" s="22"/>
      <c r="BX1571" s="22"/>
      <c r="BY1571" s="22"/>
      <c r="BZ1571" s="22"/>
      <c r="CA1571" s="22"/>
      <c r="CB1571" s="22"/>
      <c r="CC1571" s="22"/>
      <c r="CD1571" s="22"/>
      <c r="CE1571" s="22"/>
      <c r="CF1571" s="22"/>
      <c r="CG1571" s="22"/>
      <c r="CH1571" s="22"/>
      <c r="CI1571" s="22"/>
      <c r="CJ1571" s="22"/>
    </row>
    <row r="1572" spans="1:88" s="61" customFormat="1">
      <c r="A1572" s="1">
        <v>393</v>
      </c>
      <c r="B1572" s="67"/>
      <c r="C1572" s="34">
        <v>517</v>
      </c>
      <c r="D1572" s="68">
        <v>1375</v>
      </c>
      <c r="E1572" s="69">
        <v>100</v>
      </c>
      <c r="F1572" s="88" t="s">
        <v>653</v>
      </c>
      <c r="G1572" s="6" t="s">
        <v>92</v>
      </c>
      <c r="H1572" s="6" t="s">
        <v>654</v>
      </c>
      <c r="I1572" s="7">
        <v>11.05</v>
      </c>
      <c r="J1572" s="89">
        <v>2</v>
      </c>
      <c r="K1572" s="34" t="s">
        <v>238</v>
      </c>
      <c r="L1572" s="18">
        <v>42261</v>
      </c>
      <c r="M1572" s="71" t="s">
        <v>191</v>
      </c>
      <c r="N1572" s="38">
        <v>5.34</v>
      </c>
      <c r="O1572" s="38">
        <v>3.86</v>
      </c>
      <c r="P1572" s="38">
        <v>1.58</v>
      </c>
      <c r="Q1572" s="38">
        <v>0.28000000000000003</v>
      </c>
      <c r="R1572" s="38">
        <v>2.6010900000000001</v>
      </c>
      <c r="S1572" s="38">
        <f t="shared" si="196"/>
        <v>2.5</v>
      </c>
      <c r="T1572" s="38">
        <v>10.07</v>
      </c>
      <c r="U1572" s="38">
        <v>0.75</v>
      </c>
      <c r="V1572" s="38">
        <v>0.23</v>
      </c>
      <c r="W1572" s="38">
        <v>0</v>
      </c>
      <c r="X1572" s="38">
        <v>4.6289800000000003</v>
      </c>
      <c r="Y1572" s="38">
        <f t="shared" si="197"/>
        <v>4.5</v>
      </c>
      <c r="Z1572" s="38">
        <v>0</v>
      </c>
      <c r="AA1572" s="38">
        <v>0</v>
      </c>
      <c r="AB1572" s="38">
        <v>11.05</v>
      </c>
      <c r="AC1572" s="38">
        <v>1.1612499999999999</v>
      </c>
      <c r="AD1572" s="38">
        <v>0</v>
      </c>
      <c r="AE1572" s="38">
        <v>27.65</v>
      </c>
      <c r="AF1572" s="38">
        <f>(AD1572+AE1572*0.5)/(3.5*I1572*1000)*100</f>
        <v>3.574660633484162E-2</v>
      </c>
      <c r="AG1572" s="38">
        <f t="shared" si="198"/>
        <v>0</v>
      </c>
      <c r="AH1572" s="56">
        <v>86.457999999999998</v>
      </c>
      <c r="AI1572" s="56">
        <f>AH1572/(3.5*I1572*1000)*100</f>
        <v>0.22355009696186165</v>
      </c>
      <c r="AJ1572" s="56">
        <v>0</v>
      </c>
      <c r="AK1572" s="56">
        <f>AJ1572/(3.5*I1572*1000)*100</f>
        <v>0</v>
      </c>
      <c r="AL1572" s="56">
        <v>0</v>
      </c>
      <c r="AM1572" s="56">
        <f>AL1572/(3.5*I1572*1000)*100</f>
        <v>0</v>
      </c>
      <c r="AN1572" s="22"/>
      <c r="AO1572" s="22"/>
      <c r="AP1572" s="22"/>
      <c r="AQ1572" s="25">
        <f>SUM(N1572:Q1572)</f>
        <v>11.059999999999999</v>
      </c>
      <c r="AR1572" s="25">
        <f>SUM(T1572:W1572)</f>
        <v>11.05</v>
      </c>
      <c r="AS1572" s="25">
        <f>SUM(Z1572:AB1572)</f>
        <v>11.05</v>
      </c>
      <c r="AT1572" s="22"/>
      <c r="AU1572" s="1">
        <f>I1572/AQ1572</f>
        <v>0.99909584086799297</v>
      </c>
      <c r="AV1572" s="1">
        <f>I1572/AR1572</f>
        <v>1</v>
      </c>
      <c r="AW1572" s="1">
        <f>I1572/AS1572</f>
        <v>1</v>
      </c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</row>
    <row r="1573" spans="1:88" s="61" customFormat="1">
      <c r="A1573" s="1">
        <v>2215</v>
      </c>
      <c r="B1573" s="34" t="s">
        <v>2853</v>
      </c>
      <c r="C1573" s="34">
        <v>318</v>
      </c>
      <c r="D1573" s="75">
        <v>406</v>
      </c>
      <c r="E1573" s="8">
        <v>103</v>
      </c>
      <c r="F1573" s="9" t="s">
        <v>2856</v>
      </c>
      <c r="G1573" s="20" t="s">
        <v>2857</v>
      </c>
      <c r="H1573" s="20" t="s">
        <v>2860</v>
      </c>
      <c r="I1573" s="21">
        <v>6.9160000000000004</v>
      </c>
      <c r="J1573" s="8">
        <v>2</v>
      </c>
      <c r="K1573" s="8" t="s">
        <v>237</v>
      </c>
      <c r="L1573" s="18">
        <v>42150</v>
      </c>
      <c r="M1573" s="9" t="s">
        <v>191</v>
      </c>
      <c r="N1573" s="38">
        <v>3.9750000000000001</v>
      </c>
      <c r="O1573" s="38">
        <v>1.675</v>
      </c>
      <c r="P1573" s="38">
        <v>0.85</v>
      </c>
      <c r="Q1573" s="38">
        <v>0.35</v>
      </c>
      <c r="R1573" s="38">
        <v>2.7194199999999999</v>
      </c>
      <c r="S1573" s="38">
        <f t="shared" si="196"/>
        <v>2.5</v>
      </c>
      <c r="T1573" s="38">
        <v>6.75</v>
      </c>
      <c r="U1573" s="38">
        <v>0.05</v>
      </c>
      <c r="V1573" s="38">
        <v>0.05</v>
      </c>
      <c r="W1573" s="38">
        <v>0</v>
      </c>
      <c r="X1573" s="38">
        <v>4.7724700000000002</v>
      </c>
      <c r="Y1573" s="38">
        <f t="shared" si="197"/>
        <v>5</v>
      </c>
      <c r="Z1573" s="38">
        <v>0</v>
      </c>
      <c r="AA1573" s="38">
        <v>0</v>
      </c>
      <c r="AB1573" s="38">
        <v>6.85</v>
      </c>
      <c r="AC1573" s="38">
        <v>1.50177</v>
      </c>
      <c r="AD1573" s="38">
        <v>7.7</v>
      </c>
      <c r="AE1573" s="38">
        <v>1.88</v>
      </c>
      <c r="AF1573" s="38">
        <v>3.5693629678592076E-2</v>
      </c>
      <c r="AG1573" s="38">
        <f t="shared" si="198"/>
        <v>0</v>
      </c>
      <c r="AH1573" s="56">
        <v>9.5</v>
      </c>
      <c r="AI1573" s="56">
        <v>3.9246467817896383E-2</v>
      </c>
      <c r="AJ1573" s="56">
        <v>0</v>
      </c>
      <c r="AK1573" s="56">
        <v>0</v>
      </c>
      <c r="AL1573" s="56">
        <v>0</v>
      </c>
      <c r="AM1573" s="56">
        <f>AL1573/(3.5*I1573*1000)*100</f>
        <v>0</v>
      </c>
      <c r="AN1573" s="22"/>
      <c r="AO1573" s="25"/>
      <c r="AP1573" s="25"/>
      <c r="AQ1573" s="22"/>
      <c r="AR1573" s="22"/>
      <c r="AS1573" s="22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</row>
    <row r="1574" spans="1:88" s="61" customFormat="1">
      <c r="A1574" s="1">
        <v>1261</v>
      </c>
      <c r="B1574" s="34" t="s">
        <v>1775</v>
      </c>
      <c r="C1574" s="88">
        <v>438</v>
      </c>
      <c r="D1574" s="88">
        <v>3004</v>
      </c>
      <c r="E1574" s="88">
        <v>201</v>
      </c>
      <c r="F1574" s="88" t="s">
        <v>1790</v>
      </c>
      <c r="G1574" s="88" t="s">
        <v>1741</v>
      </c>
      <c r="H1574" s="88" t="s">
        <v>1791</v>
      </c>
      <c r="I1574" s="115">
        <v>31.35</v>
      </c>
      <c r="J1574" s="88">
        <v>2</v>
      </c>
      <c r="K1574" s="181" t="s">
        <v>238</v>
      </c>
      <c r="L1574" s="116">
        <v>42282</v>
      </c>
      <c r="M1574" s="9" t="s">
        <v>191</v>
      </c>
      <c r="N1574" s="117">
        <v>18.625</v>
      </c>
      <c r="O1574" s="117">
        <v>6.5250000000000004</v>
      </c>
      <c r="P1574" s="117">
        <v>3.0249999999999999</v>
      </c>
      <c r="Q1574" s="117">
        <v>3.4249999999999998</v>
      </c>
      <c r="R1574" s="117">
        <v>2.80945</v>
      </c>
      <c r="S1574" s="38">
        <f t="shared" si="196"/>
        <v>3</v>
      </c>
      <c r="T1574" s="117">
        <v>30.45</v>
      </c>
      <c r="U1574" s="117">
        <v>0.875</v>
      </c>
      <c r="V1574" s="117">
        <v>0.2</v>
      </c>
      <c r="W1574" s="117">
        <v>7.4999999999999997E-2</v>
      </c>
      <c r="X1574" s="117">
        <v>4.4013099999999996</v>
      </c>
      <c r="Y1574" s="38">
        <f t="shared" si="197"/>
        <v>4.5</v>
      </c>
      <c r="Z1574" s="117">
        <v>0</v>
      </c>
      <c r="AA1574" s="117">
        <v>0</v>
      </c>
      <c r="AB1574" s="115">
        <v>31.35</v>
      </c>
      <c r="AC1574" s="117">
        <v>1.22872</v>
      </c>
      <c r="AD1574" s="117">
        <v>38.198</v>
      </c>
      <c r="AE1574" s="117">
        <v>1.02</v>
      </c>
      <c r="AF1574" s="117">
        <f>(AD1574+AE1574*0.5)/(3.5*I1574*1000)*100</f>
        <v>3.5277284119389379E-2</v>
      </c>
      <c r="AG1574" s="38">
        <f t="shared" si="198"/>
        <v>0</v>
      </c>
      <c r="AH1574" s="260">
        <v>17.850000000000001</v>
      </c>
      <c r="AI1574" s="260">
        <f>AH1574/(3.5*I1574*1000)*100</f>
        <v>1.6267942583732056E-2</v>
      </c>
      <c r="AJ1574" s="260">
        <v>0</v>
      </c>
      <c r="AK1574" s="260">
        <v>0</v>
      </c>
      <c r="AL1574" s="260">
        <v>0</v>
      </c>
      <c r="AM1574" s="260">
        <v>0</v>
      </c>
      <c r="AN1574" s="12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</row>
    <row r="1575" spans="1:88" s="61" customFormat="1">
      <c r="A1575" s="1">
        <v>802</v>
      </c>
      <c r="B1575" s="34" t="s">
        <v>1186</v>
      </c>
      <c r="C1575" s="34">
        <v>635</v>
      </c>
      <c r="D1575" s="8">
        <v>2045</v>
      </c>
      <c r="E1575" s="34">
        <v>100</v>
      </c>
      <c r="F1575" s="34" t="s">
        <v>1194</v>
      </c>
      <c r="G1575" s="58">
        <v>598</v>
      </c>
      <c r="H1575" s="58">
        <v>20200</v>
      </c>
      <c r="I1575" s="35">
        <v>19.602</v>
      </c>
      <c r="J1575" s="9">
        <v>2</v>
      </c>
      <c r="K1575" s="34" t="s">
        <v>238</v>
      </c>
      <c r="L1575" s="10">
        <v>42150</v>
      </c>
      <c r="M1575" s="9" t="s">
        <v>191</v>
      </c>
      <c r="N1575" s="38">
        <v>12.35</v>
      </c>
      <c r="O1575" s="38">
        <v>4.9249999999999998</v>
      </c>
      <c r="P1575" s="38">
        <v>1.75</v>
      </c>
      <c r="Q1575" s="38">
        <v>0.57499999999999996</v>
      </c>
      <c r="R1575" s="38">
        <v>2.7280199999999999</v>
      </c>
      <c r="S1575" s="38">
        <f t="shared" si="196"/>
        <v>2.5</v>
      </c>
      <c r="T1575" s="38">
        <v>18.175000000000001</v>
      </c>
      <c r="U1575" s="38">
        <v>1</v>
      </c>
      <c r="V1575" s="38">
        <v>0.375</v>
      </c>
      <c r="W1575" s="38">
        <v>0.05</v>
      </c>
      <c r="X1575" s="38">
        <v>4.9046500000000002</v>
      </c>
      <c r="Y1575" s="38">
        <f t="shared" si="197"/>
        <v>5</v>
      </c>
      <c r="Z1575" s="38">
        <v>0</v>
      </c>
      <c r="AA1575" s="38">
        <v>0</v>
      </c>
      <c r="AB1575" s="35">
        <v>19.602</v>
      </c>
      <c r="AC1575" s="38">
        <v>1.18329</v>
      </c>
      <c r="AD1575" s="38">
        <v>24</v>
      </c>
      <c r="AE1575" s="38">
        <v>0</v>
      </c>
      <c r="AF1575" s="38">
        <v>3.4979999999999997E-2</v>
      </c>
      <c r="AG1575" s="38">
        <f t="shared" si="198"/>
        <v>0</v>
      </c>
      <c r="AH1575" s="56">
        <v>0</v>
      </c>
      <c r="AI1575" s="56">
        <v>0</v>
      </c>
      <c r="AJ1575" s="56">
        <v>120</v>
      </c>
      <c r="AK1575" s="56">
        <v>0.17490900000000001</v>
      </c>
      <c r="AL1575" s="56">
        <v>0</v>
      </c>
      <c r="AM1575" s="56">
        <v>0</v>
      </c>
      <c r="AN1575" s="25"/>
      <c r="AO1575" s="25">
        <f>AE1575*0.5</f>
        <v>0</v>
      </c>
      <c r="AP1575" s="25">
        <f>(AD1575+AH1575+AJ1575+AL1575+AO1575)*I1575</f>
        <v>2822.6880000000001</v>
      </c>
      <c r="AQ1575" s="136">
        <f>SUM(N1575:Q1575)</f>
        <v>19.599999999999998</v>
      </c>
      <c r="AR1575" s="136">
        <f>SUM(T1575:W1575)</f>
        <v>19.600000000000001</v>
      </c>
      <c r="AS1575" s="22"/>
      <c r="AT1575" s="41"/>
      <c r="AU1575" s="41"/>
      <c r="AV1575" s="41"/>
      <c r="AW1575" s="41"/>
      <c r="AX1575" s="22"/>
      <c r="AY1575" s="22"/>
      <c r="AZ1575" s="22"/>
      <c r="BA1575" s="22"/>
      <c r="BB1575" s="22"/>
      <c r="BC1575" s="22"/>
      <c r="BD1575" s="22"/>
      <c r="BE1575" s="22"/>
      <c r="BF1575" s="22"/>
      <c r="BG1575" s="22"/>
      <c r="BH1575" s="22"/>
      <c r="BI1575" s="22"/>
      <c r="BJ1575" s="22"/>
      <c r="BK1575" s="22"/>
      <c r="BL1575" s="22"/>
      <c r="BM1575" s="22"/>
      <c r="BN1575" s="22"/>
      <c r="BO1575" s="22"/>
      <c r="BP1575" s="22"/>
      <c r="BQ1575" s="22"/>
      <c r="BR1575" s="22"/>
      <c r="BS1575" s="22"/>
      <c r="BT1575" s="22"/>
      <c r="BU1575" s="22"/>
      <c r="BV1575" s="22"/>
      <c r="BW1575" s="22"/>
      <c r="BX1575" s="22"/>
      <c r="BY1575" s="22"/>
      <c r="BZ1575" s="22"/>
      <c r="CA1575" s="22"/>
      <c r="CB1575" s="22"/>
      <c r="CC1575" s="22"/>
      <c r="CD1575" s="22"/>
      <c r="CE1575" s="22"/>
      <c r="CF1575" s="22"/>
      <c r="CG1575" s="22"/>
      <c r="CH1575" s="22"/>
      <c r="CI1575" s="22"/>
      <c r="CJ1575" s="22"/>
    </row>
    <row r="1576" spans="1:88" s="61" customFormat="1">
      <c r="A1576" s="1">
        <v>679</v>
      </c>
      <c r="B1576" s="34" t="s">
        <v>1084</v>
      </c>
      <c r="C1576" s="34">
        <v>624</v>
      </c>
      <c r="D1576" s="34">
        <v>2025</v>
      </c>
      <c r="E1576" s="34">
        <v>100</v>
      </c>
      <c r="F1576" s="34" t="s">
        <v>1089</v>
      </c>
      <c r="G1576" s="58">
        <v>14205</v>
      </c>
      <c r="H1576" s="58">
        <v>0</v>
      </c>
      <c r="I1576" s="35">
        <v>14.205</v>
      </c>
      <c r="J1576" s="127">
        <v>2</v>
      </c>
      <c r="K1576" s="34" t="s">
        <v>12</v>
      </c>
      <c r="L1576" s="10">
        <v>42171</v>
      </c>
      <c r="M1576" s="9" t="s">
        <v>191</v>
      </c>
      <c r="N1576" s="38">
        <v>8.7750000000000004</v>
      </c>
      <c r="O1576" s="38">
        <v>3.9</v>
      </c>
      <c r="P1576" s="38">
        <v>1.075</v>
      </c>
      <c r="Q1576" s="38">
        <v>0.375</v>
      </c>
      <c r="R1576" s="38">
        <v>2.4841600000000001</v>
      </c>
      <c r="S1576" s="38">
        <f t="shared" si="196"/>
        <v>2.5</v>
      </c>
      <c r="T1576" s="38">
        <v>13.775</v>
      </c>
      <c r="U1576" s="38">
        <v>0.32500000000000001</v>
      </c>
      <c r="V1576" s="38">
        <v>2.5000000000000001E-2</v>
      </c>
      <c r="W1576" s="38">
        <v>0</v>
      </c>
      <c r="X1576" s="38">
        <v>4.3091299999999997</v>
      </c>
      <c r="Y1576" s="38">
        <f t="shared" si="197"/>
        <v>4.5</v>
      </c>
      <c r="Z1576" s="38">
        <v>0</v>
      </c>
      <c r="AA1576" s="38">
        <v>0</v>
      </c>
      <c r="AB1576" s="38">
        <f>N1576+O1576+P1576+Q1576</f>
        <v>14.125</v>
      </c>
      <c r="AC1576" s="38">
        <v>1.14808</v>
      </c>
      <c r="AD1576" s="38">
        <v>8.9</v>
      </c>
      <c r="AE1576" s="38">
        <v>16.43</v>
      </c>
      <c r="AF1576" s="38">
        <v>3.4419999999999999E-2</v>
      </c>
      <c r="AG1576" s="38">
        <f t="shared" si="198"/>
        <v>0</v>
      </c>
      <c r="AH1576" s="56">
        <v>11.46</v>
      </c>
      <c r="AI1576" s="56">
        <v>2.3050000000000001E-2</v>
      </c>
      <c r="AJ1576" s="56">
        <v>0</v>
      </c>
      <c r="AK1576" s="56">
        <v>0</v>
      </c>
      <c r="AL1576" s="56">
        <v>20.32</v>
      </c>
      <c r="AM1576" s="56">
        <v>4.0869999999999997E-2</v>
      </c>
      <c r="AN1576" s="25"/>
      <c r="AO1576" s="25">
        <f>AE1576*0.5</f>
        <v>8.2149999999999999</v>
      </c>
      <c r="AP1576" s="25">
        <f>(AD1576+AH1576+AJ1576+AL1576+AO1576)*I1576</f>
        <v>694.55347499999993</v>
      </c>
      <c r="AQ1576" s="25">
        <f>SUM(N1576:Q1576)</f>
        <v>14.125</v>
      </c>
      <c r="AR1576" s="25">
        <f>SUM(T1576:W1576)</f>
        <v>14.125</v>
      </c>
      <c r="AS1576" s="22"/>
      <c r="AT1576" s="41"/>
      <c r="AU1576" s="41"/>
      <c r="AV1576" s="41"/>
      <c r="AW1576" s="41"/>
      <c r="AX1576" s="22"/>
      <c r="AY1576" s="22"/>
      <c r="AZ1576" s="22"/>
      <c r="BA1576" s="22"/>
      <c r="BB1576" s="22"/>
      <c r="BC1576" s="22"/>
      <c r="BD1576" s="22"/>
      <c r="BE1576" s="22"/>
      <c r="BF1576" s="22"/>
      <c r="BG1576" s="22"/>
      <c r="BH1576" s="22"/>
      <c r="BI1576" s="22"/>
      <c r="BJ1576" s="22"/>
      <c r="BK1576" s="22"/>
      <c r="BL1576" s="22"/>
      <c r="BM1576" s="22"/>
      <c r="BN1576" s="22"/>
      <c r="BO1576" s="22"/>
      <c r="BP1576" s="22"/>
      <c r="BQ1576" s="22"/>
      <c r="BR1576" s="22"/>
      <c r="BS1576" s="22"/>
      <c r="BT1576" s="22"/>
      <c r="BU1576" s="22"/>
      <c r="BV1576" s="22"/>
      <c r="BW1576" s="22"/>
      <c r="BX1576" s="22"/>
      <c r="BY1576" s="22"/>
      <c r="BZ1576" s="22"/>
      <c r="CA1576" s="22"/>
      <c r="CB1576" s="22"/>
      <c r="CC1576" s="22"/>
      <c r="CD1576" s="22"/>
      <c r="CE1576" s="22"/>
      <c r="CF1576" s="22"/>
      <c r="CG1576" s="22"/>
      <c r="CH1576" s="22"/>
      <c r="CI1576" s="22"/>
      <c r="CJ1576" s="22"/>
    </row>
    <row r="1577" spans="1:88" s="61" customFormat="1">
      <c r="A1577" s="1">
        <v>363</v>
      </c>
      <c r="B1577" s="71" t="s">
        <v>602</v>
      </c>
      <c r="C1577" s="78">
        <v>514</v>
      </c>
      <c r="D1577" s="79">
        <v>105</v>
      </c>
      <c r="E1577" s="80">
        <v>102</v>
      </c>
      <c r="F1577" s="78" t="s">
        <v>605</v>
      </c>
      <c r="G1577" s="81" t="s">
        <v>604</v>
      </c>
      <c r="H1577" s="81" t="s">
        <v>345</v>
      </c>
      <c r="I1577" s="78">
        <v>94.784999999999997</v>
      </c>
      <c r="J1577" s="78">
        <v>2</v>
      </c>
      <c r="K1577" s="78" t="s">
        <v>238</v>
      </c>
      <c r="L1577" s="82">
        <v>42255</v>
      </c>
      <c r="M1577" s="71" t="s">
        <v>191</v>
      </c>
      <c r="N1577" s="83">
        <v>43.45</v>
      </c>
      <c r="O1577" s="83">
        <v>30.55</v>
      </c>
      <c r="P1577" s="83">
        <v>15.925000000000001</v>
      </c>
      <c r="Q1577" s="83">
        <v>4.875</v>
      </c>
      <c r="R1577" s="83">
        <v>2.8140000000000001</v>
      </c>
      <c r="S1577" s="38">
        <f t="shared" si="196"/>
        <v>3</v>
      </c>
      <c r="T1577" s="83">
        <v>93.55</v>
      </c>
      <c r="U1577" s="83">
        <v>1.0249999999999999</v>
      </c>
      <c r="V1577" s="83">
        <v>0.05</v>
      </c>
      <c r="W1577" s="83">
        <v>0</v>
      </c>
      <c r="X1577" s="83">
        <v>2.8929999999999998</v>
      </c>
      <c r="Y1577" s="38">
        <f t="shared" si="197"/>
        <v>3</v>
      </c>
      <c r="Z1577" s="83">
        <v>0</v>
      </c>
      <c r="AA1577" s="83">
        <v>0</v>
      </c>
      <c r="AB1577" s="83">
        <v>94.8</v>
      </c>
      <c r="AC1577" s="83">
        <v>1.125</v>
      </c>
      <c r="AD1577" s="83">
        <v>53.31</v>
      </c>
      <c r="AE1577" s="83">
        <v>121.2</v>
      </c>
      <c r="AF1577" s="83">
        <f>(AD1577+AE1577*0.5)/(3.5*I1577*1000)*100</f>
        <v>3.433635520991115E-2</v>
      </c>
      <c r="AG1577" s="38">
        <f t="shared" si="198"/>
        <v>0</v>
      </c>
      <c r="AH1577" s="261">
        <v>0</v>
      </c>
      <c r="AI1577" s="261">
        <f>AH1577/(3.5*I1577*1000)*100</f>
        <v>0</v>
      </c>
      <c r="AJ1577" s="261">
        <v>12.23</v>
      </c>
      <c r="AK1577" s="261">
        <f>AJ1577/(3.5*I1577*1000)*100</f>
        <v>3.6865387079028479E-3</v>
      </c>
      <c r="AL1577" s="261">
        <v>0</v>
      </c>
      <c r="AM1577" s="261">
        <f>AL1577/(3.5*I1577*1000)*100</f>
        <v>0</v>
      </c>
      <c r="AN1577" s="84"/>
      <c r="AO1577" s="41"/>
      <c r="AP1577" s="41"/>
      <c r="AQ1577" s="85"/>
      <c r="AR1577" s="86"/>
      <c r="AS1577" s="86"/>
      <c r="AT1577" s="86"/>
      <c r="AU1577" s="86"/>
      <c r="AV1577" s="86"/>
      <c r="AW1577" s="86"/>
      <c r="AX1577" s="86"/>
      <c r="AY1577" s="86"/>
      <c r="AZ1577" s="86"/>
      <c r="BA1577" s="86"/>
      <c r="BB1577" s="86"/>
      <c r="BC1577" s="86"/>
      <c r="BD1577" s="86"/>
      <c r="BE1577" s="86"/>
      <c r="BF1577" s="86"/>
      <c r="BG1577" s="86"/>
      <c r="BH1577" s="86"/>
      <c r="BI1577" s="86"/>
      <c r="BJ1577" s="86"/>
      <c r="BK1577" s="86"/>
      <c r="BL1577" s="86"/>
      <c r="BM1577" s="86"/>
      <c r="BN1577" s="86"/>
      <c r="BO1577" s="86"/>
      <c r="BP1577" s="86"/>
      <c r="BQ1577" s="86"/>
      <c r="BR1577" s="86"/>
      <c r="BS1577" s="86"/>
      <c r="BT1577" s="86"/>
      <c r="BU1577" s="86"/>
      <c r="BV1577" s="86"/>
      <c r="BW1577" s="86"/>
      <c r="BX1577" s="86"/>
      <c r="BY1577" s="86"/>
      <c r="BZ1577" s="86"/>
      <c r="CA1577" s="86"/>
      <c r="CB1577" s="86"/>
      <c r="CC1577" s="86"/>
      <c r="CD1577" s="86"/>
      <c r="CE1577" s="86"/>
      <c r="CF1577" s="86"/>
      <c r="CG1577" s="86"/>
      <c r="CH1577" s="86"/>
      <c r="CI1577" s="86"/>
      <c r="CJ1577" s="86"/>
    </row>
    <row r="1578" spans="1:88" s="61" customFormat="1">
      <c r="A1578" s="1">
        <v>2171</v>
      </c>
      <c r="B1578" s="34" t="s">
        <v>2798</v>
      </c>
      <c r="C1578" s="34">
        <v>311</v>
      </c>
      <c r="D1578" s="75">
        <v>414</v>
      </c>
      <c r="E1578" s="8">
        <v>102</v>
      </c>
      <c r="F1578" s="9" t="s">
        <v>2807</v>
      </c>
      <c r="G1578" s="20" t="s">
        <v>2809</v>
      </c>
      <c r="H1578" s="20" t="s">
        <v>2812</v>
      </c>
      <c r="I1578" s="21">
        <v>5.59</v>
      </c>
      <c r="J1578" s="8">
        <v>8</v>
      </c>
      <c r="K1578" s="8" t="s">
        <v>237</v>
      </c>
      <c r="L1578" s="18">
        <v>42147</v>
      </c>
      <c r="M1578" s="9" t="s">
        <v>191</v>
      </c>
      <c r="N1578" s="38">
        <v>2.9249999999999998</v>
      </c>
      <c r="O1578" s="38">
        <v>1.4750000000000001</v>
      </c>
      <c r="P1578" s="38">
        <v>0.6</v>
      </c>
      <c r="Q1578" s="38">
        <v>0.47499999999999998</v>
      </c>
      <c r="R1578" s="38">
        <v>2.8374899999999998</v>
      </c>
      <c r="S1578" s="38">
        <f t="shared" si="196"/>
        <v>3</v>
      </c>
      <c r="T1578" s="38">
        <v>4.9249999999999998</v>
      </c>
      <c r="U1578" s="38">
        <v>0.27500000000000002</v>
      </c>
      <c r="V1578" s="38">
        <v>0.2</v>
      </c>
      <c r="W1578" s="38">
        <v>7.4999999999999997E-2</v>
      </c>
      <c r="X1578" s="38">
        <v>5.3669000000000002</v>
      </c>
      <c r="Y1578" s="38">
        <f t="shared" si="197"/>
        <v>5.5</v>
      </c>
      <c r="Z1578" s="38">
        <v>0</v>
      </c>
      <c r="AA1578" s="38">
        <v>0</v>
      </c>
      <c r="AB1578" s="38">
        <v>5.4749999999999996</v>
      </c>
      <c r="AC1578" s="38">
        <v>1.08284</v>
      </c>
      <c r="AD1578" s="38">
        <v>5.7</v>
      </c>
      <c r="AE1578" s="38">
        <v>2.0099999999999998</v>
      </c>
      <c r="AF1578" s="38">
        <f>(AD1578+AE1578*0.5)/(3.5*I1578*1000)*100</f>
        <v>3.4270380782008697E-2</v>
      </c>
      <c r="AG1578" s="38">
        <f t="shared" si="198"/>
        <v>0</v>
      </c>
      <c r="AH1578" s="56">
        <v>14.2</v>
      </c>
      <c r="AI1578" s="56">
        <f>AH1578/(3.5*I1578*1000)*100</f>
        <v>7.2578584206491187E-2</v>
      </c>
      <c r="AJ1578" s="56">
        <v>0.88</v>
      </c>
      <c r="AK1578" s="56">
        <f>AJ1578/(3.5*I1578*1000)*100</f>
        <v>4.4978277536417083E-3</v>
      </c>
      <c r="AL1578" s="56">
        <v>0</v>
      </c>
      <c r="AM1578" s="56">
        <f>AL1578/(3.5*I1578*1000)*100</f>
        <v>0</v>
      </c>
      <c r="AN1578" s="72"/>
      <c r="AO1578" s="41"/>
      <c r="AP1578" s="41"/>
      <c r="AQ1578" s="41">
        <f>SUM(N1578:Q1578)</f>
        <v>5.4749999999999996</v>
      </c>
      <c r="AR1578" s="41">
        <f>SUM(T1578:W1578)</f>
        <v>5.4750000000000005</v>
      </c>
      <c r="AS1578" s="12">
        <f>SUM(Z1578:AB1578)</f>
        <v>5.4749999999999996</v>
      </c>
      <c r="AT1578" s="1"/>
      <c r="AU1578" s="1">
        <f>I1578/AQ1578</f>
        <v>1.0210045662100458</v>
      </c>
      <c r="AV1578" s="1">
        <f>I1578/AR1578</f>
        <v>1.0210045662100455</v>
      </c>
      <c r="AW1578" s="1">
        <f>I1578/AS1578</f>
        <v>1.0210045662100458</v>
      </c>
      <c r="AX1578" s="22"/>
      <c r="AY1578" s="22"/>
      <c r="AZ1578" s="22"/>
      <c r="BA1578" s="22"/>
      <c r="BB1578" s="22"/>
      <c r="BC1578" s="22"/>
      <c r="BD1578" s="22"/>
      <c r="BE1578" s="22"/>
      <c r="BF1578" s="22"/>
      <c r="BG1578" s="22"/>
      <c r="BH1578" s="22"/>
      <c r="BI1578" s="22"/>
      <c r="BJ1578" s="22"/>
      <c r="BK1578" s="22"/>
      <c r="BL1578" s="22"/>
      <c r="BM1578" s="22"/>
      <c r="BN1578" s="22"/>
      <c r="BO1578" s="22"/>
      <c r="BP1578" s="22"/>
      <c r="BQ1578" s="22"/>
      <c r="BR1578" s="22"/>
      <c r="BS1578" s="22"/>
      <c r="BT1578" s="22"/>
      <c r="BU1578" s="22"/>
      <c r="BV1578" s="22"/>
      <c r="BW1578" s="22"/>
      <c r="BX1578" s="22"/>
      <c r="BY1578" s="22"/>
      <c r="BZ1578" s="22"/>
      <c r="CA1578" s="22"/>
      <c r="CB1578" s="22"/>
      <c r="CC1578" s="22"/>
      <c r="CD1578" s="22"/>
      <c r="CE1578" s="22"/>
      <c r="CF1578" s="22"/>
      <c r="CG1578" s="22"/>
      <c r="CH1578" s="22"/>
      <c r="CI1578" s="22"/>
      <c r="CJ1578" s="22"/>
    </row>
    <row r="1579" spans="1:88" s="61" customFormat="1">
      <c r="A1579" s="1">
        <v>902</v>
      </c>
      <c r="B1579" s="34" t="s">
        <v>1285</v>
      </c>
      <c r="C1579" s="34">
        <v>634</v>
      </c>
      <c r="D1579" s="162">
        <v>2210</v>
      </c>
      <c r="E1579" s="34">
        <v>100</v>
      </c>
      <c r="F1579" s="34" t="s">
        <v>1296</v>
      </c>
      <c r="G1579" s="58">
        <v>0</v>
      </c>
      <c r="H1579" s="58">
        <v>37425</v>
      </c>
      <c r="I1579" s="35">
        <v>37.424999999999997</v>
      </c>
      <c r="J1579" s="9">
        <v>2</v>
      </c>
      <c r="K1579" s="34" t="s">
        <v>238</v>
      </c>
      <c r="L1579" s="10">
        <v>42146</v>
      </c>
      <c r="M1579" s="9" t="s">
        <v>191</v>
      </c>
      <c r="N1579" s="38">
        <v>9.7249999999999996</v>
      </c>
      <c r="O1579" s="38">
        <v>5.95</v>
      </c>
      <c r="P1579" s="38">
        <v>6.125</v>
      </c>
      <c r="Q1579" s="38">
        <v>15.625</v>
      </c>
      <c r="R1579" s="38">
        <v>3.85</v>
      </c>
      <c r="S1579" s="38">
        <f t="shared" si="196"/>
        <v>4</v>
      </c>
      <c r="T1579" s="38">
        <v>35.424999999999997</v>
      </c>
      <c r="U1579" s="38">
        <v>1.7</v>
      </c>
      <c r="V1579" s="38">
        <v>0.3</v>
      </c>
      <c r="W1579" s="38">
        <v>0</v>
      </c>
      <c r="X1579" s="38">
        <v>5.2023000000000001</v>
      </c>
      <c r="Y1579" s="38">
        <f t="shared" si="197"/>
        <v>5</v>
      </c>
      <c r="Z1579" s="38">
        <v>0</v>
      </c>
      <c r="AA1579" s="38">
        <v>0</v>
      </c>
      <c r="AB1579" s="38">
        <f>N1579+O1579+P1579+Q1579</f>
        <v>37.424999999999997</v>
      </c>
      <c r="AC1579" s="38">
        <v>1.4810000000000001</v>
      </c>
      <c r="AD1579" s="38">
        <v>44.49</v>
      </c>
      <c r="AE1579" s="38">
        <v>0.72</v>
      </c>
      <c r="AF1579" s="38">
        <v>3.424E-2</v>
      </c>
      <c r="AG1579" s="38">
        <f t="shared" si="198"/>
        <v>0</v>
      </c>
      <c r="AH1579" s="56">
        <v>7.03</v>
      </c>
      <c r="AI1579" s="56">
        <v>5.3699999999999998E-3</v>
      </c>
      <c r="AJ1579" s="56">
        <v>178.88</v>
      </c>
      <c r="AK1579" s="56">
        <v>0.13656299999999999</v>
      </c>
      <c r="AL1579" s="56">
        <v>0</v>
      </c>
      <c r="AM1579" s="56">
        <v>0</v>
      </c>
      <c r="AN1579" s="25"/>
      <c r="AO1579" s="25">
        <f>AE1579*0.5</f>
        <v>0.36</v>
      </c>
      <c r="AP1579" s="25">
        <f>(AD1579+AH1579+AJ1579+AL1579+AO1579)*I1579</f>
        <v>8636.1929999999993</v>
      </c>
      <c r="AQ1579" s="25">
        <f>SUM(N1579:Q1579)</f>
        <v>37.424999999999997</v>
      </c>
      <c r="AR1579" s="25">
        <f>SUM(T1579:W1579)</f>
        <v>37.424999999999997</v>
      </c>
      <c r="AS1579" s="22"/>
      <c r="AT1579" s="41"/>
      <c r="AU1579" s="41"/>
      <c r="AV1579" s="41"/>
      <c r="AW1579" s="41"/>
      <c r="AX1579" s="22"/>
      <c r="AY1579" s="22"/>
      <c r="AZ1579" s="22"/>
      <c r="BA1579" s="22"/>
      <c r="BB1579" s="22"/>
      <c r="BC1579" s="22"/>
      <c r="BD1579" s="22"/>
      <c r="BE1579" s="22"/>
      <c r="BF1579" s="22"/>
      <c r="BG1579" s="22"/>
      <c r="BH1579" s="22"/>
      <c r="BI1579" s="22"/>
      <c r="BJ1579" s="22"/>
      <c r="BK1579" s="22"/>
      <c r="BL1579" s="22"/>
      <c r="BM1579" s="22"/>
      <c r="BN1579" s="22"/>
      <c r="BO1579" s="22"/>
      <c r="BP1579" s="22"/>
      <c r="BQ1579" s="22"/>
      <c r="BR1579" s="22"/>
      <c r="BS1579" s="22"/>
      <c r="BT1579" s="22"/>
      <c r="BU1579" s="22"/>
      <c r="BV1579" s="22"/>
      <c r="BW1579" s="22"/>
      <c r="BX1579" s="22"/>
      <c r="BY1579" s="22"/>
      <c r="BZ1579" s="22"/>
      <c r="CA1579" s="22"/>
      <c r="CB1579" s="22"/>
      <c r="CC1579" s="22"/>
      <c r="CD1579" s="22"/>
      <c r="CE1579" s="22"/>
      <c r="CF1579" s="22"/>
      <c r="CG1579" s="22"/>
      <c r="CH1579" s="22"/>
      <c r="CI1579" s="22"/>
      <c r="CJ1579" s="22"/>
    </row>
    <row r="1580" spans="1:88" s="61" customFormat="1">
      <c r="A1580" s="1">
        <v>949</v>
      </c>
      <c r="B1580" s="34" t="s">
        <v>1329</v>
      </c>
      <c r="C1580" s="34">
        <v>611</v>
      </c>
      <c r="D1580" s="161">
        <v>2160</v>
      </c>
      <c r="E1580" s="34">
        <v>100</v>
      </c>
      <c r="F1580" s="34" t="s">
        <v>1348</v>
      </c>
      <c r="G1580" s="58">
        <v>0</v>
      </c>
      <c r="H1580" s="58">
        <v>32463</v>
      </c>
      <c r="I1580" s="35">
        <v>32.463000000000001</v>
      </c>
      <c r="J1580" s="71">
        <v>2</v>
      </c>
      <c r="K1580" s="34" t="s">
        <v>238</v>
      </c>
      <c r="L1580" s="10">
        <v>42118</v>
      </c>
      <c r="M1580" s="9" t="s">
        <v>191</v>
      </c>
      <c r="N1580" s="38">
        <v>19.649999999999999</v>
      </c>
      <c r="O1580" s="38">
        <v>7.9249999999999998</v>
      </c>
      <c r="P1580" s="38">
        <v>3.875</v>
      </c>
      <c r="Q1580" s="38">
        <v>1.2749999999999999</v>
      </c>
      <c r="R1580" s="38">
        <v>2.3038400000000001</v>
      </c>
      <c r="S1580" s="38">
        <f t="shared" si="196"/>
        <v>2.5</v>
      </c>
      <c r="T1580" s="38">
        <v>31.8</v>
      </c>
      <c r="U1580" s="38">
        <v>0.7</v>
      </c>
      <c r="V1580" s="38">
        <v>0.2</v>
      </c>
      <c r="W1580" s="38">
        <v>2.5000000000000001E-2</v>
      </c>
      <c r="X1580" s="38">
        <v>3.6817799999999998</v>
      </c>
      <c r="Y1580" s="38">
        <f t="shared" si="197"/>
        <v>3.5</v>
      </c>
      <c r="Z1580" s="38">
        <v>0</v>
      </c>
      <c r="AA1580" s="38">
        <v>0</v>
      </c>
      <c r="AB1580" s="38">
        <v>32.463000000000001</v>
      </c>
      <c r="AC1580" s="38">
        <v>1.3132200000000001</v>
      </c>
      <c r="AD1580" s="38">
        <v>38.83</v>
      </c>
      <c r="AE1580" s="38">
        <v>0</v>
      </c>
      <c r="AF1580" s="38">
        <f>(AD1580+AE1580*0.5)/(3.5*I1580*1000)*100</f>
        <v>3.4175170853851196E-2</v>
      </c>
      <c r="AG1580" s="38">
        <f t="shared" si="198"/>
        <v>0</v>
      </c>
      <c r="AH1580" s="56">
        <v>0</v>
      </c>
      <c r="AI1580" s="56">
        <f>AH1580/(3.5*I1580*1000)*100</f>
        <v>0</v>
      </c>
      <c r="AJ1580" s="56">
        <v>0</v>
      </c>
      <c r="AK1580" s="56">
        <f>AJ1580/(3.5*I1580*1000)*100</f>
        <v>0</v>
      </c>
      <c r="AL1580" s="56">
        <v>0</v>
      </c>
      <c r="AM1580" s="56">
        <f>AL1580/(3.5*I1580*1000)*100</f>
        <v>0</v>
      </c>
      <c r="AN1580" s="25"/>
      <c r="AO1580" s="25">
        <f>AE1580*0.5</f>
        <v>0</v>
      </c>
      <c r="AP1580" s="25">
        <f>(AD1580+AH1580+AJ1580+AL1580+AO1580)*I1580</f>
        <v>1260.53829</v>
      </c>
      <c r="AQ1580" s="25"/>
      <c r="AR1580" s="25">
        <f>SUM(N1580:Q1580)</f>
        <v>32.725000000000001</v>
      </c>
      <c r="AS1580" s="25">
        <f>SUM(T1580:W1580)</f>
        <v>32.725000000000001</v>
      </c>
      <c r="AT1580" s="268">
        <v>32.463000000000001</v>
      </c>
      <c r="AU1580" s="41"/>
      <c r="AV1580" s="41"/>
      <c r="AW1580" s="41"/>
      <c r="AX1580" s="22"/>
      <c r="AY1580" s="22"/>
      <c r="AZ1580" s="22"/>
      <c r="BA1580" s="22"/>
      <c r="BB1580" s="22"/>
      <c r="BC1580" s="22"/>
      <c r="BD1580" s="22"/>
      <c r="BE1580" s="22"/>
      <c r="BF1580" s="22"/>
      <c r="BG1580" s="22"/>
      <c r="BH1580" s="22"/>
      <c r="BI1580" s="22"/>
      <c r="BJ1580" s="22"/>
      <c r="BK1580" s="22"/>
      <c r="BL1580" s="22"/>
      <c r="BM1580" s="22"/>
      <c r="BN1580" s="22"/>
      <c r="BO1580" s="22"/>
      <c r="BP1580" s="22"/>
      <c r="BQ1580" s="22"/>
      <c r="BR1580" s="22"/>
      <c r="BS1580" s="22"/>
      <c r="BT1580" s="22"/>
      <c r="BU1580" s="22"/>
      <c r="BV1580" s="22"/>
      <c r="BW1580" s="22"/>
      <c r="BX1580" s="22"/>
      <c r="BY1580" s="22"/>
      <c r="BZ1580" s="22"/>
      <c r="CA1580" s="22"/>
      <c r="CB1580" s="22"/>
      <c r="CC1580" s="22"/>
      <c r="CD1580" s="22"/>
      <c r="CE1580" s="22"/>
      <c r="CF1580" s="22"/>
      <c r="CG1580" s="22"/>
      <c r="CH1580" s="22"/>
      <c r="CI1580" s="22"/>
      <c r="CJ1580" s="22"/>
    </row>
    <row r="1581" spans="1:88" s="61" customFormat="1">
      <c r="A1581" s="1">
        <v>1751</v>
      </c>
      <c r="B1581" s="34" t="s">
        <v>2324</v>
      </c>
      <c r="C1581" s="34">
        <v>423</v>
      </c>
      <c r="D1581" s="8">
        <v>3587</v>
      </c>
      <c r="E1581" s="34">
        <v>100</v>
      </c>
      <c r="F1581" s="34" t="s">
        <v>2347</v>
      </c>
      <c r="G1581" s="58">
        <v>0</v>
      </c>
      <c r="H1581" s="58">
        <v>3372</v>
      </c>
      <c r="I1581" s="35">
        <v>3.3719999999999999</v>
      </c>
      <c r="J1581" s="9">
        <v>2</v>
      </c>
      <c r="K1581" s="34" t="s">
        <v>12</v>
      </c>
      <c r="L1581" s="10">
        <v>42235</v>
      </c>
      <c r="M1581" s="9" t="s">
        <v>191</v>
      </c>
      <c r="N1581" s="38">
        <v>2.75</v>
      </c>
      <c r="O1581" s="38">
        <v>0.47499999999999998</v>
      </c>
      <c r="P1581" s="38">
        <v>0.2</v>
      </c>
      <c r="Q1581" s="38">
        <v>7.4999999999999997E-2</v>
      </c>
      <c r="R1581" s="38">
        <v>2.161</v>
      </c>
      <c r="S1581" s="38">
        <f t="shared" si="196"/>
        <v>2</v>
      </c>
      <c r="T1581" s="38">
        <v>3.4750000000000001</v>
      </c>
      <c r="U1581" s="38">
        <v>2.5000000000000001E-2</v>
      </c>
      <c r="V1581" s="38">
        <v>0</v>
      </c>
      <c r="W1581" s="38">
        <v>0</v>
      </c>
      <c r="X1581" s="38">
        <v>2.891</v>
      </c>
      <c r="Y1581" s="38">
        <f t="shared" si="197"/>
        <v>3</v>
      </c>
      <c r="Z1581" s="38">
        <v>0</v>
      </c>
      <c r="AA1581" s="117">
        <v>0</v>
      </c>
      <c r="AB1581" s="35">
        <v>3.3719999999999999</v>
      </c>
      <c r="AC1581" s="38">
        <v>1.385</v>
      </c>
      <c r="AD1581" s="38">
        <v>3.4569999999999999</v>
      </c>
      <c r="AE1581" s="38">
        <v>1.0900000000000001</v>
      </c>
      <c r="AF1581" s="38">
        <f>(AD1581+AE1581*0.5)/(3.5*I1581*1000)*100</f>
        <v>3.3909506863243517E-2</v>
      </c>
      <c r="AG1581" s="38">
        <f t="shared" si="198"/>
        <v>0</v>
      </c>
      <c r="AH1581" s="56">
        <v>0</v>
      </c>
      <c r="AI1581" s="56">
        <f>AH1581/(3.5*I1581*1000)*100</f>
        <v>0</v>
      </c>
      <c r="AJ1581" s="56">
        <v>0</v>
      </c>
      <c r="AK1581" s="56">
        <f>AJ1581/(3.5*I1581*1000)*100</f>
        <v>0</v>
      </c>
      <c r="AL1581" s="56">
        <v>0</v>
      </c>
      <c r="AM1581" s="56">
        <v>0</v>
      </c>
      <c r="AN1581" s="25"/>
      <c r="AO1581" s="12">
        <f>AE1581*0.5</f>
        <v>0.54500000000000004</v>
      </c>
      <c r="AP1581" s="12">
        <f>(AD1581+AH1581+AJ1581+AL1581+AO1581)*I1581</f>
        <v>13.494743999999999</v>
      </c>
      <c r="AQ1581" s="25">
        <f>SUM(N1581:Q1581)</f>
        <v>3.5000000000000004</v>
      </c>
      <c r="AR1581" s="25">
        <f>SUM(T1581:W1581)</f>
        <v>3.5</v>
      </c>
      <c r="AS1581" s="22"/>
      <c r="AT1581" s="41"/>
      <c r="AU1581" s="41"/>
      <c r="AV1581" s="41"/>
      <c r="AW1581" s="41"/>
      <c r="AX1581" s="22"/>
      <c r="AY1581" s="22"/>
      <c r="AZ1581" s="22"/>
      <c r="BA1581" s="22"/>
      <c r="BB1581" s="22"/>
      <c r="BC1581" s="22"/>
      <c r="BD1581" s="22"/>
      <c r="BE1581" s="22"/>
      <c r="BF1581" s="22"/>
      <c r="BG1581" s="22"/>
      <c r="BH1581" s="22"/>
      <c r="BI1581" s="22"/>
      <c r="BJ1581" s="22"/>
      <c r="BK1581" s="22"/>
      <c r="BL1581" s="22"/>
      <c r="BM1581" s="22"/>
      <c r="BN1581" s="22"/>
      <c r="BO1581" s="22"/>
      <c r="BP1581" s="22"/>
      <c r="BQ1581" s="22"/>
      <c r="BR1581" s="22"/>
      <c r="BS1581" s="22"/>
      <c r="BT1581" s="22"/>
      <c r="BU1581" s="22"/>
      <c r="BV1581" s="22"/>
      <c r="BW1581" s="22"/>
      <c r="BX1581" s="22"/>
      <c r="BY1581" s="22"/>
      <c r="BZ1581" s="22"/>
      <c r="CA1581" s="22"/>
      <c r="CB1581" s="22"/>
      <c r="CC1581" s="22"/>
      <c r="CD1581" s="22"/>
      <c r="CE1581" s="22"/>
      <c r="CF1581" s="22"/>
      <c r="CG1581" s="22"/>
      <c r="CH1581" s="22"/>
      <c r="CI1581" s="22"/>
      <c r="CJ1581" s="22"/>
    </row>
    <row r="1582" spans="1:88" s="61" customFormat="1">
      <c r="A1582" s="1">
        <v>2167</v>
      </c>
      <c r="B1582" s="34" t="s">
        <v>2798</v>
      </c>
      <c r="C1582" s="34">
        <v>311</v>
      </c>
      <c r="D1582" s="75">
        <v>414</v>
      </c>
      <c r="E1582" s="8">
        <v>101</v>
      </c>
      <c r="F1582" s="9" t="s">
        <v>2806</v>
      </c>
      <c r="G1582" s="20">
        <v>0</v>
      </c>
      <c r="H1582" s="20">
        <v>2550</v>
      </c>
      <c r="I1582" s="21">
        <v>2.5499999999999998</v>
      </c>
      <c r="J1582" s="8">
        <v>4</v>
      </c>
      <c r="K1582" s="8" t="s">
        <v>237</v>
      </c>
      <c r="L1582" s="18">
        <v>42147</v>
      </c>
      <c r="M1582" s="9" t="s">
        <v>191</v>
      </c>
      <c r="N1582" s="38">
        <v>1.24</v>
      </c>
      <c r="O1582" s="38">
        <v>0.89</v>
      </c>
      <c r="P1582" s="38">
        <v>0.38</v>
      </c>
      <c r="Q1582" s="38">
        <v>7.0000000000000007E-2</v>
      </c>
      <c r="R1582" s="38">
        <v>2.6617299999999999</v>
      </c>
      <c r="S1582" s="38">
        <f t="shared" si="196"/>
        <v>2.5</v>
      </c>
      <c r="T1582" s="38">
        <v>2.56</v>
      </c>
      <c r="U1582" s="38">
        <v>0</v>
      </c>
      <c r="V1582" s="38">
        <v>0</v>
      </c>
      <c r="W1582" s="38">
        <v>0</v>
      </c>
      <c r="X1582" s="38">
        <v>2.8244600000000002</v>
      </c>
      <c r="Y1582" s="38">
        <f t="shared" si="197"/>
        <v>3</v>
      </c>
      <c r="Z1582" s="38">
        <v>0</v>
      </c>
      <c r="AA1582" s="38">
        <v>0</v>
      </c>
      <c r="AB1582" s="38">
        <v>2.56</v>
      </c>
      <c r="AC1582" s="38">
        <v>1.2559</v>
      </c>
      <c r="AD1582" s="38">
        <v>0.77</v>
      </c>
      <c r="AE1582" s="38">
        <v>4.47</v>
      </c>
      <c r="AF1582" s="38">
        <f>(AD1582+AE1582*0.5)/(3.5*I1582*1000)*100</f>
        <v>3.3669467787114847E-2</v>
      </c>
      <c r="AG1582" s="38">
        <f t="shared" si="198"/>
        <v>0</v>
      </c>
      <c r="AH1582" s="56">
        <v>2.1</v>
      </c>
      <c r="AI1582" s="56">
        <f>AH1582/(3.5*I1582*1000)*100</f>
        <v>2.3529411764705889E-2</v>
      </c>
      <c r="AJ1582" s="56">
        <v>0</v>
      </c>
      <c r="AK1582" s="56">
        <f>AJ1582/(3.5*I1582*1000)*100</f>
        <v>0</v>
      </c>
      <c r="AL1582" s="56">
        <v>0</v>
      </c>
      <c r="AM1582" s="56">
        <f>AL1582/(3.5*I1582*1000)*100</f>
        <v>0</v>
      </c>
      <c r="AN1582" s="72"/>
      <c r="AO1582" s="41"/>
      <c r="AP1582" s="41"/>
      <c r="AQ1582" s="41">
        <f>SUM(N1582:Q1582)</f>
        <v>2.5799999999999996</v>
      </c>
      <c r="AR1582" s="41">
        <f>SUM(T1582:W1582)</f>
        <v>2.56</v>
      </c>
      <c r="AS1582" s="12">
        <f>SUM(Z1582:AB1582)</f>
        <v>2.56</v>
      </c>
      <c r="AT1582" s="1"/>
      <c r="AU1582" s="1">
        <f>I1582/AQ1582</f>
        <v>0.9883720930232559</v>
      </c>
      <c r="AV1582" s="1">
        <f>I1582/AR1582</f>
        <v>0.99609374999999989</v>
      </c>
      <c r="AW1582" s="1">
        <f>I1582/AS1582</f>
        <v>0.99609374999999989</v>
      </c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</row>
    <row r="1583" spans="1:88" s="61" customFormat="1">
      <c r="A1583" s="1">
        <v>587</v>
      </c>
      <c r="B1583" s="34" t="s">
        <v>976</v>
      </c>
      <c r="C1583" s="34">
        <v>552</v>
      </c>
      <c r="D1583" s="34">
        <v>2275</v>
      </c>
      <c r="E1583" s="34">
        <v>203</v>
      </c>
      <c r="F1583" s="9" t="s">
        <v>988</v>
      </c>
      <c r="G1583" s="118">
        <v>78516</v>
      </c>
      <c r="H1583" s="20">
        <v>113800</v>
      </c>
      <c r="I1583" s="35">
        <v>35.283999999999999</v>
      </c>
      <c r="J1583" s="71">
        <v>2</v>
      </c>
      <c r="K1583" s="34" t="s">
        <v>238</v>
      </c>
      <c r="L1583" s="10">
        <v>42195</v>
      </c>
      <c r="M1583" s="9" t="s">
        <v>191</v>
      </c>
      <c r="N1583" s="38">
        <v>20.55</v>
      </c>
      <c r="O1583" s="38">
        <v>6.9749999999999996</v>
      </c>
      <c r="P1583" s="38">
        <v>3.5750000000000002</v>
      </c>
      <c r="Q1583" s="38">
        <v>4.0750000000000002</v>
      </c>
      <c r="R1583" s="38">
        <v>2.9194599999999999</v>
      </c>
      <c r="S1583" s="38">
        <f t="shared" si="196"/>
        <v>3</v>
      </c>
      <c r="T1583" s="38">
        <v>31.25</v>
      </c>
      <c r="U1583" s="38">
        <v>2.95</v>
      </c>
      <c r="V1583" s="38">
        <v>0.55000000000000004</v>
      </c>
      <c r="W1583" s="38">
        <v>0.42499999999999999</v>
      </c>
      <c r="X1583" s="38">
        <v>5.1055299999999999</v>
      </c>
      <c r="Y1583" s="38">
        <f t="shared" si="197"/>
        <v>5</v>
      </c>
      <c r="Z1583" s="38">
        <v>0</v>
      </c>
      <c r="AA1583" s="38">
        <v>0</v>
      </c>
      <c r="AB1583" s="38">
        <f>N1583+O1583+P1583+Q1583</f>
        <v>35.174999999999997</v>
      </c>
      <c r="AC1583" s="38">
        <v>1.3170900000000001</v>
      </c>
      <c r="AD1583" s="38">
        <v>41</v>
      </c>
      <c r="AE1583" s="38">
        <v>0</v>
      </c>
      <c r="AF1583" s="38">
        <f>(AD1583+AE1583*0.5)/(3.5*I1583*1000)*100</f>
        <v>3.3199993521952485E-2</v>
      </c>
      <c r="AG1583" s="38">
        <f t="shared" si="198"/>
        <v>0</v>
      </c>
      <c r="AH1583" s="56">
        <v>0</v>
      </c>
      <c r="AI1583" s="56">
        <f>AH1583/(3.5*I1583*1000)*100</f>
        <v>0</v>
      </c>
      <c r="AJ1583" s="56">
        <v>0</v>
      </c>
      <c r="AK1583" s="56">
        <f>AJ1583/(3.5*I1583*1000)*100</f>
        <v>0</v>
      </c>
      <c r="AL1583" s="56">
        <v>0</v>
      </c>
      <c r="AM1583" s="56">
        <f>AL1583/(3.5*I1583*1000)*100</f>
        <v>0</v>
      </c>
      <c r="AN1583" s="25"/>
      <c r="AO1583" s="25">
        <f>AE1583*0.5</f>
        <v>0</v>
      </c>
      <c r="AP1583" s="25">
        <f>(AD1583+AH1583+AJ1583+AL1583+AO1583)*I1583</f>
        <v>1446.644</v>
      </c>
      <c r="AQ1583" s="25">
        <f>SUM(N1583:Q1583)</f>
        <v>35.174999999999997</v>
      </c>
      <c r="AR1583" s="25">
        <f>SUM(T1583:W1583)</f>
        <v>35.174999999999997</v>
      </c>
      <c r="AS1583" s="268">
        <v>35.283999999999999</v>
      </c>
      <c r="AT1583" s="41"/>
      <c r="AU1583" s="41"/>
      <c r="AV1583" s="41"/>
      <c r="AW1583" s="41"/>
      <c r="AX1583" s="22"/>
      <c r="AY1583" s="22"/>
      <c r="AZ1583" s="22"/>
      <c r="BA1583" s="22"/>
      <c r="BB1583" s="22"/>
      <c r="BC1583" s="22"/>
      <c r="BD1583" s="22"/>
      <c r="BE1583" s="22"/>
      <c r="BF1583" s="22"/>
      <c r="BG1583" s="22"/>
      <c r="BH1583" s="22"/>
      <c r="BI1583" s="22"/>
      <c r="BJ1583" s="22"/>
      <c r="BK1583" s="22"/>
      <c r="BL1583" s="22"/>
      <c r="BM1583" s="22"/>
      <c r="BN1583" s="22"/>
      <c r="BO1583" s="22"/>
      <c r="BP1583" s="22"/>
      <c r="BQ1583" s="22"/>
      <c r="BR1583" s="22"/>
      <c r="BS1583" s="22"/>
      <c r="BT1583" s="22"/>
      <c r="BU1583" s="22"/>
      <c r="BV1583" s="22"/>
      <c r="BW1583" s="22"/>
      <c r="BX1583" s="22"/>
      <c r="BY1583" s="22"/>
      <c r="BZ1583" s="22"/>
      <c r="CA1583" s="22"/>
      <c r="CB1583" s="22"/>
      <c r="CC1583" s="22"/>
      <c r="CD1583" s="22"/>
      <c r="CE1583" s="22"/>
      <c r="CF1583" s="22"/>
      <c r="CG1583" s="22"/>
      <c r="CH1583" s="22"/>
      <c r="CI1583" s="22"/>
      <c r="CJ1583" s="22"/>
    </row>
    <row r="1584" spans="1:88" s="61" customFormat="1">
      <c r="A1584" s="1">
        <v>2185</v>
      </c>
      <c r="B1584" s="34" t="s">
        <v>2798</v>
      </c>
      <c r="C1584" s="34">
        <v>311</v>
      </c>
      <c r="D1584" s="75">
        <v>4309</v>
      </c>
      <c r="E1584" s="8">
        <v>100</v>
      </c>
      <c r="F1584" s="9" t="s">
        <v>2825</v>
      </c>
      <c r="G1584" s="20">
        <v>10679</v>
      </c>
      <c r="H1584" s="20">
        <v>0</v>
      </c>
      <c r="I1584" s="21">
        <v>10.679</v>
      </c>
      <c r="J1584" s="8">
        <v>2</v>
      </c>
      <c r="K1584" s="8" t="s">
        <v>96</v>
      </c>
      <c r="L1584" s="18">
        <v>42146</v>
      </c>
      <c r="M1584" s="9" t="s">
        <v>191</v>
      </c>
      <c r="N1584" s="38">
        <v>6.3250000000000002</v>
      </c>
      <c r="O1584" s="38">
        <v>2.75</v>
      </c>
      <c r="P1584" s="38">
        <v>1.2</v>
      </c>
      <c r="Q1584" s="38">
        <v>0.42499999999999999</v>
      </c>
      <c r="R1584" s="38">
        <v>2.63944</v>
      </c>
      <c r="S1584" s="38">
        <f t="shared" si="196"/>
        <v>2.5</v>
      </c>
      <c r="T1584" s="38">
        <v>10.225</v>
      </c>
      <c r="U1584" s="38">
        <v>0.47499999999999998</v>
      </c>
      <c r="V1584" s="38">
        <v>0</v>
      </c>
      <c r="W1584" s="38">
        <v>0</v>
      </c>
      <c r="X1584" s="38">
        <v>4.7888099999999998</v>
      </c>
      <c r="Y1584" s="38">
        <f t="shared" si="197"/>
        <v>5</v>
      </c>
      <c r="Z1584" s="38">
        <v>0</v>
      </c>
      <c r="AA1584" s="38">
        <v>0</v>
      </c>
      <c r="AB1584" s="38">
        <v>10.7</v>
      </c>
      <c r="AC1584" s="38">
        <v>1.33026</v>
      </c>
      <c r="AD1584" s="38">
        <v>10.11</v>
      </c>
      <c r="AE1584" s="38">
        <v>4.41</v>
      </c>
      <c r="AF1584" s="38">
        <f>(AD1584+AE1584*0.5)/(3.5*I1584*1000)*100</f>
        <v>3.2948510427675146E-2</v>
      </c>
      <c r="AG1584" s="38">
        <f t="shared" si="198"/>
        <v>0</v>
      </c>
      <c r="AH1584" s="56">
        <v>11.2</v>
      </c>
      <c r="AI1584" s="56">
        <f>AH1584/(3.5*I1584*1000)*100</f>
        <v>2.9965352561101229E-2</v>
      </c>
      <c r="AJ1584" s="56">
        <v>0</v>
      </c>
      <c r="AK1584" s="56">
        <f>AJ1584/(3.5*I1584*1000)*100</f>
        <v>0</v>
      </c>
      <c r="AL1584" s="56">
        <v>0</v>
      </c>
      <c r="AM1584" s="56">
        <f>AL1584/(3.5*I1584*1000)*100</f>
        <v>0</v>
      </c>
      <c r="AN1584" s="72"/>
      <c r="AO1584" s="41"/>
      <c r="AP1584" s="41"/>
      <c r="AQ1584" s="41">
        <f>SUM(N1584:Q1584)</f>
        <v>10.7</v>
      </c>
      <c r="AR1584" s="41">
        <f>SUM(T1584:W1584)</f>
        <v>10.7</v>
      </c>
      <c r="AS1584" s="12">
        <f>SUM(Z1584:AB1584)</f>
        <v>10.7</v>
      </c>
      <c r="AT1584" s="1"/>
      <c r="AU1584" s="1">
        <f>I1584/AQ1584</f>
        <v>0.99803738317757018</v>
      </c>
      <c r="AV1584" s="1">
        <f>I1584/AR1584</f>
        <v>0.99803738317757018</v>
      </c>
      <c r="AW1584" s="1">
        <f>I1584/AS1584</f>
        <v>0.99803738317757018</v>
      </c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</row>
    <row r="1585" spans="1:88" s="61" customFormat="1">
      <c r="A1585" s="1">
        <v>914</v>
      </c>
      <c r="B1585" s="34" t="s">
        <v>1302</v>
      </c>
      <c r="C1585" s="34">
        <v>636</v>
      </c>
      <c r="D1585" s="8">
        <v>2360</v>
      </c>
      <c r="E1585" s="34">
        <v>100</v>
      </c>
      <c r="F1585" s="34" t="s">
        <v>1308</v>
      </c>
      <c r="G1585" s="58">
        <v>0</v>
      </c>
      <c r="H1585" s="58">
        <v>3330</v>
      </c>
      <c r="I1585" s="35">
        <v>3.33</v>
      </c>
      <c r="J1585" s="9">
        <v>2</v>
      </c>
      <c r="K1585" s="34" t="s">
        <v>238</v>
      </c>
      <c r="L1585" s="10">
        <v>42138</v>
      </c>
      <c r="M1585" s="9" t="s">
        <v>191</v>
      </c>
      <c r="N1585" s="38">
        <v>1.2250000000000001</v>
      </c>
      <c r="O1585" s="38">
        <v>1.125</v>
      </c>
      <c r="P1585" s="38">
        <v>0.6</v>
      </c>
      <c r="Q1585" s="38">
        <v>0.375</v>
      </c>
      <c r="R1585" s="38">
        <v>3.2971400000000002</v>
      </c>
      <c r="S1585" s="38">
        <f t="shared" si="196"/>
        <v>3.5</v>
      </c>
      <c r="T1585" s="38">
        <v>2.6</v>
      </c>
      <c r="U1585" s="38">
        <v>0.45</v>
      </c>
      <c r="V1585" s="38">
        <v>0.25</v>
      </c>
      <c r="W1585" s="38">
        <v>2.5000000000000001E-2</v>
      </c>
      <c r="X1585" s="38">
        <v>7.88368</v>
      </c>
      <c r="Y1585" s="38">
        <f t="shared" si="197"/>
        <v>8</v>
      </c>
      <c r="Z1585" s="38">
        <v>0</v>
      </c>
      <c r="AA1585" s="38">
        <v>0</v>
      </c>
      <c r="AB1585" s="38">
        <f>N1585+O1585+P1585+Q1585</f>
        <v>3.3250000000000002</v>
      </c>
      <c r="AC1585" s="38">
        <v>1.17662</v>
      </c>
      <c r="AD1585" s="38">
        <v>3.83</v>
      </c>
      <c r="AE1585" s="38">
        <v>0</v>
      </c>
      <c r="AF1585" s="38">
        <v>3.286E-2</v>
      </c>
      <c r="AG1585" s="38">
        <f t="shared" si="198"/>
        <v>0</v>
      </c>
      <c r="AH1585" s="56">
        <v>0</v>
      </c>
      <c r="AI1585" s="56">
        <v>0</v>
      </c>
      <c r="AJ1585" s="56">
        <v>76.66</v>
      </c>
      <c r="AK1585" s="56">
        <v>0.65774299999999997</v>
      </c>
      <c r="AL1585" s="56">
        <v>0</v>
      </c>
      <c r="AM1585" s="56">
        <v>0</v>
      </c>
      <c r="AN1585" s="25"/>
      <c r="AO1585" s="25">
        <f>AE1585*0.5</f>
        <v>0</v>
      </c>
      <c r="AP1585" s="25">
        <f>(AD1585+AH1585+AJ1585+AL1585+AO1585)*I1585</f>
        <v>268.0317</v>
      </c>
      <c r="AQ1585" s="25"/>
      <c r="AR1585" s="25"/>
      <c r="AS1585" s="25">
        <f>SUM(N1585:Q1585)</f>
        <v>3.3250000000000002</v>
      </c>
      <c r="AT1585" s="25">
        <f>SUM(T1585:W1585)</f>
        <v>3.3250000000000002</v>
      </c>
      <c r="AU1585" s="22"/>
      <c r="AV1585" s="41"/>
      <c r="AW1585" s="41"/>
      <c r="AX1585" s="41"/>
      <c r="AY1585" s="41"/>
      <c r="AZ1585" s="22"/>
      <c r="BA1585" s="22"/>
      <c r="BB1585" s="22"/>
      <c r="BC1585" s="22"/>
      <c r="BD1585" s="22"/>
      <c r="BE1585" s="22"/>
      <c r="BF1585" s="22"/>
      <c r="BG1585" s="22"/>
      <c r="BH1585" s="22"/>
      <c r="BI1585" s="22"/>
      <c r="BJ1585" s="22"/>
      <c r="BK1585" s="22"/>
      <c r="BL1585" s="22"/>
      <c r="BM1585" s="22"/>
      <c r="BN1585" s="22"/>
      <c r="BO1585" s="22"/>
      <c r="BP1585" s="22"/>
      <c r="BQ1585" s="22"/>
      <c r="BR1585" s="22"/>
      <c r="BS1585" s="22"/>
      <c r="BT1585" s="22"/>
      <c r="BU1585" s="22"/>
      <c r="BV1585" s="22"/>
      <c r="BW1585" s="22"/>
      <c r="BX1585" s="22"/>
      <c r="BY1585" s="22"/>
      <c r="BZ1585" s="22"/>
      <c r="CA1585" s="22"/>
      <c r="CB1585" s="22"/>
      <c r="CC1585" s="22"/>
      <c r="CD1585" s="22"/>
      <c r="CE1585" s="22"/>
      <c r="CF1585" s="22"/>
      <c r="CG1585" s="22"/>
      <c r="CH1585" s="22"/>
      <c r="CI1585" s="22"/>
      <c r="CJ1585" s="22"/>
    </row>
    <row r="1586" spans="1:88" s="61" customFormat="1">
      <c r="A1586" s="1">
        <v>1496</v>
      </c>
      <c r="B1586" s="34" t="s">
        <v>2016</v>
      </c>
      <c r="C1586" s="34">
        <v>411</v>
      </c>
      <c r="D1586" s="69">
        <v>3902</v>
      </c>
      <c r="E1586" s="34">
        <v>602</v>
      </c>
      <c r="F1586" s="34" t="s">
        <v>2057</v>
      </c>
      <c r="G1586" s="58" t="s">
        <v>2063</v>
      </c>
      <c r="H1586" s="58" t="s">
        <v>2064</v>
      </c>
      <c r="I1586" s="35">
        <v>0.86199999999999999</v>
      </c>
      <c r="J1586" s="34">
        <v>2</v>
      </c>
      <c r="K1586" s="34" t="s">
        <v>12</v>
      </c>
      <c r="L1586" s="10">
        <v>42248</v>
      </c>
      <c r="M1586" s="9" t="s">
        <v>191</v>
      </c>
      <c r="N1586" s="38">
        <v>0.4</v>
      </c>
      <c r="O1586" s="38">
        <v>7.4999999999999997E-2</v>
      </c>
      <c r="P1586" s="38">
        <v>0.1</v>
      </c>
      <c r="Q1586" s="38">
        <v>0.25</v>
      </c>
      <c r="R1586" s="38">
        <v>3.8519999999999999</v>
      </c>
      <c r="S1586" s="38">
        <f t="shared" si="196"/>
        <v>4</v>
      </c>
      <c r="T1586" s="38">
        <v>0.82499999999999996</v>
      </c>
      <c r="U1586" s="38">
        <v>0</v>
      </c>
      <c r="V1586" s="38">
        <v>0</v>
      </c>
      <c r="W1586" s="38">
        <v>0</v>
      </c>
      <c r="X1586" s="38">
        <v>4.2249999999999996</v>
      </c>
      <c r="Y1586" s="38">
        <f t="shared" si="197"/>
        <v>4</v>
      </c>
      <c r="Z1586" s="38">
        <v>0</v>
      </c>
      <c r="AA1586" s="38">
        <v>0</v>
      </c>
      <c r="AB1586" s="38">
        <f>SUM(T1586:W1586)</f>
        <v>0.82499999999999996</v>
      </c>
      <c r="AC1586" s="38">
        <v>1.0720000000000001</v>
      </c>
      <c r="AD1586" s="38">
        <v>0</v>
      </c>
      <c r="AE1586" s="38">
        <v>1.98</v>
      </c>
      <c r="AF1586" s="38">
        <f>(AD1586+AE1586*0.5)/(3.5*I1586*1000)*100</f>
        <v>3.2814053695724224E-2</v>
      </c>
      <c r="AG1586" s="38">
        <f t="shared" si="198"/>
        <v>0</v>
      </c>
      <c r="AH1586" s="56">
        <v>0</v>
      </c>
      <c r="AI1586" s="56">
        <f>AH1586/(3.5*I1586*1000)*100</f>
        <v>0</v>
      </c>
      <c r="AJ1586" s="56">
        <v>28.51</v>
      </c>
      <c r="AK1586" s="56">
        <f>AJ1586/(3.5*I1586*1000)*100</f>
        <v>0.94497845541929082</v>
      </c>
      <c r="AL1586" s="56">
        <v>2</v>
      </c>
      <c r="AM1586" s="56">
        <f>AL1586/(3.5*I1586*1000)*100</f>
        <v>6.6291017567119651E-2</v>
      </c>
      <c r="AN1586" s="60"/>
      <c r="AO1586" s="60">
        <f>AE1586*0.5</f>
        <v>0.99</v>
      </c>
      <c r="AP1586" s="60">
        <f>(AD1586+AH1586+AJ1586+AL1586+AO1586)*I1586</f>
        <v>27.152999999999999</v>
      </c>
      <c r="AQ1586" s="60"/>
      <c r="AR1586" s="60">
        <f>SUM(N1586:Q1586)</f>
        <v>0.82500000000000007</v>
      </c>
      <c r="AS1586" s="60">
        <f>SUM(T1586:W1586)</f>
        <v>0.82499999999999996</v>
      </c>
      <c r="AT1586" s="60"/>
      <c r="AV1586" s="40"/>
      <c r="AW1586" s="40"/>
      <c r="AX1586" s="40"/>
      <c r="AY1586" s="40"/>
    </row>
    <row r="1587" spans="1:88" s="61" customFormat="1">
      <c r="A1587" s="1">
        <v>718</v>
      </c>
      <c r="B1587" s="34" t="s">
        <v>1123</v>
      </c>
      <c r="C1587" s="34">
        <v>627</v>
      </c>
      <c r="D1587" s="34">
        <v>201</v>
      </c>
      <c r="E1587" s="34">
        <v>303</v>
      </c>
      <c r="F1587" s="34" t="s">
        <v>1126</v>
      </c>
      <c r="G1587" s="58">
        <v>253485</v>
      </c>
      <c r="H1587" s="58">
        <v>221081</v>
      </c>
      <c r="I1587" s="51">
        <v>32.404000000000003</v>
      </c>
      <c r="J1587" s="127">
        <v>4</v>
      </c>
      <c r="K1587" s="34" t="s">
        <v>12</v>
      </c>
      <c r="L1587" s="10">
        <v>42178</v>
      </c>
      <c r="M1587" s="9" t="s">
        <v>191</v>
      </c>
      <c r="N1587" s="38">
        <v>18.350000000000001</v>
      </c>
      <c r="O1587" s="38">
        <v>8.125</v>
      </c>
      <c r="P1587" s="38">
        <v>3.8250000000000002</v>
      </c>
      <c r="Q1587" s="38">
        <v>2.0750000000000002</v>
      </c>
      <c r="R1587" s="38">
        <v>2.7273800000000001</v>
      </c>
      <c r="S1587" s="38">
        <f t="shared" si="196"/>
        <v>2.5</v>
      </c>
      <c r="T1587" s="38">
        <v>25.55</v>
      </c>
      <c r="U1587" s="38">
        <v>5.3250000000000002</v>
      </c>
      <c r="V1587" s="38">
        <v>1.05</v>
      </c>
      <c r="W1587" s="38">
        <v>0.45</v>
      </c>
      <c r="X1587" s="38">
        <v>7.6129699999999998</v>
      </c>
      <c r="Y1587" s="38">
        <f t="shared" si="197"/>
        <v>7.5</v>
      </c>
      <c r="Z1587" s="38">
        <v>0</v>
      </c>
      <c r="AA1587" s="38">
        <v>0</v>
      </c>
      <c r="AB1587" s="38">
        <v>32.404000000000003</v>
      </c>
      <c r="AC1587" s="38">
        <v>1.12368</v>
      </c>
      <c r="AD1587" s="38">
        <v>2.02</v>
      </c>
      <c r="AE1587" s="38">
        <v>70.36</v>
      </c>
      <c r="AF1587" s="38">
        <v>3.2800183398874916E-2</v>
      </c>
      <c r="AG1587" s="38">
        <f t="shared" si="198"/>
        <v>0</v>
      </c>
      <c r="AH1587" s="56">
        <v>235.41</v>
      </c>
      <c r="AI1587" s="56">
        <v>0.207566967041106</v>
      </c>
      <c r="AJ1587" s="56">
        <v>0</v>
      </c>
      <c r="AK1587" s="56">
        <v>0</v>
      </c>
      <c r="AL1587" s="56">
        <v>129.49</v>
      </c>
      <c r="AM1587" s="265">
        <f>AL1587/(3.5*I1587*1000)*100</f>
        <v>0.11417461689033098</v>
      </c>
      <c r="AN1587" s="25"/>
      <c r="AO1587" s="25">
        <f>AE1587*0.5</f>
        <v>35.18</v>
      </c>
      <c r="AP1587" s="25">
        <f>(AD1587+AH1587+AJ1587+AL1587+AO1587)*I1587</f>
        <v>13029.648400000002</v>
      </c>
      <c r="AQ1587" s="25">
        <f>SUM(N1587:Q1587)</f>
        <v>32.375</v>
      </c>
      <c r="AR1587" s="25">
        <f>SUM(T1587:W1587)</f>
        <v>32.375</v>
      </c>
      <c r="AS1587" s="268">
        <v>32.404000000000003</v>
      </c>
      <c r="AT1587" s="41"/>
      <c r="AU1587" s="41"/>
      <c r="AV1587" s="41"/>
      <c r="AW1587" s="41"/>
      <c r="AX1587" s="22"/>
      <c r="AY1587" s="22"/>
      <c r="AZ1587" s="22"/>
      <c r="BA1587" s="22"/>
      <c r="BB1587" s="22"/>
      <c r="BC1587" s="22"/>
      <c r="BD1587" s="22"/>
      <c r="BE1587" s="22"/>
      <c r="BF1587" s="22"/>
      <c r="BG1587" s="22"/>
      <c r="BH1587" s="22"/>
      <c r="BI1587" s="22"/>
      <c r="BJ1587" s="22"/>
      <c r="BK1587" s="22"/>
      <c r="BL1587" s="22"/>
      <c r="BM1587" s="22"/>
      <c r="BN1587" s="22"/>
      <c r="BO1587" s="22"/>
      <c r="BP1587" s="22"/>
      <c r="BQ1587" s="22"/>
      <c r="BR1587" s="22"/>
      <c r="BS1587" s="22"/>
      <c r="BT1587" s="22"/>
      <c r="BU1587" s="22"/>
      <c r="BV1587" s="22"/>
      <c r="BW1587" s="22"/>
      <c r="BX1587" s="22"/>
      <c r="BY1587" s="22"/>
      <c r="BZ1587" s="22"/>
      <c r="CA1587" s="22"/>
      <c r="CB1587" s="22"/>
      <c r="CC1587" s="22"/>
      <c r="CD1587" s="22"/>
      <c r="CE1587" s="22"/>
      <c r="CF1587" s="22"/>
      <c r="CG1587" s="22"/>
      <c r="CH1587" s="22"/>
      <c r="CI1587" s="22"/>
      <c r="CJ1587" s="22"/>
    </row>
    <row r="1588" spans="1:88" s="61" customFormat="1">
      <c r="A1588" s="1">
        <v>1159</v>
      </c>
      <c r="B1588" s="74" t="s">
        <v>1577</v>
      </c>
      <c r="C1588" s="34">
        <v>432</v>
      </c>
      <c r="D1588" s="34">
        <v>3224</v>
      </c>
      <c r="E1588" s="34">
        <v>102</v>
      </c>
      <c r="F1588" s="34" t="s">
        <v>1619</v>
      </c>
      <c r="G1588" s="34" t="s">
        <v>279</v>
      </c>
      <c r="H1588" s="34" t="s">
        <v>1620</v>
      </c>
      <c r="I1588" s="55">
        <v>21.010999999999999</v>
      </c>
      <c r="J1588" s="34">
        <v>2</v>
      </c>
      <c r="K1588" s="181" t="s">
        <v>238</v>
      </c>
      <c r="L1588" s="10">
        <v>42282</v>
      </c>
      <c r="M1588" s="9" t="s">
        <v>191</v>
      </c>
      <c r="N1588" s="38">
        <v>14.375</v>
      </c>
      <c r="O1588" s="38">
        <v>4.95</v>
      </c>
      <c r="P1588" s="38">
        <v>1.5</v>
      </c>
      <c r="Q1588" s="38">
        <v>0.2</v>
      </c>
      <c r="R1588" s="38">
        <v>2.2963100000000001</v>
      </c>
      <c r="S1588" s="38">
        <f t="shared" si="196"/>
        <v>2.5</v>
      </c>
      <c r="T1588" s="38">
        <v>20.6</v>
      </c>
      <c r="U1588" s="38">
        <v>0.42499999999999999</v>
      </c>
      <c r="V1588" s="38">
        <v>0</v>
      </c>
      <c r="W1588" s="38">
        <v>0</v>
      </c>
      <c r="X1588" s="38">
        <v>3.8427799999999999</v>
      </c>
      <c r="Y1588" s="38">
        <f t="shared" si="197"/>
        <v>4</v>
      </c>
      <c r="Z1588" s="38">
        <v>0</v>
      </c>
      <c r="AA1588" s="38">
        <v>0</v>
      </c>
      <c r="AB1588" s="38">
        <v>21.024999999999999</v>
      </c>
      <c r="AC1588" s="38">
        <v>1.4588300000000001</v>
      </c>
      <c r="AD1588" s="38">
        <v>21.6</v>
      </c>
      <c r="AE1588" s="38">
        <v>4.42</v>
      </c>
      <c r="AF1588" s="38">
        <v>3.2377999999999997E-2</v>
      </c>
      <c r="AG1588" s="38">
        <f t="shared" si="198"/>
        <v>0</v>
      </c>
      <c r="AH1588" s="56">
        <v>6.31</v>
      </c>
      <c r="AI1588" s="56">
        <v>8.5810000000000001E-3</v>
      </c>
      <c r="AJ1588" s="56">
        <v>0</v>
      </c>
      <c r="AK1588" s="56">
        <v>0</v>
      </c>
      <c r="AL1588" s="56">
        <v>0</v>
      </c>
      <c r="AM1588" s="56">
        <v>0</v>
      </c>
      <c r="AN1588" s="114"/>
      <c r="AO1588" s="73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</row>
    <row r="1589" spans="1:88" s="61" customFormat="1">
      <c r="A1589" s="1">
        <v>99</v>
      </c>
      <c r="B1589" s="4" t="s">
        <v>61</v>
      </c>
      <c r="C1589" s="14">
        <v>526</v>
      </c>
      <c r="D1589" s="19">
        <v>1285</v>
      </c>
      <c r="E1589" s="16">
        <v>100</v>
      </c>
      <c r="F1589" s="14" t="s">
        <v>73</v>
      </c>
      <c r="G1589" s="27" t="s">
        <v>92</v>
      </c>
      <c r="H1589" s="27" t="s">
        <v>162</v>
      </c>
      <c r="I1589" s="28">
        <v>15</v>
      </c>
      <c r="J1589" s="16">
        <v>2</v>
      </c>
      <c r="K1589" s="14" t="s">
        <v>238</v>
      </c>
      <c r="L1589" s="29">
        <v>42244</v>
      </c>
      <c r="M1589" s="14" t="s">
        <v>191</v>
      </c>
      <c r="N1589" s="30">
        <v>1.85</v>
      </c>
      <c r="O1589" s="30">
        <v>5.5</v>
      </c>
      <c r="P1589" s="30">
        <v>5.43</v>
      </c>
      <c r="Q1589" s="30">
        <v>2.23</v>
      </c>
      <c r="R1589" s="30">
        <v>3.8341799999999999</v>
      </c>
      <c r="S1589" s="38">
        <f t="shared" si="196"/>
        <v>4</v>
      </c>
      <c r="T1589" s="30">
        <v>12.58</v>
      </c>
      <c r="U1589" s="30">
        <v>1.53</v>
      </c>
      <c r="V1589" s="30">
        <v>0.4</v>
      </c>
      <c r="W1589" s="30">
        <v>0.5</v>
      </c>
      <c r="X1589" s="30">
        <v>6.3949800000000003</v>
      </c>
      <c r="Y1589" s="38">
        <f t="shared" si="197"/>
        <v>6.5</v>
      </c>
      <c r="Z1589" s="30">
        <v>0</v>
      </c>
      <c r="AA1589" s="30">
        <v>0</v>
      </c>
      <c r="AB1589" s="30">
        <v>15</v>
      </c>
      <c r="AC1589" s="30">
        <v>1.4078200000000001</v>
      </c>
      <c r="AD1589" s="30">
        <v>15.62</v>
      </c>
      <c r="AE1589" s="30">
        <v>2.4</v>
      </c>
      <c r="AF1589" s="30">
        <f>(AD1589+AE1589*0.5)/(3.5*I1589*1000)*100</f>
        <v>3.2038095238095234E-2</v>
      </c>
      <c r="AG1589" s="38">
        <f t="shared" si="198"/>
        <v>0</v>
      </c>
      <c r="AH1589" s="263">
        <v>0</v>
      </c>
      <c r="AI1589" s="263">
        <f>AH1589/(3.5*I1589*1000)*100</f>
        <v>0</v>
      </c>
      <c r="AJ1589" s="263">
        <v>6.35</v>
      </c>
      <c r="AK1589" s="263">
        <f>AJ1589/(3.5*I1589*1000)*100</f>
        <v>1.2095238095238095E-2</v>
      </c>
      <c r="AL1589" s="263">
        <v>0</v>
      </c>
      <c r="AM1589" s="263">
        <f>AL1589/(3.5*I1589*1000)*100</f>
        <v>0</v>
      </c>
      <c r="AN1589" s="22"/>
      <c r="AO1589" s="25"/>
      <c r="AP1589" s="25">
        <f>N1589+O1589+P1589+Q1589</f>
        <v>15.01</v>
      </c>
      <c r="AQ1589" s="25">
        <f>T1589+U1589+V1589+W1589</f>
        <v>15.01</v>
      </c>
      <c r="AR1589" s="25">
        <f>Z1589+AA1589+AB1589</f>
        <v>15</v>
      </c>
      <c r="AS1589" s="22"/>
      <c r="AT1589" s="22">
        <f>I1589/AP1589</f>
        <v>0.99933377748167884</v>
      </c>
      <c r="AU1589" s="22">
        <f>I1589/AQ1589</f>
        <v>0.99933377748167884</v>
      </c>
      <c r="AV1589" s="22">
        <f>I1589/AR1589</f>
        <v>1</v>
      </c>
      <c r="AW1589" s="22"/>
      <c r="AX1589" s="22"/>
      <c r="AY1589" s="22"/>
      <c r="AZ1589" s="22"/>
      <c r="BA1589" s="22"/>
      <c r="BB1589" s="22"/>
      <c r="BC1589" s="22"/>
      <c r="BD1589" s="22"/>
      <c r="BE1589" s="22"/>
      <c r="BF1589" s="22"/>
      <c r="BG1589" s="22"/>
      <c r="BH1589" s="22"/>
      <c r="BI1589" s="22"/>
      <c r="BJ1589" s="22"/>
      <c r="BK1589" s="22"/>
      <c r="BL1589" s="22"/>
      <c r="BM1589" s="22"/>
      <c r="BN1589" s="22"/>
      <c r="BO1589" s="22"/>
      <c r="BP1589" s="22"/>
      <c r="BQ1589" s="22"/>
      <c r="BR1589" s="22"/>
      <c r="BS1589" s="22"/>
      <c r="BT1589" s="22"/>
      <c r="BU1589" s="22"/>
      <c r="BV1589" s="22"/>
      <c r="BW1589" s="22"/>
      <c r="BX1589" s="22"/>
      <c r="BY1589" s="22"/>
      <c r="BZ1589" s="22"/>
      <c r="CA1589" s="22"/>
      <c r="CB1589" s="22"/>
      <c r="CC1589" s="22"/>
      <c r="CD1589" s="22"/>
      <c r="CE1589" s="22"/>
      <c r="CF1589" s="22"/>
      <c r="CG1589" s="22"/>
      <c r="CH1589" s="22"/>
      <c r="CI1589" s="22"/>
      <c r="CJ1589" s="22"/>
    </row>
    <row r="1590" spans="1:88" s="61" customFormat="1">
      <c r="A1590" s="1">
        <v>1892</v>
      </c>
      <c r="B1590" s="34" t="s">
        <v>2495</v>
      </c>
      <c r="C1590" s="34">
        <v>335</v>
      </c>
      <c r="D1590" s="75">
        <v>3644</v>
      </c>
      <c r="E1590" s="8">
        <v>100</v>
      </c>
      <c r="F1590" s="9" t="s">
        <v>2527</v>
      </c>
      <c r="G1590" s="20">
        <v>0</v>
      </c>
      <c r="H1590" s="20">
        <v>2300</v>
      </c>
      <c r="I1590" s="21">
        <v>2.2999999999999998</v>
      </c>
      <c r="J1590" s="34">
        <v>2</v>
      </c>
      <c r="K1590" s="34" t="s">
        <v>238</v>
      </c>
      <c r="L1590" s="18">
        <v>42093</v>
      </c>
      <c r="M1590" s="207" t="s">
        <v>191</v>
      </c>
      <c r="N1590" s="38">
        <v>0.65</v>
      </c>
      <c r="O1590" s="38">
        <v>1.1200000000000001</v>
      </c>
      <c r="P1590" s="38">
        <v>0.41</v>
      </c>
      <c r="Q1590" s="38">
        <v>0.12</v>
      </c>
      <c r="R1590" s="38">
        <v>3.0623100000000001</v>
      </c>
      <c r="S1590" s="38">
        <f t="shared" si="196"/>
        <v>3</v>
      </c>
      <c r="T1590" s="38">
        <v>2.2999999999999998</v>
      </c>
      <c r="U1590" s="38">
        <v>0</v>
      </c>
      <c r="V1590" s="38">
        <v>0</v>
      </c>
      <c r="W1590" s="38">
        <v>0</v>
      </c>
      <c r="X1590" s="38">
        <v>1.0919399999999999</v>
      </c>
      <c r="Y1590" s="38">
        <f t="shared" si="197"/>
        <v>1</v>
      </c>
      <c r="Z1590" s="38">
        <v>0</v>
      </c>
      <c r="AA1590" s="38">
        <v>0</v>
      </c>
      <c r="AB1590" s="38">
        <v>2.2999999999999998</v>
      </c>
      <c r="AC1590" s="38">
        <v>1.25315</v>
      </c>
      <c r="AD1590" s="38">
        <v>2.36</v>
      </c>
      <c r="AE1590" s="38">
        <v>0.38</v>
      </c>
      <c r="AF1590" s="38">
        <f>(AD1590+AE1590*0.5)/(3.5*I1590*1000)*100</f>
        <v>3.1677018633540374E-2</v>
      </c>
      <c r="AG1590" s="38">
        <f t="shared" si="198"/>
        <v>0</v>
      </c>
      <c r="AH1590" s="56">
        <v>21.364999999999998</v>
      </c>
      <c r="AI1590" s="56">
        <f>AH1590/(3.5*I1590*1000)*100</f>
        <v>0.26540372670807455</v>
      </c>
      <c r="AJ1590" s="56">
        <v>0</v>
      </c>
      <c r="AK1590" s="56">
        <f>AJ1590/(3.5*I1590*1000)*100</f>
        <v>0</v>
      </c>
      <c r="AL1590" s="56">
        <v>0</v>
      </c>
      <c r="AM1590" s="56">
        <f>AL1590/(3.5*I1590*1000)*100</f>
        <v>0</v>
      </c>
      <c r="AN1590" s="73"/>
      <c r="AO1590" s="73"/>
      <c r="AP1590" s="73"/>
      <c r="AQ1590" s="41">
        <f>SUM(N1590:Q1590)</f>
        <v>2.3000000000000003</v>
      </c>
      <c r="AR1590" s="41">
        <f>SUM(T1590:W1590)</f>
        <v>2.2999999999999998</v>
      </c>
      <c r="AS1590" s="12">
        <f>SUM(Z1590:AB1590)</f>
        <v>2.2999999999999998</v>
      </c>
      <c r="AT1590" s="1"/>
      <c r="AU1590" s="1">
        <f>I1590/AQ1590</f>
        <v>0.99999999999999978</v>
      </c>
      <c r="AV1590" s="1">
        <f>I1590/AR1590</f>
        <v>1</v>
      </c>
      <c r="AW1590" s="1">
        <f>I1590/AS1590</f>
        <v>1</v>
      </c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</row>
    <row r="1591" spans="1:88" s="61" customFormat="1">
      <c r="A1591" s="1">
        <v>1590</v>
      </c>
      <c r="B1591" s="34" t="s">
        <v>2137</v>
      </c>
      <c r="C1591" s="5">
        <v>416</v>
      </c>
      <c r="D1591" s="5">
        <v>306</v>
      </c>
      <c r="E1591" s="5">
        <v>200</v>
      </c>
      <c r="F1591" s="5" t="s">
        <v>2150</v>
      </c>
      <c r="G1591" s="53">
        <v>21940</v>
      </c>
      <c r="H1591" s="53">
        <v>23900</v>
      </c>
      <c r="I1591" s="198">
        <v>0</v>
      </c>
      <c r="J1591" s="78">
        <v>6</v>
      </c>
      <c r="K1591" s="5" t="s">
        <v>237</v>
      </c>
      <c r="L1591" s="10">
        <v>42249</v>
      </c>
      <c r="M1591" s="34" t="s">
        <v>218</v>
      </c>
      <c r="N1591" s="147">
        <v>0.32500000000000001</v>
      </c>
      <c r="O1591" s="147">
        <v>0.95</v>
      </c>
      <c r="P1591" s="147">
        <v>0.6</v>
      </c>
      <c r="Q1591" s="147">
        <v>0.1</v>
      </c>
      <c r="R1591" s="147">
        <v>3.39</v>
      </c>
      <c r="S1591" s="38">
        <f t="shared" si="196"/>
        <v>3.5</v>
      </c>
      <c r="T1591" s="147">
        <v>0</v>
      </c>
      <c r="U1591" s="147">
        <v>0</v>
      </c>
      <c r="V1591" s="147">
        <f>SUM(N1591:Q1591)</f>
        <v>1.9750000000000001</v>
      </c>
      <c r="W1591" s="147">
        <v>1.1499999999999999</v>
      </c>
      <c r="X1591" s="201">
        <v>0</v>
      </c>
      <c r="Y1591" s="38">
        <f t="shared" si="197"/>
        <v>0</v>
      </c>
      <c r="Z1591" s="201">
        <v>0</v>
      </c>
      <c r="AA1591" s="201">
        <v>0</v>
      </c>
      <c r="AB1591" s="201">
        <v>0</v>
      </c>
      <c r="AC1591" s="201">
        <v>0</v>
      </c>
      <c r="AD1591" s="147">
        <v>0</v>
      </c>
      <c r="AE1591" s="147">
        <v>0</v>
      </c>
      <c r="AF1591" s="201">
        <v>0</v>
      </c>
      <c r="AG1591" s="38">
        <f t="shared" si="198"/>
        <v>0</v>
      </c>
      <c r="AH1591" s="202"/>
      <c r="AI1591" s="202"/>
      <c r="AJ1591" s="202"/>
    </row>
    <row r="1592" spans="1:88" s="61" customFormat="1">
      <c r="A1592" s="1">
        <v>1591</v>
      </c>
      <c r="B1592" s="34" t="s">
        <v>2137</v>
      </c>
      <c r="C1592" s="5">
        <v>416</v>
      </c>
      <c r="D1592" s="5">
        <v>306</v>
      </c>
      <c r="E1592" s="5">
        <v>200</v>
      </c>
      <c r="F1592" s="5" t="s">
        <v>2150</v>
      </c>
      <c r="G1592" s="53">
        <v>23900</v>
      </c>
      <c r="H1592" s="53">
        <v>21940</v>
      </c>
      <c r="I1592" s="198">
        <v>0</v>
      </c>
      <c r="J1592" s="78">
        <v>6</v>
      </c>
      <c r="K1592" s="5" t="s">
        <v>96</v>
      </c>
      <c r="L1592" s="10">
        <v>42249</v>
      </c>
      <c r="M1592" s="34" t="s">
        <v>218</v>
      </c>
      <c r="N1592" s="147">
        <v>0.32500000000000001</v>
      </c>
      <c r="O1592" s="147">
        <v>0.52500000000000002</v>
      </c>
      <c r="P1592" s="147">
        <v>0.85</v>
      </c>
      <c r="Q1592" s="147">
        <v>0.2</v>
      </c>
      <c r="R1592" s="147">
        <v>3.63</v>
      </c>
      <c r="S1592" s="38">
        <f t="shared" si="196"/>
        <v>3.5</v>
      </c>
      <c r="T1592" s="147">
        <v>0</v>
      </c>
      <c r="U1592" s="147">
        <v>0</v>
      </c>
      <c r="V1592" s="147">
        <f>SUM(N1592:R1592)</f>
        <v>5.53</v>
      </c>
      <c r="W1592" s="147">
        <v>1.05</v>
      </c>
      <c r="X1592" s="201">
        <v>0</v>
      </c>
      <c r="Y1592" s="38">
        <f t="shared" si="197"/>
        <v>0</v>
      </c>
      <c r="Z1592" s="201">
        <v>0</v>
      </c>
      <c r="AA1592" s="201">
        <v>0</v>
      </c>
      <c r="AB1592" s="201">
        <v>0</v>
      </c>
      <c r="AC1592" s="201">
        <v>0</v>
      </c>
      <c r="AD1592" s="147">
        <v>0</v>
      </c>
      <c r="AE1592" s="147">
        <v>0</v>
      </c>
      <c r="AF1592" s="201">
        <v>0</v>
      </c>
      <c r="AG1592" s="38">
        <f t="shared" si="198"/>
        <v>0</v>
      </c>
      <c r="AH1592" s="202"/>
      <c r="AI1592" s="202"/>
      <c r="AJ1592" s="202"/>
    </row>
    <row r="1593" spans="1:88" s="61" customFormat="1">
      <c r="A1593" s="1">
        <v>1592</v>
      </c>
      <c r="B1593" s="34" t="s">
        <v>2137</v>
      </c>
      <c r="C1593" s="5">
        <v>416</v>
      </c>
      <c r="D1593" s="5">
        <v>306</v>
      </c>
      <c r="E1593" s="5">
        <v>200</v>
      </c>
      <c r="F1593" s="5" t="s">
        <v>2150</v>
      </c>
      <c r="G1593" s="53">
        <v>23900</v>
      </c>
      <c r="H1593" s="53">
        <v>26674</v>
      </c>
      <c r="I1593" s="198">
        <v>0</v>
      </c>
      <c r="J1593" s="78">
        <v>6</v>
      </c>
      <c r="K1593" s="5" t="s">
        <v>237</v>
      </c>
      <c r="L1593" s="10">
        <v>42249</v>
      </c>
      <c r="M1593" s="34" t="s">
        <v>218</v>
      </c>
      <c r="N1593" s="147">
        <v>0.27500000000000002</v>
      </c>
      <c r="O1593" s="147">
        <v>1.425</v>
      </c>
      <c r="P1593" s="147">
        <v>0.82499999999999996</v>
      </c>
      <c r="Q1593" s="147">
        <v>0.22500000000000001</v>
      </c>
      <c r="R1593" s="147">
        <v>3.48</v>
      </c>
      <c r="S1593" s="38">
        <f t="shared" si="196"/>
        <v>3.5</v>
      </c>
      <c r="T1593" s="147">
        <v>0</v>
      </c>
      <c r="U1593" s="147">
        <v>0</v>
      </c>
      <c r="V1593" s="147">
        <v>2.75</v>
      </c>
      <c r="W1593" s="147">
        <v>0.96</v>
      </c>
      <c r="X1593" s="201">
        <v>0</v>
      </c>
      <c r="Y1593" s="38">
        <f t="shared" si="197"/>
        <v>0</v>
      </c>
      <c r="Z1593" s="201">
        <v>0</v>
      </c>
      <c r="AA1593" s="201">
        <v>0</v>
      </c>
      <c r="AB1593" s="201">
        <v>0</v>
      </c>
      <c r="AC1593" s="201">
        <v>0</v>
      </c>
      <c r="AD1593" s="147">
        <v>0</v>
      </c>
      <c r="AE1593" s="147">
        <v>0</v>
      </c>
      <c r="AF1593" s="201">
        <v>0</v>
      </c>
      <c r="AG1593" s="38">
        <f t="shared" si="198"/>
        <v>0</v>
      </c>
      <c r="AH1593" s="202"/>
      <c r="AI1593" s="202"/>
      <c r="AJ1593" s="202"/>
    </row>
    <row r="1594" spans="1:88" s="61" customFormat="1">
      <c r="A1594" s="1">
        <v>1593</v>
      </c>
      <c r="B1594" s="34" t="s">
        <v>2137</v>
      </c>
      <c r="C1594" s="5">
        <v>416</v>
      </c>
      <c r="D1594" s="5">
        <v>306</v>
      </c>
      <c r="E1594" s="5">
        <v>200</v>
      </c>
      <c r="F1594" s="5" t="s">
        <v>2150</v>
      </c>
      <c r="G1594" s="53">
        <v>26674</v>
      </c>
      <c r="H1594" s="53">
        <v>23900</v>
      </c>
      <c r="I1594" s="198">
        <v>0</v>
      </c>
      <c r="J1594" s="78">
        <v>6</v>
      </c>
      <c r="K1594" s="5" t="s">
        <v>96</v>
      </c>
      <c r="L1594" s="10">
        <v>42249</v>
      </c>
      <c r="M1594" s="34" t="s">
        <v>218</v>
      </c>
      <c r="N1594" s="147">
        <v>2.5000000000000001E-2</v>
      </c>
      <c r="O1594" s="147">
        <v>0.6</v>
      </c>
      <c r="P1594" s="147">
        <v>1.625</v>
      </c>
      <c r="Q1594" s="147">
        <v>0.47499999999999998</v>
      </c>
      <c r="R1594" s="147">
        <v>4.16</v>
      </c>
      <c r="S1594" s="38">
        <f t="shared" si="196"/>
        <v>4</v>
      </c>
      <c r="T1594" s="147">
        <v>0</v>
      </c>
      <c r="U1594" s="147">
        <v>0</v>
      </c>
      <c r="V1594" s="147">
        <v>2.7250000000000001</v>
      </c>
      <c r="W1594" s="147">
        <v>1.0900000000000001</v>
      </c>
      <c r="X1594" s="201">
        <v>0</v>
      </c>
      <c r="Y1594" s="38">
        <f t="shared" si="197"/>
        <v>0</v>
      </c>
      <c r="Z1594" s="201">
        <v>0</v>
      </c>
      <c r="AA1594" s="201">
        <v>0</v>
      </c>
      <c r="AB1594" s="201">
        <v>0</v>
      </c>
      <c r="AC1594" s="201">
        <v>0</v>
      </c>
      <c r="AD1594" s="147">
        <v>0</v>
      </c>
      <c r="AE1594" s="147">
        <v>0</v>
      </c>
      <c r="AF1594" s="201">
        <v>0</v>
      </c>
      <c r="AG1594" s="38">
        <f t="shared" si="198"/>
        <v>0</v>
      </c>
      <c r="AH1594" s="202"/>
      <c r="AI1594" s="202"/>
      <c r="AJ1594" s="202"/>
    </row>
    <row r="1595" spans="1:88" s="61" customFormat="1">
      <c r="A1595" s="1">
        <v>302</v>
      </c>
      <c r="B1595" s="34" t="s">
        <v>529</v>
      </c>
      <c r="C1595" s="34">
        <v>643</v>
      </c>
      <c r="D1595" s="34">
        <v>212</v>
      </c>
      <c r="E1595" s="34">
        <v>202</v>
      </c>
      <c r="F1595" s="34" t="s">
        <v>533</v>
      </c>
      <c r="G1595" s="58">
        <v>209032</v>
      </c>
      <c r="H1595" s="58">
        <v>242550</v>
      </c>
      <c r="I1595" s="35">
        <v>33.518000000000001</v>
      </c>
      <c r="J1595" s="62">
        <v>2</v>
      </c>
      <c r="K1595" s="34" t="s">
        <v>12</v>
      </c>
      <c r="L1595" s="10">
        <v>42164</v>
      </c>
      <c r="M1595" s="9" t="s">
        <v>191</v>
      </c>
      <c r="N1595" s="38">
        <v>25.925000000000001</v>
      </c>
      <c r="O1595" s="38">
        <v>4.75</v>
      </c>
      <c r="P1595" s="38">
        <v>1.75</v>
      </c>
      <c r="Q1595" s="38">
        <v>1.0249999999999999</v>
      </c>
      <c r="R1595" s="38">
        <v>2.6699199999999998</v>
      </c>
      <c r="S1595" s="38">
        <f t="shared" si="196"/>
        <v>2.5</v>
      </c>
      <c r="T1595" s="38">
        <v>32.25</v>
      </c>
      <c r="U1595" s="38">
        <v>0.95</v>
      </c>
      <c r="V1595" s="38">
        <v>0.125</v>
      </c>
      <c r="W1595" s="38">
        <v>0.125</v>
      </c>
      <c r="X1595" s="38">
        <v>4.6102699999999999</v>
      </c>
      <c r="Y1595" s="38">
        <f t="shared" si="197"/>
        <v>4.5</v>
      </c>
      <c r="Z1595" s="38">
        <v>0</v>
      </c>
      <c r="AA1595" s="38">
        <v>0</v>
      </c>
      <c r="AB1595" s="38">
        <f>T1595+U1595+V1595+W1595</f>
        <v>33.450000000000003</v>
      </c>
      <c r="AC1595" s="38">
        <v>1.4025700000000001</v>
      </c>
      <c r="AD1595" s="38">
        <v>0</v>
      </c>
      <c r="AE1595" s="38">
        <v>74</v>
      </c>
      <c r="AF1595" s="38">
        <v>3.1539999999999999E-2</v>
      </c>
      <c r="AG1595" s="38">
        <f t="shared" si="198"/>
        <v>0</v>
      </c>
      <c r="AH1595" s="56">
        <v>0</v>
      </c>
      <c r="AI1595" s="56">
        <v>0</v>
      </c>
      <c r="AJ1595" s="56">
        <v>0</v>
      </c>
      <c r="AK1595" s="56">
        <v>0</v>
      </c>
      <c r="AL1595" s="56">
        <v>0</v>
      </c>
      <c r="AM1595" s="56">
        <v>0</v>
      </c>
      <c r="AN1595" s="25"/>
      <c r="AO1595" s="25"/>
      <c r="AP1595" s="25">
        <f>AE1595*0.5</f>
        <v>37</v>
      </c>
      <c r="AQ1595" s="25">
        <f>(AD1595+AH1595+AJ1595+AL1595+AP1595)*I1595</f>
        <v>1240.1659999999999</v>
      </c>
      <c r="AR1595" s="25">
        <f>SUM(N1595:Q1595)</f>
        <v>33.449999999999996</v>
      </c>
      <c r="AS1595" s="25">
        <f>SUM(T1595:W1595)</f>
        <v>33.450000000000003</v>
      </c>
      <c r="AT1595" s="22"/>
      <c r="AU1595" s="41">
        <f>SUM(N1595:Q1595)</f>
        <v>33.449999999999996</v>
      </c>
      <c r="AV1595" s="41">
        <f>SUM(T1595:W1595)</f>
        <v>33.450000000000003</v>
      </c>
      <c r="AW1595" s="41">
        <f>SUM(Z1595:AB1595)</f>
        <v>33.450000000000003</v>
      </c>
      <c r="AX1595" s="22"/>
      <c r="AY1595" s="22">
        <f>I1595/AU1595</f>
        <v>1.0020328849028401</v>
      </c>
      <c r="AZ1595" s="22">
        <f>I1595/AV1595</f>
        <v>1.0020328849028399</v>
      </c>
      <c r="BA1595" s="22">
        <f>I1595/AW1595</f>
        <v>1.0020328849028399</v>
      </c>
      <c r="BB1595" s="22"/>
      <c r="BC1595" s="22"/>
      <c r="BD1595" s="22"/>
      <c r="BE1595" s="22"/>
      <c r="BF1595" s="22"/>
      <c r="BG1595" s="22"/>
      <c r="BH1595" s="22"/>
      <c r="BI1595" s="22"/>
      <c r="BJ1595" s="22"/>
      <c r="BK1595" s="22"/>
      <c r="BL1595" s="22"/>
      <c r="BM1595" s="22"/>
      <c r="BN1595" s="22"/>
      <c r="BO1595" s="22"/>
      <c r="BP1595" s="22"/>
      <c r="BQ1595" s="22"/>
      <c r="BR1595" s="22"/>
      <c r="BS1595" s="22"/>
      <c r="BT1595" s="22"/>
      <c r="BU1595" s="22"/>
      <c r="BV1595" s="22"/>
      <c r="BW1595" s="22"/>
      <c r="BX1595" s="22"/>
      <c r="BY1595" s="22"/>
      <c r="BZ1595" s="22"/>
      <c r="CA1595" s="22"/>
      <c r="CB1595" s="22"/>
      <c r="CC1595" s="22"/>
      <c r="CD1595" s="22"/>
      <c r="CE1595" s="22"/>
      <c r="CF1595" s="22"/>
      <c r="CG1595" s="22"/>
      <c r="CH1595" s="22"/>
      <c r="CI1595" s="22"/>
      <c r="CJ1595" s="22"/>
    </row>
    <row r="1596" spans="1:88" s="61" customFormat="1">
      <c r="A1596" s="1">
        <v>1788</v>
      </c>
      <c r="B1596" s="34" t="s">
        <v>2382</v>
      </c>
      <c r="C1596" s="34">
        <v>428</v>
      </c>
      <c r="D1596" s="8">
        <v>361</v>
      </c>
      <c r="E1596" s="34">
        <v>200</v>
      </c>
      <c r="F1596" s="34" t="s">
        <v>2312</v>
      </c>
      <c r="G1596" s="58">
        <v>9000</v>
      </c>
      <c r="H1596" s="58">
        <v>14216</v>
      </c>
      <c r="I1596" s="35">
        <v>5.2160000000000002</v>
      </c>
      <c r="J1596" s="9">
        <v>6</v>
      </c>
      <c r="K1596" s="34" t="s">
        <v>237</v>
      </c>
      <c r="L1596" s="10">
        <v>42230</v>
      </c>
      <c r="M1596" s="9" t="s">
        <v>191</v>
      </c>
      <c r="N1596" s="38">
        <v>2.875</v>
      </c>
      <c r="O1596" s="38">
        <v>1.675</v>
      </c>
      <c r="P1596" s="38">
        <v>0.42499999999999999</v>
      </c>
      <c r="Q1596" s="38">
        <v>0.05</v>
      </c>
      <c r="R1596" s="38">
        <v>2.6225800000000001</v>
      </c>
      <c r="S1596" s="38">
        <f t="shared" si="196"/>
        <v>2.5</v>
      </c>
      <c r="T1596" s="38">
        <v>4.3499999999999996</v>
      </c>
      <c r="U1596" s="38">
        <v>0.47499999999999998</v>
      </c>
      <c r="V1596" s="38">
        <v>0.1</v>
      </c>
      <c r="W1596" s="38">
        <v>0.1</v>
      </c>
      <c r="X1596" s="38">
        <v>7.1503899999999998</v>
      </c>
      <c r="Y1596" s="38">
        <f t="shared" si="197"/>
        <v>7</v>
      </c>
      <c r="Z1596" s="38">
        <v>0</v>
      </c>
      <c r="AA1596" s="38">
        <v>0</v>
      </c>
      <c r="AB1596" s="38">
        <f>SUM(N1596:Q1596)</f>
        <v>5.0249999999999995</v>
      </c>
      <c r="AC1596" s="38">
        <v>1.30298</v>
      </c>
      <c r="AD1596" s="38">
        <v>0</v>
      </c>
      <c r="AE1596" s="38">
        <v>11.47</v>
      </c>
      <c r="AF1596" s="38">
        <f>(AD1596+AE1596*0.5)/(3.5*I1596*1000)*100</f>
        <v>3.1414329535495181E-2</v>
      </c>
      <c r="AG1596" s="38">
        <f t="shared" si="198"/>
        <v>0</v>
      </c>
      <c r="AH1596" s="56">
        <v>0</v>
      </c>
      <c r="AI1596" s="56">
        <f>AH1596/(3.5*I1596*1000)*100</f>
        <v>0</v>
      </c>
      <c r="AJ1596" s="56">
        <v>0</v>
      </c>
      <c r="AK1596" s="56">
        <f>AJ1596/(3.5*I1596*1000)*100</f>
        <v>0</v>
      </c>
      <c r="AL1596" s="56">
        <v>0</v>
      </c>
      <c r="AM1596" s="56">
        <f>AL1596/(3.5*I1596*1000)*100</f>
        <v>0</v>
      </c>
      <c r="AN1596" s="25"/>
      <c r="AO1596" s="25">
        <f>AE1596*0.5</f>
        <v>5.7350000000000003</v>
      </c>
      <c r="AP1596" s="25">
        <f>(AD1596+AH1596+AJ1596+AL1596+AO1596)*I1596</f>
        <v>29.913760000000003</v>
      </c>
      <c r="AQ1596" s="25">
        <f>SUM(N1596:Q1596)</f>
        <v>5.0249999999999995</v>
      </c>
      <c r="AR1596" s="25">
        <f>SUM(T1596:W1596)</f>
        <v>5.0249999999999986</v>
      </c>
      <c r="AS1596" s="22"/>
      <c r="AT1596" s="41"/>
      <c r="AU1596" s="41"/>
      <c r="AV1596" s="41"/>
      <c r="AW1596" s="41"/>
      <c r="AX1596" s="22"/>
      <c r="AY1596" s="22"/>
      <c r="AZ1596" s="22"/>
      <c r="BA1596" s="22"/>
      <c r="BB1596" s="22"/>
      <c r="BC1596" s="22"/>
      <c r="BD1596" s="22"/>
      <c r="BE1596" s="22"/>
      <c r="BF1596" s="22"/>
      <c r="BG1596" s="22"/>
      <c r="BH1596" s="22"/>
      <c r="BI1596" s="22"/>
      <c r="BJ1596" s="22"/>
      <c r="BK1596" s="22"/>
      <c r="BL1596" s="22"/>
      <c r="BM1596" s="22"/>
      <c r="BN1596" s="22"/>
      <c r="BO1596" s="22"/>
      <c r="BP1596" s="22"/>
      <c r="BQ1596" s="22"/>
      <c r="BR1596" s="22"/>
      <c r="BS1596" s="22"/>
      <c r="BT1596" s="22"/>
      <c r="BU1596" s="22"/>
      <c r="BV1596" s="22"/>
      <c r="BW1596" s="22"/>
      <c r="BX1596" s="22"/>
      <c r="BY1596" s="22"/>
      <c r="BZ1596" s="22"/>
      <c r="CA1596" s="22"/>
      <c r="CB1596" s="22"/>
      <c r="CC1596" s="22"/>
      <c r="CD1596" s="22"/>
      <c r="CE1596" s="22"/>
      <c r="CF1596" s="22"/>
      <c r="CG1596" s="22"/>
      <c r="CH1596" s="22"/>
      <c r="CI1596" s="22"/>
      <c r="CJ1596" s="22"/>
    </row>
    <row r="1597" spans="1:88" s="61" customFormat="1">
      <c r="A1597" s="1">
        <v>337</v>
      </c>
      <c r="B1597" s="34" t="s">
        <v>557</v>
      </c>
      <c r="C1597" s="34">
        <v>646</v>
      </c>
      <c r="D1597" s="34">
        <v>2267</v>
      </c>
      <c r="E1597" s="34">
        <v>102</v>
      </c>
      <c r="F1597" s="34" t="s">
        <v>570</v>
      </c>
      <c r="G1597" s="58">
        <v>37763</v>
      </c>
      <c r="H1597" s="58">
        <v>48262</v>
      </c>
      <c r="I1597" s="35">
        <v>10.499000000000001</v>
      </c>
      <c r="J1597" s="62">
        <v>2</v>
      </c>
      <c r="K1597" s="34" t="s">
        <v>12</v>
      </c>
      <c r="L1597" s="10">
        <v>42164</v>
      </c>
      <c r="M1597" s="9" t="s">
        <v>191</v>
      </c>
      <c r="N1597" s="38">
        <v>7.125</v>
      </c>
      <c r="O1597" s="38">
        <v>2.2999999999999998</v>
      </c>
      <c r="P1597" s="38">
        <v>0.875</v>
      </c>
      <c r="Q1597" s="38">
        <v>0.17499999999999999</v>
      </c>
      <c r="R1597" s="38">
        <v>2.6279499999999998</v>
      </c>
      <c r="S1597" s="38">
        <f t="shared" si="196"/>
        <v>2.5</v>
      </c>
      <c r="T1597" s="38">
        <v>10.074999999999999</v>
      </c>
      <c r="U1597" s="38">
        <v>0.35</v>
      </c>
      <c r="V1597" s="38">
        <v>2.5000000000000001E-2</v>
      </c>
      <c r="W1597" s="38">
        <v>2.5000000000000001E-2</v>
      </c>
      <c r="X1597" s="38">
        <v>4.0752199999999998</v>
      </c>
      <c r="Y1597" s="38">
        <f t="shared" si="197"/>
        <v>4</v>
      </c>
      <c r="Z1597" s="38">
        <v>0</v>
      </c>
      <c r="AA1597" s="38">
        <v>0</v>
      </c>
      <c r="AB1597" s="38">
        <f>T1597+U1597+V1597+W1597</f>
        <v>10.475</v>
      </c>
      <c r="AC1597" s="38">
        <v>1.0900300000000001</v>
      </c>
      <c r="AD1597" s="38">
        <v>2</v>
      </c>
      <c r="AE1597" s="38">
        <v>19</v>
      </c>
      <c r="AF1597" s="38">
        <v>3.1300000000000001E-2</v>
      </c>
      <c r="AG1597" s="38">
        <f t="shared" si="198"/>
        <v>0</v>
      </c>
      <c r="AH1597" s="56">
        <v>0</v>
      </c>
      <c r="AI1597" s="56">
        <v>0</v>
      </c>
      <c r="AJ1597" s="56">
        <v>0</v>
      </c>
      <c r="AK1597" s="56">
        <v>0</v>
      </c>
      <c r="AL1597" s="56">
        <v>0</v>
      </c>
      <c r="AM1597" s="56">
        <v>0</v>
      </c>
      <c r="AN1597" s="25"/>
      <c r="AO1597" s="25">
        <f>AE1597*0.5</f>
        <v>9.5</v>
      </c>
      <c r="AP1597" s="25">
        <f>(AD1597+AH1597+AJ1597+AL1597+AO1597)*I1597</f>
        <v>120.7385</v>
      </c>
      <c r="AQ1597" s="25">
        <f>SUM(N1597:Q1597)</f>
        <v>10.475000000000001</v>
      </c>
      <c r="AR1597" s="25">
        <f>SUM(T1597:W1597)</f>
        <v>10.475</v>
      </c>
      <c r="AS1597" s="22"/>
      <c r="AT1597" s="41"/>
      <c r="AU1597" s="41">
        <f>SUM(N1597:Q1597)</f>
        <v>10.475000000000001</v>
      </c>
      <c r="AV1597" s="41">
        <f>SUM(T1597:W1597)</f>
        <v>10.475</v>
      </c>
      <c r="AW1597" s="41">
        <f>SUM(Z1597:AB1597)</f>
        <v>10.475</v>
      </c>
      <c r="AX1597" s="22"/>
      <c r="AY1597" s="22">
        <f>I1597/AU1597</f>
        <v>1.0022911694510739</v>
      </c>
      <c r="AZ1597" s="22">
        <f>I1597/AV1597</f>
        <v>1.0022911694510741</v>
      </c>
      <c r="BA1597" s="22">
        <f>I1597/AW1597</f>
        <v>1.0022911694510741</v>
      </c>
      <c r="BB1597" s="22"/>
      <c r="BC1597" s="22"/>
      <c r="BD1597" s="22"/>
      <c r="BE1597" s="22"/>
      <c r="BF1597" s="22"/>
      <c r="BG1597" s="22"/>
      <c r="BH1597" s="22"/>
      <c r="BI1597" s="22"/>
      <c r="BJ1597" s="22"/>
      <c r="BK1597" s="22"/>
      <c r="BL1597" s="22"/>
      <c r="BM1597" s="22"/>
      <c r="BN1597" s="22"/>
      <c r="BO1597" s="22"/>
      <c r="BP1597" s="22"/>
      <c r="BQ1597" s="22"/>
      <c r="BR1597" s="22"/>
      <c r="BS1597" s="22"/>
      <c r="BT1597" s="22"/>
      <c r="BU1597" s="22"/>
      <c r="BV1597" s="22"/>
      <c r="BW1597" s="22"/>
      <c r="BX1597" s="22"/>
      <c r="BY1597" s="22"/>
      <c r="BZ1597" s="22"/>
      <c r="CA1597" s="22"/>
      <c r="CB1597" s="22"/>
      <c r="CC1597" s="22"/>
      <c r="CD1597" s="22"/>
      <c r="CE1597" s="22"/>
      <c r="CF1597" s="22"/>
      <c r="CG1597" s="22"/>
      <c r="CH1597" s="22"/>
      <c r="CI1597" s="22"/>
      <c r="CJ1597" s="22"/>
    </row>
    <row r="1598" spans="1:88" s="61" customFormat="1">
      <c r="A1598" s="1">
        <v>2095</v>
      </c>
      <c r="B1598" s="34" t="s">
        <v>2732</v>
      </c>
      <c r="C1598" s="34">
        <v>323</v>
      </c>
      <c r="D1598" s="75">
        <v>4202</v>
      </c>
      <c r="E1598" s="8">
        <v>100</v>
      </c>
      <c r="F1598" s="9" t="s">
        <v>2744</v>
      </c>
      <c r="G1598" s="20">
        <v>0</v>
      </c>
      <c r="H1598" s="20">
        <v>5462</v>
      </c>
      <c r="I1598" s="21">
        <v>5.4619999999999997</v>
      </c>
      <c r="J1598" s="9">
        <v>2</v>
      </c>
      <c r="K1598" s="34" t="s">
        <v>238</v>
      </c>
      <c r="L1598" s="18">
        <v>42132</v>
      </c>
      <c r="M1598" s="9" t="s">
        <v>191</v>
      </c>
      <c r="N1598" s="38">
        <v>4.4000000000000004</v>
      </c>
      <c r="O1598" s="38">
        <v>0.7</v>
      </c>
      <c r="P1598" s="38">
        <v>0.26</v>
      </c>
      <c r="Q1598" s="38">
        <v>0.1</v>
      </c>
      <c r="R1598" s="38">
        <v>2.08548</v>
      </c>
      <c r="S1598" s="38">
        <f t="shared" si="196"/>
        <v>2</v>
      </c>
      <c r="T1598" s="38">
        <v>5.28</v>
      </c>
      <c r="U1598" s="38">
        <v>0.18</v>
      </c>
      <c r="V1598" s="38">
        <v>0</v>
      </c>
      <c r="W1598" s="38">
        <v>0</v>
      </c>
      <c r="X1598" s="38">
        <v>2.4668000000000001</v>
      </c>
      <c r="Y1598" s="38">
        <f t="shared" si="197"/>
        <v>2.5</v>
      </c>
      <c r="Z1598" s="38">
        <v>0</v>
      </c>
      <c r="AA1598" s="38">
        <v>0</v>
      </c>
      <c r="AB1598" s="38">
        <v>5.46</v>
      </c>
      <c r="AC1598" s="38">
        <v>1.1628700000000001</v>
      </c>
      <c r="AD1598" s="38">
        <v>5.98</v>
      </c>
      <c r="AE1598" s="38">
        <v>0</v>
      </c>
      <c r="AF1598" s="38">
        <f>(AD1598+AE1598*0.5)/(3.5*I1598*1000)*100</f>
        <v>3.1281058743526713E-2</v>
      </c>
      <c r="AG1598" s="38">
        <f t="shared" si="198"/>
        <v>0</v>
      </c>
      <c r="AH1598" s="56">
        <v>1.62</v>
      </c>
      <c r="AI1598" s="56">
        <f>AH1598/(3.5*I1598*1000)*100</f>
        <v>8.4741329706543942E-3</v>
      </c>
      <c r="AJ1598" s="56">
        <v>0</v>
      </c>
      <c r="AK1598" s="56">
        <v>0</v>
      </c>
      <c r="AL1598" s="56">
        <v>0</v>
      </c>
      <c r="AM1598" s="56">
        <f>AL1598/(3.5*I1598*1000)*100</f>
        <v>0</v>
      </c>
      <c r="AN1598" s="25"/>
      <c r="AO1598" s="25"/>
      <c r="AP1598" s="22"/>
      <c r="AQ1598" s="41">
        <f>SUM(N1598:Q1598)</f>
        <v>5.46</v>
      </c>
      <c r="AR1598" s="41">
        <f>SUM(T1598:W1598)</f>
        <v>5.46</v>
      </c>
      <c r="AS1598" s="12">
        <f>SUM(Z1598:AB1598)</f>
        <v>5.46</v>
      </c>
      <c r="AT1598" s="1"/>
      <c r="AU1598" s="1">
        <f>I1598/AQ1598</f>
        <v>1.0003663003663004</v>
      </c>
      <c r="AV1598" s="1">
        <f>I1598/AR1598</f>
        <v>1.0003663003663004</v>
      </c>
      <c r="AW1598" s="1">
        <f>I1598/AS1598</f>
        <v>1.0003663003663004</v>
      </c>
      <c r="AX1598" s="22"/>
      <c r="AY1598" s="22"/>
      <c r="AZ1598" s="22"/>
      <c r="BA1598" s="22"/>
      <c r="BB1598" s="22"/>
      <c r="BC1598" s="22"/>
      <c r="BD1598" s="22"/>
      <c r="BE1598" s="22"/>
      <c r="BF1598" s="22"/>
      <c r="BG1598" s="22"/>
      <c r="BH1598" s="22"/>
      <c r="BI1598" s="22"/>
      <c r="BJ1598" s="22"/>
      <c r="BK1598" s="22"/>
      <c r="BL1598" s="22"/>
      <c r="BM1598" s="22"/>
      <c r="BN1598" s="22"/>
      <c r="BO1598" s="22"/>
      <c r="BP1598" s="22"/>
      <c r="BQ1598" s="22"/>
      <c r="BR1598" s="22"/>
      <c r="BS1598" s="22"/>
      <c r="BT1598" s="22"/>
      <c r="BU1598" s="22"/>
      <c r="BV1598" s="22"/>
      <c r="BW1598" s="22"/>
      <c r="BX1598" s="22"/>
      <c r="BY1598" s="22"/>
      <c r="BZ1598" s="22"/>
      <c r="CA1598" s="22"/>
      <c r="CB1598" s="22"/>
      <c r="CC1598" s="22"/>
      <c r="CD1598" s="22"/>
      <c r="CE1598" s="22"/>
      <c r="CF1598" s="22"/>
      <c r="CG1598" s="22"/>
      <c r="CH1598" s="22"/>
      <c r="CI1598" s="22"/>
      <c r="CJ1598" s="22"/>
    </row>
    <row r="1599" spans="1:88" s="61" customFormat="1">
      <c r="A1599" s="1">
        <v>1185</v>
      </c>
      <c r="B1599" s="34" t="s">
        <v>1639</v>
      </c>
      <c r="C1599" s="34">
        <v>433</v>
      </c>
      <c r="D1599" s="34">
        <v>3032</v>
      </c>
      <c r="E1599" s="34">
        <v>100</v>
      </c>
      <c r="F1599" s="34" t="s">
        <v>1661</v>
      </c>
      <c r="G1599" s="58" t="s">
        <v>1662</v>
      </c>
      <c r="H1599" s="58" t="s">
        <v>92</v>
      </c>
      <c r="I1599" s="55">
        <v>32.362000000000002</v>
      </c>
      <c r="J1599" s="34">
        <v>2</v>
      </c>
      <c r="K1599" s="34" t="s">
        <v>12</v>
      </c>
      <c r="L1599" s="10">
        <v>42282</v>
      </c>
      <c r="M1599" s="9" t="s">
        <v>191</v>
      </c>
      <c r="N1599" s="38">
        <v>19.100000000000001</v>
      </c>
      <c r="O1599" s="38">
        <v>10.475</v>
      </c>
      <c r="P1599" s="38">
        <v>2.7</v>
      </c>
      <c r="Q1599" s="38">
        <v>1.0249999999999999</v>
      </c>
      <c r="R1599" s="38">
        <v>2.66188</v>
      </c>
      <c r="S1599" s="38">
        <f t="shared" si="196"/>
        <v>2.5</v>
      </c>
      <c r="T1599" s="38">
        <v>29.05</v>
      </c>
      <c r="U1599" s="38">
        <v>2.7749999999999999</v>
      </c>
      <c r="V1599" s="38">
        <v>0.7</v>
      </c>
      <c r="W1599" s="38">
        <v>0.125</v>
      </c>
      <c r="X1599" s="38">
        <v>5.2993100000000002</v>
      </c>
      <c r="Y1599" s="38">
        <f t="shared" si="197"/>
        <v>5.5</v>
      </c>
      <c r="Z1599" s="38">
        <v>0</v>
      </c>
      <c r="AA1599" s="38">
        <v>0</v>
      </c>
      <c r="AB1599" s="38">
        <v>32.362000000000002</v>
      </c>
      <c r="AC1599" s="38">
        <v>1.264</v>
      </c>
      <c r="AD1599" s="38">
        <v>32.979999999999997</v>
      </c>
      <c r="AE1599" s="38">
        <v>4.21</v>
      </c>
      <c r="AF1599" s="38">
        <f>(AD1599+AE1599*0.5)/(3.5*I1599*1000)*100</f>
        <v>3.0975482708997314E-2</v>
      </c>
      <c r="AG1599" s="38">
        <f t="shared" si="198"/>
        <v>0</v>
      </c>
      <c r="AH1599" s="56">
        <v>18.2</v>
      </c>
      <c r="AI1599" s="56">
        <f>AH1599/(3.5*I1599*1000)*100</f>
        <v>1.6068228168839994E-2</v>
      </c>
      <c r="AJ1599" s="56">
        <v>0</v>
      </c>
      <c r="AK1599" s="56">
        <f>AJ1599/(3.5*I1599*1000)*100</f>
        <v>0</v>
      </c>
      <c r="AL1599" s="56">
        <v>0</v>
      </c>
      <c r="AM1599" s="56">
        <f>AJ1599/(3.5*I1599*1000)*100</f>
        <v>0</v>
      </c>
      <c r="AN1599" s="25"/>
      <c r="AO1599" s="22"/>
      <c r="AP1599" s="22"/>
      <c r="AQ1599" s="22"/>
      <c r="AR1599" s="22"/>
      <c r="AS1599" s="22"/>
      <c r="AT1599" s="22"/>
      <c r="AU1599" s="22"/>
      <c r="AV1599" s="22"/>
      <c r="AW1599" s="22"/>
      <c r="AX1599" s="22"/>
      <c r="AY1599" s="22"/>
      <c r="AZ1599" s="22"/>
      <c r="BA1599" s="22"/>
      <c r="BB1599" s="22"/>
      <c r="BC1599" s="22"/>
      <c r="BD1599" s="22"/>
      <c r="BE1599" s="22"/>
      <c r="BF1599" s="22"/>
      <c r="BG1599" s="22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</row>
    <row r="1600" spans="1:88" s="61" customFormat="1">
      <c r="A1600" s="1">
        <v>1144</v>
      </c>
      <c r="B1600" s="74" t="s">
        <v>1577</v>
      </c>
      <c r="C1600" s="34">
        <v>432</v>
      </c>
      <c r="D1600" s="34">
        <v>3034</v>
      </c>
      <c r="E1600" s="34">
        <v>100</v>
      </c>
      <c r="F1600" s="34" t="s">
        <v>1595</v>
      </c>
      <c r="G1600" s="34" t="s">
        <v>1596</v>
      </c>
      <c r="H1600" s="34" t="s">
        <v>92</v>
      </c>
      <c r="I1600" s="55">
        <v>20.094000000000001</v>
      </c>
      <c r="J1600" s="5">
        <v>2</v>
      </c>
      <c r="K1600" s="34" t="s">
        <v>12</v>
      </c>
      <c r="L1600" s="10">
        <v>42282</v>
      </c>
      <c r="M1600" s="9" t="s">
        <v>191</v>
      </c>
      <c r="N1600" s="38">
        <v>10.275</v>
      </c>
      <c r="O1600" s="38">
        <v>4.625</v>
      </c>
      <c r="P1600" s="38">
        <v>2.1</v>
      </c>
      <c r="Q1600" s="38">
        <v>3.1</v>
      </c>
      <c r="R1600" s="38">
        <v>3.3400400000000001</v>
      </c>
      <c r="S1600" s="38">
        <f t="shared" si="196"/>
        <v>3.5</v>
      </c>
      <c r="T1600" s="38">
        <v>18.274999999999999</v>
      </c>
      <c r="U1600" s="38">
        <v>1.0249999999999999</v>
      </c>
      <c r="V1600" s="38">
        <v>0.45</v>
      </c>
      <c r="W1600" s="38">
        <v>0.35</v>
      </c>
      <c r="X1600" s="38">
        <v>4.1506499999999997</v>
      </c>
      <c r="Y1600" s="38">
        <f t="shared" si="197"/>
        <v>4</v>
      </c>
      <c r="Z1600" s="38">
        <v>0</v>
      </c>
      <c r="AA1600" s="38">
        <v>0</v>
      </c>
      <c r="AB1600" s="38">
        <v>20.100000000000001</v>
      </c>
      <c r="AC1600" s="38">
        <v>1.54312</v>
      </c>
      <c r="AD1600" s="38">
        <v>20.309999999999999</v>
      </c>
      <c r="AE1600" s="38">
        <v>2.68</v>
      </c>
      <c r="AF1600" s="38">
        <v>3.0783999999999999E-2</v>
      </c>
      <c r="AG1600" s="38">
        <f t="shared" si="198"/>
        <v>0</v>
      </c>
      <c r="AH1600" s="56">
        <v>14.98</v>
      </c>
      <c r="AI1600" s="56">
        <v>2.1299999999999999E-2</v>
      </c>
      <c r="AJ1600" s="56">
        <v>0</v>
      </c>
      <c r="AK1600" s="56">
        <v>0</v>
      </c>
      <c r="AL1600" s="56">
        <v>1.204</v>
      </c>
      <c r="AM1600" s="56">
        <v>1.712E-3</v>
      </c>
      <c r="AN1600" s="114"/>
      <c r="AO1600" s="73"/>
      <c r="AP1600" s="22"/>
      <c r="AQ1600" s="22"/>
      <c r="AR1600" s="22"/>
      <c r="AS1600" s="22"/>
      <c r="AT1600" s="22"/>
      <c r="AU1600" s="22"/>
      <c r="AV1600" s="22"/>
      <c r="AW1600" s="22"/>
      <c r="AX1600" s="22"/>
      <c r="AY1600" s="22"/>
      <c r="AZ1600" s="22"/>
      <c r="BA1600" s="22"/>
      <c r="BB1600" s="22"/>
      <c r="BC1600" s="22"/>
      <c r="BD1600" s="22"/>
      <c r="BE1600" s="22"/>
      <c r="BF1600" s="22"/>
      <c r="BG1600" s="22"/>
      <c r="BH1600" s="22"/>
      <c r="BI1600" s="22"/>
      <c r="BJ1600" s="22"/>
      <c r="BK1600" s="22"/>
      <c r="BL1600" s="22"/>
      <c r="BM1600" s="22"/>
      <c r="BN1600" s="22"/>
      <c r="BO1600" s="22"/>
      <c r="BP1600" s="22"/>
      <c r="BQ1600" s="22"/>
      <c r="BR1600" s="22"/>
      <c r="BS1600" s="22"/>
      <c r="BT1600" s="22"/>
      <c r="BU1600" s="22"/>
      <c r="BV1600" s="22"/>
      <c r="BW1600" s="22"/>
      <c r="BX1600" s="22"/>
      <c r="BY1600" s="22"/>
      <c r="BZ1600" s="22"/>
      <c r="CA1600" s="22"/>
      <c r="CB1600" s="22"/>
      <c r="CC1600" s="22"/>
      <c r="CD1600" s="22"/>
      <c r="CE1600" s="22"/>
      <c r="CF1600" s="22"/>
      <c r="CG1600" s="22"/>
      <c r="CH1600" s="22"/>
      <c r="CI1600" s="22"/>
      <c r="CJ1600" s="22"/>
    </row>
    <row r="1601" spans="1:88" s="61" customFormat="1">
      <c r="A1601" s="1">
        <v>108</v>
      </c>
      <c r="B1601" s="4" t="s">
        <v>78</v>
      </c>
      <c r="C1601" s="14">
        <v>527</v>
      </c>
      <c r="D1601" s="19">
        <v>107</v>
      </c>
      <c r="E1601" s="16">
        <v>204</v>
      </c>
      <c r="F1601" s="31" t="s">
        <v>79</v>
      </c>
      <c r="G1601" s="20">
        <v>138993</v>
      </c>
      <c r="H1601" s="20">
        <v>205121</v>
      </c>
      <c r="I1601" s="21">
        <v>66.128</v>
      </c>
      <c r="J1601" s="8">
        <v>2</v>
      </c>
      <c r="K1601" s="9" t="s">
        <v>238</v>
      </c>
      <c r="L1601" s="18">
        <v>42239</v>
      </c>
      <c r="M1601" s="9" t="s">
        <v>191</v>
      </c>
      <c r="N1601" s="11">
        <v>42.16</v>
      </c>
      <c r="O1601" s="11">
        <v>15.88</v>
      </c>
      <c r="P1601" s="11">
        <v>6.09</v>
      </c>
      <c r="Q1601" s="11">
        <v>2</v>
      </c>
      <c r="R1601" s="11">
        <v>2.4116599999999999</v>
      </c>
      <c r="S1601" s="38">
        <f t="shared" si="196"/>
        <v>2.5</v>
      </c>
      <c r="T1601" s="11">
        <v>64.48</v>
      </c>
      <c r="U1601" s="11">
        <v>1.22</v>
      </c>
      <c r="V1601" s="11">
        <v>0.27</v>
      </c>
      <c r="W1601" s="11">
        <v>0.15</v>
      </c>
      <c r="X1601" s="11">
        <v>2.8271600000000001</v>
      </c>
      <c r="Y1601" s="38">
        <f t="shared" si="197"/>
        <v>3</v>
      </c>
      <c r="Z1601" s="11">
        <v>0</v>
      </c>
      <c r="AA1601" s="11">
        <v>0</v>
      </c>
      <c r="AB1601" s="11">
        <v>66.13</v>
      </c>
      <c r="AC1601" s="11">
        <v>1.06253</v>
      </c>
      <c r="AD1601" s="11">
        <v>57.12</v>
      </c>
      <c r="AE1601" s="11">
        <v>27.9</v>
      </c>
      <c r="AF1601" s="11">
        <f>(AD1601+AE1601*0.5)/(3.5*I1601*1000)*100</f>
        <v>3.0706681414399774E-2</v>
      </c>
      <c r="AG1601" s="38">
        <f t="shared" si="198"/>
        <v>0</v>
      </c>
      <c r="AH1601" s="259">
        <v>12.83</v>
      </c>
      <c r="AI1601" s="259">
        <f>AH1601/(3.5*I1601*1000)*100</f>
        <v>5.543361791849573E-3</v>
      </c>
      <c r="AJ1601" s="259">
        <v>10.8</v>
      </c>
      <c r="AK1601" s="259">
        <f>AJ1601/(3.5*I1601*1000)*100</f>
        <v>4.6662749300058759E-3</v>
      </c>
      <c r="AL1601" s="259">
        <v>1.75</v>
      </c>
      <c r="AM1601" s="259">
        <f>AL1601/(3.5*I1601*1000)*100</f>
        <v>7.5610936365835954E-4</v>
      </c>
      <c r="AN1601" s="22"/>
      <c r="AO1601" s="25"/>
      <c r="AP1601" s="25">
        <f>SUM(N1601:Q1601)</f>
        <v>66.13</v>
      </c>
      <c r="AQ1601" s="25">
        <f>SUM(T1601:W1601)</f>
        <v>66.12</v>
      </c>
      <c r="AR1601" s="25">
        <f>SUM(Z1601:AB1601)</f>
        <v>66.13</v>
      </c>
      <c r="AS1601" s="22"/>
      <c r="AT1601" s="22">
        <f>I1601/AP1601</f>
        <v>0.9999697565401483</v>
      </c>
      <c r="AU1601" s="22">
        <f>I1601/AQ1601</f>
        <v>1.0001209921355112</v>
      </c>
      <c r="AV1601" s="22">
        <f>I1601/AR1601</f>
        <v>0.9999697565401483</v>
      </c>
      <c r="AW1601" s="22"/>
      <c r="AX1601" s="22"/>
      <c r="AY1601" s="22"/>
      <c r="AZ1601" s="22"/>
      <c r="BA1601" s="22"/>
      <c r="BB1601" s="22"/>
      <c r="BC1601" s="22"/>
      <c r="BD1601" s="22"/>
      <c r="BE1601" s="22"/>
      <c r="BF1601" s="22"/>
      <c r="BG1601" s="22"/>
      <c r="BH1601" s="22"/>
      <c r="BI1601" s="22"/>
      <c r="BJ1601" s="22"/>
      <c r="BK1601" s="22"/>
      <c r="BL1601" s="22"/>
      <c r="BM1601" s="22"/>
      <c r="BN1601" s="22"/>
      <c r="BO1601" s="22"/>
      <c r="BP1601" s="22"/>
      <c r="BQ1601" s="22"/>
      <c r="BR1601" s="22"/>
      <c r="BS1601" s="22"/>
      <c r="BT1601" s="22"/>
      <c r="BU1601" s="22"/>
      <c r="BV1601" s="22"/>
      <c r="BW1601" s="22"/>
      <c r="BX1601" s="22"/>
      <c r="BY1601" s="22"/>
      <c r="BZ1601" s="22"/>
      <c r="CA1601" s="22"/>
      <c r="CB1601" s="22"/>
      <c r="CC1601" s="22"/>
      <c r="CD1601" s="22"/>
      <c r="CE1601" s="22"/>
      <c r="CF1601" s="22"/>
      <c r="CG1601" s="22"/>
      <c r="CH1601" s="22"/>
      <c r="CI1601" s="22"/>
      <c r="CJ1601" s="22"/>
    </row>
    <row r="1602" spans="1:88" s="61" customFormat="1">
      <c r="A1602" s="1">
        <v>1880</v>
      </c>
      <c r="B1602" s="34" t="s">
        <v>2495</v>
      </c>
      <c r="C1602" s="34">
        <v>335</v>
      </c>
      <c r="D1602" s="75">
        <v>3291</v>
      </c>
      <c r="E1602" s="8">
        <v>102</v>
      </c>
      <c r="F1602" s="9" t="s">
        <v>2514</v>
      </c>
      <c r="G1602" s="20">
        <v>25032</v>
      </c>
      <c r="H1602" s="20">
        <v>14207</v>
      </c>
      <c r="I1602" s="21">
        <v>10.824999999999999</v>
      </c>
      <c r="J1602" s="34">
        <v>2</v>
      </c>
      <c r="K1602" s="34" t="s">
        <v>12</v>
      </c>
      <c r="L1602" s="18">
        <v>42095</v>
      </c>
      <c r="M1602" s="207" t="s">
        <v>191</v>
      </c>
      <c r="N1602" s="38">
        <v>2.0299999999999998</v>
      </c>
      <c r="O1602" s="38">
        <v>5.6</v>
      </c>
      <c r="P1602" s="38">
        <v>2.5299999999999998</v>
      </c>
      <c r="Q1602" s="38">
        <v>0.68</v>
      </c>
      <c r="R1602" s="38">
        <v>3.3113199999999998</v>
      </c>
      <c r="S1602" s="38">
        <f t="shared" si="196"/>
        <v>3.5</v>
      </c>
      <c r="T1602" s="38">
        <v>8.23</v>
      </c>
      <c r="U1602" s="38">
        <v>1.8</v>
      </c>
      <c r="V1602" s="38">
        <v>0.48</v>
      </c>
      <c r="W1602" s="38">
        <v>0.33</v>
      </c>
      <c r="X1602" s="38">
        <v>8.3413699999999995</v>
      </c>
      <c r="Y1602" s="38">
        <f t="shared" si="197"/>
        <v>8.5</v>
      </c>
      <c r="Z1602" s="38">
        <v>0</v>
      </c>
      <c r="AA1602" s="38">
        <v>0</v>
      </c>
      <c r="AB1602" s="38">
        <v>10.83</v>
      </c>
      <c r="AC1602" s="38">
        <v>1.59474</v>
      </c>
      <c r="AD1602" s="38">
        <v>9.6</v>
      </c>
      <c r="AE1602" s="38">
        <v>4.0599999999999996</v>
      </c>
      <c r="AF1602" s="38">
        <f>(AD1602+AE1602*0.5)/(3.5*I1602*1000)*100</f>
        <v>3.0696139887825803E-2</v>
      </c>
      <c r="AG1602" s="38">
        <f t="shared" si="198"/>
        <v>0</v>
      </c>
      <c r="AH1602" s="56">
        <v>16.98</v>
      </c>
      <c r="AI1602" s="56">
        <f>AH1602/(3.5*I1602*1000)*100</f>
        <v>4.4816892114813607E-2</v>
      </c>
      <c r="AJ1602" s="56">
        <v>0</v>
      </c>
      <c r="AK1602" s="56">
        <f>AJ1602/(3.5*I1602*1000)*100</f>
        <v>0</v>
      </c>
      <c r="AL1602" s="56">
        <v>1.38</v>
      </c>
      <c r="AM1602" s="56">
        <f>AL1602/(3.5*I1602*1000)*100</f>
        <v>3.6423622566809635E-3</v>
      </c>
      <c r="AN1602" s="73"/>
      <c r="AO1602" s="73"/>
      <c r="AP1602" s="73"/>
      <c r="AQ1602" s="41">
        <f>SUM(N1602:Q1602)</f>
        <v>10.839999999999998</v>
      </c>
      <c r="AR1602" s="41">
        <f>SUM(T1602:W1602)</f>
        <v>10.840000000000002</v>
      </c>
      <c r="AS1602" s="12">
        <f>SUM(Z1602:AB1602)</f>
        <v>10.83</v>
      </c>
      <c r="AT1602" s="1"/>
      <c r="AU1602" s="1">
        <f>I1602/AQ1602</f>
        <v>0.99861623616236173</v>
      </c>
      <c r="AV1602" s="1">
        <f>I1602/AR1602</f>
        <v>0.99861623616236139</v>
      </c>
      <c r="AW1602" s="1">
        <f>I1602/AS1602</f>
        <v>0.99953831948291771</v>
      </c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</row>
    <row r="1603" spans="1:88" s="61" customFormat="1">
      <c r="A1603" s="1">
        <v>1207</v>
      </c>
      <c r="B1603" s="34" t="s">
        <v>1674</v>
      </c>
      <c r="C1603" s="34">
        <v>435</v>
      </c>
      <c r="D1603" s="34">
        <v>2256</v>
      </c>
      <c r="E1603" s="34">
        <v>101</v>
      </c>
      <c r="F1603" s="34" t="s">
        <v>1697</v>
      </c>
      <c r="G1603" s="34" t="s">
        <v>1698</v>
      </c>
      <c r="H1603" s="34" t="s">
        <v>92</v>
      </c>
      <c r="I1603" s="55">
        <v>16.905000000000001</v>
      </c>
      <c r="J1603" s="34">
        <v>2</v>
      </c>
      <c r="K1603" s="34" t="s">
        <v>12</v>
      </c>
      <c r="L1603" s="10">
        <v>42282</v>
      </c>
      <c r="M1603" s="9" t="s">
        <v>191</v>
      </c>
      <c r="N1603" s="38">
        <v>10.6</v>
      </c>
      <c r="O1603" s="38">
        <v>3.6</v>
      </c>
      <c r="P1603" s="38">
        <v>2.0499999999999998</v>
      </c>
      <c r="Q1603" s="38">
        <v>0.65</v>
      </c>
      <c r="R1603" s="38">
        <v>2.5731999999999999</v>
      </c>
      <c r="S1603" s="38">
        <f t="shared" ref="S1603:S1666" si="199">ROUND(R1603/5,1)*5</f>
        <v>2.5</v>
      </c>
      <c r="T1603" s="38">
        <v>14.55</v>
      </c>
      <c r="U1603" s="38">
        <v>1.85</v>
      </c>
      <c r="V1603" s="38">
        <v>0.375</v>
      </c>
      <c r="W1603" s="38">
        <v>0.125</v>
      </c>
      <c r="X1603" s="38">
        <v>5.6355599999999999</v>
      </c>
      <c r="Y1603" s="38">
        <f t="shared" ref="Y1603:Y1666" si="200">ROUND(X1603/5,1)*5</f>
        <v>5.5</v>
      </c>
      <c r="Z1603" s="38">
        <v>0</v>
      </c>
      <c r="AA1603" s="38">
        <v>0</v>
      </c>
      <c r="AB1603" s="55">
        <v>16.905000000000001</v>
      </c>
      <c r="AC1603" s="38">
        <v>1.20611</v>
      </c>
      <c r="AD1603" s="38">
        <v>14.32</v>
      </c>
      <c r="AE1603" s="38">
        <v>7.64</v>
      </c>
      <c r="AF1603" s="38">
        <f>(AD1603+AE1603*0.5)/(3.5*I1603*1000)*100</f>
        <v>3.0658723116575817E-2</v>
      </c>
      <c r="AG1603" s="38">
        <f t="shared" ref="AG1603:AG1666" si="201">ROUND(AF1603,1)</f>
        <v>0</v>
      </c>
      <c r="AH1603" s="56">
        <v>8.65</v>
      </c>
      <c r="AI1603" s="56">
        <v>1.4619999999999999E-2</v>
      </c>
      <c r="AJ1603" s="56">
        <v>0</v>
      </c>
      <c r="AK1603" s="56">
        <v>0</v>
      </c>
      <c r="AL1603" s="56">
        <v>0</v>
      </c>
      <c r="AM1603" s="56">
        <v>0</v>
      </c>
      <c r="AN1603" s="12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</row>
    <row r="1604" spans="1:88" s="61" customFormat="1">
      <c r="A1604" s="1">
        <v>2040</v>
      </c>
      <c r="B1604" s="34" t="s">
        <v>2678</v>
      </c>
      <c r="C1604" s="34">
        <v>326</v>
      </c>
      <c r="D1604" s="75">
        <v>4194</v>
      </c>
      <c r="E1604" s="8">
        <v>100</v>
      </c>
      <c r="F1604" s="34" t="s">
        <v>2690</v>
      </c>
      <c r="G1604" s="58">
        <v>0</v>
      </c>
      <c r="H1604" s="58">
        <v>29821</v>
      </c>
      <c r="I1604" s="21">
        <v>29.821000000000002</v>
      </c>
      <c r="J1604" s="8">
        <v>2</v>
      </c>
      <c r="K1604" s="8" t="s">
        <v>237</v>
      </c>
      <c r="L1604" s="18">
        <v>42126</v>
      </c>
      <c r="M1604" s="9" t="s">
        <v>191</v>
      </c>
      <c r="N1604" s="38">
        <v>20.875</v>
      </c>
      <c r="O1604" s="38">
        <v>5.8250000000000002</v>
      </c>
      <c r="P1604" s="38">
        <v>2.0750000000000002</v>
      </c>
      <c r="Q1604" s="38">
        <v>1</v>
      </c>
      <c r="R1604" s="38">
        <v>2.3036099999999999</v>
      </c>
      <c r="S1604" s="38">
        <f t="shared" si="199"/>
        <v>2.5</v>
      </c>
      <c r="T1604" s="38">
        <v>29.7</v>
      </c>
      <c r="U1604" s="38">
        <v>7.4999999999999997E-2</v>
      </c>
      <c r="V1604" s="38">
        <v>0</v>
      </c>
      <c r="W1604" s="38">
        <v>0</v>
      </c>
      <c r="X1604" s="38">
        <v>2.5610300000000001</v>
      </c>
      <c r="Y1604" s="38">
        <f t="shared" si="200"/>
        <v>2.5</v>
      </c>
      <c r="Z1604" s="38">
        <v>0</v>
      </c>
      <c r="AA1604" s="38">
        <v>0</v>
      </c>
      <c r="AB1604" s="38">
        <v>29.774999999999999</v>
      </c>
      <c r="AC1604" s="38">
        <v>1.17079</v>
      </c>
      <c r="AD1604" s="38">
        <v>19.98</v>
      </c>
      <c r="AE1604" s="38">
        <v>23.75</v>
      </c>
      <c r="AF1604" s="38">
        <f>(AD1604+AE1604*0.5)/(3.5*I1604*1000)*100</f>
        <v>3.0520199092681572E-2</v>
      </c>
      <c r="AG1604" s="38">
        <f t="shared" si="201"/>
        <v>0</v>
      </c>
      <c r="AH1604" s="56">
        <v>16.395800000000001</v>
      </c>
      <c r="AI1604" s="56">
        <v>1.5708776653077648E-2</v>
      </c>
      <c r="AJ1604" s="40">
        <v>0</v>
      </c>
      <c r="AK1604" s="40">
        <v>0</v>
      </c>
      <c r="AL1604" s="40">
        <v>0</v>
      </c>
      <c r="AM1604" s="40">
        <f>AL1604/(3.5*I1604*1000)*100</f>
        <v>0</v>
      </c>
      <c r="AN1604" s="1"/>
      <c r="AO1604" s="12"/>
      <c r="AP1604" s="12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</row>
    <row r="1605" spans="1:88" s="61" customFormat="1">
      <c r="A1605" s="1">
        <v>788</v>
      </c>
      <c r="B1605" s="34" t="s">
        <v>1171</v>
      </c>
      <c r="C1605" s="34">
        <v>633</v>
      </c>
      <c r="D1605" s="8">
        <v>2086</v>
      </c>
      <c r="E1605" s="34">
        <v>100</v>
      </c>
      <c r="F1605" s="34" t="s">
        <v>1181</v>
      </c>
      <c r="G1605" s="58">
        <v>0</v>
      </c>
      <c r="H1605" s="58">
        <v>26315</v>
      </c>
      <c r="I1605" s="35">
        <v>26.315000000000001</v>
      </c>
      <c r="J1605" s="9">
        <v>2</v>
      </c>
      <c r="K1605" s="34" t="s">
        <v>238</v>
      </c>
      <c r="L1605" s="10">
        <v>42147</v>
      </c>
      <c r="M1605" s="9" t="s">
        <v>191</v>
      </c>
      <c r="N1605" s="38">
        <v>19.024999999999999</v>
      </c>
      <c r="O1605" s="38">
        <v>5.875</v>
      </c>
      <c r="P1605" s="38">
        <v>0.95</v>
      </c>
      <c r="Q1605" s="38">
        <v>0.32500000000000001</v>
      </c>
      <c r="R1605" s="38">
        <v>2.3175699999999999</v>
      </c>
      <c r="S1605" s="38">
        <f t="shared" si="199"/>
        <v>2.5</v>
      </c>
      <c r="T1605" s="38">
        <v>25.6</v>
      </c>
      <c r="U1605" s="38">
        <v>0.55000000000000004</v>
      </c>
      <c r="V1605" s="38">
        <v>2.5000000000000001E-2</v>
      </c>
      <c r="W1605" s="38">
        <v>0</v>
      </c>
      <c r="X1605" s="38">
        <v>4.8793100000000003</v>
      </c>
      <c r="Y1605" s="38">
        <f t="shared" si="200"/>
        <v>5</v>
      </c>
      <c r="Z1605" s="38">
        <v>0</v>
      </c>
      <c r="AA1605" s="38">
        <v>0</v>
      </c>
      <c r="AB1605" s="38">
        <f>N1605+O1605+P1605+Q1605</f>
        <v>26.174999999999997</v>
      </c>
      <c r="AC1605" s="38">
        <v>1.3145800000000001</v>
      </c>
      <c r="AD1605" s="38">
        <v>1</v>
      </c>
      <c r="AE1605" s="38">
        <v>54</v>
      </c>
      <c r="AF1605" s="38">
        <v>3.04E-2</v>
      </c>
      <c r="AG1605" s="38">
        <f t="shared" si="201"/>
        <v>0</v>
      </c>
      <c r="AH1605" s="56">
        <v>0</v>
      </c>
      <c r="AI1605" s="56">
        <f>AH1605/(3.5*I1605*1000)*100</f>
        <v>0</v>
      </c>
      <c r="AJ1605" s="56">
        <v>94</v>
      </c>
      <c r="AK1605" s="56">
        <f>AJ1605/(3.5*I1605*1000)*100</f>
        <v>0.10206020466328276</v>
      </c>
      <c r="AL1605" s="56">
        <v>0</v>
      </c>
      <c r="AM1605" s="56">
        <f>AL1605/(3.5*I1605*1000)*100</f>
        <v>0</v>
      </c>
      <c r="AN1605" s="25"/>
      <c r="AO1605" s="25">
        <f>AE1605*0.5</f>
        <v>27</v>
      </c>
      <c r="AP1605" s="25">
        <f>(AD1605+AH1605+AJ1605+AL1605+AO1605)*I1605</f>
        <v>3210.4300000000003</v>
      </c>
      <c r="AQ1605" s="25">
        <f>SUM(N1605:Q1605)</f>
        <v>26.174999999999997</v>
      </c>
      <c r="AR1605" s="25">
        <f>SUM(T1605:W1605)</f>
        <v>26.175000000000001</v>
      </c>
      <c r="AS1605" s="22"/>
      <c r="AT1605" s="41"/>
      <c r="AU1605" s="41"/>
      <c r="AV1605" s="41"/>
      <c r="AW1605" s="41"/>
      <c r="AX1605" s="22"/>
      <c r="AY1605" s="22"/>
      <c r="AZ1605" s="22"/>
      <c r="BA1605" s="22"/>
      <c r="BB1605" s="22"/>
      <c r="BC1605" s="22"/>
      <c r="BD1605" s="22"/>
      <c r="BE1605" s="22"/>
      <c r="BF1605" s="22"/>
      <c r="BG1605" s="22"/>
      <c r="BH1605" s="22"/>
      <c r="BI1605" s="22"/>
      <c r="BJ1605" s="22"/>
      <c r="BK1605" s="22"/>
      <c r="BL1605" s="22"/>
      <c r="BM1605" s="22"/>
      <c r="BN1605" s="22"/>
      <c r="BO1605" s="22"/>
      <c r="BP1605" s="22"/>
      <c r="BQ1605" s="22"/>
      <c r="BR1605" s="22"/>
      <c r="BS1605" s="22"/>
      <c r="BT1605" s="22"/>
      <c r="BU1605" s="22"/>
      <c r="BV1605" s="22"/>
      <c r="BW1605" s="22"/>
      <c r="BX1605" s="22"/>
      <c r="BY1605" s="22"/>
      <c r="BZ1605" s="22"/>
      <c r="CA1605" s="22"/>
      <c r="CB1605" s="22"/>
      <c r="CC1605" s="22"/>
      <c r="CD1605" s="22"/>
      <c r="CE1605" s="22"/>
      <c r="CF1605" s="22"/>
      <c r="CG1605" s="22"/>
      <c r="CH1605" s="22"/>
      <c r="CI1605" s="22"/>
      <c r="CJ1605" s="22"/>
    </row>
    <row r="1606" spans="1:88" s="61" customFormat="1">
      <c r="A1606" s="1">
        <v>1809</v>
      </c>
      <c r="B1606" s="34" t="s">
        <v>2382</v>
      </c>
      <c r="C1606" s="34">
        <v>428</v>
      </c>
      <c r="D1606" s="8">
        <v>3701</v>
      </c>
      <c r="E1606" s="34">
        <v>500</v>
      </c>
      <c r="F1606" s="34" t="s">
        <v>2406</v>
      </c>
      <c r="G1606" s="58" t="s">
        <v>2420</v>
      </c>
      <c r="H1606" s="58" t="s">
        <v>2421</v>
      </c>
      <c r="I1606" s="35">
        <v>1</v>
      </c>
      <c r="J1606" s="9">
        <v>2</v>
      </c>
      <c r="K1606" s="34" t="s">
        <v>238</v>
      </c>
      <c r="L1606" s="10">
        <v>42231</v>
      </c>
      <c r="M1606" s="9" t="s">
        <v>191</v>
      </c>
      <c r="N1606" s="38">
        <v>0.8</v>
      </c>
      <c r="O1606" s="38">
        <v>0.1</v>
      </c>
      <c r="P1606" s="38">
        <v>7.4999999999999997E-2</v>
      </c>
      <c r="Q1606" s="38">
        <v>0</v>
      </c>
      <c r="R1606" s="38">
        <v>2.0089999999999999</v>
      </c>
      <c r="S1606" s="38">
        <f t="shared" si="199"/>
        <v>2</v>
      </c>
      <c r="T1606" s="38">
        <v>0.97499999999999998</v>
      </c>
      <c r="U1606" s="38">
        <v>0</v>
      </c>
      <c r="V1606" s="38">
        <v>0</v>
      </c>
      <c r="W1606" s="38">
        <v>0</v>
      </c>
      <c r="X1606" s="38">
        <v>3.718</v>
      </c>
      <c r="Y1606" s="38">
        <f t="shared" si="200"/>
        <v>3.5</v>
      </c>
      <c r="Z1606" s="38">
        <v>0</v>
      </c>
      <c r="AA1606" s="38">
        <v>0</v>
      </c>
      <c r="AB1606" s="38">
        <f>SUM(N1606:Q1606)</f>
        <v>0.97499999999999998</v>
      </c>
      <c r="AC1606" s="38">
        <v>1.167</v>
      </c>
      <c r="AD1606" s="38">
        <v>0</v>
      </c>
      <c r="AE1606" s="38">
        <v>2.12</v>
      </c>
      <c r="AF1606" s="38">
        <f>(AD1606+AE1606*0.5)/(3.5*I1606*1000)*100</f>
        <v>3.0285714285714284E-2</v>
      </c>
      <c r="AG1606" s="38">
        <f t="shared" si="201"/>
        <v>0</v>
      </c>
      <c r="AH1606" s="56">
        <v>0</v>
      </c>
      <c r="AI1606" s="56">
        <f>AH1606/(3.5*I1606*1000)*100</f>
        <v>0</v>
      </c>
      <c r="AJ1606" s="56">
        <v>0</v>
      </c>
      <c r="AK1606" s="56">
        <f>AJ1606/(3.5*I1606*1000)*100</f>
        <v>0</v>
      </c>
      <c r="AL1606" s="56">
        <v>0</v>
      </c>
      <c r="AM1606" s="56">
        <f>AL1606/(3.5*I1606*1000)*100</f>
        <v>0</v>
      </c>
      <c r="AN1606" s="25"/>
      <c r="AO1606" s="25">
        <f>AE1606*0.5</f>
        <v>1.06</v>
      </c>
      <c r="AP1606" s="25">
        <f>(AD1606+AH1606+AJ1606+AL1606+AO1606)*I1606</f>
        <v>1.06</v>
      </c>
      <c r="AQ1606" s="25"/>
      <c r="AR1606" s="25"/>
      <c r="AS1606" s="22"/>
      <c r="AT1606" s="41"/>
      <c r="AU1606" s="41"/>
      <c r="AV1606" s="41"/>
      <c r="AW1606" s="41"/>
      <c r="AX1606" s="22"/>
      <c r="AY1606" s="22"/>
      <c r="AZ1606" s="22"/>
      <c r="BA1606" s="22"/>
      <c r="BB1606" s="22"/>
      <c r="BC1606" s="22"/>
      <c r="BD1606" s="22"/>
      <c r="BE1606" s="22"/>
      <c r="BF1606" s="22"/>
      <c r="BG1606" s="22"/>
      <c r="BH1606" s="22"/>
      <c r="BI1606" s="22"/>
      <c r="BJ1606" s="22"/>
      <c r="BK1606" s="22"/>
      <c r="BL1606" s="22"/>
      <c r="BM1606" s="22"/>
      <c r="BN1606" s="22"/>
      <c r="BO1606" s="22"/>
      <c r="BP1606" s="22"/>
      <c r="BQ1606" s="22"/>
      <c r="BR1606" s="22"/>
      <c r="BS1606" s="22"/>
      <c r="BT1606" s="22"/>
      <c r="BU1606" s="22"/>
      <c r="BV1606" s="22"/>
      <c r="BW1606" s="22"/>
      <c r="BX1606" s="22"/>
      <c r="BY1606" s="22"/>
      <c r="BZ1606" s="22"/>
      <c r="CA1606" s="22"/>
      <c r="CB1606" s="22"/>
      <c r="CC1606" s="22"/>
      <c r="CD1606" s="22"/>
      <c r="CE1606" s="22"/>
      <c r="CF1606" s="22"/>
      <c r="CG1606" s="22"/>
      <c r="CH1606" s="22"/>
      <c r="CI1606" s="22"/>
      <c r="CJ1606" s="22"/>
    </row>
    <row r="1607" spans="1:88" s="61" customFormat="1">
      <c r="A1607" s="1">
        <v>1385</v>
      </c>
      <c r="B1607" s="74" t="s">
        <v>1905</v>
      </c>
      <c r="C1607" s="34">
        <v>445</v>
      </c>
      <c r="D1607" s="75">
        <v>3505</v>
      </c>
      <c r="E1607" s="69">
        <v>100</v>
      </c>
      <c r="F1607" s="184" t="s">
        <v>1938</v>
      </c>
      <c r="G1607" s="20">
        <v>0</v>
      </c>
      <c r="H1607" s="20">
        <v>27851</v>
      </c>
      <c r="I1607" s="21">
        <v>27.850999999999999</v>
      </c>
      <c r="J1607" s="8">
        <v>2</v>
      </c>
      <c r="K1607" s="34" t="s">
        <v>238</v>
      </c>
      <c r="L1607" s="10">
        <v>42207</v>
      </c>
      <c r="M1607" s="9" t="s">
        <v>191</v>
      </c>
      <c r="N1607" s="38">
        <v>23.274999999999999</v>
      </c>
      <c r="O1607" s="38">
        <v>3.75</v>
      </c>
      <c r="P1607" s="38">
        <v>0.47499999999999998</v>
      </c>
      <c r="Q1607" s="38">
        <v>0.35</v>
      </c>
      <c r="R1607" s="38">
        <v>2.0903900000000002</v>
      </c>
      <c r="S1607" s="38">
        <f t="shared" si="199"/>
        <v>2</v>
      </c>
      <c r="T1607" s="38">
        <v>27.425000000000001</v>
      </c>
      <c r="U1607" s="38">
        <v>0.375</v>
      </c>
      <c r="V1607" s="38">
        <v>0.05</v>
      </c>
      <c r="W1607" s="38">
        <v>0</v>
      </c>
      <c r="X1607" s="38">
        <v>3.3561200000000002</v>
      </c>
      <c r="Y1607" s="38">
        <f t="shared" si="200"/>
        <v>3.5</v>
      </c>
      <c r="Z1607" s="38">
        <v>0</v>
      </c>
      <c r="AA1607" s="38">
        <v>0</v>
      </c>
      <c r="AB1607" s="38">
        <v>27.85</v>
      </c>
      <c r="AC1607" s="38">
        <v>1.02576</v>
      </c>
      <c r="AD1607" s="38">
        <v>0</v>
      </c>
      <c r="AE1607" s="38">
        <v>59</v>
      </c>
      <c r="AF1607" s="38">
        <v>3.0263083654344294E-2</v>
      </c>
      <c r="AG1607" s="38">
        <f t="shared" si="201"/>
        <v>0</v>
      </c>
      <c r="AH1607" s="56">
        <v>2</v>
      </c>
      <c r="AI1607" s="56">
        <v>2.0517344850402909E-3</v>
      </c>
      <c r="AJ1607" s="56">
        <v>60</v>
      </c>
      <c r="AK1607" s="56">
        <v>6.155203455120873E-2</v>
      </c>
      <c r="AL1607" s="56">
        <v>0</v>
      </c>
      <c r="AM1607" s="56">
        <v>0</v>
      </c>
      <c r="AN1607" s="72"/>
      <c r="AO1607" s="41"/>
      <c r="AP1607" s="41"/>
      <c r="AQ1607" s="41"/>
      <c r="AR1607" s="41"/>
      <c r="AS1607" s="73"/>
      <c r="AT1607" s="73"/>
      <c r="AU1607" s="73"/>
      <c r="AV1607" s="73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</row>
    <row r="1608" spans="1:88" s="61" customFormat="1">
      <c r="A1608" s="1">
        <v>2094</v>
      </c>
      <c r="B1608" s="34" t="s">
        <v>2732</v>
      </c>
      <c r="C1608" s="34">
        <v>323</v>
      </c>
      <c r="D1608" s="75">
        <v>4201</v>
      </c>
      <c r="E1608" s="8">
        <v>100</v>
      </c>
      <c r="F1608" s="9" t="s">
        <v>2743</v>
      </c>
      <c r="G1608" s="20">
        <v>3465</v>
      </c>
      <c r="H1608" s="20">
        <v>0</v>
      </c>
      <c r="I1608" s="21">
        <v>3.4649999999999999</v>
      </c>
      <c r="J1608" s="9">
        <v>2</v>
      </c>
      <c r="K1608" s="34" t="s">
        <v>12</v>
      </c>
      <c r="L1608" s="18">
        <v>42132</v>
      </c>
      <c r="M1608" s="9" t="s">
        <v>191</v>
      </c>
      <c r="N1608" s="38">
        <v>2.89</v>
      </c>
      <c r="O1608" s="38">
        <v>0.25</v>
      </c>
      <c r="P1608" s="38">
        <v>0.33</v>
      </c>
      <c r="Q1608" s="38">
        <v>0</v>
      </c>
      <c r="R1608" s="38">
        <v>1.87225</v>
      </c>
      <c r="S1608" s="38">
        <f t="shared" si="199"/>
        <v>2</v>
      </c>
      <c r="T1608" s="38">
        <v>3.47</v>
      </c>
      <c r="U1608" s="38">
        <v>0</v>
      </c>
      <c r="V1608" s="38">
        <v>0</v>
      </c>
      <c r="W1608" s="38">
        <v>0</v>
      </c>
      <c r="X1608" s="38">
        <v>1.9397500000000001</v>
      </c>
      <c r="Y1608" s="38">
        <f t="shared" si="200"/>
        <v>2</v>
      </c>
      <c r="Z1608" s="38">
        <v>0</v>
      </c>
      <c r="AA1608" s="38">
        <v>0</v>
      </c>
      <c r="AB1608" s="38">
        <v>3.47</v>
      </c>
      <c r="AC1608" s="38">
        <v>1.0870200000000001</v>
      </c>
      <c r="AD1608" s="38">
        <v>3.67</v>
      </c>
      <c r="AE1608" s="38">
        <v>0</v>
      </c>
      <c r="AF1608" s="38">
        <f>(AD1608+AE1608*0.5)/(3.5*I1608*1000)*100</f>
        <v>3.0261801690373118E-2</v>
      </c>
      <c r="AG1608" s="38">
        <f t="shared" si="201"/>
        <v>0</v>
      </c>
      <c r="AH1608" s="56">
        <v>2.2200000000000002</v>
      </c>
      <c r="AI1608" s="56">
        <f>AH1608/(3.5*I1608*1000)*100</f>
        <v>1.8305504019789736E-2</v>
      </c>
      <c r="AJ1608" s="56">
        <v>0</v>
      </c>
      <c r="AK1608" s="56">
        <v>0</v>
      </c>
      <c r="AL1608" s="56">
        <v>0</v>
      </c>
      <c r="AM1608" s="56">
        <f>AL1608/(3.5*I1608*1000)*100</f>
        <v>0</v>
      </c>
      <c r="AN1608" s="25"/>
      <c r="AO1608" s="25"/>
      <c r="AP1608" s="22"/>
      <c r="AQ1608" s="41">
        <f>SUM(N1608:Q1608)</f>
        <v>3.47</v>
      </c>
      <c r="AR1608" s="41">
        <f>SUM(T1608:W1608)</f>
        <v>3.47</v>
      </c>
      <c r="AS1608" s="12">
        <f>SUM(Z1608:AB1608)</f>
        <v>3.47</v>
      </c>
      <c r="AT1608" s="1"/>
      <c r="AU1608" s="1">
        <f>I1608/AQ1608</f>
        <v>0.99855907780979813</v>
      </c>
      <c r="AV1608" s="1">
        <f>I1608/AR1608</f>
        <v>0.99855907780979813</v>
      </c>
      <c r="AW1608" s="1">
        <f>I1608/AS1608</f>
        <v>0.99855907780979813</v>
      </c>
      <c r="AX1608" s="22"/>
      <c r="AY1608" s="22"/>
      <c r="AZ1608" s="22"/>
      <c r="BA1608" s="22"/>
      <c r="BB1608" s="22"/>
      <c r="BC1608" s="22"/>
      <c r="BD1608" s="22"/>
      <c r="BE1608" s="22"/>
      <c r="BF1608" s="22"/>
      <c r="BG1608" s="22"/>
      <c r="BH1608" s="22"/>
      <c r="BI1608" s="22"/>
      <c r="BJ1608" s="22"/>
      <c r="BK1608" s="22"/>
      <c r="BL1608" s="22"/>
      <c r="BM1608" s="22"/>
      <c r="BN1608" s="22"/>
      <c r="BO1608" s="22"/>
      <c r="BP1608" s="22"/>
      <c r="BQ1608" s="22"/>
      <c r="BR1608" s="22"/>
      <c r="BS1608" s="22"/>
      <c r="BT1608" s="22"/>
      <c r="BU1608" s="22"/>
      <c r="BV1608" s="22"/>
      <c r="BW1608" s="22"/>
      <c r="BX1608" s="22"/>
      <c r="BY1608" s="22"/>
      <c r="BZ1608" s="22"/>
      <c r="CA1608" s="22"/>
      <c r="CB1608" s="22"/>
      <c r="CC1608" s="22"/>
      <c r="CD1608" s="22"/>
      <c r="CE1608" s="22"/>
      <c r="CF1608" s="22"/>
      <c r="CG1608" s="22"/>
      <c r="CH1608" s="22"/>
      <c r="CI1608" s="22"/>
      <c r="CJ1608" s="22"/>
    </row>
    <row r="1609" spans="1:88" s="61" customFormat="1">
      <c r="A1609" s="1">
        <v>134</v>
      </c>
      <c r="B1609" s="4" t="s">
        <v>38</v>
      </c>
      <c r="C1609" s="14">
        <v>528</v>
      </c>
      <c r="D1609" s="19">
        <v>1329</v>
      </c>
      <c r="E1609" s="16">
        <v>100</v>
      </c>
      <c r="F1609" s="14" t="s">
        <v>42</v>
      </c>
      <c r="G1609" s="20" t="s">
        <v>92</v>
      </c>
      <c r="H1609" s="20" t="s">
        <v>186</v>
      </c>
      <c r="I1609" s="21">
        <v>14.491</v>
      </c>
      <c r="J1609" s="8">
        <v>2</v>
      </c>
      <c r="K1609" s="33" t="s">
        <v>238</v>
      </c>
      <c r="L1609" s="18">
        <v>42224</v>
      </c>
      <c r="M1609" s="9" t="s">
        <v>191</v>
      </c>
      <c r="N1609" s="11">
        <v>9.9749999999999996</v>
      </c>
      <c r="O1609" s="11">
        <v>2.9249999999999998</v>
      </c>
      <c r="P1609" s="11">
        <v>1.05</v>
      </c>
      <c r="Q1609" s="11">
        <v>0.52500000000000002</v>
      </c>
      <c r="R1609" s="11">
        <v>2.4413800000000001</v>
      </c>
      <c r="S1609" s="38">
        <f t="shared" si="199"/>
        <v>2.5</v>
      </c>
      <c r="T1609" s="11">
        <v>14.25</v>
      </c>
      <c r="U1609" s="11">
        <v>0.2</v>
      </c>
      <c r="V1609" s="11">
        <v>2.5000000000000001E-2</v>
      </c>
      <c r="W1609" s="11">
        <v>0</v>
      </c>
      <c r="X1609" s="11">
        <v>2.8571300000000002</v>
      </c>
      <c r="Y1609" s="38">
        <f t="shared" si="200"/>
        <v>3</v>
      </c>
      <c r="Z1609" s="11">
        <v>0</v>
      </c>
      <c r="AA1609" s="11">
        <v>0</v>
      </c>
      <c r="AB1609" s="11">
        <v>14.475</v>
      </c>
      <c r="AC1609" s="11">
        <v>1.51423</v>
      </c>
      <c r="AD1609" s="11">
        <v>15.200100000000001</v>
      </c>
      <c r="AE1609" s="11">
        <v>0</v>
      </c>
      <c r="AF1609" s="11">
        <f>(AD1609+AE1609*0.5)/(3.5*I1609*1000)*100</f>
        <v>2.9969537742638289E-2</v>
      </c>
      <c r="AG1609" s="38">
        <f t="shared" si="201"/>
        <v>0</v>
      </c>
      <c r="AH1609" s="259">
        <v>0</v>
      </c>
      <c r="AI1609" s="259">
        <f>AH1609/(3.5*I1609*1000)*100</f>
        <v>0</v>
      </c>
      <c r="AJ1609" s="259">
        <v>0</v>
      </c>
      <c r="AK1609" s="259">
        <f>AJ1609/(3.5*I1609*1000)*100</f>
        <v>0</v>
      </c>
      <c r="AL1609" s="259">
        <v>0</v>
      </c>
      <c r="AM1609" s="259">
        <f>AL1609/(3.5*I1609*1000)*100</f>
        <v>0</v>
      </c>
      <c r="AN1609" s="22"/>
      <c r="AO1609" s="22"/>
      <c r="AP1609" s="22"/>
      <c r="AQ1609" s="22"/>
      <c r="AR1609" s="22"/>
      <c r="AS1609" s="22"/>
      <c r="AT1609" s="22"/>
      <c r="AU1609" s="22"/>
      <c r="AV1609" s="22"/>
      <c r="AW1609" s="22"/>
      <c r="AX1609" s="22"/>
      <c r="AY1609" s="22"/>
      <c r="AZ1609" s="22"/>
      <c r="BA1609" s="22"/>
      <c r="BB1609" s="22"/>
      <c r="BC1609" s="22"/>
      <c r="BD1609" s="22"/>
      <c r="BE1609" s="22"/>
      <c r="BF1609" s="22"/>
      <c r="BG1609" s="22"/>
      <c r="BH1609" s="22"/>
      <c r="BI1609" s="22"/>
      <c r="BJ1609" s="22"/>
      <c r="BK1609" s="22"/>
      <c r="BL1609" s="22"/>
      <c r="BM1609" s="22"/>
      <c r="BN1609" s="22"/>
      <c r="BO1609" s="22"/>
      <c r="BP1609" s="22"/>
      <c r="BQ1609" s="22"/>
      <c r="BR1609" s="22"/>
      <c r="BS1609" s="22"/>
      <c r="BT1609" s="22"/>
      <c r="BU1609" s="22"/>
      <c r="BV1609" s="22"/>
      <c r="BW1609" s="22"/>
      <c r="BX1609" s="22"/>
      <c r="BY1609" s="22"/>
      <c r="BZ1609" s="22"/>
      <c r="CA1609" s="22"/>
      <c r="CB1609" s="22"/>
      <c r="CC1609" s="22"/>
      <c r="CD1609" s="22"/>
      <c r="CE1609" s="22"/>
      <c r="CF1609" s="22"/>
      <c r="CG1609" s="22"/>
      <c r="CH1609" s="22"/>
      <c r="CI1609" s="22"/>
      <c r="CJ1609" s="22"/>
    </row>
    <row r="1610" spans="1:88" s="61" customFormat="1">
      <c r="A1610" s="1">
        <v>1445</v>
      </c>
      <c r="B1610" s="34" t="s">
        <v>1987</v>
      </c>
      <c r="C1610" s="34">
        <v>448</v>
      </c>
      <c r="D1610" s="75">
        <v>309</v>
      </c>
      <c r="E1610" s="69">
        <v>202</v>
      </c>
      <c r="F1610" s="34" t="s">
        <v>1995</v>
      </c>
      <c r="G1610" s="20" t="s">
        <v>1642</v>
      </c>
      <c r="H1610" s="20" t="s">
        <v>1996</v>
      </c>
      <c r="I1610" s="21">
        <v>17.187000000000001</v>
      </c>
      <c r="J1610" s="8">
        <v>4</v>
      </c>
      <c r="K1610" s="34" t="s">
        <v>96</v>
      </c>
      <c r="L1610" s="10">
        <v>42181</v>
      </c>
      <c r="M1610" s="9" t="s">
        <v>191</v>
      </c>
      <c r="N1610" s="38">
        <v>12.824999999999999</v>
      </c>
      <c r="O1610" s="38">
        <v>3.0750000000000002</v>
      </c>
      <c r="P1610" s="38">
        <v>0.7</v>
      </c>
      <c r="Q1610" s="38">
        <v>0.25</v>
      </c>
      <c r="R1610" s="38">
        <v>2.1956699999999998</v>
      </c>
      <c r="S1610" s="38">
        <f t="shared" si="199"/>
        <v>2</v>
      </c>
      <c r="T1610" s="38">
        <v>16.25</v>
      </c>
      <c r="U1610" s="38">
        <v>0.47499999999999998</v>
      </c>
      <c r="V1610" s="38">
        <v>7.4999999999999997E-2</v>
      </c>
      <c r="W1610" s="38">
        <v>0.05</v>
      </c>
      <c r="X1610" s="38">
        <v>2.76491</v>
      </c>
      <c r="Y1610" s="38">
        <f t="shared" si="200"/>
        <v>3</v>
      </c>
      <c r="Z1610" s="38">
        <v>0</v>
      </c>
      <c r="AA1610" s="38">
        <v>0</v>
      </c>
      <c r="AB1610" s="38">
        <v>16.849999999999998</v>
      </c>
      <c r="AC1610" s="38">
        <v>1.0904100000000001</v>
      </c>
      <c r="AD1610" s="38">
        <v>0</v>
      </c>
      <c r="AE1610" s="38">
        <v>36</v>
      </c>
      <c r="AF1610" s="38">
        <f>(AD1610+AE1610*0.5)/(3.5*I1610*1000)*100</f>
        <v>2.9922948407849786E-2</v>
      </c>
      <c r="AG1610" s="38">
        <f t="shared" si="201"/>
        <v>0</v>
      </c>
      <c r="AH1610" s="56">
        <v>2</v>
      </c>
      <c r="AI1610" s="56">
        <f>AH1610/(3.5*I1610*1000)*100</f>
        <v>3.3247720453166425E-3</v>
      </c>
      <c r="AJ1610" s="56">
        <v>0</v>
      </c>
      <c r="AK1610" s="56">
        <f>AJ1610/(3.5*I1610*1000)*100</f>
        <v>0</v>
      </c>
      <c r="AL1610" s="56">
        <v>0</v>
      </c>
      <c r="AM1610" s="56">
        <f>AL1610/(3.5*I1610*1000)*100</f>
        <v>0</v>
      </c>
      <c r="AN1610" s="72"/>
      <c r="AO1610" s="41"/>
      <c r="AP1610" s="41"/>
      <c r="AQ1610" s="73"/>
      <c r="AR1610" s="73"/>
      <c r="AS1610" s="73"/>
      <c r="AT1610" s="73"/>
      <c r="AU1610" s="73"/>
      <c r="AV1610" s="73"/>
      <c r="AW1610" s="22"/>
      <c r="AX1610" s="22"/>
      <c r="AY1610" s="22"/>
      <c r="AZ1610" s="22"/>
      <c r="BA1610" s="22"/>
      <c r="BB1610" s="22"/>
      <c r="BC1610" s="22"/>
      <c r="BD1610" s="22"/>
      <c r="BE1610" s="22"/>
      <c r="BF1610" s="22"/>
      <c r="BG1610" s="22"/>
      <c r="BH1610" s="22"/>
      <c r="BI1610" s="22"/>
      <c r="BJ1610" s="22"/>
      <c r="BK1610" s="22"/>
      <c r="BL1610" s="22"/>
      <c r="BM1610" s="22"/>
      <c r="BN1610" s="22"/>
      <c r="BO1610" s="22"/>
      <c r="BP1610" s="22"/>
      <c r="BQ1610" s="22"/>
      <c r="BR1610" s="22"/>
      <c r="BS1610" s="22"/>
      <c r="BT1610" s="22"/>
      <c r="BU1610" s="22"/>
      <c r="BV1610" s="22"/>
      <c r="BW1610" s="22"/>
      <c r="BX1610" s="22"/>
      <c r="BY1610" s="22"/>
      <c r="BZ1610" s="22"/>
      <c r="CA1610" s="22"/>
      <c r="CB1610" s="22"/>
      <c r="CC1610" s="22"/>
      <c r="CD1610" s="22"/>
      <c r="CE1610" s="22"/>
      <c r="CF1610" s="22"/>
      <c r="CG1610" s="22"/>
      <c r="CH1610" s="22"/>
      <c r="CI1610" s="22"/>
      <c r="CJ1610" s="22"/>
    </row>
    <row r="1611" spans="1:88" s="61" customFormat="1">
      <c r="A1611" s="1">
        <v>2207</v>
      </c>
      <c r="B1611" s="34" t="s">
        <v>2827</v>
      </c>
      <c r="C1611" s="34">
        <v>314</v>
      </c>
      <c r="D1611" s="75">
        <v>4340</v>
      </c>
      <c r="E1611" s="8">
        <v>100</v>
      </c>
      <c r="F1611" s="9" t="s">
        <v>2852</v>
      </c>
      <c r="G1611" s="20">
        <v>0</v>
      </c>
      <c r="H1611" s="20">
        <v>5125</v>
      </c>
      <c r="I1611" s="21">
        <v>5.125</v>
      </c>
      <c r="J1611" s="8">
        <v>2</v>
      </c>
      <c r="K1611" s="8" t="s">
        <v>238</v>
      </c>
      <c r="L1611" s="18">
        <v>42144</v>
      </c>
      <c r="M1611" s="9" t="s">
        <v>191</v>
      </c>
      <c r="N1611" s="38">
        <v>2.9249999999999998</v>
      </c>
      <c r="O1611" s="38">
        <v>1.0249999999999999</v>
      </c>
      <c r="P1611" s="38">
        <v>0.27500000000000002</v>
      </c>
      <c r="Q1611" s="38">
        <v>2.5000000000000001E-2</v>
      </c>
      <c r="R1611" s="38">
        <v>2.37541</v>
      </c>
      <c r="S1611" s="38">
        <f t="shared" si="199"/>
        <v>2.5</v>
      </c>
      <c r="T1611" s="38">
        <v>4.2249999999999996</v>
      </c>
      <c r="U1611" s="38">
        <v>2.5000000000000001E-2</v>
      </c>
      <c r="V1611" s="38">
        <v>0</v>
      </c>
      <c r="W1611" s="38">
        <v>0</v>
      </c>
      <c r="X1611" s="38">
        <v>2.1090499999999999</v>
      </c>
      <c r="Y1611" s="38">
        <f t="shared" si="200"/>
        <v>2</v>
      </c>
      <c r="Z1611" s="38">
        <v>0</v>
      </c>
      <c r="AA1611" s="38">
        <v>0</v>
      </c>
      <c r="AB1611" s="38">
        <v>4.25</v>
      </c>
      <c r="AC1611" s="38">
        <v>1.04535</v>
      </c>
      <c r="AD1611" s="38">
        <v>5.33</v>
      </c>
      <c r="AE1611" s="38">
        <v>0</v>
      </c>
      <c r="AF1611" s="38">
        <f>(AD1611+AE1611*0.5)/(3.5*I1611*1000)*100</f>
        <v>2.9714285714285714E-2</v>
      </c>
      <c r="AG1611" s="38">
        <f t="shared" si="201"/>
        <v>0</v>
      </c>
      <c r="AH1611" s="56">
        <v>0</v>
      </c>
      <c r="AI1611" s="56">
        <f>AH1611/(3.5*I1611*1000)*100</f>
        <v>0</v>
      </c>
      <c r="AJ1611" s="56">
        <v>0</v>
      </c>
      <c r="AK1611" s="56">
        <v>0</v>
      </c>
      <c r="AL1611" s="56">
        <v>0</v>
      </c>
      <c r="AM1611" s="56">
        <f>AL1611/(3.5*I1611*1000)*100</f>
        <v>0</v>
      </c>
      <c r="AN1611" s="72"/>
      <c r="AO1611" s="41"/>
      <c r="AP1611" s="41"/>
      <c r="AQ1611" s="73"/>
      <c r="AR1611" s="73"/>
      <c r="AS1611" s="73"/>
      <c r="AT1611" s="73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</row>
    <row r="1612" spans="1:88" s="61" customFormat="1">
      <c r="A1612" s="1">
        <v>1364</v>
      </c>
      <c r="B1612" s="74" t="s">
        <v>1905</v>
      </c>
      <c r="C1612" s="34">
        <v>445</v>
      </c>
      <c r="D1612" s="75">
        <v>3306</v>
      </c>
      <c r="E1612" s="69">
        <v>100</v>
      </c>
      <c r="F1612" s="9" t="s">
        <v>1915</v>
      </c>
      <c r="G1612" s="20">
        <v>0</v>
      </c>
      <c r="H1612" s="20">
        <v>56045</v>
      </c>
      <c r="I1612" s="21">
        <v>56.045000000000002</v>
      </c>
      <c r="J1612" s="8">
        <v>2</v>
      </c>
      <c r="K1612" s="34" t="s">
        <v>238</v>
      </c>
      <c r="L1612" s="10">
        <v>42208</v>
      </c>
      <c r="M1612" s="9" t="s">
        <v>191</v>
      </c>
      <c r="N1612" s="38">
        <v>40.725000000000001</v>
      </c>
      <c r="O1612" s="38">
        <v>10.675000000000001</v>
      </c>
      <c r="P1612" s="38">
        <v>3.8</v>
      </c>
      <c r="Q1612" s="38">
        <v>0.95</v>
      </c>
      <c r="R1612" s="38">
        <v>2.1634699999999998</v>
      </c>
      <c r="S1612" s="38">
        <f t="shared" si="199"/>
        <v>2</v>
      </c>
      <c r="T1612" s="38">
        <v>53.85</v>
      </c>
      <c r="U1612" s="38">
        <v>1.95</v>
      </c>
      <c r="V1612" s="38">
        <v>0.27500000000000002</v>
      </c>
      <c r="W1612" s="38">
        <v>7.4999999999999997E-2</v>
      </c>
      <c r="X1612" s="38">
        <v>3.44075</v>
      </c>
      <c r="Y1612" s="38">
        <f t="shared" si="200"/>
        <v>3.5</v>
      </c>
      <c r="Z1612" s="38">
        <v>0</v>
      </c>
      <c r="AA1612" s="38">
        <v>0</v>
      </c>
      <c r="AB1612" s="38">
        <v>56.150000000000006</v>
      </c>
      <c r="AC1612" s="38">
        <v>1.2270000000000001</v>
      </c>
      <c r="AD1612" s="38">
        <v>57</v>
      </c>
      <c r="AE1612" s="38">
        <v>2</v>
      </c>
      <c r="AF1612" s="38">
        <v>2.9568076673081582E-2</v>
      </c>
      <c r="AG1612" s="38">
        <f t="shared" si="201"/>
        <v>0</v>
      </c>
      <c r="AH1612" s="56">
        <v>2</v>
      </c>
      <c r="AI1612" s="56">
        <v>1.0195888507959167E-3</v>
      </c>
      <c r="AJ1612" s="56">
        <v>37</v>
      </c>
      <c r="AK1612" s="56">
        <v>1.8862393739724457E-2</v>
      </c>
      <c r="AL1612" s="56">
        <v>0</v>
      </c>
      <c r="AM1612" s="56">
        <v>0</v>
      </c>
      <c r="AN1612" s="72"/>
      <c r="AO1612" s="41"/>
      <c r="AP1612" s="41"/>
      <c r="AQ1612" s="41"/>
      <c r="AR1612" s="41"/>
      <c r="AS1612" s="73"/>
      <c r="AT1612" s="73"/>
      <c r="AU1612" s="73"/>
      <c r="AV1612" s="73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</row>
    <row r="1613" spans="1:88" s="61" customFormat="1">
      <c r="A1613" s="1">
        <v>1434</v>
      </c>
      <c r="B1613" s="34" t="s">
        <v>1987</v>
      </c>
      <c r="C1613" s="34">
        <v>448</v>
      </c>
      <c r="D1613" s="75">
        <v>32</v>
      </c>
      <c r="E1613" s="69">
        <v>201</v>
      </c>
      <c r="F1613" s="34" t="s">
        <v>1988</v>
      </c>
      <c r="G1613" s="20">
        <v>26000</v>
      </c>
      <c r="H1613" s="20">
        <v>49087</v>
      </c>
      <c r="I1613" s="21">
        <v>23.087</v>
      </c>
      <c r="J1613" s="8">
        <v>8</v>
      </c>
      <c r="K1613" s="34" t="s">
        <v>671</v>
      </c>
      <c r="L1613" s="10">
        <v>42182</v>
      </c>
      <c r="M1613" s="9" t="s">
        <v>191</v>
      </c>
      <c r="N1613" s="38">
        <v>19.625</v>
      </c>
      <c r="O1613" s="38">
        <v>2.2749999999999999</v>
      </c>
      <c r="P1613" s="38">
        <v>0.7</v>
      </c>
      <c r="Q1613" s="38">
        <v>0.125</v>
      </c>
      <c r="R1613" s="38">
        <v>1.823</v>
      </c>
      <c r="S1613" s="38">
        <f t="shared" si="199"/>
        <v>2</v>
      </c>
      <c r="T1613" s="38">
        <v>21.95</v>
      </c>
      <c r="U1613" s="38">
        <v>0.45</v>
      </c>
      <c r="V1613" s="38">
        <v>0.32500000000000001</v>
      </c>
      <c r="W1613" s="38">
        <v>0</v>
      </c>
      <c r="X1613" s="38">
        <v>3.1819999999999999</v>
      </c>
      <c r="Y1613" s="38">
        <f t="shared" si="200"/>
        <v>3</v>
      </c>
      <c r="Z1613" s="38">
        <v>0</v>
      </c>
      <c r="AA1613" s="38">
        <v>0</v>
      </c>
      <c r="AB1613" s="38">
        <v>22.724999999999998</v>
      </c>
      <c r="AC1613" s="38">
        <v>1.123</v>
      </c>
      <c r="AD1613" s="38">
        <v>12</v>
      </c>
      <c r="AE1613" s="38">
        <v>23.75</v>
      </c>
      <c r="AF1613" s="38">
        <f>(AD1613+AE1613*0.5)/(3.5*I1613*1000)*100</f>
        <v>2.9546621784677835E-2</v>
      </c>
      <c r="AG1613" s="38">
        <f t="shared" si="201"/>
        <v>0</v>
      </c>
      <c r="AH1613" s="56">
        <v>28.48</v>
      </c>
      <c r="AI1613" s="56">
        <f>AH1613/(3.5*I1613*1000)*100</f>
        <v>3.5245561818958104E-2</v>
      </c>
      <c r="AJ1613" s="56">
        <v>0</v>
      </c>
      <c r="AK1613" s="56">
        <f>AJ1613/(3.5*I1613*1000)*100</f>
        <v>0</v>
      </c>
      <c r="AL1613" s="56">
        <v>0</v>
      </c>
      <c r="AM1613" s="56">
        <f>AL1613/(3.5*I1613*1000)*100</f>
        <v>0</v>
      </c>
      <c r="AN1613" s="73"/>
      <c r="AO1613" s="73"/>
      <c r="AP1613" s="73"/>
      <c r="AQ1613" s="73"/>
      <c r="AR1613" s="73"/>
      <c r="AS1613" s="73"/>
      <c r="AT1613" s="73"/>
      <c r="AU1613" s="73"/>
      <c r="AV1613" s="73"/>
      <c r="AW1613" s="22"/>
      <c r="AX1613" s="22"/>
      <c r="AY1613" s="22"/>
      <c r="AZ1613" s="22"/>
      <c r="BA1613" s="22"/>
      <c r="BB1613" s="22"/>
      <c r="BC1613" s="22"/>
      <c r="BD1613" s="22"/>
      <c r="BE1613" s="22"/>
      <c r="BF1613" s="22"/>
      <c r="BG1613" s="22"/>
      <c r="BH1613" s="22"/>
      <c r="BI1613" s="22"/>
      <c r="BJ1613" s="22"/>
      <c r="BK1613" s="22"/>
      <c r="BL1613" s="22"/>
      <c r="BM1613" s="22"/>
      <c r="BN1613" s="22"/>
      <c r="BO1613" s="22"/>
      <c r="BP1613" s="22"/>
      <c r="BQ1613" s="22"/>
      <c r="BR1613" s="22"/>
      <c r="BS1613" s="22"/>
      <c r="BT1613" s="22"/>
      <c r="BU1613" s="22"/>
      <c r="BV1613" s="22"/>
      <c r="BW1613" s="22"/>
      <c r="BX1613" s="22"/>
      <c r="BY1613" s="22"/>
      <c r="BZ1613" s="22"/>
      <c r="CA1613" s="22"/>
      <c r="CB1613" s="22"/>
      <c r="CC1613" s="22"/>
      <c r="CD1613" s="22"/>
      <c r="CE1613" s="22"/>
      <c r="CF1613" s="22"/>
      <c r="CG1613" s="22"/>
      <c r="CH1613" s="22"/>
      <c r="CI1613" s="22"/>
      <c r="CJ1613" s="22"/>
    </row>
    <row r="1614" spans="1:88" s="64" customFormat="1">
      <c r="A1614" s="1">
        <v>847</v>
      </c>
      <c r="B1614" s="34" t="s">
        <v>1231</v>
      </c>
      <c r="C1614" s="34">
        <v>615</v>
      </c>
      <c r="D1614" s="34">
        <v>226</v>
      </c>
      <c r="E1614" s="34">
        <v>302</v>
      </c>
      <c r="F1614" s="34" t="s">
        <v>1241</v>
      </c>
      <c r="G1614" s="58">
        <v>171182</v>
      </c>
      <c r="H1614" s="58">
        <v>203646</v>
      </c>
      <c r="I1614" s="35">
        <v>32.463999999999999</v>
      </c>
      <c r="J1614" s="9">
        <v>4</v>
      </c>
      <c r="K1614" s="34" t="s">
        <v>237</v>
      </c>
      <c r="L1614" s="10">
        <v>42135</v>
      </c>
      <c r="M1614" s="9" t="s">
        <v>191</v>
      </c>
      <c r="N1614" s="38">
        <v>17.2</v>
      </c>
      <c r="O1614" s="38">
        <v>8.9499999999999993</v>
      </c>
      <c r="P1614" s="38">
        <v>4.4000000000000004</v>
      </c>
      <c r="Q1614" s="38">
        <v>1.925</v>
      </c>
      <c r="R1614" s="38">
        <v>2.927</v>
      </c>
      <c r="S1614" s="38">
        <f t="shared" si="199"/>
        <v>3</v>
      </c>
      <c r="T1614" s="38">
        <v>24.55</v>
      </c>
      <c r="U1614" s="38">
        <v>4.45</v>
      </c>
      <c r="V1614" s="38">
        <v>1.7</v>
      </c>
      <c r="W1614" s="38">
        <v>1.7749999999999999</v>
      </c>
      <c r="X1614" s="38">
        <v>9.5640000000000001</v>
      </c>
      <c r="Y1614" s="38">
        <f t="shared" si="200"/>
        <v>9.5</v>
      </c>
      <c r="Z1614" s="38">
        <v>0</v>
      </c>
      <c r="AA1614" s="38">
        <v>0</v>
      </c>
      <c r="AB1614" s="38">
        <f>N1614+O1614+P1614+Q1614</f>
        <v>32.474999999999994</v>
      </c>
      <c r="AC1614" s="38">
        <v>1.2190000000000001</v>
      </c>
      <c r="AD1614" s="38">
        <v>31.79</v>
      </c>
      <c r="AE1614" s="38">
        <v>3.05</v>
      </c>
      <c r="AF1614" s="38">
        <v>2.9319999999999999E-2</v>
      </c>
      <c r="AG1614" s="38">
        <f t="shared" si="201"/>
        <v>0</v>
      </c>
      <c r="AH1614" s="56">
        <v>37.57</v>
      </c>
      <c r="AI1614" s="56">
        <v>3.3070000000000002E-2</v>
      </c>
      <c r="AJ1614" s="56">
        <v>10.130000000000001</v>
      </c>
      <c r="AK1614" s="56">
        <v>8.9149999999999993E-3</v>
      </c>
      <c r="AL1614" s="56">
        <v>20.25</v>
      </c>
      <c r="AM1614" s="56">
        <v>1.7819999999999999E-2</v>
      </c>
      <c r="AN1614" s="25"/>
      <c r="AO1614" s="25">
        <f>AE1614*0.5</f>
        <v>1.5249999999999999</v>
      </c>
      <c r="AP1614" s="25">
        <f>(AD1614+AH1614+AJ1614+AL1614+AO1614)*I1614</f>
        <v>3287.4669599999997</v>
      </c>
      <c r="AQ1614" s="25">
        <f>SUM(N1614:Q1614)</f>
        <v>32.474999999999994</v>
      </c>
      <c r="AR1614" s="25">
        <f>SUM(T1614:W1614)</f>
        <v>32.475000000000001</v>
      </c>
      <c r="AS1614" s="268">
        <v>32.463999999999999</v>
      </c>
      <c r="AT1614" s="41"/>
      <c r="AU1614" s="41"/>
      <c r="AV1614" s="41"/>
      <c r="AW1614" s="41"/>
      <c r="AX1614" s="22"/>
      <c r="AY1614" s="22"/>
      <c r="AZ1614" s="22"/>
      <c r="BA1614" s="22"/>
      <c r="BB1614" s="22"/>
      <c r="BC1614" s="22"/>
      <c r="BD1614" s="22"/>
      <c r="BE1614" s="22"/>
      <c r="BF1614" s="22"/>
      <c r="BG1614" s="22"/>
      <c r="BH1614" s="22"/>
      <c r="BI1614" s="22"/>
      <c r="BJ1614" s="22"/>
      <c r="BK1614" s="22"/>
      <c r="BL1614" s="22"/>
      <c r="BM1614" s="22"/>
      <c r="BN1614" s="22"/>
      <c r="BO1614" s="22"/>
      <c r="BP1614" s="22"/>
      <c r="BQ1614" s="22"/>
      <c r="BR1614" s="22"/>
      <c r="BS1614" s="22"/>
      <c r="BT1614" s="22"/>
      <c r="BU1614" s="22"/>
      <c r="BV1614" s="22"/>
      <c r="BW1614" s="22"/>
      <c r="BX1614" s="22"/>
      <c r="BY1614" s="22"/>
      <c r="BZ1614" s="22"/>
      <c r="CA1614" s="22"/>
      <c r="CB1614" s="22"/>
      <c r="CC1614" s="22"/>
      <c r="CD1614" s="22"/>
      <c r="CE1614" s="22"/>
      <c r="CF1614" s="22"/>
      <c r="CG1614" s="22"/>
      <c r="CH1614" s="22"/>
      <c r="CI1614" s="22"/>
      <c r="CJ1614" s="22"/>
    </row>
    <row r="1615" spans="1:88" s="64" customFormat="1">
      <c r="A1615" s="1">
        <v>911</v>
      </c>
      <c r="B1615" s="34" t="s">
        <v>1302</v>
      </c>
      <c r="C1615" s="34">
        <v>636</v>
      </c>
      <c r="D1615" s="162">
        <v>2127</v>
      </c>
      <c r="E1615" s="34">
        <v>100</v>
      </c>
      <c r="F1615" s="34" t="s">
        <v>1305</v>
      </c>
      <c r="G1615" s="58">
        <v>0</v>
      </c>
      <c r="H1615" s="58">
        <v>13085</v>
      </c>
      <c r="I1615" s="35">
        <v>13.085000000000001</v>
      </c>
      <c r="J1615" s="163">
        <v>2</v>
      </c>
      <c r="K1615" s="34" t="s">
        <v>238</v>
      </c>
      <c r="L1615" s="10">
        <v>38485</v>
      </c>
      <c r="M1615" s="9" t="s">
        <v>191</v>
      </c>
      <c r="N1615" s="38">
        <v>10.85</v>
      </c>
      <c r="O1615" s="38">
        <v>1.55</v>
      </c>
      <c r="P1615" s="38">
        <v>0.375</v>
      </c>
      <c r="Q1615" s="38">
        <v>0.25</v>
      </c>
      <c r="R1615" s="38">
        <v>2.0899000000000001</v>
      </c>
      <c r="S1615" s="38">
        <f t="shared" si="199"/>
        <v>2</v>
      </c>
      <c r="T1615" s="38">
        <v>12.95</v>
      </c>
      <c r="U1615" s="38">
        <v>0.05</v>
      </c>
      <c r="V1615" s="38">
        <v>2.5000000000000001E-2</v>
      </c>
      <c r="W1615" s="38">
        <v>0</v>
      </c>
      <c r="X1615" s="38">
        <v>2.9348299999999998</v>
      </c>
      <c r="Y1615" s="38">
        <f t="shared" si="200"/>
        <v>3</v>
      </c>
      <c r="Z1615" s="38">
        <v>0</v>
      </c>
      <c r="AA1615" s="38">
        <v>0</v>
      </c>
      <c r="AB1615" s="38">
        <f>N1615+O1615+P1615+Q1615</f>
        <v>13.025</v>
      </c>
      <c r="AC1615" s="38">
        <v>1.49658</v>
      </c>
      <c r="AD1615" s="38">
        <v>13.33</v>
      </c>
      <c r="AE1615" s="38">
        <v>0</v>
      </c>
      <c r="AF1615" s="38">
        <v>2.911E-2</v>
      </c>
      <c r="AG1615" s="38">
        <f t="shared" si="201"/>
        <v>0</v>
      </c>
      <c r="AH1615" s="56">
        <v>0</v>
      </c>
      <c r="AI1615" s="56">
        <v>0</v>
      </c>
      <c r="AJ1615" s="56">
        <v>53.2</v>
      </c>
      <c r="AK1615" s="56">
        <v>0.116164</v>
      </c>
      <c r="AL1615" s="56">
        <v>0</v>
      </c>
      <c r="AM1615" s="56">
        <v>0</v>
      </c>
      <c r="AN1615" s="25"/>
      <c r="AO1615" s="25">
        <f>AE1615*0.5</f>
        <v>0</v>
      </c>
      <c r="AP1615" s="25">
        <f>(AD1615+AH1615+AJ1615+AL1615+AO1615)*I1615</f>
        <v>870.54505000000006</v>
      </c>
      <c r="AQ1615" s="25"/>
      <c r="AR1615" s="25"/>
      <c r="AS1615" s="25">
        <f>SUM(N1615:Q1615)</f>
        <v>13.025</v>
      </c>
      <c r="AT1615" s="25">
        <f>SUM(T1615:W1615)</f>
        <v>13.025</v>
      </c>
      <c r="AU1615" s="22"/>
      <c r="AV1615" s="41"/>
      <c r="AW1615" s="41"/>
      <c r="AX1615" s="41"/>
      <c r="AY1615" s="41"/>
      <c r="AZ1615" s="22"/>
      <c r="BA1615" s="22"/>
      <c r="BB1615" s="22"/>
      <c r="BC1615" s="22"/>
      <c r="BD1615" s="22"/>
      <c r="BE1615" s="22"/>
      <c r="BF1615" s="22"/>
      <c r="BG1615" s="22"/>
      <c r="BH1615" s="22"/>
      <c r="BI1615" s="22"/>
      <c r="BJ1615" s="22"/>
      <c r="BK1615" s="22"/>
      <c r="BL1615" s="22"/>
      <c r="BM1615" s="22"/>
      <c r="BN1615" s="22"/>
      <c r="BO1615" s="22"/>
      <c r="BP1615" s="22"/>
      <c r="BQ1615" s="22"/>
      <c r="BR1615" s="22"/>
      <c r="BS1615" s="22"/>
      <c r="BT1615" s="22"/>
      <c r="BU1615" s="22"/>
      <c r="BV1615" s="22"/>
      <c r="BW1615" s="22"/>
      <c r="BX1615" s="22"/>
      <c r="BY1615" s="22"/>
      <c r="BZ1615" s="22"/>
      <c r="CA1615" s="22"/>
      <c r="CB1615" s="22"/>
      <c r="CC1615" s="22"/>
      <c r="CD1615" s="22"/>
      <c r="CE1615" s="22"/>
      <c r="CF1615" s="22"/>
      <c r="CG1615" s="22"/>
      <c r="CH1615" s="22"/>
      <c r="CI1615" s="22"/>
      <c r="CJ1615" s="22"/>
    </row>
    <row r="1616" spans="1:88" s="22" customFormat="1">
      <c r="A1616" s="1">
        <v>790</v>
      </c>
      <c r="B1616" s="34" t="s">
        <v>1171</v>
      </c>
      <c r="C1616" s="34">
        <v>633</v>
      </c>
      <c r="D1616" s="8">
        <v>2259</v>
      </c>
      <c r="E1616" s="34">
        <v>100</v>
      </c>
      <c r="F1616" s="34" t="s">
        <v>1183</v>
      </c>
      <c r="G1616" s="58">
        <v>0</v>
      </c>
      <c r="H1616" s="58">
        <v>46191</v>
      </c>
      <c r="I1616" s="35">
        <v>46.191000000000003</v>
      </c>
      <c r="J1616" s="9">
        <v>2</v>
      </c>
      <c r="K1616" s="34" t="s">
        <v>238</v>
      </c>
      <c r="L1616" s="10">
        <v>42147</v>
      </c>
      <c r="M1616" s="37" t="s">
        <v>191</v>
      </c>
      <c r="N1616" s="38">
        <v>33.25</v>
      </c>
      <c r="O1616" s="38">
        <v>7.3250000000000002</v>
      </c>
      <c r="P1616" s="38">
        <v>3.5</v>
      </c>
      <c r="Q1616" s="38">
        <v>1.9750000000000001</v>
      </c>
      <c r="R1616" s="38">
        <v>2.4960399999999998</v>
      </c>
      <c r="S1616" s="38">
        <f t="shared" si="199"/>
        <v>2.5</v>
      </c>
      <c r="T1616" s="38">
        <v>44.075000000000003</v>
      </c>
      <c r="U1616" s="38">
        <v>1.7250000000000001</v>
      </c>
      <c r="V1616" s="38">
        <v>0.22500000000000001</v>
      </c>
      <c r="W1616" s="38">
        <v>2.5000000000000001E-2</v>
      </c>
      <c r="X1616" s="38">
        <v>3.96916</v>
      </c>
      <c r="Y1616" s="38">
        <f t="shared" si="200"/>
        <v>4</v>
      </c>
      <c r="Z1616" s="38">
        <v>0</v>
      </c>
      <c r="AA1616" s="38">
        <v>0</v>
      </c>
      <c r="AB1616" s="38">
        <f>N1616+O1616+P1616+Q1616</f>
        <v>46.050000000000004</v>
      </c>
      <c r="AC1616" s="38">
        <v>1.29765</v>
      </c>
      <c r="AD1616" s="39">
        <v>38</v>
      </c>
      <c r="AE1616" s="38">
        <v>18</v>
      </c>
      <c r="AF1616" s="38">
        <v>2.9069999999999999E-2</v>
      </c>
      <c r="AG1616" s="38">
        <f t="shared" si="201"/>
        <v>0</v>
      </c>
      <c r="AH1616" s="38">
        <v>8</v>
      </c>
      <c r="AI1616" s="38">
        <f>AH1616/(3.5*I1616*1000)*100</f>
        <v>4.948397492399571E-3</v>
      </c>
      <c r="AJ1616" s="38">
        <v>421</v>
      </c>
      <c r="AK1616" s="38">
        <f>AJ1616/(3.5*I1616*1000)*100</f>
        <v>0.26040941803752743</v>
      </c>
      <c r="AL1616" s="38">
        <v>0</v>
      </c>
      <c r="AM1616" s="38">
        <f>AL1616/(3.5*I1616*1000)*100</f>
        <v>0</v>
      </c>
      <c r="AN1616" s="25"/>
      <c r="AO1616" s="25">
        <f>AE1616*0.5</f>
        <v>9</v>
      </c>
      <c r="AP1616" s="25">
        <f>(AD1616+AH1616+AJ1616+AL1616+AO1616)*I1616</f>
        <v>21986.916000000001</v>
      </c>
      <c r="AQ1616" s="25">
        <f>SUM(N1616:Q1616)</f>
        <v>46.050000000000004</v>
      </c>
      <c r="AR1616" s="25">
        <f>SUM(T1616:W1616)</f>
        <v>46.050000000000004</v>
      </c>
      <c r="AT1616" s="41"/>
      <c r="AU1616" s="41"/>
      <c r="AV1616" s="49"/>
      <c r="AW1616" s="41"/>
    </row>
    <row r="1617" spans="1:88" s="22" customFormat="1">
      <c r="A1617" s="1">
        <v>1972</v>
      </c>
      <c r="B1617" s="34" t="s">
        <v>2615</v>
      </c>
      <c r="C1617" s="34">
        <v>322</v>
      </c>
      <c r="D1617" s="75">
        <v>403</v>
      </c>
      <c r="E1617" s="8">
        <v>302</v>
      </c>
      <c r="F1617" s="34" t="s">
        <v>2617</v>
      </c>
      <c r="G1617" s="58">
        <v>82997</v>
      </c>
      <c r="H1617" s="58">
        <v>93211</v>
      </c>
      <c r="I1617" s="21">
        <v>10.214</v>
      </c>
      <c r="J1617" s="8">
        <v>4</v>
      </c>
      <c r="K1617" s="8" t="s">
        <v>671</v>
      </c>
      <c r="L1617" s="18">
        <v>42129</v>
      </c>
      <c r="M1617" s="37" t="s">
        <v>191</v>
      </c>
      <c r="N1617" s="38">
        <v>8.15</v>
      </c>
      <c r="O1617" s="38">
        <v>1.2749999999999999</v>
      </c>
      <c r="P1617" s="38">
        <v>0.375</v>
      </c>
      <c r="Q1617" s="38">
        <v>0.25</v>
      </c>
      <c r="R1617" s="38">
        <v>2.1657500000000001</v>
      </c>
      <c r="S1617" s="38">
        <f t="shared" si="199"/>
        <v>2</v>
      </c>
      <c r="T1617" s="38">
        <v>8.35</v>
      </c>
      <c r="U1617" s="38">
        <v>1.175</v>
      </c>
      <c r="V1617" s="38">
        <v>0.5</v>
      </c>
      <c r="W1617" s="38">
        <v>2.5000000000000001E-2</v>
      </c>
      <c r="X1617" s="38">
        <v>6.1905799999999997</v>
      </c>
      <c r="Y1617" s="38">
        <f t="shared" si="200"/>
        <v>6</v>
      </c>
      <c r="Z1617" s="38">
        <v>0</v>
      </c>
      <c r="AA1617" s="38">
        <v>0</v>
      </c>
      <c r="AB1617" s="38">
        <v>10.050000000000001</v>
      </c>
      <c r="AC1617" s="38">
        <v>1.33534</v>
      </c>
      <c r="AD1617" s="39">
        <v>10.36</v>
      </c>
      <c r="AE1617" s="38">
        <v>0</v>
      </c>
      <c r="AF1617" s="38">
        <v>2.8979831603681221E-2</v>
      </c>
      <c r="AG1617" s="38">
        <f t="shared" si="201"/>
        <v>0</v>
      </c>
      <c r="AH1617" s="38">
        <v>0</v>
      </c>
      <c r="AI1617" s="38">
        <v>0</v>
      </c>
      <c r="AJ1617" s="38">
        <v>0</v>
      </c>
      <c r="AK1617" s="38">
        <v>0</v>
      </c>
      <c r="AL1617" s="38">
        <v>0</v>
      </c>
      <c r="AM1617" s="38">
        <f>AL1617/(3.5*I1617*1000)*100</f>
        <v>0</v>
      </c>
      <c r="AN1617" s="72"/>
      <c r="AO1617" s="41"/>
      <c r="AP1617" s="41"/>
      <c r="AQ1617" s="73"/>
      <c r="AR1617" s="73"/>
      <c r="AS1617" s="73"/>
      <c r="AT1617" s="73"/>
      <c r="AU1617" s="1"/>
      <c r="AV1617" s="178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</row>
    <row r="1618" spans="1:88" s="22" customFormat="1">
      <c r="A1618" s="1">
        <v>1819</v>
      </c>
      <c r="B1618" s="34" t="s">
        <v>2382</v>
      </c>
      <c r="C1618" s="34">
        <v>428</v>
      </c>
      <c r="D1618" s="8">
        <v>3702</v>
      </c>
      <c r="E1618" s="34">
        <v>500</v>
      </c>
      <c r="F1618" s="34" t="s">
        <v>2406</v>
      </c>
      <c r="G1618" s="58" t="s">
        <v>2408</v>
      </c>
      <c r="H1618" s="58" t="s">
        <v>2407</v>
      </c>
      <c r="I1618" s="35">
        <v>1.21</v>
      </c>
      <c r="J1618" s="9">
        <v>2</v>
      </c>
      <c r="K1618" s="34" t="s">
        <v>12</v>
      </c>
      <c r="L1618" s="10">
        <v>42232</v>
      </c>
      <c r="M1618" s="37" t="s">
        <v>191</v>
      </c>
      <c r="N1618" s="38">
        <v>0.42499999999999999</v>
      </c>
      <c r="O1618" s="38">
        <v>0.4</v>
      </c>
      <c r="P1618" s="38">
        <v>0.3</v>
      </c>
      <c r="Q1618" s="38">
        <v>7.4999999999999997E-2</v>
      </c>
      <c r="R1618" s="38">
        <v>3.0859999999999999</v>
      </c>
      <c r="S1618" s="38">
        <f t="shared" si="199"/>
        <v>3</v>
      </c>
      <c r="T1618" s="38">
        <v>1.125</v>
      </c>
      <c r="U1618" s="38">
        <v>7.4999999999999997E-2</v>
      </c>
      <c r="V1618" s="38">
        <v>0</v>
      </c>
      <c r="W1618" s="38">
        <v>0</v>
      </c>
      <c r="X1618" s="38">
        <v>6.3710000000000004</v>
      </c>
      <c r="Y1618" s="38">
        <f t="shared" si="200"/>
        <v>6.5</v>
      </c>
      <c r="Z1618" s="38">
        <v>0</v>
      </c>
      <c r="AA1618" s="38">
        <v>0</v>
      </c>
      <c r="AB1618" s="38">
        <f>SUM(N1618:Q1618)</f>
        <v>1.2</v>
      </c>
      <c r="AC1618" s="38">
        <v>1.232</v>
      </c>
      <c r="AD1618" s="39">
        <v>0</v>
      </c>
      <c r="AE1618" s="38">
        <v>2.4500000000000002</v>
      </c>
      <c r="AF1618" s="38">
        <f>(AD1618+AE1618*0.5)/(3.5*I1618*1000)*100</f>
        <v>2.8925619834710752E-2</v>
      </c>
      <c r="AG1618" s="38">
        <f t="shared" si="201"/>
        <v>0</v>
      </c>
      <c r="AH1618" s="38">
        <v>0</v>
      </c>
      <c r="AI1618" s="38">
        <f>AH1618/(3.5*I1618*1000)*100</f>
        <v>0</v>
      </c>
      <c r="AJ1618" s="38">
        <v>0</v>
      </c>
      <c r="AK1618" s="38">
        <f>AJ1618/(3.5*I1618*1000)*100</f>
        <v>0</v>
      </c>
      <c r="AL1618" s="38">
        <v>0</v>
      </c>
      <c r="AM1618" s="38">
        <f>AL1618/(3.5*I1618*1000)*100</f>
        <v>0</v>
      </c>
      <c r="AN1618" s="25"/>
      <c r="AO1618" s="25">
        <f>AE1618*0.5</f>
        <v>1.2250000000000001</v>
      </c>
      <c r="AP1618" s="25">
        <f>(AD1618+AH1618+AJ1618+AL1618+AO1618)*I1618</f>
        <v>1.4822500000000001</v>
      </c>
      <c r="AQ1618" s="25"/>
      <c r="AR1618" s="25"/>
      <c r="AT1618" s="41"/>
      <c r="AU1618" s="41"/>
      <c r="AV1618" s="49"/>
      <c r="AW1618" s="41"/>
    </row>
    <row r="1619" spans="1:88" s="22" customFormat="1">
      <c r="A1619" s="1">
        <v>377</v>
      </c>
      <c r="B1619" s="71" t="s">
        <v>602</v>
      </c>
      <c r="C1619" s="78">
        <v>514</v>
      </c>
      <c r="D1619" s="78">
        <v>1402</v>
      </c>
      <c r="E1619" s="78">
        <v>100</v>
      </c>
      <c r="F1619" s="78" t="s">
        <v>624</v>
      </c>
      <c r="G1619" s="78" t="s">
        <v>625</v>
      </c>
      <c r="H1619" s="78" t="s">
        <v>92</v>
      </c>
      <c r="I1619" s="78">
        <v>4.0030000000000001</v>
      </c>
      <c r="J1619" s="78">
        <v>2</v>
      </c>
      <c r="K1619" s="78" t="s">
        <v>96</v>
      </c>
      <c r="L1619" s="82">
        <v>42256</v>
      </c>
      <c r="M1619" s="123" t="s">
        <v>191</v>
      </c>
      <c r="N1619" s="83">
        <v>1.72</v>
      </c>
      <c r="O1619" s="83">
        <v>1.56</v>
      </c>
      <c r="P1619" s="83">
        <v>0.67</v>
      </c>
      <c r="Q1619" s="83">
        <v>0.05</v>
      </c>
      <c r="R1619" s="83">
        <v>2.6942200000000001</v>
      </c>
      <c r="S1619" s="38">
        <f t="shared" si="199"/>
        <v>2.5</v>
      </c>
      <c r="T1619" s="83">
        <v>4</v>
      </c>
      <c r="U1619" s="83">
        <v>0</v>
      </c>
      <c r="V1619" s="83">
        <v>0</v>
      </c>
      <c r="W1619" s="83">
        <v>0</v>
      </c>
      <c r="X1619" s="83">
        <v>1.9996499999999999</v>
      </c>
      <c r="Y1619" s="38">
        <f t="shared" si="200"/>
        <v>2</v>
      </c>
      <c r="Z1619" s="83">
        <v>0</v>
      </c>
      <c r="AA1619" s="83">
        <v>0</v>
      </c>
      <c r="AB1619" s="83">
        <v>4</v>
      </c>
      <c r="AC1619" s="83">
        <v>1.03332</v>
      </c>
      <c r="AD1619" s="125">
        <v>0</v>
      </c>
      <c r="AE1619" s="83">
        <v>8.1</v>
      </c>
      <c r="AF1619" s="83">
        <f>(AD1619+AE1619*0.5)/(3.5*I1619*1000)*100</f>
        <v>2.8906891260126334E-2</v>
      </c>
      <c r="AG1619" s="38">
        <f t="shared" si="201"/>
        <v>0</v>
      </c>
      <c r="AH1619" s="83">
        <v>68.48</v>
      </c>
      <c r="AI1619" s="83">
        <f>AH1619/(3.5*I1619*1000)*100</f>
        <v>0.48877627493665465</v>
      </c>
      <c r="AJ1619" s="83">
        <v>0</v>
      </c>
      <c r="AK1619" s="83">
        <f>AJ1619/(3.5*I1619*1000)*100</f>
        <v>0</v>
      </c>
      <c r="AL1619" s="83">
        <v>0</v>
      </c>
      <c r="AM1619" s="83">
        <f>AL1619/(3.5*I1619*1000)*100</f>
        <v>0</v>
      </c>
      <c r="AN1619" s="84"/>
      <c r="AO1619" s="41"/>
      <c r="AP1619" s="41"/>
      <c r="AQ1619" s="85"/>
      <c r="AR1619" s="86"/>
      <c r="AS1619" s="86"/>
      <c r="AT1619" s="86"/>
      <c r="AU1619" s="86"/>
      <c r="AV1619" s="276"/>
      <c r="AW1619" s="86"/>
      <c r="AX1619" s="86"/>
      <c r="AY1619" s="86"/>
      <c r="AZ1619" s="86"/>
      <c r="BA1619" s="86"/>
      <c r="BB1619" s="86"/>
      <c r="BC1619" s="86"/>
      <c r="BD1619" s="86"/>
      <c r="BE1619" s="86"/>
      <c r="BF1619" s="86"/>
      <c r="BG1619" s="86"/>
      <c r="BH1619" s="86"/>
      <c r="BI1619" s="86"/>
      <c r="BJ1619" s="86"/>
      <c r="BK1619" s="86"/>
      <c r="BL1619" s="86"/>
      <c r="BM1619" s="86"/>
      <c r="BN1619" s="86"/>
      <c r="BO1619" s="86"/>
      <c r="BP1619" s="86"/>
      <c r="BQ1619" s="86"/>
      <c r="BR1619" s="86"/>
      <c r="BS1619" s="86"/>
      <c r="BT1619" s="86"/>
      <c r="BU1619" s="86"/>
      <c r="BV1619" s="86"/>
      <c r="BW1619" s="86"/>
      <c r="BX1619" s="86"/>
      <c r="BY1619" s="86"/>
      <c r="BZ1619" s="86"/>
      <c r="CA1619" s="86"/>
      <c r="CB1619" s="86"/>
      <c r="CC1619" s="86"/>
      <c r="CD1619" s="86"/>
      <c r="CE1619" s="86"/>
      <c r="CF1619" s="86"/>
      <c r="CG1619" s="86"/>
      <c r="CH1619" s="86"/>
      <c r="CI1619" s="86"/>
      <c r="CJ1619" s="86"/>
    </row>
    <row r="1620" spans="1:88" s="22" customFormat="1">
      <c r="A1620" s="1">
        <v>627</v>
      </c>
      <c r="B1620" s="34" t="s">
        <v>1017</v>
      </c>
      <c r="C1620" s="34">
        <v>555</v>
      </c>
      <c r="D1620" s="34">
        <v>2399</v>
      </c>
      <c r="E1620" s="34">
        <v>102</v>
      </c>
      <c r="F1620" s="9" t="s">
        <v>1030</v>
      </c>
      <c r="G1620" s="118">
        <v>16909</v>
      </c>
      <c r="H1620" s="118">
        <v>40361</v>
      </c>
      <c r="I1620" s="35">
        <v>23.452000000000002</v>
      </c>
      <c r="J1620" s="71">
        <v>2</v>
      </c>
      <c r="K1620" s="34" t="s">
        <v>238</v>
      </c>
      <c r="L1620" s="10">
        <v>42187</v>
      </c>
      <c r="M1620" s="37" t="s">
        <v>191</v>
      </c>
      <c r="N1620" s="38">
        <v>7.9</v>
      </c>
      <c r="O1620" s="38">
        <v>7.7249999999999996</v>
      </c>
      <c r="P1620" s="38">
        <v>5.0250000000000004</v>
      </c>
      <c r="Q1620" s="38">
        <v>2.65</v>
      </c>
      <c r="R1620" s="38">
        <v>3.2801900000000002</v>
      </c>
      <c r="S1620" s="38">
        <f t="shared" si="199"/>
        <v>3.5</v>
      </c>
      <c r="T1620" s="38">
        <v>22.225000000000001</v>
      </c>
      <c r="U1620" s="38">
        <v>0.92500000000000004</v>
      </c>
      <c r="V1620" s="38">
        <v>0.125</v>
      </c>
      <c r="W1620" s="38">
        <v>2.5000000000000001E-2</v>
      </c>
      <c r="X1620" s="38">
        <v>4.7134799999999997</v>
      </c>
      <c r="Y1620" s="38">
        <f t="shared" si="200"/>
        <v>4.5</v>
      </c>
      <c r="Z1620" s="38">
        <v>0</v>
      </c>
      <c r="AA1620" s="38">
        <v>0</v>
      </c>
      <c r="AB1620" s="38">
        <f>N1620+O1620+P1620+Q1620</f>
        <v>23.299999999999997</v>
      </c>
      <c r="AC1620" s="38">
        <v>1.3875999999999999</v>
      </c>
      <c r="AD1620" s="39">
        <v>14</v>
      </c>
      <c r="AE1620" s="38">
        <v>19.399999999999999</v>
      </c>
      <c r="AF1620" s="38">
        <f>(AD1620+AE1620*0.5)/(3.5*I1620*1000)*100</f>
        <v>2.8873565458931306E-2</v>
      </c>
      <c r="AG1620" s="38">
        <f t="shared" si="201"/>
        <v>0</v>
      </c>
      <c r="AH1620" s="38">
        <v>13</v>
      </c>
      <c r="AI1620" s="38">
        <f>AH1620/(3.5*I1620*1000)*100</f>
        <v>1.5837820715869495E-2</v>
      </c>
      <c r="AJ1620" s="38">
        <v>71</v>
      </c>
      <c r="AK1620" s="38">
        <f>AJ1620/(3.5*I1620*1000)*100</f>
        <v>8.6498866986671849E-2</v>
      </c>
      <c r="AL1620" s="38">
        <v>2</v>
      </c>
      <c r="AM1620" s="38">
        <f>AL1620/(3.5*I1620*1000)*100</f>
        <v>2.4365878024414605E-3</v>
      </c>
      <c r="AN1620" s="25"/>
      <c r="AO1620" s="25">
        <f>AE1620*0.5</f>
        <v>9.6999999999999993</v>
      </c>
      <c r="AP1620" s="25">
        <f>(AD1620+AH1620+AJ1620+AL1620+AO1620)*I1620</f>
        <v>2572.6844000000001</v>
      </c>
      <c r="AQ1620" s="25">
        <f>SUM(N1620:Q1620)</f>
        <v>23.299999999999997</v>
      </c>
      <c r="AR1620" s="25">
        <f>SUM(T1620:W1620)</f>
        <v>23.3</v>
      </c>
      <c r="AT1620" s="41"/>
      <c r="AU1620" s="41"/>
      <c r="AV1620" s="49"/>
      <c r="AW1620" s="41"/>
    </row>
    <row r="1621" spans="1:88" s="22" customFormat="1">
      <c r="A1621" s="1">
        <v>1358</v>
      </c>
      <c r="B1621" s="74" t="s">
        <v>1905</v>
      </c>
      <c r="C1621" s="34">
        <v>445</v>
      </c>
      <c r="D1621" s="75">
        <v>346</v>
      </c>
      <c r="E1621" s="69">
        <v>400</v>
      </c>
      <c r="F1621" s="184" t="s">
        <v>1910</v>
      </c>
      <c r="G1621" s="20">
        <v>91506</v>
      </c>
      <c r="H1621" s="20">
        <v>111406</v>
      </c>
      <c r="I1621" s="21">
        <v>19.899999999999999</v>
      </c>
      <c r="J1621" s="8">
        <v>4</v>
      </c>
      <c r="K1621" s="34" t="s">
        <v>237</v>
      </c>
      <c r="L1621" s="10">
        <v>42188</v>
      </c>
      <c r="M1621" s="37" t="s">
        <v>191</v>
      </c>
      <c r="N1621" s="38">
        <v>11.324999999999999</v>
      </c>
      <c r="O1621" s="38">
        <v>5.9249999999999998</v>
      </c>
      <c r="P1621" s="38">
        <v>1.95</v>
      </c>
      <c r="Q1621" s="38">
        <v>0.6</v>
      </c>
      <c r="R1621" s="38">
        <v>2.6150799999999998</v>
      </c>
      <c r="S1621" s="38">
        <f t="shared" si="199"/>
        <v>2.5</v>
      </c>
      <c r="T1621" s="38">
        <v>16.100000000000001</v>
      </c>
      <c r="U1621" s="38">
        <v>2.65</v>
      </c>
      <c r="V1621" s="38">
        <v>0.77500000000000002</v>
      </c>
      <c r="W1621" s="38">
        <v>0.27500000000000002</v>
      </c>
      <c r="X1621" s="38">
        <v>7.4070799999999997</v>
      </c>
      <c r="Y1621" s="38">
        <f t="shared" si="200"/>
        <v>7.5</v>
      </c>
      <c r="Z1621" s="38">
        <v>0</v>
      </c>
      <c r="AA1621" s="38">
        <v>0</v>
      </c>
      <c r="AB1621" s="38">
        <v>19.8</v>
      </c>
      <c r="AC1621" s="38">
        <v>1.0157799999999999</v>
      </c>
      <c r="AD1621" s="39">
        <v>20</v>
      </c>
      <c r="AE1621" s="38">
        <v>0</v>
      </c>
      <c r="AF1621" s="38">
        <v>2.8715003589375458E-2</v>
      </c>
      <c r="AG1621" s="38">
        <f t="shared" si="201"/>
        <v>0</v>
      </c>
      <c r="AH1621" s="38">
        <v>0</v>
      </c>
      <c r="AI1621" s="38">
        <v>0</v>
      </c>
      <c r="AJ1621" s="38">
        <v>0</v>
      </c>
      <c r="AK1621" s="38">
        <v>0</v>
      </c>
      <c r="AL1621" s="38">
        <v>0</v>
      </c>
      <c r="AM1621" s="38">
        <v>0</v>
      </c>
      <c r="AN1621" s="72"/>
      <c r="AO1621" s="41"/>
      <c r="AP1621" s="41"/>
      <c r="AQ1621" s="41"/>
      <c r="AR1621" s="41"/>
      <c r="AS1621" s="73"/>
      <c r="AT1621" s="73"/>
      <c r="AU1621" s="73"/>
      <c r="AV1621" s="48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</row>
    <row r="1622" spans="1:88" s="22" customFormat="1">
      <c r="A1622" s="1">
        <v>273</v>
      </c>
      <c r="B1622" s="34" t="s">
        <v>484</v>
      </c>
      <c r="C1622" s="34">
        <v>641</v>
      </c>
      <c r="D1622" s="34">
        <v>2028</v>
      </c>
      <c r="E1622" s="34">
        <v>100</v>
      </c>
      <c r="F1622" s="34" t="s">
        <v>494</v>
      </c>
      <c r="G1622" s="58">
        <v>0</v>
      </c>
      <c r="H1622" s="58">
        <v>14000</v>
      </c>
      <c r="I1622" s="35">
        <v>14</v>
      </c>
      <c r="J1622" s="59">
        <v>2</v>
      </c>
      <c r="K1622" s="34" t="s">
        <v>238</v>
      </c>
      <c r="L1622" s="10">
        <v>42159</v>
      </c>
      <c r="M1622" s="37" t="s">
        <v>191</v>
      </c>
      <c r="N1622" s="38">
        <v>11.074999999999999</v>
      </c>
      <c r="O1622" s="38">
        <v>2.35</v>
      </c>
      <c r="P1622" s="38">
        <v>0.47499999999999998</v>
      </c>
      <c r="Q1622" s="38">
        <v>0.05</v>
      </c>
      <c r="R1622" s="38">
        <v>2.06996</v>
      </c>
      <c r="S1622" s="38">
        <f t="shared" si="199"/>
        <v>2</v>
      </c>
      <c r="T1622" s="38">
        <v>13.7</v>
      </c>
      <c r="U1622" s="38">
        <v>0.15</v>
      </c>
      <c r="V1622" s="38">
        <v>0.1</v>
      </c>
      <c r="W1622" s="38">
        <v>0</v>
      </c>
      <c r="X1622" s="38">
        <v>2.3799899999999998</v>
      </c>
      <c r="Y1622" s="38">
        <f t="shared" si="200"/>
        <v>2.5</v>
      </c>
      <c r="Z1622" s="38">
        <v>0</v>
      </c>
      <c r="AA1622" s="38">
        <v>0</v>
      </c>
      <c r="AB1622" s="38">
        <f>T1622+U1622+V1622+W1622</f>
        <v>13.95</v>
      </c>
      <c r="AC1622" s="38">
        <v>1.26536</v>
      </c>
      <c r="AD1622" s="39">
        <v>5</v>
      </c>
      <c r="AE1622" s="38">
        <v>18</v>
      </c>
      <c r="AF1622" s="38">
        <f>(AD1622+AE1622*0.5)/(3.5*I1622*1000)*100</f>
        <v>2.8571428571428574E-2</v>
      </c>
      <c r="AG1622" s="38">
        <f t="shared" si="201"/>
        <v>0</v>
      </c>
      <c r="AH1622" s="38">
        <v>1.22</v>
      </c>
      <c r="AI1622" s="38">
        <f>AH1622/(3.5*I1622*1000)*100</f>
        <v>2.489795918367347E-3</v>
      </c>
      <c r="AJ1622" s="38">
        <v>14.96</v>
      </c>
      <c r="AK1622" s="38">
        <v>0</v>
      </c>
      <c r="AL1622" s="38">
        <v>0</v>
      </c>
      <c r="AM1622" s="38">
        <f>AL1622/(3.5*I1622*1000)*100</f>
        <v>0</v>
      </c>
      <c r="AN1622" s="60"/>
      <c r="AO1622" s="60">
        <f>AE1622*0.5</f>
        <v>9</v>
      </c>
      <c r="AP1622" s="60">
        <f>(AD1622+AH1622+AJ1622+AL1622+AO1622)*I1622</f>
        <v>422.52</v>
      </c>
      <c r="AQ1622" s="25">
        <f>SUM(N1622:Q1622)</f>
        <v>13.95</v>
      </c>
      <c r="AR1622" s="25">
        <f>SUM(T1622:W1622)</f>
        <v>13.95</v>
      </c>
      <c r="AS1622" s="61"/>
      <c r="AT1622" s="40"/>
      <c r="AU1622" s="41">
        <f>SUM(N1622:Q1622)</f>
        <v>13.95</v>
      </c>
      <c r="AV1622" s="49">
        <f>SUM(T1622:W1622)</f>
        <v>13.95</v>
      </c>
      <c r="AW1622" s="41">
        <f>SUM(Z1622:AB1622)</f>
        <v>13.95</v>
      </c>
      <c r="AX1622" s="61"/>
      <c r="AY1622" s="22">
        <f>I1622/AU1622</f>
        <v>1.0035842293906811</v>
      </c>
      <c r="AZ1622" s="22">
        <f>I1622/AV1622</f>
        <v>1.0035842293906811</v>
      </c>
      <c r="BA1622" s="22">
        <f>I1622/AW1622</f>
        <v>1.0035842293906811</v>
      </c>
      <c r="BB1622" s="61"/>
      <c r="BC1622" s="61"/>
      <c r="BD1622" s="61"/>
      <c r="BE1622" s="61"/>
      <c r="BF1622" s="61"/>
      <c r="BG1622" s="61"/>
      <c r="BH1622" s="61"/>
      <c r="BI1622" s="61"/>
      <c r="BJ1622" s="61"/>
      <c r="BK1622" s="61"/>
      <c r="BL1622" s="61"/>
      <c r="BM1622" s="61"/>
      <c r="BN1622" s="61"/>
      <c r="BO1622" s="61"/>
      <c r="BP1622" s="61"/>
      <c r="BQ1622" s="61"/>
      <c r="BR1622" s="61"/>
      <c r="BS1622" s="61"/>
      <c r="BT1622" s="61"/>
      <c r="BU1622" s="61"/>
      <c r="BV1622" s="61"/>
      <c r="BW1622" s="61"/>
      <c r="BX1622" s="61"/>
      <c r="BY1622" s="61"/>
      <c r="BZ1622" s="61"/>
      <c r="CA1622" s="61"/>
      <c r="CB1622" s="61"/>
      <c r="CC1622" s="61"/>
      <c r="CD1622" s="61"/>
      <c r="CE1622" s="61"/>
      <c r="CF1622" s="61"/>
      <c r="CG1622" s="61"/>
      <c r="CH1622" s="61"/>
      <c r="CI1622" s="61"/>
      <c r="CJ1622" s="61"/>
    </row>
    <row r="1623" spans="1:88" s="22" customFormat="1">
      <c r="A1623" s="1">
        <v>613</v>
      </c>
      <c r="B1623" s="34" t="s">
        <v>994</v>
      </c>
      <c r="C1623" s="34">
        <v>554</v>
      </c>
      <c r="D1623" s="34">
        <v>2473</v>
      </c>
      <c r="E1623" s="34">
        <v>100</v>
      </c>
      <c r="F1623" s="9" t="s">
        <v>1015</v>
      </c>
      <c r="G1623" s="118">
        <v>0</v>
      </c>
      <c r="H1623" s="118">
        <v>6000</v>
      </c>
      <c r="I1623" s="35">
        <v>6</v>
      </c>
      <c r="J1623" s="71">
        <v>2</v>
      </c>
      <c r="K1623" s="34" t="s">
        <v>237</v>
      </c>
      <c r="L1623" s="10">
        <v>42180</v>
      </c>
      <c r="M1623" s="37" t="s">
        <v>191</v>
      </c>
      <c r="N1623" s="38">
        <v>2</v>
      </c>
      <c r="O1623" s="38">
        <v>2.35</v>
      </c>
      <c r="P1623" s="38">
        <v>1.23</v>
      </c>
      <c r="Q1623" s="38">
        <v>0.43</v>
      </c>
      <c r="R1623" s="38">
        <v>3.1589999999999998</v>
      </c>
      <c r="S1623" s="38">
        <f t="shared" si="199"/>
        <v>3</v>
      </c>
      <c r="T1623" s="38">
        <v>5.71</v>
      </c>
      <c r="U1623" s="38">
        <v>0.1</v>
      </c>
      <c r="V1623" s="38">
        <v>0</v>
      </c>
      <c r="W1623" s="38">
        <v>0</v>
      </c>
      <c r="X1623" s="38">
        <v>3.8849999999999998</v>
      </c>
      <c r="Y1623" s="38">
        <f t="shared" si="200"/>
        <v>4</v>
      </c>
      <c r="Z1623" s="38">
        <v>0</v>
      </c>
      <c r="AA1623" s="38">
        <v>0</v>
      </c>
      <c r="AB1623" s="38">
        <v>6</v>
      </c>
      <c r="AC1623" s="38">
        <v>1.0940000000000001</v>
      </c>
      <c r="AD1623" s="39">
        <v>6</v>
      </c>
      <c r="AE1623" s="38">
        <v>0</v>
      </c>
      <c r="AF1623" s="38">
        <v>2.8571428571428574E-2</v>
      </c>
      <c r="AG1623" s="38">
        <f t="shared" si="201"/>
        <v>0</v>
      </c>
      <c r="AH1623" s="38">
        <v>9</v>
      </c>
      <c r="AI1623" s="38">
        <v>4.2857142857142858E-2</v>
      </c>
      <c r="AJ1623" s="38">
        <v>11</v>
      </c>
      <c r="AK1623" s="38">
        <v>5.2380952380952382E-2</v>
      </c>
      <c r="AL1623" s="38">
        <v>1</v>
      </c>
      <c r="AM1623" s="38">
        <f>AL1623/(3.5*I1623*1000)*100</f>
        <v>4.7619047619047623E-3</v>
      </c>
      <c r="AN1623" s="60"/>
      <c r="AO1623" s="60">
        <f>AE1623*0.5</f>
        <v>0</v>
      </c>
      <c r="AP1623" s="60">
        <f>(AD1623+AH1623+AJ1623+AL1623+AO1623)*I1623</f>
        <v>162</v>
      </c>
      <c r="AQ1623" s="25">
        <f>SUM(N1623:Q1623)</f>
        <v>6.01</v>
      </c>
      <c r="AR1623" s="25">
        <f>SUM(T1623:W1623)</f>
        <v>5.81</v>
      </c>
      <c r="AS1623" s="268">
        <v>6</v>
      </c>
      <c r="AT1623" s="40"/>
      <c r="AU1623" s="41">
        <f>SUM(N1623:Q1623)</f>
        <v>6.01</v>
      </c>
      <c r="AV1623" s="49">
        <f>SUM(T1623:W1623)</f>
        <v>5.81</v>
      </c>
      <c r="AW1623" s="41">
        <f>SUM(Z1623:AB1623)</f>
        <v>6</v>
      </c>
      <c r="AY1623" s="22">
        <f>I1623/AU1623</f>
        <v>0.99833610648918469</v>
      </c>
      <c r="AZ1623" s="22">
        <f>I1623/AV1623</f>
        <v>1.0327022375215147</v>
      </c>
      <c r="BA1623" s="22">
        <f>I1623/AW1623</f>
        <v>1</v>
      </c>
      <c r="BB1623" s="61"/>
      <c r="BC1623" s="61"/>
      <c r="BD1623" s="61"/>
      <c r="BE1623" s="61"/>
      <c r="BF1623" s="61"/>
      <c r="BG1623" s="61"/>
      <c r="BH1623" s="61"/>
      <c r="BI1623" s="61"/>
      <c r="BJ1623" s="61"/>
      <c r="BK1623" s="61"/>
      <c r="BL1623" s="61"/>
      <c r="BM1623" s="61"/>
      <c r="BN1623" s="61"/>
      <c r="BO1623" s="61"/>
      <c r="BP1623" s="61"/>
      <c r="BQ1623" s="61"/>
      <c r="BR1623" s="61"/>
      <c r="BS1623" s="61"/>
      <c r="BT1623" s="61"/>
      <c r="BU1623" s="61"/>
      <c r="BV1623" s="61"/>
      <c r="BW1623" s="61"/>
      <c r="BX1623" s="61"/>
      <c r="BY1623" s="61"/>
      <c r="BZ1623" s="61"/>
      <c r="CA1623" s="61"/>
      <c r="CB1623" s="61"/>
      <c r="CC1623" s="61"/>
      <c r="CD1623" s="61"/>
      <c r="CE1623" s="61"/>
      <c r="CF1623" s="61"/>
      <c r="CG1623" s="61"/>
      <c r="CH1623" s="61"/>
      <c r="CI1623" s="61"/>
      <c r="CJ1623" s="61"/>
    </row>
    <row r="1624" spans="1:88" s="22" customFormat="1">
      <c r="A1624" s="1">
        <v>1014</v>
      </c>
      <c r="B1624" s="9" t="s">
        <v>1394</v>
      </c>
      <c r="C1624" s="9">
        <v>617</v>
      </c>
      <c r="D1624" s="8">
        <v>228</v>
      </c>
      <c r="E1624" s="9">
        <v>100</v>
      </c>
      <c r="F1624" s="9" t="s">
        <v>1413</v>
      </c>
      <c r="G1624" s="20">
        <v>0</v>
      </c>
      <c r="H1624" s="20">
        <v>15559</v>
      </c>
      <c r="I1624" s="35">
        <v>15.558999999999999</v>
      </c>
      <c r="J1624" s="9">
        <v>4</v>
      </c>
      <c r="K1624" s="9" t="s">
        <v>238</v>
      </c>
      <c r="L1624" s="18">
        <v>42128</v>
      </c>
      <c r="M1624" s="37" t="s">
        <v>191</v>
      </c>
      <c r="N1624" s="11">
        <v>10.199999999999999</v>
      </c>
      <c r="O1624" s="11">
        <v>3.4249999999999998</v>
      </c>
      <c r="P1624" s="11">
        <v>1.45</v>
      </c>
      <c r="Q1624" s="11">
        <v>0.55000000000000004</v>
      </c>
      <c r="R1624" s="11">
        <v>2.6726800000000002</v>
      </c>
      <c r="S1624" s="38">
        <f t="shared" si="199"/>
        <v>2.5</v>
      </c>
      <c r="T1624" s="11">
        <v>14.8</v>
      </c>
      <c r="U1624" s="11">
        <v>0.77500000000000002</v>
      </c>
      <c r="V1624" s="11">
        <v>0.05</v>
      </c>
      <c r="W1624" s="11">
        <v>0</v>
      </c>
      <c r="X1624" s="11">
        <v>4.66031</v>
      </c>
      <c r="Y1624" s="38">
        <f t="shared" si="200"/>
        <v>4.5</v>
      </c>
      <c r="Z1624" s="11">
        <v>0</v>
      </c>
      <c r="AA1624" s="11">
        <v>0</v>
      </c>
      <c r="AB1624" s="11">
        <f>SUM(N1624:Q1624)</f>
        <v>15.625</v>
      </c>
      <c r="AC1624" s="11">
        <v>1.14985</v>
      </c>
      <c r="AD1624" s="164">
        <v>0</v>
      </c>
      <c r="AE1624" s="11">
        <v>30.93</v>
      </c>
      <c r="AF1624" s="11">
        <f>(AD1624+AE1624*0.5)/(3.5*I1624*1000)*100</f>
        <v>2.8398813732061368E-2</v>
      </c>
      <c r="AG1624" s="38">
        <f t="shared" si="201"/>
        <v>0</v>
      </c>
      <c r="AH1624" s="11">
        <v>3.2</v>
      </c>
      <c r="AI1624" s="38">
        <f>AH1624/(3.5*I1624*1000)*100</f>
        <v>5.8762498507983442E-3</v>
      </c>
      <c r="AJ1624" s="11">
        <v>67.72</v>
      </c>
      <c r="AK1624" s="38">
        <f>AJ1624/(3.5*I1624*1000)*100</f>
        <v>0.12435613746751994</v>
      </c>
      <c r="AL1624" s="11">
        <v>0</v>
      </c>
      <c r="AM1624" s="38">
        <f>AL1624/(3.5*I1624*1000)*100</f>
        <v>0</v>
      </c>
      <c r="AN1624" s="25"/>
      <c r="AO1624" s="25">
        <f>AE1624*0.5</f>
        <v>15.465</v>
      </c>
      <c r="AP1624" s="25">
        <f>(AD1624+AH1624+AJ1624+AL1624+AO1624)*I1624</f>
        <v>1344.0642150000001</v>
      </c>
      <c r="AQ1624" s="25"/>
      <c r="AR1624" s="25"/>
      <c r="AS1624" s="25">
        <f>SUM(N1624:Q1624)</f>
        <v>15.625</v>
      </c>
      <c r="AT1624" s="25">
        <f>SUM(T1624:W1624)</f>
        <v>15.625000000000002</v>
      </c>
      <c r="AU1624" s="41"/>
      <c r="AV1624" s="49"/>
      <c r="AW1624" s="41"/>
    </row>
    <row r="1625" spans="1:88" s="22" customFormat="1">
      <c r="A1625" s="1">
        <v>990</v>
      </c>
      <c r="B1625" s="34" t="s">
        <v>1380</v>
      </c>
      <c r="C1625" s="34">
        <v>614</v>
      </c>
      <c r="D1625" s="8">
        <v>2166</v>
      </c>
      <c r="E1625" s="34">
        <v>100</v>
      </c>
      <c r="F1625" s="34" t="s">
        <v>1388</v>
      </c>
      <c r="G1625" s="58">
        <v>17263</v>
      </c>
      <c r="H1625" s="58">
        <v>0</v>
      </c>
      <c r="I1625" s="35">
        <v>17.263000000000002</v>
      </c>
      <c r="J1625" s="9">
        <v>2</v>
      </c>
      <c r="K1625" s="34" t="s">
        <v>12</v>
      </c>
      <c r="L1625" s="10">
        <v>42125</v>
      </c>
      <c r="M1625" s="37" t="s">
        <v>191</v>
      </c>
      <c r="N1625" s="38">
        <v>12</v>
      </c>
      <c r="O1625" s="38">
        <v>3.9249999999999998</v>
      </c>
      <c r="P1625" s="38">
        <v>1.05</v>
      </c>
      <c r="Q1625" s="38">
        <v>0.27500000000000002</v>
      </c>
      <c r="R1625" s="38">
        <v>2.3268300000000002</v>
      </c>
      <c r="S1625" s="38">
        <f t="shared" si="199"/>
        <v>2.5</v>
      </c>
      <c r="T1625" s="38">
        <v>17.100000000000001</v>
      </c>
      <c r="U1625" s="38">
        <v>0.1</v>
      </c>
      <c r="V1625" s="38">
        <v>0.05</v>
      </c>
      <c r="W1625" s="38">
        <v>0</v>
      </c>
      <c r="X1625" s="38">
        <v>3.22593</v>
      </c>
      <c r="Y1625" s="38">
        <f t="shared" si="200"/>
        <v>3</v>
      </c>
      <c r="Z1625" s="38">
        <v>0</v>
      </c>
      <c r="AA1625" s="38">
        <v>0</v>
      </c>
      <c r="AB1625" s="38">
        <f>SUM(N1625:Q1625)</f>
        <v>17.25</v>
      </c>
      <c r="AC1625" s="38">
        <v>1.2794300000000001</v>
      </c>
      <c r="AD1625" s="39">
        <v>17.149999999999999</v>
      </c>
      <c r="AE1625" s="38">
        <v>0</v>
      </c>
      <c r="AF1625" s="11">
        <f>(AD1625+AE1625*0.5)/(3.5*I1625*1000)*100</f>
        <v>2.838440595493251E-2</v>
      </c>
      <c r="AG1625" s="38">
        <f t="shared" si="201"/>
        <v>0</v>
      </c>
      <c r="AH1625" s="38">
        <v>14.15</v>
      </c>
      <c r="AI1625" s="38">
        <f>AH1625/(3.5*I1625*1000)*100</f>
        <v>2.3419203747072598E-2</v>
      </c>
      <c r="AJ1625" s="38">
        <v>0</v>
      </c>
      <c r="AK1625" s="38">
        <f>AJ1625/(3.5*I1625*1000)*100</f>
        <v>0</v>
      </c>
      <c r="AL1625" s="38">
        <v>0</v>
      </c>
      <c r="AM1625" s="38">
        <f>AL1625/(3.5*I1625*1000)*100</f>
        <v>0</v>
      </c>
      <c r="AN1625" s="25"/>
      <c r="AO1625" s="25">
        <f>(AD1625+AH1625+AJ1625+AL1625)*I1625</f>
        <v>540.33190000000002</v>
      </c>
      <c r="AP1625" s="25"/>
      <c r="AQ1625" s="25">
        <f>SUM(N1625:Q1625)</f>
        <v>17.25</v>
      </c>
      <c r="AR1625" s="25">
        <f>SUM(T1625:W1625)</f>
        <v>17.250000000000004</v>
      </c>
      <c r="AS1625" s="268">
        <v>17.263000000000002</v>
      </c>
      <c r="AT1625" s="41"/>
      <c r="AU1625" s="41"/>
      <c r="AV1625" s="49"/>
    </row>
    <row r="1626" spans="1:88" s="22" customFormat="1">
      <c r="A1626" s="1">
        <v>775</v>
      </c>
      <c r="B1626" s="34" t="s">
        <v>1149</v>
      </c>
      <c r="C1626" s="34">
        <v>622</v>
      </c>
      <c r="D1626" s="8">
        <v>2367</v>
      </c>
      <c r="E1626" s="34">
        <v>100</v>
      </c>
      <c r="F1626" s="34" t="s">
        <v>1167</v>
      </c>
      <c r="G1626" s="58">
        <v>1265</v>
      </c>
      <c r="H1626" s="58">
        <v>18473</v>
      </c>
      <c r="I1626" s="35">
        <v>17.207999999999998</v>
      </c>
      <c r="J1626" s="9">
        <v>2</v>
      </c>
      <c r="K1626" s="34" t="s">
        <v>238</v>
      </c>
      <c r="L1626" s="10">
        <v>42152</v>
      </c>
      <c r="M1626" s="37" t="s">
        <v>191</v>
      </c>
      <c r="N1626" s="38">
        <v>9.15</v>
      </c>
      <c r="O1626" s="38">
        <v>5.2249999999999996</v>
      </c>
      <c r="P1626" s="38">
        <v>1.9</v>
      </c>
      <c r="Q1626" s="38">
        <v>0.85</v>
      </c>
      <c r="R1626" s="38">
        <v>2.7170700000000001</v>
      </c>
      <c r="S1626" s="38">
        <f t="shared" si="199"/>
        <v>2.5</v>
      </c>
      <c r="T1626" s="38">
        <v>15.12</v>
      </c>
      <c r="U1626" s="38">
        <v>1.66</v>
      </c>
      <c r="V1626" s="38">
        <v>0.28000000000000003</v>
      </c>
      <c r="W1626" s="38">
        <v>0.15</v>
      </c>
      <c r="X1626" s="38">
        <v>5.4422300000000003</v>
      </c>
      <c r="Y1626" s="38">
        <f t="shared" si="200"/>
        <v>5.5</v>
      </c>
      <c r="Z1626" s="38">
        <v>0</v>
      </c>
      <c r="AA1626" s="38">
        <v>0</v>
      </c>
      <c r="AB1626" s="38">
        <v>17.21</v>
      </c>
      <c r="AC1626" s="38">
        <v>1.18468</v>
      </c>
      <c r="AD1626" s="39">
        <v>11</v>
      </c>
      <c r="AE1626" s="38">
        <v>12</v>
      </c>
      <c r="AF1626" s="38">
        <f>(AD1626+AE1626*0.5)/(3.5*I1626*1000)*100</f>
        <v>2.8226074251178859E-2</v>
      </c>
      <c r="AG1626" s="38">
        <f t="shared" si="201"/>
        <v>0</v>
      </c>
      <c r="AH1626" s="38">
        <v>197</v>
      </c>
      <c r="AI1626" s="38">
        <f>AH1626/(3.5*I1626*1000)*100</f>
        <v>0.3270903898518962</v>
      </c>
      <c r="AJ1626" s="38">
        <v>0</v>
      </c>
      <c r="AK1626" s="38">
        <f>AJ1626/(3.5*I1626*1000)*100</f>
        <v>0</v>
      </c>
      <c r="AL1626" s="38">
        <v>20</v>
      </c>
      <c r="AM1626" s="38">
        <f>AL1626/(3.5*I1626*1000)*100</f>
        <v>3.3207146177857479E-2</v>
      </c>
      <c r="AN1626" s="25"/>
      <c r="AO1626" s="25">
        <f>AE1626*0.5</f>
        <v>6</v>
      </c>
      <c r="AP1626" s="25">
        <f>(AD1626+AH1626+AJ1626+AL1626+AO1626)*I1626</f>
        <v>4026.6719999999996</v>
      </c>
      <c r="AQ1626" s="25">
        <f>SUM(N1626:Q1626)</f>
        <v>17.125</v>
      </c>
      <c r="AR1626" s="25">
        <f>SUM(T1626:W1626)</f>
        <v>17.209999999999997</v>
      </c>
      <c r="AS1626" s="268">
        <v>17.207999999999998</v>
      </c>
      <c r="AT1626" s="41"/>
      <c r="AU1626" s="41">
        <f>SUM(N1626:Q1626)</f>
        <v>17.125</v>
      </c>
      <c r="AV1626" s="49">
        <f>SUM(T1626:W1626)</f>
        <v>17.209999999999997</v>
      </c>
      <c r="AW1626" s="41">
        <f>SUM(Z1626:AB1626)</f>
        <v>17.21</v>
      </c>
      <c r="AY1626" s="22">
        <f>I1626/AU1626</f>
        <v>1.004846715328467</v>
      </c>
      <c r="AZ1626" s="22">
        <f>I1626/AV1626</f>
        <v>0.9998837884950611</v>
      </c>
      <c r="BA1626" s="22">
        <f>I1626/AW1626</f>
        <v>0.99988378849506088</v>
      </c>
    </row>
    <row r="1627" spans="1:88">
      <c r="A1627" s="1">
        <v>1200</v>
      </c>
      <c r="B1627" s="34" t="s">
        <v>1674</v>
      </c>
      <c r="C1627" s="34">
        <v>435</v>
      </c>
      <c r="D1627" s="34">
        <v>2219</v>
      </c>
      <c r="E1627" s="34">
        <v>200</v>
      </c>
      <c r="F1627" s="34" t="s">
        <v>1686</v>
      </c>
      <c r="G1627" s="34" t="s">
        <v>1532</v>
      </c>
      <c r="H1627" s="34" t="s">
        <v>1687</v>
      </c>
      <c r="I1627" s="55">
        <v>13.766999999999999</v>
      </c>
      <c r="J1627" s="34">
        <v>2</v>
      </c>
      <c r="K1627" s="181" t="s">
        <v>238</v>
      </c>
      <c r="L1627" s="10">
        <v>42282</v>
      </c>
      <c r="M1627" s="37" t="s">
        <v>191</v>
      </c>
      <c r="N1627" s="38">
        <v>10.4</v>
      </c>
      <c r="O1627" s="38">
        <v>2.5</v>
      </c>
      <c r="P1627" s="38">
        <v>0.95</v>
      </c>
      <c r="Q1627" s="38">
        <v>0.05</v>
      </c>
      <c r="R1627" s="38">
        <v>2.0630899999999999</v>
      </c>
      <c r="S1627" s="38">
        <f t="shared" si="199"/>
        <v>2</v>
      </c>
      <c r="T1627" s="38">
        <v>13.35</v>
      </c>
      <c r="U1627" s="38">
        <v>0.4</v>
      </c>
      <c r="V1627" s="38">
        <v>7.4999999999999997E-2</v>
      </c>
      <c r="W1627" s="38">
        <v>7.4999999999999997E-2</v>
      </c>
      <c r="X1627" s="38">
        <v>4.8048400000000004</v>
      </c>
      <c r="Y1627" s="38">
        <f t="shared" si="200"/>
        <v>5</v>
      </c>
      <c r="Z1627" s="38">
        <v>0</v>
      </c>
      <c r="AA1627" s="38">
        <v>0</v>
      </c>
      <c r="AB1627" s="55">
        <v>13.766999999999999</v>
      </c>
      <c r="AC1627" s="38">
        <v>1.1052900000000001</v>
      </c>
      <c r="AD1627" s="39">
        <v>11.06</v>
      </c>
      <c r="AE1627" s="38">
        <v>4.9960000000000004</v>
      </c>
      <c r="AF1627" s="38">
        <f>(AD1627+AE1627*0.5)/(3.5*I1627*1000)*100</f>
        <v>2.8137679129180547E-2</v>
      </c>
      <c r="AG1627" s="38">
        <f t="shared" si="201"/>
        <v>0</v>
      </c>
      <c r="AH1627" s="38">
        <v>4.6500000000000004</v>
      </c>
      <c r="AI1627" s="38">
        <v>9.6500000000000006E-3</v>
      </c>
      <c r="AJ1627" s="38">
        <v>0</v>
      </c>
      <c r="AK1627" s="38">
        <v>0</v>
      </c>
      <c r="AL1627" s="38">
        <v>0</v>
      </c>
      <c r="AM1627" s="38">
        <v>0</v>
      </c>
      <c r="AN1627" s="12"/>
      <c r="AV1627" s="178"/>
    </row>
    <row r="1628" spans="1:88">
      <c r="A1628" s="1">
        <v>135</v>
      </c>
      <c r="B1628" s="4" t="s">
        <v>38</v>
      </c>
      <c r="C1628" s="14">
        <v>528</v>
      </c>
      <c r="D1628" s="19">
        <v>1335</v>
      </c>
      <c r="E1628" s="16">
        <v>101</v>
      </c>
      <c r="F1628" s="14" t="s">
        <v>205</v>
      </c>
      <c r="G1628" s="20" t="s">
        <v>194</v>
      </c>
      <c r="H1628" s="20" t="s">
        <v>92</v>
      </c>
      <c r="I1628" s="21">
        <v>16</v>
      </c>
      <c r="J1628" s="8">
        <v>2</v>
      </c>
      <c r="K1628" s="33" t="s">
        <v>12</v>
      </c>
      <c r="L1628" s="18">
        <v>42224</v>
      </c>
      <c r="M1628" s="37" t="s">
        <v>191</v>
      </c>
      <c r="N1628" s="11">
        <v>9.0749999999999993</v>
      </c>
      <c r="O1628" s="11">
        <v>4.5999999999999996</v>
      </c>
      <c r="P1628" s="11">
        <v>1.875</v>
      </c>
      <c r="Q1628" s="11">
        <v>0.5</v>
      </c>
      <c r="R1628" s="11">
        <v>2.63931</v>
      </c>
      <c r="S1628" s="38">
        <f t="shared" si="199"/>
        <v>2.5</v>
      </c>
      <c r="T1628" s="11">
        <v>15.275</v>
      </c>
      <c r="U1628" s="11">
        <v>0.6</v>
      </c>
      <c r="V1628" s="11">
        <v>0.17499999999999999</v>
      </c>
      <c r="W1628" s="11">
        <v>0</v>
      </c>
      <c r="X1628" s="11">
        <v>3.5501</v>
      </c>
      <c r="Y1628" s="38">
        <f t="shared" si="200"/>
        <v>3.5</v>
      </c>
      <c r="Z1628" s="11">
        <v>0</v>
      </c>
      <c r="AA1628" s="11">
        <v>0</v>
      </c>
      <c r="AB1628" s="11">
        <v>16.049999999999997</v>
      </c>
      <c r="AC1628" s="11">
        <v>1.2354799999999999</v>
      </c>
      <c r="AD1628" s="164">
        <v>12.8</v>
      </c>
      <c r="AE1628" s="11">
        <v>5.9</v>
      </c>
      <c r="AF1628" s="11">
        <f>(AD1628+AE1628*0.5)/(3.5*I1628*1000)*100</f>
        <v>2.8124999999999997E-2</v>
      </c>
      <c r="AG1628" s="38">
        <f t="shared" si="201"/>
        <v>0</v>
      </c>
      <c r="AH1628" s="11">
        <v>18.399999999999999</v>
      </c>
      <c r="AI1628" s="11">
        <f>AH1628/(3.5*I1628*1000)*100</f>
        <v>3.2857142857142856E-2</v>
      </c>
      <c r="AJ1628" s="11">
        <v>2.1</v>
      </c>
      <c r="AK1628" s="11">
        <f>AJ1628/(3.5*I1628*1000)*100</f>
        <v>3.7500000000000003E-3</v>
      </c>
      <c r="AL1628" s="11">
        <v>0</v>
      </c>
      <c r="AM1628" s="11">
        <f>AL1628/(3.5*I1628*1000)*100</f>
        <v>0</v>
      </c>
      <c r="AN1628" s="22"/>
      <c r="AO1628" s="22"/>
      <c r="AP1628" s="22"/>
      <c r="AQ1628" s="22"/>
      <c r="AR1628" s="22"/>
      <c r="AS1628" s="22"/>
      <c r="AT1628" s="22"/>
      <c r="AU1628" s="22"/>
      <c r="AV1628" s="48"/>
      <c r="AW1628" s="22"/>
      <c r="AX1628" s="22"/>
      <c r="AY1628" s="22"/>
      <c r="AZ1628" s="22"/>
      <c r="BA1628" s="22"/>
      <c r="BB1628" s="22"/>
      <c r="BC1628" s="22"/>
      <c r="BD1628" s="22"/>
      <c r="BE1628" s="22"/>
      <c r="BF1628" s="22"/>
      <c r="BG1628" s="22"/>
      <c r="BH1628" s="22"/>
      <c r="BI1628" s="22"/>
      <c r="BJ1628" s="22"/>
      <c r="BK1628" s="22"/>
      <c r="BL1628" s="22"/>
      <c r="BM1628" s="22"/>
      <c r="BN1628" s="22"/>
      <c r="BO1628" s="22"/>
      <c r="BP1628" s="22"/>
      <c r="BQ1628" s="22"/>
      <c r="BR1628" s="22"/>
      <c r="BS1628" s="22"/>
      <c r="BT1628" s="22"/>
      <c r="BU1628" s="22"/>
      <c r="BV1628" s="22"/>
      <c r="BW1628" s="22"/>
      <c r="BX1628" s="22"/>
      <c r="BY1628" s="22"/>
      <c r="BZ1628" s="22"/>
      <c r="CA1628" s="22"/>
      <c r="CB1628" s="22"/>
      <c r="CC1628" s="22"/>
      <c r="CD1628" s="22"/>
      <c r="CE1628" s="22"/>
      <c r="CF1628" s="22"/>
      <c r="CG1628" s="22"/>
      <c r="CH1628" s="22"/>
      <c r="CI1628" s="22"/>
      <c r="CJ1628" s="22"/>
    </row>
    <row r="1629" spans="1:88">
      <c r="A1629" s="1">
        <v>1427</v>
      </c>
      <c r="B1629" s="34" t="s">
        <v>1957</v>
      </c>
      <c r="C1629" s="34">
        <v>447</v>
      </c>
      <c r="D1629" s="75">
        <v>3456</v>
      </c>
      <c r="E1629" s="69">
        <v>102</v>
      </c>
      <c r="F1629" s="184" t="s">
        <v>1981</v>
      </c>
      <c r="G1629" s="20">
        <v>50107</v>
      </c>
      <c r="H1629" s="20">
        <v>67334</v>
      </c>
      <c r="I1629" s="21">
        <v>17.227</v>
      </c>
      <c r="J1629" s="8">
        <v>2</v>
      </c>
      <c r="K1629" s="34" t="s">
        <v>238</v>
      </c>
      <c r="L1629" s="10">
        <v>42217</v>
      </c>
      <c r="M1629" s="37" t="s">
        <v>191</v>
      </c>
      <c r="N1629" s="38">
        <v>12.15</v>
      </c>
      <c r="O1629" s="38">
        <v>3.6749999999999998</v>
      </c>
      <c r="P1629" s="38">
        <v>1.4</v>
      </c>
      <c r="Q1629" s="38">
        <v>0</v>
      </c>
      <c r="R1629" s="38">
        <v>2.9609999999999999</v>
      </c>
      <c r="S1629" s="38">
        <f t="shared" si="199"/>
        <v>3</v>
      </c>
      <c r="T1629" s="38">
        <v>15.824999999999999</v>
      </c>
      <c r="U1629" s="38">
        <v>1.4</v>
      </c>
      <c r="V1629" s="38">
        <v>0</v>
      </c>
      <c r="W1629" s="38">
        <v>0</v>
      </c>
      <c r="X1629" s="38">
        <v>3.15</v>
      </c>
      <c r="Y1629" s="38">
        <f t="shared" si="200"/>
        <v>3</v>
      </c>
      <c r="Z1629" s="38">
        <v>0</v>
      </c>
      <c r="AA1629" s="38">
        <v>0</v>
      </c>
      <c r="AB1629" s="38">
        <v>17.224999999999998</v>
      </c>
      <c r="AC1629" s="38">
        <v>1.1319999999999999</v>
      </c>
      <c r="AD1629" s="39">
        <v>64.099999999999994</v>
      </c>
      <c r="AE1629" s="38">
        <v>32.799999999999997</v>
      </c>
      <c r="AF1629" s="38">
        <v>2.8000000000000001E-2</v>
      </c>
      <c r="AG1629" s="38">
        <f t="shared" si="201"/>
        <v>0</v>
      </c>
      <c r="AH1629" s="38">
        <v>18.8</v>
      </c>
      <c r="AI1629" s="38">
        <f>AH1629/(3.5*I1629*1000)*100</f>
        <v>3.1180290076209274E-2</v>
      </c>
      <c r="AJ1629" s="38">
        <v>23.5</v>
      </c>
      <c r="AK1629" s="38">
        <f>AJ1629/(3.5*I1629*1000)*100</f>
        <v>3.897536259526159E-2</v>
      </c>
      <c r="AL1629" s="38">
        <v>2</v>
      </c>
      <c r="AM1629" s="38">
        <f>AL1629/(3.5*I1629*1000)*100</f>
        <v>3.3170521357669441E-3</v>
      </c>
      <c r="AN1629" s="41"/>
      <c r="AO1629" s="22"/>
      <c r="AP1629" s="22"/>
      <c r="AQ1629" s="22"/>
      <c r="AR1629" s="22"/>
      <c r="AS1629" s="22"/>
      <c r="AT1629" s="22"/>
      <c r="AU1629" s="22"/>
      <c r="AV1629" s="48"/>
      <c r="AW1629" s="22"/>
      <c r="AX1629" s="22"/>
      <c r="AY1629" s="22"/>
      <c r="AZ1629" s="22"/>
      <c r="BA1629" s="22"/>
      <c r="BB1629" s="22"/>
      <c r="BC1629" s="22"/>
      <c r="BD1629" s="22"/>
      <c r="BE1629" s="22"/>
      <c r="BF1629" s="22"/>
      <c r="BG1629" s="22"/>
      <c r="BH1629" s="22"/>
      <c r="BI1629" s="22"/>
      <c r="BJ1629" s="22"/>
      <c r="BK1629" s="22"/>
      <c r="BL1629" s="22"/>
      <c r="BM1629" s="22"/>
      <c r="BN1629" s="22"/>
      <c r="BO1629" s="22"/>
      <c r="BP1629" s="22"/>
      <c r="BQ1629" s="22"/>
      <c r="BR1629" s="22"/>
      <c r="BS1629" s="22"/>
      <c r="BT1629" s="22"/>
      <c r="BU1629" s="22"/>
      <c r="BV1629" s="22"/>
      <c r="BW1629" s="22"/>
      <c r="BX1629" s="22"/>
      <c r="BY1629" s="22"/>
      <c r="BZ1629" s="22"/>
      <c r="CA1629" s="22"/>
      <c r="CB1629" s="22"/>
      <c r="CC1629" s="22"/>
      <c r="CD1629" s="22"/>
      <c r="CE1629" s="22"/>
      <c r="CF1629" s="22"/>
      <c r="CG1629" s="22"/>
      <c r="CH1629" s="22"/>
      <c r="CI1629" s="22"/>
      <c r="CJ1629" s="22"/>
    </row>
    <row r="1630" spans="1:88">
      <c r="A1630" s="1">
        <v>1912</v>
      </c>
      <c r="B1630" s="34" t="s">
        <v>2550</v>
      </c>
      <c r="C1630" s="34">
        <v>337</v>
      </c>
      <c r="D1630" s="75">
        <v>3643</v>
      </c>
      <c r="E1630" s="8">
        <v>100</v>
      </c>
      <c r="F1630" s="9" t="s">
        <v>2558</v>
      </c>
      <c r="G1630" s="20">
        <v>0</v>
      </c>
      <c r="H1630" s="20">
        <v>4066</v>
      </c>
      <c r="I1630" s="21">
        <v>4.0659999999999998</v>
      </c>
      <c r="J1630" s="8">
        <v>8</v>
      </c>
      <c r="K1630" s="8" t="s">
        <v>671</v>
      </c>
      <c r="L1630" s="18">
        <v>42091</v>
      </c>
      <c r="M1630" s="247" t="s">
        <v>191</v>
      </c>
      <c r="N1630" s="38">
        <v>1.1599999999999999</v>
      </c>
      <c r="O1630" s="38">
        <v>1.62</v>
      </c>
      <c r="P1630" s="38">
        <v>0.92</v>
      </c>
      <c r="Q1630" s="38">
        <v>0.38</v>
      </c>
      <c r="R1630" s="38">
        <v>3.2204600000000001</v>
      </c>
      <c r="S1630" s="38">
        <f t="shared" si="199"/>
        <v>3</v>
      </c>
      <c r="T1630" s="38">
        <v>3.61</v>
      </c>
      <c r="U1630" s="38">
        <v>0.46</v>
      </c>
      <c r="V1630" s="38">
        <v>0</v>
      </c>
      <c r="W1630" s="38">
        <v>0</v>
      </c>
      <c r="X1630" s="38">
        <v>4.46922</v>
      </c>
      <c r="Y1630" s="38">
        <f t="shared" si="200"/>
        <v>4.5</v>
      </c>
      <c r="Z1630" s="38">
        <v>0</v>
      </c>
      <c r="AA1630" s="38">
        <v>0</v>
      </c>
      <c r="AB1630" s="38">
        <v>4.07</v>
      </c>
      <c r="AC1630" s="38">
        <v>1.3311200000000001</v>
      </c>
      <c r="AD1630" s="39">
        <v>0</v>
      </c>
      <c r="AE1630" s="38">
        <v>7.91</v>
      </c>
      <c r="AF1630" s="38">
        <v>2.779144121987211E-2</v>
      </c>
      <c r="AG1630" s="38">
        <f t="shared" si="201"/>
        <v>0</v>
      </c>
      <c r="AH1630" s="38">
        <v>56.81</v>
      </c>
      <c r="AI1630" s="38">
        <v>0.3991989319092123</v>
      </c>
      <c r="AJ1630" s="38">
        <v>20.56</v>
      </c>
      <c r="AK1630" s="38">
        <v>0.14447333286487243</v>
      </c>
      <c r="AL1630" s="38">
        <v>0</v>
      </c>
      <c r="AM1630" s="38">
        <f>AL1630/(3.5*I1630*1000)*100</f>
        <v>0</v>
      </c>
      <c r="AQ1630" s="41">
        <f>SUM(N1630:Q1630)</f>
        <v>4.08</v>
      </c>
      <c r="AR1630" s="41">
        <f>SUM(T1630:W1630)</f>
        <v>4.07</v>
      </c>
      <c r="AS1630" s="12">
        <f>SUM(Z1630:AB1630)</f>
        <v>4.07</v>
      </c>
      <c r="AU1630" s="1">
        <f>I1630/AQ1630</f>
        <v>0.99656862745098029</v>
      </c>
      <c r="AV1630" s="178">
        <f>I1630/AR1630</f>
        <v>0.99901719901719888</v>
      </c>
      <c r="AW1630" s="1">
        <f>I1630/AS1630</f>
        <v>0.99901719901719888</v>
      </c>
    </row>
    <row r="1631" spans="1:88">
      <c r="A1631" s="1">
        <v>856</v>
      </c>
      <c r="B1631" s="34" t="s">
        <v>1231</v>
      </c>
      <c r="C1631" s="34">
        <v>615</v>
      </c>
      <c r="D1631" s="34">
        <v>2283</v>
      </c>
      <c r="E1631" s="34">
        <v>100</v>
      </c>
      <c r="F1631" s="34" t="s">
        <v>1250</v>
      </c>
      <c r="G1631" s="58">
        <v>2131</v>
      </c>
      <c r="H1631" s="58">
        <v>29123</v>
      </c>
      <c r="I1631" s="35">
        <v>26.992000000000001</v>
      </c>
      <c r="J1631" s="9">
        <v>2</v>
      </c>
      <c r="K1631" s="34" t="s">
        <v>238</v>
      </c>
      <c r="L1631" s="10">
        <v>38481</v>
      </c>
      <c r="M1631" s="37" t="s">
        <v>191</v>
      </c>
      <c r="N1631" s="38">
        <v>14.45</v>
      </c>
      <c r="O1631" s="38">
        <v>3.55</v>
      </c>
      <c r="P1631" s="38">
        <v>4.2</v>
      </c>
      <c r="Q1631" s="38">
        <v>4.8</v>
      </c>
      <c r="R1631" s="38">
        <v>3.27596</v>
      </c>
      <c r="S1631" s="38">
        <f t="shared" si="199"/>
        <v>3.5</v>
      </c>
      <c r="T1631" s="38">
        <v>25.7</v>
      </c>
      <c r="U1631" s="38">
        <v>0.97499999999999998</v>
      </c>
      <c r="V1631" s="38">
        <v>0.27500000000000002</v>
      </c>
      <c r="W1631" s="38">
        <v>0.05</v>
      </c>
      <c r="X1631" s="38">
        <v>4.9436400000000003</v>
      </c>
      <c r="Y1631" s="38">
        <f t="shared" si="200"/>
        <v>5</v>
      </c>
      <c r="Z1631" s="38">
        <v>0</v>
      </c>
      <c r="AA1631" s="38">
        <v>0</v>
      </c>
      <c r="AB1631" s="38">
        <f>N1631+O1631+P1631+Q1631</f>
        <v>27</v>
      </c>
      <c r="AC1631" s="38">
        <v>1.46522</v>
      </c>
      <c r="AD1631" s="39">
        <v>24.83</v>
      </c>
      <c r="AE1631" s="38">
        <v>2.84</v>
      </c>
      <c r="AF1631" s="38">
        <v>2.7789999999999999E-2</v>
      </c>
      <c r="AG1631" s="38">
        <f t="shared" si="201"/>
        <v>0</v>
      </c>
      <c r="AH1631" s="38">
        <v>770.98</v>
      </c>
      <c r="AI1631" s="38">
        <v>0.81608999999999998</v>
      </c>
      <c r="AJ1631" s="38">
        <v>44.57</v>
      </c>
      <c r="AK1631" s="38">
        <v>4.7177999999999998E-2</v>
      </c>
      <c r="AL1631" s="38">
        <v>0.28000000000000003</v>
      </c>
      <c r="AM1631" s="38">
        <v>2.9999999999999997E-4</v>
      </c>
      <c r="AN1631" s="25"/>
      <c r="AO1631" s="25">
        <f>AE1631*0.5</f>
        <v>1.42</v>
      </c>
      <c r="AP1631" s="25">
        <f>(AD1631+AH1631+AJ1631+AL1631+AO1631)*I1631</f>
        <v>22729.423360000001</v>
      </c>
      <c r="AQ1631" s="25">
        <f>SUM(N1631:Q1631)</f>
        <v>27</v>
      </c>
      <c r="AR1631" s="25">
        <f>SUM(T1631:W1631)</f>
        <v>27</v>
      </c>
      <c r="AS1631" s="268">
        <v>26.992000000000001</v>
      </c>
      <c r="AT1631" s="41"/>
      <c r="AU1631" s="41"/>
      <c r="AV1631" s="49"/>
      <c r="AW1631" s="41"/>
      <c r="AX1631" s="22"/>
      <c r="AY1631" s="22"/>
      <c r="AZ1631" s="22"/>
      <c r="BA1631" s="22"/>
      <c r="BB1631" s="22"/>
      <c r="BC1631" s="22"/>
      <c r="BD1631" s="22"/>
      <c r="BE1631" s="22"/>
      <c r="BF1631" s="22"/>
      <c r="BG1631" s="22"/>
      <c r="BH1631" s="22"/>
      <c r="BI1631" s="22"/>
      <c r="BJ1631" s="22"/>
      <c r="BK1631" s="22"/>
      <c r="BL1631" s="22"/>
      <c r="BM1631" s="22"/>
      <c r="BN1631" s="22"/>
      <c r="BO1631" s="22"/>
      <c r="BP1631" s="22"/>
      <c r="BQ1631" s="22"/>
      <c r="BR1631" s="22"/>
      <c r="BS1631" s="22"/>
      <c r="BT1631" s="22"/>
      <c r="BU1631" s="22"/>
      <c r="BV1631" s="22"/>
      <c r="BW1631" s="22"/>
      <c r="BX1631" s="22"/>
      <c r="BY1631" s="22"/>
      <c r="BZ1631" s="22"/>
      <c r="CA1631" s="22"/>
      <c r="CB1631" s="22"/>
      <c r="CC1631" s="22"/>
      <c r="CD1631" s="22"/>
      <c r="CE1631" s="22"/>
      <c r="CF1631" s="22"/>
      <c r="CG1631" s="22"/>
      <c r="CH1631" s="22"/>
      <c r="CI1631" s="22"/>
      <c r="CJ1631" s="22"/>
    </row>
    <row r="1632" spans="1:88">
      <c r="A1632" s="1">
        <v>993</v>
      </c>
      <c r="B1632" s="34" t="s">
        <v>1380</v>
      </c>
      <c r="C1632" s="34">
        <v>614</v>
      </c>
      <c r="D1632" s="8">
        <v>2365</v>
      </c>
      <c r="E1632" s="34">
        <v>100</v>
      </c>
      <c r="F1632" s="34" t="s">
        <v>1391</v>
      </c>
      <c r="G1632" s="58">
        <v>0</v>
      </c>
      <c r="H1632" s="58">
        <v>22632</v>
      </c>
      <c r="I1632" s="35">
        <v>22.632000000000001</v>
      </c>
      <c r="J1632" s="9">
        <v>2</v>
      </c>
      <c r="K1632" s="34" t="s">
        <v>238</v>
      </c>
      <c r="L1632" s="10">
        <v>42125</v>
      </c>
      <c r="M1632" s="37" t="s">
        <v>191</v>
      </c>
      <c r="N1632" s="38">
        <v>19.175000000000001</v>
      </c>
      <c r="O1632" s="38">
        <v>2.4249999999999998</v>
      </c>
      <c r="P1632" s="38">
        <v>0.67500000000000004</v>
      </c>
      <c r="Q1632" s="38">
        <v>0.22500000000000001</v>
      </c>
      <c r="R1632" s="38">
        <v>1.96719</v>
      </c>
      <c r="S1632" s="38">
        <f t="shared" si="199"/>
        <v>2</v>
      </c>
      <c r="T1632" s="38">
        <v>22.425000000000001</v>
      </c>
      <c r="U1632" s="38">
        <v>0.05</v>
      </c>
      <c r="V1632" s="38">
        <v>2.5000000000000001E-2</v>
      </c>
      <c r="W1632" s="38">
        <v>0</v>
      </c>
      <c r="X1632" s="38">
        <v>2.66581</v>
      </c>
      <c r="Y1632" s="38">
        <f t="shared" si="200"/>
        <v>2.5</v>
      </c>
      <c r="Z1632" s="38">
        <v>0</v>
      </c>
      <c r="AA1632" s="38">
        <v>0</v>
      </c>
      <c r="AB1632" s="38">
        <f>SUM(N1632:Q1632)</f>
        <v>22.500000000000004</v>
      </c>
      <c r="AC1632" s="38">
        <v>1.1956</v>
      </c>
      <c r="AD1632" s="39">
        <v>21.94</v>
      </c>
      <c r="AE1632" s="38">
        <v>0</v>
      </c>
      <c r="AF1632" s="11">
        <f>(AD1632+AE1632*0.5)/(3.5*I1632*1000)*100</f>
        <v>2.7697823562086554E-2</v>
      </c>
      <c r="AG1632" s="38">
        <f t="shared" si="201"/>
        <v>0</v>
      </c>
      <c r="AH1632" s="38">
        <v>3.62</v>
      </c>
      <c r="AI1632" s="38">
        <f>AH1632/(3.5*I1632*1000)*100</f>
        <v>4.5700146442458215E-3</v>
      </c>
      <c r="AJ1632" s="38">
        <v>0</v>
      </c>
      <c r="AK1632" s="38">
        <f>AJ1632/(3.5*I1632*1000)*100</f>
        <v>0</v>
      </c>
      <c r="AL1632" s="38">
        <v>0</v>
      </c>
      <c r="AM1632" s="38">
        <f>AL1632/(3.5*I1632*1000)*100</f>
        <v>0</v>
      </c>
      <c r="AN1632" s="25"/>
      <c r="AO1632" s="25">
        <f>(AD1632+AH1632+AJ1632+AL1632)*I1632</f>
        <v>578.47392000000013</v>
      </c>
      <c r="AP1632" s="25"/>
      <c r="AQ1632" s="25">
        <f>SUM(N1632:Q1632)</f>
        <v>22.500000000000004</v>
      </c>
      <c r="AR1632" s="25">
        <f>SUM(T1632:W1632)</f>
        <v>22.5</v>
      </c>
      <c r="AS1632" s="268">
        <v>22.632000000000001</v>
      </c>
      <c r="AT1632" s="41"/>
      <c r="AU1632" s="41"/>
      <c r="AV1632" s="49"/>
    </row>
    <row r="1633" spans="1:88">
      <c r="A1633" s="1">
        <v>542</v>
      </c>
      <c r="B1633" s="34" t="s">
        <v>915</v>
      </c>
      <c r="C1633" s="34">
        <v>558</v>
      </c>
      <c r="D1633" s="34">
        <v>1268</v>
      </c>
      <c r="E1633" s="34">
        <v>200</v>
      </c>
      <c r="F1633" s="34" t="s">
        <v>936</v>
      </c>
      <c r="G1633" s="34" t="s">
        <v>937</v>
      </c>
      <c r="H1633" s="34" t="s">
        <v>938</v>
      </c>
      <c r="I1633" s="34">
        <v>93.656999999999996</v>
      </c>
      <c r="J1633" s="34" t="s">
        <v>12</v>
      </c>
      <c r="K1633" s="34">
        <v>2</v>
      </c>
      <c r="L1633" s="10">
        <v>42273</v>
      </c>
      <c r="M1633" s="37" t="s">
        <v>191</v>
      </c>
      <c r="N1633" s="38">
        <v>36.28</v>
      </c>
      <c r="O1633" s="38">
        <v>30.5</v>
      </c>
      <c r="P1633" s="38">
        <v>17.53</v>
      </c>
      <c r="Q1633" s="38">
        <v>9.0500000000000007</v>
      </c>
      <c r="R1633" s="38">
        <v>3.2129500000000002</v>
      </c>
      <c r="S1633" s="38">
        <f t="shared" si="199"/>
        <v>3</v>
      </c>
      <c r="T1633" s="38">
        <v>85.825000000000003</v>
      </c>
      <c r="U1633" s="38">
        <v>3.25</v>
      </c>
      <c r="V1633" s="38">
        <v>1.4</v>
      </c>
      <c r="W1633" s="38">
        <v>2.875</v>
      </c>
      <c r="X1633" s="38">
        <v>4.9118899999999996</v>
      </c>
      <c r="Y1633" s="38">
        <f t="shared" si="200"/>
        <v>5</v>
      </c>
      <c r="Z1633" s="38">
        <v>0</v>
      </c>
      <c r="AA1633" s="38">
        <v>0</v>
      </c>
      <c r="AB1633" s="38">
        <v>93.36</v>
      </c>
      <c r="AC1633" s="38">
        <v>1.35951</v>
      </c>
      <c r="AD1633" s="39">
        <v>76.41</v>
      </c>
      <c r="AE1633" s="38">
        <v>26.24</v>
      </c>
      <c r="AF1633" s="38">
        <v>2.7311999999999999E-2</v>
      </c>
      <c r="AG1633" s="38">
        <f t="shared" si="201"/>
        <v>0</v>
      </c>
      <c r="AH1633" s="38">
        <v>67.185000000000002</v>
      </c>
      <c r="AI1633" s="38">
        <v>2.0496E-2</v>
      </c>
      <c r="AJ1633" s="38">
        <v>0</v>
      </c>
      <c r="AK1633" s="38">
        <v>0</v>
      </c>
      <c r="AL1633" s="38">
        <v>0</v>
      </c>
      <c r="AM1633" s="38">
        <v>0</v>
      </c>
      <c r="AN1633" s="41"/>
      <c r="AO1633" s="41"/>
      <c r="AP1633" s="73"/>
      <c r="AQ1633" s="73"/>
      <c r="AR1633" s="22"/>
      <c r="AS1633" s="22"/>
      <c r="AT1633" s="22"/>
      <c r="AU1633" s="22"/>
      <c r="AV1633" s="48"/>
      <c r="AW1633" s="22"/>
      <c r="AX1633" s="22"/>
      <c r="AY1633" s="22"/>
      <c r="AZ1633" s="22"/>
      <c r="BA1633" s="22"/>
      <c r="BB1633" s="22"/>
      <c r="BC1633" s="22"/>
      <c r="BD1633" s="22"/>
      <c r="BE1633" s="22"/>
      <c r="BF1633" s="22"/>
      <c r="BG1633" s="22"/>
      <c r="BH1633" s="22"/>
      <c r="BI1633" s="22"/>
      <c r="BJ1633" s="22"/>
      <c r="BK1633" s="22"/>
      <c r="BL1633" s="22"/>
      <c r="BM1633" s="22"/>
      <c r="BN1633" s="22"/>
      <c r="BO1633" s="22"/>
      <c r="BP1633" s="22"/>
      <c r="BQ1633" s="22"/>
      <c r="BR1633" s="22"/>
      <c r="BS1633" s="22"/>
      <c r="BT1633" s="22"/>
      <c r="BU1633" s="22"/>
      <c r="BV1633" s="22"/>
      <c r="BW1633" s="22"/>
      <c r="BX1633" s="22"/>
      <c r="BY1633" s="22"/>
      <c r="BZ1633" s="22"/>
      <c r="CA1633" s="22"/>
      <c r="CB1633" s="22"/>
      <c r="CC1633" s="22"/>
      <c r="CD1633" s="22"/>
      <c r="CE1633" s="22"/>
      <c r="CF1633" s="22"/>
      <c r="CG1633" s="22"/>
      <c r="CH1633" s="22"/>
      <c r="CI1633" s="22"/>
      <c r="CJ1633" s="22"/>
    </row>
    <row r="1634" spans="1:88">
      <c r="A1634" s="1">
        <v>213</v>
      </c>
      <c r="B1634" s="34" t="s">
        <v>383</v>
      </c>
      <c r="C1634" s="34">
        <v>535</v>
      </c>
      <c r="D1634" s="34">
        <v>1345</v>
      </c>
      <c r="E1634" s="34">
        <v>100</v>
      </c>
      <c r="F1634" s="34" t="s">
        <v>410</v>
      </c>
      <c r="G1634" s="20" t="s">
        <v>411</v>
      </c>
      <c r="H1634" s="20" t="s">
        <v>412</v>
      </c>
      <c r="I1634" s="35">
        <v>23.492000000000001</v>
      </c>
      <c r="J1634" s="36">
        <v>2</v>
      </c>
      <c r="K1634" s="34" t="s">
        <v>238</v>
      </c>
      <c r="L1634" s="18">
        <v>42209</v>
      </c>
      <c r="M1634" s="37" t="s">
        <v>191</v>
      </c>
      <c r="N1634" s="38">
        <v>5.29</v>
      </c>
      <c r="O1634" s="38">
        <v>11.25</v>
      </c>
      <c r="P1634" s="38">
        <v>6.35</v>
      </c>
      <c r="Q1634" s="38">
        <v>0.66</v>
      </c>
      <c r="R1634" s="38">
        <v>3.6613699999999998</v>
      </c>
      <c r="S1634" s="38">
        <f t="shared" si="199"/>
        <v>3.5</v>
      </c>
      <c r="T1634" s="38">
        <v>23.56</v>
      </c>
      <c r="U1634" s="38">
        <v>0</v>
      </c>
      <c r="V1634" s="38">
        <v>0</v>
      </c>
      <c r="W1634" s="38">
        <v>0</v>
      </c>
      <c r="X1634" s="38">
        <v>4.2719699999999996</v>
      </c>
      <c r="Y1634" s="38">
        <f t="shared" si="200"/>
        <v>4.5</v>
      </c>
      <c r="Z1634" s="38">
        <v>0</v>
      </c>
      <c r="AA1634" s="38">
        <v>0</v>
      </c>
      <c r="AB1634" s="38">
        <v>23.56</v>
      </c>
      <c r="AC1634" s="38">
        <v>1.76953</v>
      </c>
      <c r="AD1634" s="39">
        <v>0</v>
      </c>
      <c r="AE1634" s="38">
        <v>44.81</v>
      </c>
      <c r="AF1634" s="38">
        <f>(AD1634+AE1634*0.5)/(3.5*I1634*1000)*100</f>
        <v>2.7249397971345863E-2</v>
      </c>
      <c r="AG1634" s="38">
        <f t="shared" si="201"/>
        <v>0</v>
      </c>
      <c r="AH1634" s="38">
        <v>70</v>
      </c>
      <c r="AI1634" s="38">
        <f>AH1634/(3.5*I1634*1000)*100</f>
        <v>8.5135365230716825E-2</v>
      </c>
      <c r="AJ1634" s="38">
        <v>0</v>
      </c>
      <c r="AK1634" s="38">
        <f>AJ1634/(3.5*I1634*1000)*100</f>
        <v>0</v>
      </c>
      <c r="AL1634" s="38">
        <v>30</v>
      </c>
      <c r="AM1634" s="38">
        <f>AL1634/(3.5*I1634*1000)*100</f>
        <v>3.6486585098878643E-2</v>
      </c>
      <c r="AN1634" s="25"/>
      <c r="AO1634" s="25"/>
      <c r="AP1634" s="25">
        <f>AE1634*0.5</f>
        <v>22.405000000000001</v>
      </c>
      <c r="AQ1634" s="25">
        <f>(AD1634+AH1634+AJ1634+AL1634+AP1634)*I1634</f>
        <v>2875.5382600000003</v>
      </c>
      <c r="AR1634" s="25"/>
      <c r="AS1634" s="25"/>
      <c r="AT1634" s="25"/>
      <c r="AU1634" s="41">
        <f>SUM(N1634:Q1634)</f>
        <v>23.55</v>
      </c>
      <c r="AV1634" s="49">
        <f>SUM(T1634:W1634)</f>
        <v>23.56</v>
      </c>
      <c r="AW1634" s="41">
        <f>SUM(Z1634:AB1634)</f>
        <v>23.56</v>
      </c>
      <c r="AX1634" s="41"/>
      <c r="AY1634" s="22">
        <f>I1634/AU1634</f>
        <v>0.99753715498938433</v>
      </c>
      <c r="AZ1634" s="22">
        <f>I1634/AV1634</f>
        <v>0.99711375212224118</v>
      </c>
      <c r="BA1634" s="22">
        <f>I1634/AW1634</f>
        <v>0.99711375212224118</v>
      </c>
      <c r="BB1634" s="22"/>
      <c r="BC1634" s="22"/>
      <c r="BD1634" s="22"/>
      <c r="BE1634" s="22"/>
      <c r="BF1634" s="22"/>
      <c r="BG1634" s="22"/>
      <c r="BH1634" s="22"/>
      <c r="BI1634" s="22"/>
      <c r="BJ1634" s="22"/>
      <c r="BK1634" s="22"/>
      <c r="BL1634" s="22"/>
      <c r="BM1634" s="22"/>
      <c r="BN1634" s="22"/>
      <c r="BO1634" s="22"/>
      <c r="BP1634" s="22"/>
      <c r="BQ1634" s="22"/>
      <c r="BR1634" s="22"/>
      <c r="BS1634" s="22"/>
      <c r="BT1634" s="22"/>
      <c r="BU1634" s="22"/>
      <c r="BV1634" s="22"/>
      <c r="BW1634" s="22"/>
      <c r="BX1634" s="22"/>
      <c r="BY1634" s="22"/>
      <c r="BZ1634" s="22"/>
      <c r="CA1634" s="22"/>
      <c r="CB1634" s="22"/>
      <c r="CC1634" s="22"/>
      <c r="CD1634" s="22"/>
      <c r="CE1634" s="22"/>
      <c r="CF1634" s="22"/>
      <c r="CG1634" s="22"/>
      <c r="CH1634" s="22"/>
      <c r="CI1634" s="22"/>
      <c r="CJ1634" s="22"/>
    </row>
    <row r="1635" spans="1:88">
      <c r="A1635" s="1">
        <v>341</v>
      </c>
      <c r="B1635" s="34" t="s">
        <v>470</v>
      </c>
      <c r="C1635" s="34">
        <v>639</v>
      </c>
      <c r="D1635" s="34">
        <v>2116</v>
      </c>
      <c r="E1635" s="34">
        <v>402</v>
      </c>
      <c r="F1635" s="34" t="s">
        <v>476</v>
      </c>
      <c r="G1635" s="58" t="s">
        <v>477</v>
      </c>
      <c r="H1635" s="58" t="s">
        <v>478</v>
      </c>
      <c r="I1635" s="35">
        <v>49.625</v>
      </c>
      <c r="J1635" s="62">
        <v>2</v>
      </c>
      <c r="K1635" s="34" t="s">
        <v>12</v>
      </c>
      <c r="L1635" s="10">
        <v>42157</v>
      </c>
      <c r="M1635" s="37" t="s">
        <v>191</v>
      </c>
      <c r="N1635" s="38">
        <v>36.35</v>
      </c>
      <c r="O1635" s="38">
        <v>7.25</v>
      </c>
      <c r="P1635" s="38">
        <v>3.25</v>
      </c>
      <c r="Q1635" s="38">
        <v>2.6749999999999998</v>
      </c>
      <c r="R1635" s="38">
        <v>2.75461</v>
      </c>
      <c r="S1635" s="38">
        <f t="shared" si="199"/>
        <v>3</v>
      </c>
      <c r="T1635" s="38">
        <v>48.85</v>
      </c>
      <c r="U1635" s="38">
        <v>0.55000000000000004</v>
      </c>
      <c r="V1635" s="38">
        <v>7.4999999999999997E-2</v>
      </c>
      <c r="W1635" s="38">
        <v>0.05</v>
      </c>
      <c r="X1635" s="38">
        <v>3.6758999999999999</v>
      </c>
      <c r="Y1635" s="38">
        <f t="shared" si="200"/>
        <v>3.5</v>
      </c>
      <c r="Z1635" s="38">
        <v>0</v>
      </c>
      <c r="AA1635" s="38">
        <v>0</v>
      </c>
      <c r="AB1635" s="38">
        <f>N1635+O1635+P1635+Q1635</f>
        <v>49.524999999999999</v>
      </c>
      <c r="AC1635" s="38">
        <v>1.2259899999999999</v>
      </c>
      <c r="AD1635" s="39">
        <v>24</v>
      </c>
      <c r="AE1635" s="38">
        <v>46</v>
      </c>
      <c r="AF1635" s="38">
        <f>(AD1635+AE1635*0.5)/(3.5*I1635*1000)*100</f>
        <v>2.7060093558834115E-2</v>
      </c>
      <c r="AG1635" s="38">
        <f t="shared" si="201"/>
        <v>0</v>
      </c>
      <c r="AH1635" s="38">
        <v>57.35</v>
      </c>
      <c r="AI1635" s="38">
        <f>AH1635/(3.5*I1635*1000)*100</f>
        <v>3.3019071608492268E-2</v>
      </c>
      <c r="AJ1635" s="38">
        <v>0</v>
      </c>
      <c r="AK1635" s="38">
        <v>0</v>
      </c>
      <c r="AL1635" s="38">
        <v>0</v>
      </c>
      <c r="AM1635" s="38">
        <v>0</v>
      </c>
      <c r="AN1635" s="25"/>
      <c r="AO1635" s="25">
        <f>AE1635*0.5</f>
        <v>23</v>
      </c>
      <c r="AP1635" s="25">
        <f>(AD1635+AH1635+AJ1635+AL1635+AO1635)*I1635</f>
        <v>5178.3687499999996</v>
      </c>
      <c r="AQ1635" s="25"/>
      <c r="AR1635" s="25"/>
      <c r="AS1635" s="25">
        <f>SUM(N1635:Q1635)</f>
        <v>49.524999999999999</v>
      </c>
      <c r="AT1635" s="25"/>
      <c r="AU1635" s="41">
        <f>SUM(N1635:Q1635)</f>
        <v>49.524999999999999</v>
      </c>
      <c r="AV1635" s="49">
        <f>SUM(T1635:W1635)</f>
        <v>49.524999999999999</v>
      </c>
      <c r="AW1635" s="41">
        <f>SUM(Z1635:AB1635)</f>
        <v>49.524999999999999</v>
      </c>
      <c r="AX1635" s="22"/>
      <c r="AY1635" s="22">
        <f>I1635/AU1635</f>
        <v>1.0020191822311963</v>
      </c>
      <c r="AZ1635" s="22">
        <f>I1635/AV1635</f>
        <v>1.0020191822311963</v>
      </c>
      <c r="BA1635" s="22">
        <f>I1635/AW1635</f>
        <v>1.0020191822311963</v>
      </c>
      <c r="BB1635" s="22"/>
      <c r="BC1635" s="22"/>
      <c r="BD1635" s="22"/>
      <c r="BE1635" s="22"/>
      <c r="BF1635" s="22"/>
      <c r="BG1635" s="22"/>
      <c r="BH1635" s="22"/>
      <c r="BI1635" s="22"/>
      <c r="BJ1635" s="22"/>
      <c r="BK1635" s="22"/>
      <c r="BL1635" s="22"/>
      <c r="BM1635" s="22"/>
      <c r="BN1635" s="22"/>
      <c r="BO1635" s="22"/>
      <c r="BP1635" s="22"/>
      <c r="BQ1635" s="22"/>
      <c r="BR1635" s="22"/>
      <c r="BS1635" s="22"/>
      <c r="BT1635" s="22"/>
      <c r="BU1635" s="22"/>
      <c r="BV1635" s="22"/>
      <c r="BW1635" s="22"/>
      <c r="BX1635" s="22"/>
      <c r="BY1635" s="22"/>
      <c r="BZ1635" s="22"/>
      <c r="CA1635" s="22"/>
      <c r="CB1635" s="22"/>
      <c r="CC1635" s="22"/>
      <c r="CD1635" s="22"/>
      <c r="CE1635" s="22"/>
      <c r="CF1635" s="22"/>
      <c r="CG1635" s="22"/>
      <c r="CH1635" s="22"/>
      <c r="CI1635" s="22"/>
      <c r="CJ1635" s="22"/>
    </row>
    <row r="1636" spans="1:88">
      <c r="A1636" s="1">
        <v>643</v>
      </c>
      <c r="B1636" s="34" t="s">
        <v>1050</v>
      </c>
      <c r="C1636" s="34">
        <v>621</v>
      </c>
      <c r="D1636" s="34">
        <v>12</v>
      </c>
      <c r="E1636" s="34">
        <v>802</v>
      </c>
      <c r="F1636" s="34" t="s">
        <v>1051</v>
      </c>
      <c r="G1636" s="58">
        <v>567052</v>
      </c>
      <c r="H1636" s="58">
        <v>561850</v>
      </c>
      <c r="I1636" s="35">
        <v>5.202</v>
      </c>
      <c r="J1636" s="127">
        <v>4</v>
      </c>
      <c r="K1636" s="34" t="s">
        <v>96</v>
      </c>
      <c r="L1636" s="10">
        <v>42172</v>
      </c>
      <c r="M1636" s="37" t="s">
        <v>191</v>
      </c>
      <c r="N1636" s="38">
        <v>1.9750000000000001</v>
      </c>
      <c r="O1636" s="38">
        <v>1.825</v>
      </c>
      <c r="P1636" s="38">
        <v>1</v>
      </c>
      <c r="Q1636" s="38">
        <v>0.4</v>
      </c>
      <c r="R1636" s="38">
        <v>3.1970200000000002</v>
      </c>
      <c r="S1636" s="38">
        <f t="shared" si="199"/>
        <v>3</v>
      </c>
      <c r="T1636" s="38">
        <v>3.125</v>
      </c>
      <c r="U1636" s="38">
        <v>1.125</v>
      </c>
      <c r="V1636" s="38">
        <v>0.67500000000000004</v>
      </c>
      <c r="W1636" s="38">
        <v>0.27500000000000002</v>
      </c>
      <c r="X1636" s="38">
        <v>7.6021299999999998</v>
      </c>
      <c r="Y1636" s="38">
        <f t="shared" si="200"/>
        <v>7.5</v>
      </c>
      <c r="Z1636" s="38">
        <v>0</v>
      </c>
      <c r="AA1636" s="38">
        <v>0</v>
      </c>
      <c r="AB1636" s="38">
        <f>T1636+U1636+V1636+W1636</f>
        <v>5.2</v>
      </c>
      <c r="AC1636" s="38">
        <v>1.02199</v>
      </c>
      <c r="AD1636" s="39">
        <v>0</v>
      </c>
      <c r="AE1636" s="38">
        <v>9.7200000000000006</v>
      </c>
      <c r="AF1636" s="38">
        <v>2.6693030153237769E-2</v>
      </c>
      <c r="AG1636" s="38">
        <f t="shared" si="201"/>
        <v>0</v>
      </c>
      <c r="AH1636" s="38">
        <v>0</v>
      </c>
      <c r="AI1636" s="38">
        <v>0</v>
      </c>
      <c r="AJ1636" s="38">
        <v>85.54</v>
      </c>
      <c r="AK1636" s="55">
        <v>0.46981930026912733</v>
      </c>
      <c r="AL1636" s="55">
        <v>2.48</v>
      </c>
      <c r="AM1636" s="55">
        <v>1.3621134728401164E-2</v>
      </c>
      <c r="AN1636" s="25">
        <f>SUM(N1636:Q1636)</f>
        <v>5.2</v>
      </c>
      <c r="AO1636" s="25">
        <f>SUM(T1636:W1636)</f>
        <v>5.2</v>
      </c>
      <c r="AP1636" s="22"/>
      <c r="AQ1636" s="41"/>
      <c r="AR1636" s="41"/>
      <c r="AS1636" s="41"/>
      <c r="AT1636" s="41"/>
      <c r="AU1636" s="22"/>
      <c r="AV1636" s="48"/>
      <c r="AW1636" s="22"/>
      <c r="AX1636" s="22"/>
      <c r="AY1636" s="22"/>
      <c r="AZ1636" s="22"/>
      <c r="BA1636" s="22"/>
      <c r="BB1636" s="22"/>
      <c r="BC1636" s="22"/>
      <c r="BD1636" s="22"/>
      <c r="BE1636" s="22"/>
      <c r="BF1636" s="22"/>
      <c r="BG1636" s="22"/>
      <c r="BH1636" s="22"/>
      <c r="BI1636" s="22"/>
      <c r="BJ1636" s="22"/>
      <c r="BK1636" s="22"/>
      <c r="BL1636" s="22"/>
      <c r="BM1636" s="22"/>
      <c r="BN1636" s="22"/>
      <c r="BO1636" s="22"/>
      <c r="BP1636" s="22"/>
      <c r="BQ1636" s="22"/>
      <c r="BR1636" s="22"/>
      <c r="BS1636" s="22"/>
      <c r="BT1636" s="22"/>
      <c r="BU1636" s="22"/>
      <c r="BV1636" s="22"/>
      <c r="BW1636" s="22"/>
      <c r="BX1636" s="22"/>
      <c r="BY1636" s="22"/>
      <c r="BZ1636" s="22"/>
      <c r="CA1636" s="22"/>
      <c r="CB1636" s="22"/>
      <c r="CC1636" s="22"/>
      <c r="CD1636" s="22"/>
      <c r="CE1636" s="22"/>
      <c r="CF1636" s="22"/>
      <c r="CG1636" s="22"/>
      <c r="CH1636" s="22"/>
      <c r="CI1636" s="22"/>
      <c r="CJ1636" s="22"/>
    </row>
    <row r="1637" spans="1:88">
      <c r="A1637" s="1">
        <v>1677</v>
      </c>
      <c r="B1637" s="34" t="s">
        <v>2279</v>
      </c>
      <c r="C1637" s="34">
        <v>421</v>
      </c>
      <c r="D1637" s="8">
        <v>304</v>
      </c>
      <c r="E1637" s="34">
        <v>301</v>
      </c>
      <c r="F1637" s="34" t="s">
        <v>2280</v>
      </c>
      <c r="G1637" s="20">
        <v>67638</v>
      </c>
      <c r="H1637" s="20">
        <v>49884</v>
      </c>
      <c r="I1637" s="35">
        <v>17.754000000000001</v>
      </c>
      <c r="J1637" s="9">
        <v>4</v>
      </c>
      <c r="K1637" s="34" t="s">
        <v>96</v>
      </c>
      <c r="L1637" s="10">
        <v>42227</v>
      </c>
      <c r="M1637" s="37" t="s">
        <v>191</v>
      </c>
      <c r="N1637" s="38">
        <v>10.7</v>
      </c>
      <c r="O1637" s="38">
        <v>4.95</v>
      </c>
      <c r="P1637" s="38">
        <v>2.4</v>
      </c>
      <c r="Q1637" s="38">
        <v>2.2749999999999999</v>
      </c>
      <c r="R1637" s="38">
        <v>2.69259</v>
      </c>
      <c r="S1637" s="38">
        <f t="shared" si="199"/>
        <v>2.5</v>
      </c>
      <c r="T1637" s="38">
        <v>17.8</v>
      </c>
      <c r="U1637" s="38">
        <v>2.125</v>
      </c>
      <c r="V1637" s="38">
        <v>0.3</v>
      </c>
      <c r="W1637" s="38">
        <v>0.1</v>
      </c>
      <c r="X1637" s="38">
        <v>6.8055399999999997</v>
      </c>
      <c r="Y1637" s="38">
        <f t="shared" si="200"/>
        <v>7</v>
      </c>
      <c r="Z1637" s="38">
        <v>0</v>
      </c>
      <c r="AA1637" s="38">
        <v>0</v>
      </c>
      <c r="AB1637" s="38">
        <v>17.754000000000001</v>
      </c>
      <c r="AC1637" s="38">
        <v>1.1511499999999999</v>
      </c>
      <c r="AD1637" s="39">
        <v>16.510000000000002</v>
      </c>
      <c r="AE1637" s="38">
        <v>0</v>
      </c>
      <c r="AF1637" s="38">
        <f>(AD1637+AE1637*0.5)/(3.5*I1637*1000)*100</f>
        <v>2.656946523117527E-2</v>
      </c>
      <c r="AG1637" s="38">
        <f t="shared" si="201"/>
        <v>0</v>
      </c>
      <c r="AH1637" s="38">
        <v>0</v>
      </c>
      <c r="AI1637" s="38">
        <f>AH1637/(3.5*I1637*1000)*100</f>
        <v>0</v>
      </c>
      <c r="AJ1637" s="38">
        <v>255</v>
      </c>
      <c r="AK1637" s="38">
        <f>AJ1637/(3.5*I1637*1000)*100</f>
        <v>0.41037029884613524</v>
      </c>
      <c r="AL1637" s="38">
        <v>0</v>
      </c>
      <c r="AM1637" s="38">
        <f>AL1637/(3.5*I1637*1000)*100</f>
        <v>0</v>
      </c>
      <c r="AN1637" s="25"/>
      <c r="AO1637" s="25">
        <f>AE1637*0.5</f>
        <v>0</v>
      </c>
      <c r="AP1637" s="25">
        <f>(AD1637+AH1637+AJ1637+AL1637+AO1637)*I1637</f>
        <v>4820.3885399999999</v>
      </c>
      <c r="AQ1637" s="25">
        <f>SUM(N1637:Q1637)</f>
        <v>20.324999999999996</v>
      </c>
      <c r="AR1637" s="25">
        <f>SUM(T1637:W1637)</f>
        <v>20.325000000000003</v>
      </c>
      <c r="AS1637" s="22"/>
      <c r="AT1637" s="41"/>
      <c r="AU1637" s="41"/>
      <c r="AV1637" s="49"/>
      <c r="AW1637" s="41"/>
      <c r="AX1637" s="22"/>
      <c r="AY1637" s="22"/>
      <c r="AZ1637" s="22"/>
      <c r="BA1637" s="22"/>
      <c r="BB1637" s="22"/>
      <c r="BC1637" s="22"/>
      <c r="BD1637" s="22"/>
      <c r="BE1637" s="22"/>
      <c r="BF1637" s="22"/>
      <c r="BG1637" s="22"/>
      <c r="BH1637" s="22"/>
      <c r="BI1637" s="22"/>
      <c r="BJ1637" s="22"/>
      <c r="BK1637" s="22"/>
      <c r="BL1637" s="22"/>
      <c r="BM1637" s="22"/>
      <c r="BN1637" s="22"/>
      <c r="BO1637" s="22"/>
      <c r="BP1637" s="22"/>
      <c r="BQ1637" s="22"/>
      <c r="BR1637" s="22"/>
      <c r="BS1637" s="22"/>
      <c r="BT1637" s="22"/>
      <c r="BU1637" s="22"/>
      <c r="BV1637" s="22"/>
      <c r="BW1637" s="22"/>
      <c r="BX1637" s="22"/>
      <c r="BY1637" s="22"/>
      <c r="BZ1637" s="22"/>
      <c r="CA1637" s="22"/>
      <c r="CB1637" s="22"/>
      <c r="CC1637" s="22"/>
      <c r="CD1637" s="22"/>
      <c r="CE1637" s="22"/>
      <c r="CF1637" s="22"/>
      <c r="CG1637" s="22"/>
      <c r="CH1637" s="22"/>
      <c r="CI1637" s="22"/>
      <c r="CJ1637" s="22"/>
    </row>
    <row r="1638" spans="1:88">
      <c r="A1638" s="1">
        <v>227</v>
      </c>
      <c r="B1638" s="34" t="s">
        <v>436</v>
      </c>
      <c r="C1638" s="34">
        <v>537</v>
      </c>
      <c r="D1638" s="34">
        <v>1016</v>
      </c>
      <c r="E1638" s="34">
        <v>200</v>
      </c>
      <c r="F1638" s="34" t="s">
        <v>437</v>
      </c>
      <c r="G1638" s="20">
        <v>10000</v>
      </c>
      <c r="H1638" s="20">
        <v>30434</v>
      </c>
      <c r="I1638" s="51">
        <v>20.434000000000001</v>
      </c>
      <c r="J1638" s="33">
        <v>4</v>
      </c>
      <c r="K1638" s="34" t="s">
        <v>237</v>
      </c>
      <c r="L1638" s="10">
        <v>42200</v>
      </c>
      <c r="M1638" s="37" t="s">
        <v>191</v>
      </c>
      <c r="N1638" s="38">
        <v>15.05</v>
      </c>
      <c r="O1638" s="38">
        <v>3.91</v>
      </c>
      <c r="P1638" s="38">
        <v>1.25</v>
      </c>
      <c r="Q1638" s="38">
        <v>0.23</v>
      </c>
      <c r="R1638" s="38">
        <v>2.2716500000000002</v>
      </c>
      <c r="S1638" s="38">
        <f t="shared" si="199"/>
        <v>2.5</v>
      </c>
      <c r="T1638" s="38">
        <v>18.399999999999999</v>
      </c>
      <c r="U1638" s="38">
        <v>1.81</v>
      </c>
      <c r="V1638" s="38">
        <v>0.2</v>
      </c>
      <c r="W1638" s="38">
        <v>0.03</v>
      </c>
      <c r="X1638" s="38">
        <v>6.1727800000000004</v>
      </c>
      <c r="Y1638" s="38">
        <f t="shared" si="200"/>
        <v>6</v>
      </c>
      <c r="Z1638" s="38">
        <v>0</v>
      </c>
      <c r="AA1638" s="38">
        <v>0</v>
      </c>
      <c r="AB1638" s="38">
        <v>20.43</v>
      </c>
      <c r="AC1638" s="38">
        <v>1.1561300000000001</v>
      </c>
      <c r="AD1638" s="39">
        <v>19</v>
      </c>
      <c r="AE1638" s="38">
        <v>0</v>
      </c>
      <c r="AF1638" s="38">
        <v>2.6566366979404073E-2</v>
      </c>
      <c r="AG1638" s="38">
        <f t="shared" si="201"/>
        <v>0</v>
      </c>
      <c r="AH1638" s="38">
        <v>0</v>
      </c>
      <c r="AI1638" s="38">
        <v>0</v>
      </c>
      <c r="AJ1638" s="38">
        <v>0</v>
      </c>
      <c r="AK1638" s="55">
        <v>0</v>
      </c>
      <c r="AL1638" s="55">
        <v>0</v>
      </c>
      <c r="AM1638" s="55">
        <v>0</v>
      </c>
      <c r="AN1638" s="40"/>
      <c r="AO1638" s="25">
        <f>SUM(N1638:Q1638)</f>
        <v>20.440000000000001</v>
      </c>
      <c r="AP1638" s="25">
        <f>SUM(T1638:W1638)</f>
        <v>20.439999999999998</v>
      </c>
      <c r="AQ1638" s="268">
        <v>20.434000000000001</v>
      </c>
      <c r="AR1638" s="41"/>
      <c r="AS1638" s="41"/>
      <c r="AT1638" s="41"/>
      <c r="AU1638" s="41">
        <f>SUM(N1638:Q1638)</f>
        <v>20.440000000000001</v>
      </c>
      <c r="AV1638" s="49">
        <f>SUM(T1638:W1638)</f>
        <v>20.439999999999998</v>
      </c>
      <c r="AW1638" s="41">
        <f>SUM(Z1638:AB1638)</f>
        <v>20.43</v>
      </c>
      <c r="AX1638" s="22"/>
      <c r="AY1638" s="22">
        <f>I1638/AU1638</f>
        <v>0.99970645792563595</v>
      </c>
      <c r="AZ1638" s="22">
        <f>I1638/AV1638</f>
        <v>0.99970645792563617</v>
      </c>
      <c r="BA1638" s="22">
        <f>I1638/AW1638</f>
        <v>1.0001957905041605</v>
      </c>
      <c r="BB1638" s="22"/>
      <c r="BC1638" s="22"/>
      <c r="BD1638" s="22"/>
      <c r="BE1638" s="22"/>
      <c r="BF1638" s="22"/>
      <c r="BG1638" s="22"/>
      <c r="BH1638" s="22"/>
      <c r="BI1638" s="22"/>
      <c r="BJ1638" s="22"/>
      <c r="BK1638" s="22"/>
      <c r="BL1638" s="22"/>
      <c r="BM1638" s="22"/>
      <c r="BN1638" s="22"/>
      <c r="BO1638" s="22"/>
      <c r="BP1638" s="22"/>
      <c r="BQ1638" s="22"/>
      <c r="BR1638" s="22"/>
      <c r="BS1638" s="22"/>
      <c r="BT1638" s="22"/>
      <c r="BU1638" s="22"/>
      <c r="BV1638" s="22"/>
      <c r="BW1638" s="22"/>
      <c r="BX1638" s="22"/>
      <c r="BY1638" s="22"/>
      <c r="BZ1638" s="22"/>
      <c r="CA1638" s="22"/>
      <c r="CB1638" s="22"/>
      <c r="CC1638" s="22"/>
      <c r="CD1638" s="22"/>
      <c r="CE1638" s="22"/>
      <c r="CF1638" s="22"/>
      <c r="CG1638" s="22"/>
      <c r="CH1638" s="22"/>
      <c r="CI1638" s="22"/>
      <c r="CJ1638" s="22"/>
    </row>
    <row r="1639" spans="1:88">
      <c r="A1639" s="1">
        <v>2149</v>
      </c>
      <c r="B1639" s="34" t="s">
        <v>2780</v>
      </c>
      <c r="C1639" s="34">
        <v>327</v>
      </c>
      <c r="D1639" s="75">
        <v>4284</v>
      </c>
      <c r="E1639" s="8">
        <v>100</v>
      </c>
      <c r="F1639" s="9" t="s">
        <v>2789</v>
      </c>
      <c r="G1639" s="20">
        <v>0</v>
      </c>
      <c r="H1639" s="20">
        <v>1080</v>
      </c>
      <c r="I1639" s="21">
        <v>1.08</v>
      </c>
      <c r="J1639" s="9">
        <v>4</v>
      </c>
      <c r="K1639" s="9" t="s">
        <v>237</v>
      </c>
      <c r="L1639" s="18">
        <v>42135</v>
      </c>
      <c r="M1639" s="37" t="s">
        <v>191</v>
      </c>
      <c r="N1639" s="38">
        <v>0.72499999999999998</v>
      </c>
      <c r="O1639" s="38">
        <v>0.55000000000000004</v>
      </c>
      <c r="P1639" s="38">
        <v>0.22500000000000001</v>
      </c>
      <c r="Q1639" s="38">
        <v>0.125</v>
      </c>
      <c r="R1639" s="38">
        <v>2.91215</v>
      </c>
      <c r="S1639" s="38">
        <f t="shared" si="199"/>
        <v>3</v>
      </c>
      <c r="T1639" s="38">
        <v>1.6</v>
      </c>
      <c r="U1639" s="38">
        <v>2.5000000000000001E-2</v>
      </c>
      <c r="V1639" s="38">
        <v>0</v>
      </c>
      <c r="W1639" s="38">
        <v>0</v>
      </c>
      <c r="X1639" s="38">
        <v>2.3788200000000002</v>
      </c>
      <c r="Y1639" s="38">
        <f t="shared" si="200"/>
        <v>2.5</v>
      </c>
      <c r="Z1639" s="38">
        <v>0</v>
      </c>
      <c r="AA1639" s="38">
        <v>0</v>
      </c>
      <c r="AB1639" s="38">
        <v>1.625</v>
      </c>
      <c r="AC1639" s="38">
        <v>1.06206</v>
      </c>
      <c r="AD1639" s="39">
        <v>0</v>
      </c>
      <c r="AE1639" s="38">
        <v>2</v>
      </c>
      <c r="AF1639" s="38">
        <f>(AD1639+AE1639*0.5)/(3.5*I1639*1000)*100</f>
        <v>2.645502645502645E-2</v>
      </c>
      <c r="AG1639" s="38">
        <f t="shared" si="201"/>
        <v>0</v>
      </c>
      <c r="AH1639" s="38">
        <v>0</v>
      </c>
      <c r="AI1639" s="38">
        <f>AH1639/(3.5*I1639*1000)*100</f>
        <v>0</v>
      </c>
      <c r="AJ1639" s="38">
        <v>0</v>
      </c>
      <c r="AK1639" s="38">
        <f>AJ1639/(3.5*I1639*1000)*100</f>
        <v>0</v>
      </c>
      <c r="AL1639" s="38">
        <v>0</v>
      </c>
      <c r="AM1639" s="38">
        <f>AL1639/(3.5*I1639*1000)*100</f>
        <v>0</v>
      </c>
      <c r="AN1639" s="25"/>
      <c r="AO1639" s="25"/>
      <c r="AP1639" s="22"/>
      <c r="AQ1639" s="22"/>
      <c r="AR1639" s="22"/>
      <c r="AS1639" s="22"/>
      <c r="AT1639" s="22"/>
      <c r="AU1639" s="22"/>
      <c r="AV1639" s="48"/>
      <c r="AW1639" s="22"/>
      <c r="AX1639" s="22"/>
      <c r="AY1639" s="22"/>
      <c r="AZ1639" s="22"/>
      <c r="BA1639" s="22"/>
      <c r="BB1639" s="22"/>
      <c r="BC1639" s="22"/>
      <c r="BD1639" s="22"/>
      <c r="BE1639" s="22"/>
      <c r="BF1639" s="22"/>
      <c r="BG1639" s="22"/>
      <c r="BH1639" s="22"/>
      <c r="BI1639" s="22"/>
      <c r="BJ1639" s="22"/>
      <c r="BK1639" s="22"/>
      <c r="BL1639" s="22"/>
      <c r="BM1639" s="22"/>
      <c r="BN1639" s="22"/>
      <c r="BO1639" s="22"/>
      <c r="BP1639" s="22"/>
      <c r="BQ1639" s="22"/>
      <c r="BR1639" s="22"/>
      <c r="BS1639" s="22"/>
      <c r="BT1639" s="22"/>
      <c r="BU1639" s="22"/>
      <c r="BV1639" s="22"/>
      <c r="BW1639" s="22"/>
      <c r="BX1639" s="22"/>
      <c r="BY1639" s="22"/>
      <c r="BZ1639" s="22"/>
      <c r="CA1639" s="22"/>
      <c r="CB1639" s="22"/>
      <c r="CC1639" s="22"/>
      <c r="CD1639" s="22"/>
      <c r="CE1639" s="22"/>
      <c r="CF1639" s="22"/>
      <c r="CG1639" s="22"/>
      <c r="CH1639" s="22"/>
      <c r="CI1639" s="22"/>
      <c r="CJ1639" s="22"/>
    </row>
    <row r="1640" spans="1:88">
      <c r="A1640" s="1">
        <v>1263</v>
      </c>
      <c r="B1640" s="34" t="s">
        <v>1775</v>
      </c>
      <c r="C1640" s="88">
        <v>438</v>
      </c>
      <c r="D1640" s="88">
        <v>3004</v>
      </c>
      <c r="E1640" s="88">
        <v>203</v>
      </c>
      <c r="F1640" s="88" t="s">
        <v>1794</v>
      </c>
      <c r="G1640" s="88" t="s">
        <v>1795</v>
      </c>
      <c r="H1640" s="88" t="s">
        <v>1793</v>
      </c>
      <c r="I1640" s="115">
        <v>36.966000000000001</v>
      </c>
      <c r="J1640" s="88">
        <v>2</v>
      </c>
      <c r="K1640" s="88" t="s">
        <v>12</v>
      </c>
      <c r="L1640" s="116">
        <v>42282</v>
      </c>
      <c r="M1640" s="37" t="s">
        <v>191</v>
      </c>
      <c r="N1640" s="117">
        <v>18.274999999999999</v>
      </c>
      <c r="O1640" s="117">
        <v>12.05</v>
      </c>
      <c r="P1640" s="117">
        <v>5.5750000000000002</v>
      </c>
      <c r="Q1640" s="117">
        <v>1.925</v>
      </c>
      <c r="R1640" s="117">
        <v>2.8170899999999999</v>
      </c>
      <c r="S1640" s="38">
        <f t="shared" si="199"/>
        <v>3</v>
      </c>
      <c r="T1640" s="117">
        <v>36.35</v>
      </c>
      <c r="U1640" s="117">
        <v>1.3</v>
      </c>
      <c r="V1640" s="117">
        <v>0.17499999999999999</v>
      </c>
      <c r="W1640" s="117">
        <v>0</v>
      </c>
      <c r="X1640" s="117">
        <v>3.7426300000000001</v>
      </c>
      <c r="Y1640" s="38">
        <f t="shared" si="200"/>
        <v>3.5</v>
      </c>
      <c r="Z1640" s="117">
        <v>0</v>
      </c>
      <c r="AA1640" s="117">
        <v>0</v>
      </c>
      <c r="AB1640" s="115">
        <v>36.966000000000001</v>
      </c>
      <c r="AC1640" s="117">
        <v>1.31437</v>
      </c>
      <c r="AD1640" s="254">
        <v>33.667999999999999</v>
      </c>
      <c r="AE1640" s="117">
        <v>0.65900000000000003</v>
      </c>
      <c r="AF1640" s="117">
        <f>(AD1640+AE1640*0.5)/(3.5*I1640*1000)*100</f>
        <v>2.6277042224128737E-2</v>
      </c>
      <c r="AG1640" s="38">
        <f t="shared" si="201"/>
        <v>0</v>
      </c>
      <c r="AH1640" s="117">
        <v>24.89</v>
      </c>
      <c r="AI1640" s="117">
        <f>AH1640/(3.5*I1640*1000)*100</f>
        <v>1.9237755157248747E-2</v>
      </c>
      <c r="AJ1640" s="117">
        <v>0</v>
      </c>
      <c r="AK1640" s="117">
        <v>0</v>
      </c>
      <c r="AL1640" s="117">
        <v>0</v>
      </c>
      <c r="AM1640" s="117">
        <v>0</v>
      </c>
      <c r="AN1640" s="12"/>
      <c r="AV1640" s="178"/>
    </row>
    <row r="1641" spans="1:88">
      <c r="A1641" s="1">
        <v>881</v>
      </c>
      <c r="B1641" s="34" t="s">
        <v>1271</v>
      </c>
      <c r="C1641" s="34">
        <v>632</v>
      </c>
      <c r="D1641" s="148">
        <v>2172</v>
      </c>
      <c r="E1641" s="34">
        <v>101</v>
      </c>
      <c r="F1641" s="34" t="s">
        <v>1274</v>
      </c>
      <c r="G1641" s="58">
        <v>0</v>
      </c>
      <c r="H1641" s="58">
        <v>22000</v>
      </c>
      <c r="I1641" s="35">
        <v>22</v>
      </c>
      <c r="J1641" s="9">
        <v>2</v>
      </c>
      <c r="K1641" s="34" t="s">
        <v>238</v>
      </c>
      <c r="L1641" s="10">
        <v>42144</v>
      </c>
      <c r="M1641" s="37" t="s">
        <v>191</v>
      </c>
      <c r="N1641" s="38">
        <v>12.625</v>
      </c>
      <c r="O1641" s="38">
        <v>5.35</v>
      </c>
      <c r="P1641" s="38">
        <v>2.4750000000000001</v>
      </c>
      <c r="Q1641" s="38">
        <v>1.45</v>
      </c>
      <c r="R1641" s="38">
        <v>3.1085400000000001</v>
      </c>
      <c r="S1641" s="38">
        <f t="shared" si="199"/>
        <v>3</v>
      </c>
      <c r="T1641" s="38">
        <v>20.875</v>
      </c>
      <c r="U1641" s="38">
        <v>0.625</v>
      </c>
      <c r="V1641" s="38">
        <v>0.375</v>
      </c>
      <c r="W1641" s="38">
        <v>2.5000000000000001E-2</v>
      </c>
      <c r="X1641" s="38">
        <v>4.2429199999999998</v>
      </c>
      <c r="Y1641" s="38">
        <f t="shared" si="200"/>
        <v>4</v>
      </c>
      <c r="Z1641" s="38">
        <v>0</v>
      </c>
      <c r="AA1641" s="38">
        <v>0</v>
      </c>
      <c r="AB1641" s="38">
        <f>N1641+O1641+P1641+Q1641</f>
        <v>21.900000000000002</v>
      </c>
      <c r="AC1641" s="38">
        <v>1.4638199999999999</v>
      </c>
      <c r="AD1641" s="39">
        <v>20.13</v>
      </c>
      <c r="AE1641" s="38">
        <v>0</v>
      </c>
      <c r="AF1641" s="38">
        <v>2.6143E-2</v>
      </c>
      <c r="AG1641" s="38">
        <f t="shared" si="201"/>
        <v>0</v>
      </c>
      <c r="AH1641" s="38">
        <v>6.63</v>
      </c>
      <c r="AI1641" s="38">
        <v>8.6099999999999996E-3</v>
      </c>
      <c r="AJ1641" s="38">
        <v>0</v>
      </c>
      <c r="AK1641" s="38">
        <v>0</v>
      </c>
      <c r="AL1641" s="38">
        <v>4.1900000000000004</v>
      </c>
      <c r="AM1641" s="38">
        <v>5.4419999999999998E-3</v>
      </c>
      <c r="AN1641" s="25"/>
      <c r="AO1641" s="25">
        <f>AE1641*0.5</f>
        <v>0</v>
      </c>
      <c r="AP1641" s="25">
        <f>(AD1641+AH1641+AJ1641+AL1641+AO1641)*I1641</f>
        <v>680.9</v>
      </c>
      <c r="AQ1641" s="25">
        <f>SUM(N1641:Q1641)</f>
        <v>21.900000000000002</v>
      </c>
      <c r="AR1641" s="25">
        <f>SUM(T1641:W1641)</f>
        <v>21.9</v>
      </c>
      <c r="AS1641" s="22"/>
      <c r="AT1641" s="41"/>
      <c r="AU1641" s="41"/>
      <c r="AV1641" s="49"/>
      <c r="AW1641" s="41"/>
      <c r="AX1641" s="22"/>
      <c r="AY1641" s="22"/>
      <c r="AZ1641" s="22"/>
      <c r="BA1641" s="22"/>
      <c r="BB1641" s="22"/>
      <c r="BC1641" s="22"/>
      <c r="BD1641" s="22"/>
      <c r="BE1641" s="22"/>
      <c r="BF1641" s="22"/>
      <c r="BG1641" s="22"/>
      <c r="BH1641" s="22"/>
      <c r="BI1641" s="22"/>
      <c r="BJ1641" s="22"/>
      <c r="BK1641" s="22"/>
      <c r="BL1641" s="22"/>
      <c r="BM1641" s="22"/>
      <c r="BN1641" s="22"/>
      <c r="BO1641" s="22"/>
      <c r="BP1641" s="22"/>
      <c r="BQ1641" s="22"/>
      <c r="BR1641" s="22"/>
      <c r="BS1641" s="22"/>
      <c r="BT1641" s="22"/>
      <c r="BU1641" s="22"/>
      <c r="BV1641" s="22"/>
      <c r="BW1641" s="22"/>
      <c r="BX1641" s="22"/>
      <c r="BY1641" s="22"/>
      <c r="BZ1641" s="22"/>
      <c r="CA1641" s="22"/>
      <c r="CB1641" s="22"/>
      <c r="CC1641" s="22"/>
      <c r="CD1641" s="22"/>
      <c r="CE1641" s="22"/>
      <c r="CF1641" s="22"/>
      <c r="CG1641" s="22"/>
      <c r="CH1641" s="22"/>
      <c r="CI1641" s="22"/>
      <c r="CJ1641" s="22"/>
    </row>
    <row r="1642" spans="1:88">
      <c r="A1642" s="1">
        <v>728</v>
      </c>
      <c r="B1642" s="34" t="s">
        <v>1123</v>
      </c>
      <c r="C1642" s="34">
        <v>627</v>
      </c>
      <c r="D1642" s="34">
        <v>2187</v>
      </c>
      <c r="E1642" s="34">
        <v>101</v>
      </c>
      <c r="F1642" s="34" t="s">
        <v>1134</v>
      </c>
      <c r="G1642" s="58">
        <v>0</v>
      </c>
      <c r="H1642" s="58">
        <v>9340</v>
      </c>
      <c r="I1642" s="51">
        <v>9.34</v>
      </c>
      <c r="J1642" s="127">
        <v>2</v>
      </c>
      <c r="K1642" s="34" t="s">
        <v>238</v>
      </c>
      <c r="L1642" s="10">
        <v>42177</v>
      </c>
      <c r="M1642" s="37" t="s">
        <v>191</v>
      </c>
      <c r="N1642" s="38">
        <v>5</v>
      </c>
      <c r="O1642" s="38">
        <v>2.6</v>
      </c>
      <c r="P1642" s="38">
        <v>1.175</v>
      </c>
      <c r="Q1642" s="38">
        <v>0.55000000000000004</v>
      </c>
      <c r="R1642" s="38">
        <v>2.7700300000000002</v>
      </c>
      <c r="S1642" s="38">
        <f t="shared" si="199"/>
        <v>3</v>
      </c>
      <c r="T1642" s="38">
        <v>8.6</v>
      </c>
      <c r="U1642" s="38">
        <v>0.7</v>
      </c>
      <c r="V1642" s="38">
        <v>0</v>
      </c>
      <c r="W1642" s="38">
        <v>2.5000000000000001E-2</v>
      </c>
      <c r="X1642" s="38">
        <v>5.1934100000000001</v>
      </c>
      <c r="Y1642" s="38">
        <f t="shared" si="200"/>
        <v>5</v>
      </c>
      <c r="Z1642" s="38">
        <v>0</v>
      </c>
      <c r="AA1642" s="38">
        <v>0</v>
      </c>
      <c r="AB1642" s="38">
        <v>9.34</v>
      </c>
      <c r="AC1642" s="38">
        <v>1.12483</v>
      </c>
      <c r="AD1642" s="39">
        <v>8.51</v>
      </c>
      <c r="AE1642" s="38">
        <v>0</v>
      </c>
      <c r="AF1642" s="38">
        <v>2.603242581829306E-2</v>
      </c>
      <c r="AG1642" s="38">
        <f t="shared" si="201"/>
        <v>0</v>
      </c>
      <c r="AH1642" s="38">
        <v>0</v>
      </c>
      <c r="AI1642" s="38">
        <v>0</v>
      </c>
      <c r="AJ1642" s="38">
        <v>0</v>
      </c>
      <c r="AK1642" s="38">
        <v>0</v>
      </c>
      <c r="AL1642" s="38">
        <v>0</v>
      </c>
      <c r="AM1642" s="147">
        <f>AL1642/(3.5*I1642*1000)*100</f>
        <v>0</v>
      </c>
      <c r="AN1642" s="25"/>
      <c r="AO1642" s="25">
        <f>AE1642*0.5</f>
        <v>0</v>
      </c>
      <c r="AP1642" s="25">
        <f>(AD1642+AH1642+AJ1642+AL1642+AO1642)*I1642</f>
        <v>79.483400000000003</v>
      </c>
      <c r="AQ1642" s="25">
        <f>SUM(N1642:Q1642)</f>
        <v>9.3250000000000011</v>
      </c>
      <c r="AR1642" s="25">
        <f>SUM(T1642:W1642)</f>
        <v>9.3249999999999993</v>
      </c>
      <c r="AS1642" s="268">
        <v>9.34</v>
      </c>
      <c r="AT1642" s="41"/>
      <c r="AU1642" s="41"/>
      <c r="AV1642" s="49"/>
      <c r="AW1642" s="41"/>
      <c r="AX1642" s="22"/>
      <c r="AY1642" s="22"/>
      <c r="AZ1642" s="22"/>
      <c r="BA1642" s="22"/>
      <c r="BB1642" s="22"/>
      <c r="BC1642" s="22"/>
      <c r="BD1642" s="22"/>
      <c r="BE1642" s="22"/>
      <c r="BF1642" s="22"/>
      <c r="BG1642" s="22"/>
      <c r="BH1642" s="22"/>
      <c r="BI1642" s="22"/>
      <c r="BJ1642" s="22"/>
      <c r="BK1642" s="22"/>
      <c r="BL1642" s="22"/>
      <c r="BM1642" s="22"/>
      <c r="BN1642" s="22"/>
      <c r="BO1642" s="22"/>
      <c r="BP1642" s="22"/>
      <c r="BQ1642" s="22"/>
      <c r="BR1642" s="22"/>
      <c r="BS1642" s="22"/>
      <c r="BT1642" s="22"/>
      <c r="BU1642" s="22"/>
      <c r="BV1642" s="22"/>
      <c r="BW1642" s="22"/>
      <c r="BX1642" s="22"/>
      <c r="BY1642" s="22"/>
      <c r="BZ1642" s="22"/>
      <c r="CA1642" s="22"/>
      <c r="CB1642" s="22"/>
      <c r="CC1642" s="22"/>
      <c r="CD1642" s="22"/>
      <c r="CE1642" s="22"/>
      <c r="CF1642" s="22"/>
      <c r="CG1642" s="22"/>
      <c r="CH1642" s="22"/>
      <c r="CI1642" s="22"/>
      <c r="CJ1642" s="22"/>
    </row>
    <row r="1643" spans="1:88">
      <c r="A1643" s="1">
        <v>1749</v>
      </c>
      <c r="B1643" s="34" t="s">
        <v>2324</v>
      </c>
      <c r="C1643" s="34">
        <v>423</v>
      </c>
      <c r="D1643" s="8">
        <v>3493</v>
      </c>
      <c r="E1643" s="34">
        <v>100</v>
      </c>
      <c r="F1643" s="34" t="s">
        <v>2345</v>
      </c>
      <c r="G1643" s="58">
        <v>8430</v>
      </c>
      <c r="H1643" s="58">
        <v>0</v>
      </c>
      <c r="I1643" s="35">
        <v>8.43</v>
      </c>
      <c r="J1643" s="9">
        <v>4</v>
      </c>
      <c r="K1643" s="34" t="s">
        <v>96</v>
      </c>
      <c r="L1643" s="10">
        <v>42235</v>
      </c>
      <c r="M1643" s="37" t="s">
        <v>191</v>
      </c>
      <c r="N1643" s="38">
        <v>5.7</v>
      </c>
      <c r="O1643" s="38">
        <v>1.5249999999999999</v>
      </c>
      <c r="P1643" s="38">
        <v>0.92500000000000004</v>
      </c>
      <c r="Q1643" s="38">
        <v>0.3</v>
      </c>
      <c r="R1643" s="38">
        <v>2.282</v>
      </c>
      <c r="S1643" s="38">
        <f t="shared" si="199"/>
        <v>2.5</v>
      </c>
      <c r="T1643" s="38">
        <v>5.0999999999999996</v>
      </c>
      <c r="U1643" s="38">
        <v>2.8250000000000002</v>
      </c>
      <c r="V1643" s="38">
        <v>0.4</v>
      </c>
      <c r="W1643" s="38">
        <v>0.125</v>
      </c>
      <c r="X1643" s="38">
        <v>9.5869999999999997</v>
      </c>
      <c r="Y1643" s="38">
        <f t="shared" si="200"/>
        <v>9.5</v>
      </c>
      <c r="Z1643" s="38">
        <v>0</v>
      </c>
      <c r="AA1643" s="117">
        <v>0</v>
      </c>
      <c r="AB1643" s="35">
        <v>8.43</v>
      </c>
      <c r="AC1643" s="38">
        <v>1.232</v>
      </c>
      <c r="AD1643" s="39">
        <v>0</v>
      </c>
      <c r="AE1643" s="38">
        <v>15.34</v>
      </c>
      <c r="AF1643" s="38">
        <f>(AD1643+AE1643*0.5)/(3.5*I1643*1000)*100</f>
        <v>2.5995593967124215E-2</v>
      </c>
      <c r="AG1643" s="38">
        <f t="shared" si="201"/>
        <v>0</v>
      </c>
      <c r="AH1643" s="38">
        <v>0</v>
      </c>
      <c r="AI1643" s="38">
        <f>AH1643/(3.5*I1643*1000)*100</f>
        <v>0</v>
      </c>
      <c r="AJ1643" s="38">
        <v>0</v>
      </c>
      <c r="AK1643" s="38">
        <f>AJ1643/(3.5*I1643*1000)*100</f>
        <v>0</v>
      </c>
      <c r="AL1643" s="38">
        <v>0</v>
      </c>
      <c r="AM1643" s="38">
        <v>0</v>
      </c>
      <c r="AN1643" s="25"/>
      <c r="AO1643" s="12">
        <f>AE1643*0.5</f>
        <v>7.67</v>
      </c>
      <c r="AP1643" s="12">
        <f>(AD1643+AH1643+AJ1643+AL1643+AO1643)*I1643</f>
        <v>64.65809999999999</v>
      </c>
      <c r="AQ1643" s="25">
        <f>SUM(N1643:Q1643)</f>
        <v>8.4500000000000011</v>
      </c>
      <c r="AR1643" s="25">
        <f>SUM(T1643:W1643)</f>
        <v>8.4499999999999993</v>
      </c>
      <c r="AS1643" s="22"/>
      <c r="AT1643" s="41"/>
      <c r="AU1643" s="41"/>
      <c r="AV1643" s="49"/>
      <c r="AW1643" s="41"/>
      <c r="AX1643" s="22"/>
      <c r="AY1643" s="22"/>
      <c r="AZ1643" s="22"/>
      <c r="BA1643" s="22"/>
      <c r="BB1643" s="22"/>
      <c r="BC1643" s="22"/>
      <c r="BD1643" s="22"/>
      <c r="BE1643" s="22"/>
      <c r="BF1643" s="22"/>
      <c r="BG1643" s="22"/>
      <c r="BH1643" s="22"/>
      <c r="BI1643" s="22"/>
      <c r="BJ1643" s="22"/>
      <c r="BK1643" s="22"/>
      <c r="BL1643" s="22"/>
      <c r="BM1643" s="22"/>
      <c r="BN1643" s="22"/>
      <c r="BO1643" s="22"/>
      <c r="BP1643" s="22"/>
      <c r="BQ1643" s="22"/>
      <c r="BR1643" s="22"/>
      <c r="BS1643" s="22"/>
      <c r="BT1643" s="22"/>
      <c r="BU1643" s="22"/>
      <c r="BV1643" s="22"/>
      <c r="BW1643" s="22"/>
      <c r="BX1643" s="22"/>
      <c r="BY1643" s="22"/>
      <c r="BZ1643" s="22"/>
      <c r="CA1643" s="22"/>
      <c r="CB1643" s="22"/>
      <c r="CC1643" s="22"/>
      <c r="CD1643" s="22"/>
      <c r="CE1643" s="22"/>
      <c r="CF1643" s="22"/>
      <c r="CG1643" s="22"/>
      <c r="CH1643" s="22"/>
      <c r="CI1643" s="22"/>
      <c r="CJ1643" s="22"/>
    </row>
    <row r="1644" spans="1:88">
      <c r="A1644" s="1">
        <v>1857</v>
      </c>
      <c r="B1644" s="34" t="s">
        <v>2485</v>
      </c>
      <c r="C1644" s="34">
        <v>333</v>
      </c>
      <c r="D1644" s="75">
        <v>3168</v>
      </c>
      <c r="E1644" s="8">
        <v>100</v>
      </c>
      <c r="F1644" s="9" t="s">
        <v>2486</v>
      </c>
      <c r="G1644" s="20">
        <v>11710</v>
      </c>
      <c r="H1644" s="20">
        <v>0</v>
      </c>
      <c r="I1644" s="21">
        <v>11.71</v>
      </c>
      <c r="J1644" s="34">
        <v>4</v>
      </c>
      <c r="K1644" s="34" t="s">
        <v>96</v>
      </c>
      <c r="L1644" s="18">
        <v>42098</v>
      </c>
      <c r="M1644" s="247" t="s">
        <v>191</v>
      </c>
      <c r="N1644" s="38">
        <v>7.3250000000000002</v>
      </c>
      <c r="O1644" s="38">
        <v>2.6749999999999998</v>
      </c>
      <c r="P1644" s="38">
        <v>0.97499999999999998</v>
      </c>
      <c r="Q1644" s="38">
        <v>0.6</v>
      </c>
      <c r="R1644" s="38">
        <v>2.5710999999999999</v>
      </c>
      <c r="S1644" s="38">
        <f t="shared" si="199"/>
        <v>2.5</v>
      </c>
      <c r="T1644" s="38">
        <v>11.425000000000001</v>
      </c>
      <c r="U1644" s="38">
        <v>0.125</v>
      </c>
      <c r="V1644" s="38">
        <v>2.5000000000000001E-2</v>
      </c>
      <c r="W1644" s="38">
        <v>0</v>
      </c>
      <c r="X1644" s="38">
        <v>3.2745700000000002</v>
      </c>
      <c r="Y1644" s="38">
        <f t="shared" si="200"/>
        <v>3.5</v>
      </c>
      <c r="Z1644" s="38">
        <v>0</v>
      </c>
      <c r="AA1644" s="38">
        <v>0</v>
      </c>
      <c r="AB1644" s="38">
        <v>11.574999999999999</v>
      </c>
      <c r="AC1644" s="38">
        <v>1.28942</v>
      </c>
      <c r="AD1644" s="39">
        <v>10.65</v>
      </c>
      <c r="AE1644" s="38">
        <v>0</v>
      </c>
      <c r="AF1644" s="38">
        <v>2.5985116506038797E-2</v>
      </c>
      <c r="AG1644" s="38">
        <f t="shared" si="201"/>
        <v>0</v>
      </c>
      <c r="AH1644" s="38">
        <v>5.97</v>
      </c>
      <c r="AI1644" s="38">
        <v>1.4566304745638648E-2</v>
      </c>
      <c r="AJ1644" s="38">
        <v>0</v>
      </c>
      <c r="AK1644" s="38">
        <v>0</v>
      </c>
      <c r="AL1644" s="38">
        <v>0</v>
      </c>
      <c r="AM1644" s="38">
        <f>AL1644/(3.5*I1644*1000)*100</f>
        <v>0</v>
      </c>
      <c r="AV1644" s="178"/>
    </row>
    <row r="1645" spans="1:88">
      <c r="A1645" s="1">
        <v>1101</v>
      </c>
      <c r="B1645" s="9" t="s">
        <v>1513</v>
      </c>
      <c r="C1645" s="34">
        <v>431</v>
      </c>
      <c r="D1645" s="75">
        <v>366</v>
      </c>
      <c r="E1645" s="69">
        <v>100</v>
      </c>
      <c r="F1645" s="34" t="s">
        <v>1525</v>
      </c>
      <c r="G1645" s="20" t="s">
        <v>92</v>
      </c>
      <c r="H1645" s="20" t="s">
        <v>1526</v>
      </c>
      <c r="I1645" s="21">
        <v>19.309999999999999</v>
      </c>
      <c r="J1645" s="8">
        <v>2</v>
      </c>
      <c r="K1645" s="5" t="s">
        <v>238</v>
      </c>
      <c r="L1645" s="18">
        <v>42282</v>
      </c>
      <c r="M1645" s="37" t="s">
        <v>191</v>
      </c>
      <c r="N1645" s="38">
        <v>6.3</v>
      </c>
      <c r="O1645" s="38">
        <v>2.95</v>
      </c>
      <c r="P1645" s="38">
        <v>1.2</v>
      </c>
      <c r="Q1645" s="38">
        <v>0.7</v>
      </c>
      <c r="R1645" s="38">
        <v>2.92361</v>
      </c>
      <c r="S1645" s="38">
        <f t="shared" si="199"/>
        <v>3</v>
      </c>
      <c r="T1645" s="38">
        <v>8.75</v>
      </c>
      <c r="U1645" s="38">
        <v>1.575</v>
      </c>
      <c r="V1645" s="38">
        <v>0.57499999999999996</v>
      </c>
      <c r="W1645" s="38">
        <v>0.25</v>
      </c>
      <c r="X1645" s="38">
        <v>7.2831999999999999</v>
      </c>
      <c r="Y1645" s="38">
        <f t="shared" si="200"/>
        <v>7.5</v>
      </c>
      <c r="Z1645" s="38">
        <v>0</v>
      </c>
      <c r="AA1645" s="38">
        <v>0</v>
      </c>
      <c r="AB1645" s="38">
        <v>19.725000000000001</v>
      </c>
      <c r="AC1645" s="38">
        <v>1.1677999999999999</v>
      </c>
      <c r="AD1645" s="39">
        <v>16.206</v>
      </c>
      <c r="AE1645" s="38">
        <v>2.1</v>
      </c>
      <c r="AF1645" s="38">
        <f t="shared" ref="AF1645:AF1651" si="202">(AD1645+AE1645*0.5)/(3.5*I1645*1000)*100</f>
        <v>2.5532292668491531E-2</v>
      </c>
      <c r="AG1645" s="38">
        <f t="shared" si="201"/>
        <v>0</v>
      </c>
      <c r="AH1645" s="38">
        <v>185.69</v>
      </c>
      <c r="AI1645" s="38">
        <f>AH1645/(3.5*I1645*1000)*100</f>
        <v>0.27475031441887993</v>
      </c>
      <c r="AJ1645" s="38">
        <v>0</v>
      </c>
      <c r="AK1645" s="38">
        <f>AJ1645/(3.5*I1645*1000)*100</f>
        <v>0</v>
      </c>
      <c r="AL1645" s="38">
        <v>0</v>
      </c>
      <c r="AM1645" s="38">
        <f>AL1645/(3.5*I1645*1000)*100</f>
        <v>0</v>
      </c>
      <c r="AN1645" s="41"/>
      <c r="AO1645" s="72"/>
      <c r="AP1645" s="73"/>
      <c r="AQ1645" s="73"/>
      <c r="AR1645" s="22"/>
      <c r="AS1645" s="22"/>
      <c r="AT1645" s="22"/>
      <c r="AU1645" s="22"/>
      <c r="AV1645" s="48"/>
      <c r="AW1645" s="22"/>
      <c r="AX1645" s="22"/>
      <c r="AY1645" s="22"/>
      <c r="AZ1645" s="22"/>
      <c r="BA1645" s="22"/>
      <c r="BB1645" s="22"/>
      <c r="BC1645" s="22"/>
      <c r="BD1645" s="182"/>
      <c r="BE1645" s="182"/>
      <c r="BF1645" s="182"/>
      <c r="BG1645" s="182"/>
      <c r="BH1645" s="182"/>
      <c r="BI1645" s="182"/>
      <c r="BJ1645" s="182"/>
      <c r="BK1645" s="182"/>
      <c r="BL1645" s="182"/>
      <c r="BM1645" s="182"/>
      <c r="BN1645" s="182"/>
      <c r="BO1645" s="182"/>
      <c r="BP1645" s="182"/>
      <c r="BQ1645" s="182"/>
      <c r="BR1645" s="182"/>
      <c r="BS1645" s="182"/>
      <c r="BT1645" s="182"/>
      <c r="BU1645" s="182"/>
      <c r="BV1645" s="182"/>
      <c r="BW1645" s="182"/>
      <c r="BX1645" s="182"/>
      <c r="BY1645" s="182"/>
      <c r="BZ1645" s="182"/>
      <c r="CA1645" s="182"/>
      <c r="CB1645" s="182"/>
      <c r="CC1645" s="182"/>
      <c r="CD1645" s="182"/>
      <c r="CE1645" s="182"/>
      <c r="CF1645" s="182"/>
      <c r="CG1645" s="182"/>
      <c r="CH1645" s="182"/>
      <c r="CI1645" s="182"/>
      <c r="CJ1645" s="182"/>
    </row>
    <row r="1646" spans="1:88">
      <c r="A1646" s="1">
        <v>1218</v>
      </c>
      <c r="B1646" s="34" t="s">
        <v>1674</v>
      </c>
      <c r="C1646" s="34">
        <v>435</v>
      </c>
      <c r="D1646" s="34">
        <v>2340</v>
      </c>
      <c r="E1646" s="34">
        <v>100</v>
      </c>
      <c r="F1646" s="34" t="s">
        <v>1717</v>
      </c>
      <c r="G1646" s="34" t="s">
        <v>1537</v>
      </c>
      <c r="H1646" s="34" t="s">
        <v>92</v>
      </c>
      <c r="I1646" s="55">
        <v>36.363</v>
      </c>
      <c r="J1646" s="34">
        <v>2</v>
      </c>
      <c r="K1646" s="34" t="s">
        <v>12</v>
      </c>
      <c r="L1646" s="10">
        <v>42282</v>
      </c>
      <c r="M1646" s="37" t="s">
        <v>191</v>
      </c>
      <c r="N1646" s="38">
        <v>14.324999999999999</v>
      </c>
      <c r="O1646" s="38">
        <v>13.324999999999999</v>
      </c>
      <c r="P1646" s="38">
        <v>5.2</v>
      </c>
      <c r="Q1646" s="38">
        <v>3.125</v>
      </c>
      <c r="R1646" s="38">
        <v>3.06033</v>
      </c>
      <c r="S1646" s="38">
        <f t="shared" si="199"/>
        <v>3</v>
      </c>
      <c r="T1646" s="38">
        <v>33.85</v>
      </c>
      <c r="U1646" s="38">
        <v>1.625</v>
      </c>
      <c r="V1646" s="38">
        <v>0.4</v>
      </c>
      <c r="W1646" s="38">
        <v>0.1</v>
      </c>
      <c r="X1646" s="38">
        <v>3.6874600000000002</v>
      </c>
      <c r="Y1646" s="38">
        <f t="shared" si="200"/>
        <v>3.5</v>
      </c>
      <c r="Z1646" s="38">
        <v>0</v>
      </c>
      <c r="AA1646" s="38">
        <v>0</v>
      </c>
      <c r="AB1646" s="55">
        <v>36.363</v>
      </c>
      <c r="AC1646" s="38">
        <v>1.36303</v>
      </c>
      <c r="AD1646" s="39">
        <v>22.38</v>
      </c>
      <c r="AE1646" s="38">
        <v>20.14</v>
      </c>
      <c r="AF1646" s="38">
        <f t="shared" si="202"/>
        <v>2.5496874766736993E-2</v>
      </c>
      <c r="AG1646" s="38">
        <f t="shared" si="201"/>
        <v>0</v>
      </c>
      <c r="AH1646" s="38">
        <v>235.6</v>
      </c>
      <c r="AI1646" s="38">
        <v>0.185118</v>
      </c>
      <c r="AJ1646" s="38">
        <v>0</v>
      </c>
      <c r="AK1646" s="38">
        <v>0</v>
      </c>
      <c r="AL1646" s="38">
        <v>0</v>
      </c>
      <c r="AM1646" s="38">
        <v>0</v>
      </c>
      <c r="AN1646" s="12"/>
      <c r="AV1646" s="178"/>
    </row>
    <row r="1647" spans="1:88">
      <c r="A1647" s="1">
        <v>765</v>
      </c>
      <c r="B1647" s="34" t="s">
        <v>1149</v>
      </c>
      <c r="C1647" s="34">
        <v>622</v>
      </c>
      <c r="D1647" s="8">
        <v>219</v>
      </c>
      <c r="E1647" s="34">
        <v>101</v>
      </c>
      <c r="F1647" s="34" t="s">
        <v>1155</v>
      </c>
      <c r="G1647" s="58" t="s">
        <v>1156</v>
      </c>
      <c r="H1647" s="58" t="s">
        <v>1153</v>
      </c>
      <c r="I1647" s="35">
        <v>30.687000000000001</v>
      </c>
      <c r="J1647" s="9">
        <v>2</v>
      </c>
      <c r="K1647" s="34" t="s">
        <v>238</v>
      </c>
      <c r="L1647" s="10">
        <v>42151</v>
      </c>
      <c r="M1647" s="37" t="s">
        <v>191</v>
      </c>
      <c r="N1647" s="38">
        <v>15.85</v>
      </c>
      <c r="O1647" s="38">
        <v>10.1</v>
      </c>
      <c r="P1647" s="38">
        <v>3.4</v>
      </c>
      <c r="Q1647" s="38">
        <v>1.2250000000000001</v>
      </c>
      <c r="R1647" s="38">
        <v>2.7726600000000001</v>
      </c>
      <c r="S1647" s="38">
        <f t="shared" si="199"/>
        <v>3</v>
      </c>
      <c r="T1647" s="38">
        <v>26.79</v>
      </c>
      <c r="U1647" s="38">
        <v>3.45</v>
      </c>
      <c r="V1647" s="38">
        <v>0.28000000000000003</v>
      </c>
      <c r="W1647" s="38">
        <v>0.18</v>
      </c>
      <c r="X1647" s="38">
        <v>6.7703499999999996</v>
      </c>
      <c r="Y1647" s="38">
        <f t="shared" si="200"/>
        <v>7</v>
      </c>
      <c r="Z1647" s="38">
        <v>0</v>
      </c>
      <c r="AA1647" s="38">
        <v>0</v>
      </c>
      <c r="AB1647" s="38">
        <v>30.69</v>
      </c>
      <c r="AC1647" s="38">
        <v>1.2809200000000001</v>
      </c>
      <c r="AD1647" s="39">
        <v>10.26</v>
      </c>
      <c r="AE1647" s="38">
        <v>34.15</v>
      </c>
      <c r="AF1647" s="38">
        <f t="shared" si="202"/>
        <v>2.5450516505360579E-2</v>
      </c>
      <c r="AG1647" s="38">
        <f t="shared" si="201"/>
        <v>0</v>
      </c>
      <c r="AH1647" s="38">
        <v>148.34</v>
      </c>
      <c r="AI1647" s="38">
        <f>AH1647/(3.5*I1647*1000)*100</f>
        <v>0.13811339375910694</v>
      </c>
      <c r="AJ1647" s="38">
        <v>22.17</v>
      </c>
      <c r="AK1647" s="38">
        <f>AJ1647/(3.5*I1647*1000)*100</f>
        <v>2.0641593229333968E-2</v>
      </c>
      <c r="AL1647" s="38">
        <v>0</v>
      </c>
      <c r="AM1647" s="38">
        <f>AL1647/(3.5*I1647*1000)*100</f>
        <v>0</v>
      </c>
      <c r="AN1647" s="25"/>
      <c r="AO1647" s="25">
        <f>AE1647*0.5</f>
        <v>17.074999999999999</v>
      </c>
      <c r="AP1647" s="25">
        <f>(AD1647+AH1647+AJ1647+AL1647+AO1647)*I1647</f>
        <v>6071.269514999999</v>
      </c>
      <c r="AQ1647" s="25">
        <f>SUM(N1647:Q1647)</f>
        <v>30.574999999999999</v>
      </c>
      <c r="AR1647" s="25">
        <f>SUM(T1647:W1647)</f>
        <v>30.7</v>
      </c>
      <c r="AS1647" s="268">
        <v>30.687000000000001</v>
      </c>
      <c r="AT1647" s="41"/>
      <c r="AU1647" s="41">
        <f>SUM(N1647:Q1647)</f>
        <v>30.574999999999999</v>
      </c>
      <c r="AV1647" s="49">
        <f>SUM(T1647:W1647)</f>
        <v>30.7</v>
      </c>
      <c r="AW1647" s="41">
        <f>SUM(Z1647:AB1647)</f>
        <v>30.69</v>
      </c>
      <c r="AX1647" s="22"/>
      <c r="AY1647" s="22">
        <f>I1647/AU1647</f>
        <v>1.0036631234668847</v>
      </c>
      <c r="AZ1647" s="22">
        <f>I1647/AV1647</f>
        <v>0.99957654723127043</v>
      </c>
      <c r="BA1647" s="22">
        <f>I1647/AW1647</f>
        <v>0.99990224828934504</v>
      </c>
      <c r="BB1647" s="22"/>
      <c r="BC1647" s="22"/>
      <c r="BD1647" s="22"/>
      <c r="BE1647" s="22"/>
      <c r="BF1647" s="22"/>
      <c r="BG1647" s="22"/>
      <c r="BH1647" s="22"/>
      <c r="BI1647" s="22"/>
      <c r="BJ1647" s="22"/>
      <c r="BK1647" s="22"/>
      <c r="BL1647" s="22"/>
      <c r="BM1647" s="22"/>
      <c r="BN1647" s="22"/>
      <c r="BO1647" s="22"/>
      <c r="BP1647" s="22"/>
      <c r="BQ1647" s="22"/>
      <c r="BR1647" s="22"/>
      <c r="BS1647" s="22"/>
      <c r="BT1647" s="22"/>
      <c r="BU1647" s="22"/>
      <c r="BV1647" s="22"/>
      <c r="BW1647" s="22"/>
      <c r="BX1647" s="22"/>
      <c r="BY1647" s="22"/>
      <c r="BZ1647" s="22"/>
      <c r="CA1647" s="22"/>
      <c r="CB1647" s="22"/>
      <c r="CC1647" s="22"/>
      <c r="CD1647" s="22"/>
      <c r="CE1647" s="22"/>
      <c r="CF1647" s="22"/>
      <c r="CG1647" s="22"/>
      <c r="CH1647" s="22"/>
      <c r="CI1647" s="22"/>
      <c r="CJ1647" s="22"/>
    </row>
    <row r="1648" spans="1:88">
      <c r="A1648" s="1">
        <v>149</v>
      </c>
      <c r="B1648" s="34" t="s">
        <v>294</v>
      </c>
      <c r="C1648" s="34">
        <v>531</v>
      </c>
      <c r="D1648" s="34">
        <v>1101</v>
      </c>
      <c r="E1648" s="34">
        <v>100</v>
      </c>
      <c r="F1648" s="34" t="s">
        <v>315</v>
      </c>
      <c r="G1648" s="20" t="s">
        <v>92</v>
      </c>
      <c r="H1648" s="20" t="s">
        <v>316</v>
      </c>
      <c r="I1648" s="35">
        <v>9.7889999999999997</v>
      </c>
      <c r="J1648" s="36">
        <v>2</v>
      </c>
      <c r="K1648" s="34" t="s">
        <v>238</v>
      </c>
      <c r="L1648" s="18">
        <v>42222</v>
      </c>
      <c r="M1648" s="37" t="s">
        <v>191</v>
      </c>
      <c r="N1648" s="38">
        <v>6.89</v>
      </c>
      <c r="O1648" s="38">
        <v>1.73</v>
      </c>
      <c r="P1648" s="38">
        <v>0.68</v>
      </c>
      <c r="Q1648" s="38">
        <v>0.5</v>
      </c>
      <c r="R1648" s="38">
        <v>2.3860000000000001</v>
      </c>
      <c r="S1648" s="38">
        <f t="shared" si="199"/>
        <v>2.5</v>
      </c>
      <c r="T1648" s="38">
        <v>3.25</v>
      </c>
      <c r="U1648" s="38">
        <v>0.8</v>
      </c>
      <c r="V1648" s="38">
        <v>1.4</v>
      </c>
      <c r="W1648" s="38">
        <v>4.34</v>
      </c>
      <c r="X1648" s="38">
        <v>16.888999999999999</v>
      </c>
      <c r="Y1648" s="38">
        <f t="shared" si="200"/>
        <v>17</v>
      </c>
      <c r="Z1648" s="38">
        <v>0</v>
      </c>
      <c r="AA1648" s="38">
        <v>0</v>
      </c>
      <c r="AB1648" s="38">
        <v>9.7899999999999991</v>
      </c>
      <c r="AC1648" s="38">
        <v>1.091</v>
      </c>
      <c r="AD1648" s="39">
        <v>0</v>
      </c>
      <c r="AE1648" s="38">
        <v>17.32</v>
      </c>
      <c r="AF1648" s="38">
        <f t="shared" si="202"/>
        <v>2.5276184638734437E-2</v>
      </c>
      <c r="AG1648" s="38">
        <f t="shared" si="201"/>
        <v>0</v>
      </c>
      <c r="AH1648" s="38">
        <v>0</v>
      </c>
      <c r="AI1648" s="38">
        <f>AH1648/(3.5*I1648*1000)*100</f>
        <v>0</v>
      </c>
      <c r="AJ1648" s="38">
        <v>0</v>
      </c>
      <c r="AK1648" s="38">
        <f>AJ1648/(3.5*I1648*1000)*100</f>
        <v>0</v>
      </c>
      <c r="AL1648" s="38">
        <v>0</v>
      </c>
      <c r="AM1648" s="38">
        <f>AL1648/(3.5*I1648*1000)*100</f>
        <v>0</v>
      </c>
      <c r="AN1648" s="40"/>
      <c r="AO1648" s="40">
        <f>AE1648*0.5</f>
        <v>8.66</v>
      </c>
      <c r="AP1648" s="40">
        <f>(AD1648+AH1648+AJ1648+AL1648+AO1648)*I1648</f>
        <v>84.772739999999999</v>
      </c>
      <c r="AQ1648" s="25">
        <f>SUM(N1648:Q1648)</f>
        <v>9.7999999999999989</v>
      </c>
      <c r="AR1648" s="25">
        <f>SUM(T1648:W1648)</f>
        <v>9.7899999999999991</v>
      </c>
      <c r="AS1648" s="22"/>
      <c r="AT1648" s="41"/>
      <c r="AU1648" s="41">
        <f>SUM(N1648:Q1648)</f>
        <v>9.7999999999999989</v>
      </c>
      <c r="AV1648" s="49">
        <f>SUM(T1648:W1648)</f>
        <v>9.7899999999999991</v>
      </c>
      <c r="AW1648" s="41">
        <f>SUM(Z1648:AB1648)</f>
        <v>9.7899999999999991</v>
      </c>
      <c r="AX1648" s="22"/>
      <c r="AY1648" s="22">
        <f>I1648/AU1648</f>
        <v>0.99887755102040821</v>
      </c>
      <c r="AZ1648" s="22">
        <f>I1648/AV1648</f>
        <v>0.99989785495403483</v>
      </c>
      <c r="BA1648" s="22">
        <f>I1648/AW1648</f>
        <v>0.99989785495403483</v>
      </c>
      <c r="BB1648" s="22"/>
      <c r="BC1648" s="22"/>
      <c r="BD1648" s="22"/>
      <c r="BE1648" s="22"/>
      <c r="BF1648" s="22"/>
      <c r="BG1648" s="22"/>
      <c r="BH1648" s="22"/>
      <c r="BI1648" s="22"/>
      <c r="BJ1648" s="22"/>
      <c r="BK1648" s="22"/>
      <c r="BL1648" s="22"/>
      <c r="BM1648" s="22"/>
      <c r="BN1648" s="22"/>
      <c r="BO1648" s="22"/>
      <c r="BP1648" s="22"/>
      <c r="BQ1648" s="22"/>
      <c r="BR1648" s="22"/>
      <c r="BS1648" s="22"/>
      <c r="BT1648" s="22"/>
      <c r="BU1648" s="22"/>
      <c r="BV1648" s="22"/>
      <c r="BW1648" s="22"/>
      <c r="BX1648" s="22"/>
      <c r="BY1648" s="22"/>
      <c r="BZ1648" s="22"/>
      <c r="CA1648" s="22"/>
      <c r="CB1648" s="22"/>
      <c r="CC1648" s="22"/>
      <c r="CD1648" s="22"/>
      <c r="CE1648" s="22"/>
      <c r="CF1648" s="22"/>
      <c r="CG1648" s="22"/>
      <c r="CH1648" s="22"/>
      <c r="CI1648" s="22"/>
      <c r="CJ1648" s="22"/>
    </row>
    <row r="1649" spans="1:88">
      <c r="A1649" s="1">
        <v>1210</v>
      </c>
      <c r="B1649" s="34" t="s">
        <v>1674</v>
      </c>
      <c r="C1649" s="34">
        <v>435</v>
      </c>
      <c r="D1649" s="34">
        <v>2260</v>
      </c>
      <c r="E1649" s="34">
        <v>100</v>
      </c>
      <c r="F1649" s="34" t="s">
        <v>1701</v>
      </c>
      <c r="G1649" s="34" t="s">
        <v>92</v>
      </c>
      <c r="H1649" s="34" t="s">
        <v>1702</v>
      </c>
      <c r="I1649" s="55">
        <v>36.798000000000002</v>
      </c>
      <c r="J1649" s="34">
        <v>2</v>
      </c>
      <c r="K1649" s="181" t="s">
        <v>238</v>
      </c>
      <c r="L1649" s="10">
        <v>42282</v>
      </c>
      <c r="M1649" s="37" t="s">
        <v>191</v>
      </c>
      <c r="N1649" s="38">
        <v>24.425000000000001</v>
      </c>
      <c r="O1649" s="38">
        <v>7.9</v>
      </c>
      <c r="P1649" s="38">
        <v>2.65</v>
      </c>
      <c r="Q1649" s="38">
        <v>1.5</v>
      </c>
      <c r="R1649" s="38">
        <v>2.4762900000000001</v>
      </c>
      <c r="S1649" s="38">
        <f t="shared" si="199"/>
        <v>2.5</v>
      </c>
      <c r="T1649" s="38">
        <v>35.6</v>
      </c>
      <c r="U1649" s="38">
        <v>0.75</v>
      </c>
      <c r="V1649" s="38">
        <v>0.125</v>
      </c>
      <c r="W1649" s="38">
        <v>0</v>
      </c>
      <c r="X1649" s="38">
        <v>3.1885599999999998</v>
      </c>
      <c r="Y1649" s="38">
        <f t="shared" si="200"/>
        <v>3</v>
      </c>
      <c r="Z1649" s="38">
        <v>0</v>
      </c>
      <c r="AA1649" s="38">
        <v>0</v>
      </c>
      <c r="AB1649" s="55">
        <v>36.798000000000002</v>
      </c>
      <c r="AC1649" s="38">
        <v>1.31212</v>
      </c>
      <c r="AD1649" s="39">
        <v>26.35</v>
      </c>
      <c r="AE1649" s="38">
        <v>12.36</v>
      </c>
      <c r="AF1649" s="38">
        <f t="shared" si="202"/>
        <v>2.5257583874900031E-2</v>
      </c>
      <c r="AG1649" s="38">
        <f t="shared" si="201"/>
        <v>0</v>
      </c>
      <c r="AH1649" s="38">
        <v>18.995999999999999</v>
      </c>
      <c r="AI1649" s="38">
        <v>1.4749E-2</v>
      </c>
      <c r="AJ1649" s="38">
        <v>0</v>
      </c>
      <c r="AK1649" s="38">
        <v>0</v>
      </c>
      <c r="AL1649" s="38">
        <v>0</v>
      </c>
      <c r="AM1649" s="38">
        <v>0</v>
      </c>
      <c r="AN1649" s="12"/>
      <c r="AV1649" s="178"/>
    </row>
    <row r="1650" spans="1:88">
      <c r="A1650" s="1">
        <v>995</v>
      </c>
      <c r="B1650" s="34" t="s">
        <v>1380</v>
      </c>
      <c r="C1650" s="34">
        <v>614</v>
      </c>
      <c r="D1650" s="8">
        <v>2421</v>
      </c>
      <c r="E1650" s="34">
        <v>102</v>
      </c>
      <c r="F1650" s="34" t="s">
        <v>1393</v>
      </c>
      <c r="G1650" s="58">
        <v>28250</v>
      </c>
      <c r="H1650" s="58">
        <v>49239</v>
      </c>
      <c r="I1650" s="35">
        <v>20.989000000000001</v>
      </c>
      <c r="J1650" s="9">
        <v>2</v>
      </c>
      <c r="K1650" s="34" t="s">
        <v>238</v>
      </c>
      <c r="L1650" s="10">
        <v>42125</v>
      </c>
      <c r="M1650" s="37" t="s">
        <v>191</v>
      </c>
      <c r="N1650" s="38">
        <v>15.2</v>
      </c>
      <c r="O1650" s="38">
        <v>4.0250000000000004</v>
      </c>
      <c r="P1650" s="38">
        <v>1.325</v>
      </c>
      <c r="Q1650" s="38">
        <v>0.42499999999999999</v>
      </c>
      <c r="R1650" s="38">
        <v>2.22472</v>
      </c>
      <c r="S1650" s="38">
        <f t="shared" si="199"/>
        <v>2</v>
      </c>
      <c r="T1650" s="38">
        <v>20</v>
      </c>
      <c r="U1650" s="38">
        <v>0.625</v>
      </c>
      <c r="V1650" s="38">
        <v>0.32500000000000001</v>
      </c>
      <c r="W1650" s="38">
        <v>2.5000000000000001E-2</v>
      </c>
      <c r="X1650" s="38">
        <v>2.8984299999999998</v>
      </c>
      <c r="Y1650" s="38">
        <f t="shared" si="200"/>
        <v>3</v>
      </c>
      <c r="Z1650" s="38">
        <v>0</v>
      </c>
      <c r="AA1650" s="38">
        <v>0</v>
      </c>
      <c r="AB1650" s="38">
        <f>SUM(N1650:Q1650)</f>
        <v>20.975000000000001</v>
      </c>
      <c r="AC1650" s="38">
        <v>1.3329599999999999</v>
      </c>
      <c r="AD1650" s="39">
        <v>18.47</v>
      </c>
      <c r="AE1650" s="38">
        <v>0</v>
      </c>
      <c r="AF1650" s="11">
        <f t="shared" si="202"/>
        <v>2.5142421540534837E-2</v>
      </c>
      <c r="AG1650" s="38">
        <f t="shared" si="201"/>
        <v>0</v>
      </c>
      <c r="AH1650" s="38">
        <v>31.69</v>
      </c>
      <c r="AI1650" s="38">
        <f>AH1650/(3.5*I1650*1000)*100</f>
        <v>4.3138242480755228E-2</v>
      </c>
      <c r="AJ1650" s="38">
        <v>0</v>
      </c>
      <c r="AK1650" s="38">
        <f>AJ1650/(3.5*I1650*1000)*100</f>
        <v>0</v>
      </c>
      <c r="AL1650" s="38">
        <v>0</v>
      </c>
      <c r="AM1650" s="38">
        <f>AL1650/(3.5*I1650*1000)*100</f>
        <v>0</v>
      </c>
      <c r="AN1650" s="25"/>
      <c r="AO1650" s="25">
        <f>(AD1650+AH1650+AJ1650+AL1650)*I1650</f>
        <v>1052.8082400000001</v>
      </c>
      <c r="AP1650" s="25"/>
      <c r="AQ1650" s="25">
        <f>SUM(N1650:Q1650)</f>
        <v>20.975000000000001</v>
      </c>
      <c r="AR1650" s="25">
        <f>SUM(T1650:W1650)</f>
        <v>20.974999999999998</v>
      </c>
      <c r="AS1650" s="268">
        <v>20.989000000000001</v>
      </c>
      <c r="AT1650" s="41"/>
      <c r="AU1650" s="41"/>
      <c r="AV1650" s="49"/>
    </row>
    <row r="1651" spans="1:88">
      <c r="A1651" s="1">
        <v>1789</v>
      </c>
      <c r="B1651" s="34" t="s">
        <v>2382</v>
      </c>
      <c r="C1651" s="34">
        <v>428</v>
      </c>
      <c r="D1651" s="8">
        <v>361</v>
      </c>
      <c r="E1651" s="34">
        <v>200</v>
      </c>
      <c r="F1651" s="34" t="s">
        <v>2312</v>
      </c>
      <c r="G1651" s="58" t="s">
        <v>2390</v>
      </c>
      <c r="H1651" s="58" t="s">
        <v>1923</v>
      </c>
      <c r="I1651" s="35">
        <v>5.2160000000000002</v>
      </c>
      <c r="J1651" s="9">
        <v>6</v>
      </c>
      <c r="K1651" s="34" t="s">
        <v>96</v>
      </c>
      <c r="L1651" s="10">
        <v>42230</v>
      </c>
      <c r="M1651" s="37" t="s">
        <v>191</v>
      </c>
      <c r="N1651" s="38">
        <v>2.5</v>
      </c>
      <c r="O1651" s="38">
        <v>1.95</v>
      </c>
      <c r="P1651" s="38">
        <v>0.625</v>
      </c>
      <c r="Q1651" s="38">
        <v>0.25</v>
      </c>
      <c r="R1651" s="38">
        <v>2.8747500000000001</v>
      </c>
      <c r="S1651" s="38">
        <f t="shared" si="199"/>
        <v>3</v>
      </c>
      <c r="T1651" s="38">
        <v>4.7</v>
      </c>
      <c r="U1651" s="38">
        <v>0.625</v>
      </c>
      <c r="V1651" s="38">
        <v>0</v>
      </c>
      <c r="W1651" s="38">
        <v>0</v>
      </c>
      <c r="X1651" s="38">
        <v>6.5503099999999996</v>
      </c>
      <c r="Y1651" s="38">
        <f t="shared" si="200"/>
        <v>6.5</v>
      </c>
      <c r="Z1651" s="38">
        <v>0</v>
      </c>
      <c r="AA1651" s="38">
        <v>0</v>
      </c>
      <c r="AB1651" s="38">
        <f>SUM(N1651:Q1651)</f>
        <v>5.3250000000000002</v>
      </c>
      <c r="AC1651" s="38">
        <v>1.40863</v>
      </c>
      <c r="AD1651" s="39">
        <v>0</v>
      </c>
      <c r="AE1651" s="38">
        <v>9.16</v>
      </c>
      <c r="AF1651" s="38">
        <f t="shared" si="202"/>
        <v>2.5087642418930762E-2</v>
      </c>
      <c r="AG1651" s="38">
        <f t="shared" si="201"/>
        <v>0</v>
      </c>
      <c r="AH1651" s="38">
        <v>0</v>
      </c>
      <c r="AI1651" s="38">
        <f>AH1651/(3.5*I1651*1000)*100</f>
        <v>0</v>
      </c>
      <c r="AJ1651" s="38">
        <v>0</v>
      </c>
      <c r="AK1651" s="38">
        <f>AJ1651/(3.5*I1651*1000)*100</f>
        <v>0</v>
      </c>
      <c r="AL1651" s="38">
        <v>0</v>
      </c>
      <c r="AM1651" s="38">
        <f>AL1651/(3.5*I1651*1000)*100</f>
        <v>0</v>
      </c>
      <c r="AN1651" s="25"/>
      <c r="AO1651" s="25">
        <f>AE1651*0.5</f>
        <v>4.58</v>
      </c>
      <c r="AP1651" s="25">
        <f>(AD1651+AH1651+AJ1651+AL1651+AO1651)*I1651</f>
        <v>23.889280000000003</v>
      </c>
      <c r="AQ1651" s="25">
        <f>SUM(N1651:Q1651)</f>
        <v>5.3250000000000002</v>
      </c>
      <c r="AR1651" s="25">
        <f>SUM(T1651:W1651)</f>
        <v>5.3250000000000002</v>
      </c>
      <c r="AS1651" s="22"/>
      <c r="AT1651" s="41"/>
      <c r="AU1651" s="41"/>
      <c r="AV1651" s="49"/>
      <c r="AW1651" s="41"/>
      <c r="AX1651" s="22"/>
      <c r="AY1651" s="22"/>
      <c r="AZ1651" s="22"/>
      <c r="BA1651" s="22"/>
      <c r="BB1651" s="22"/>
      <c r="BC1651" s="22"/>
      <c r="BD1651" s="22"/>
      <c r="BE1651" s="22"/>
      <c r="BF1651" s="22"/>
      <c r="BG1651" s="22"/>
      <c r="BH1651" s="22"/>
      <c r="BI1651" s="22"/>
      <c r="BJ1651" s="22"/>
      <c r="BK1651" s="22"/>
      <c r="BL1651" s="22"/>
      <c r="BM1651" s="22"/>
      <c r="BN1651" s="22"/>
      <c r="BO1651" s="22"/>
      <c r="BP1651" s="22"/>
      <c r="BQ1651" s="22"/>
      <c r="BR1651" s="22"/>
      <c r="BS1651" s="22"/>
      <c r="BT1651" s="22"/>
      <c r="BU1651" s="22"/>
      <c r="BV1651" s="22"/>
      <c r="BW1651" s="22"/>
      <c r="BX1651" s="22"/>
      <c r="BY1651" s="22"/>
      <c r="BZ1651" s="22"/>
      <c r="CA1651" s="22"/>
      <c r="CB1651" s="22"/>
      <c r="CC1651" s="22"/>
      <c r="CD1651" s="22"/>
      <c r="CE1651" s="22"/>
      <c r="CF1651" s="22"/>
      <c r="CG1651" s="22"/>
      <c r="CH1651" s="22"/>
      <c r="CI1651" s="22"/>
      <c r="CJ1651" s="22"/>
    </row>
    <row r="1652" spans="1:88">
      <c r="A1652" s="1">
        <v>411</v>
      </c>
      <c r="B1652" s="74" t="s">
        <v>655</v>
      </c>
      <c r="C1652" s="34">
        <v>511</v>
      </c>
      <c r="D1652" s="75">
        <v>1293</v>
      </c>
      <c r="E1652" s="69">
        <v>200</v>
      </c>
      <c r="F1652" s="34" t="s">
        <v>689</v>
      </c>
      <c r="G1652" s="20" t="s">
        <v>690</v>
      </c>
      <c r="H1652" s="20" t="s">
        <v>691</v>
      </c>
      <c r="I1652" s="21">
        <v>32.061999999999998</v>
      </c>
      <c r="J1652" s="8" t="s">
        <v>238</v>
      </c>
      <c r="K1652" s="34">
        <v>2</v>
      </c>
      <c r="L1652" s="18">
        <v>42265</v>
      </c>
      <c r="M1652" s="37" t="s">
        <v>191</v>
      </c>
      <c r="N1652" s="38">
        <v>17.260000000000002</v>
      </c>
      <c r="O1652" s="38">
        <v>8.86</v>
      </c>
      <c r="P1652" s="38">
        <v>4.09</v>
      </c>
      <c r="Q1652" s="38">
        <v>1.86</v>
      </c>
      <c r="R1652" s="38">
        <v>2.72255</v>
      </c>
      <c r="S1652" s="38">
        <f t="shared" si="199"/>
        <v>2.5</v>
      </c>
      <c r="T1652" s="38">
        <v>29.88</v>
      </c>
      <c r="U1652" s="38">
        <v>1.56</v>
      </c>
      <c r="V1652" s="38">
        <v>0.43</v>
      </c>
      <c r="W1652" s="38">
        <v>0.2</v>
      </c>
      <c r="X1652" s="38">
        <v>3.8296000000000001</v>
      </c>
      <c r="Y1652" s="38">
        <f t="shared" si="200"/>
        <v>4</v>
      </c>
      <c r="Z1652" s="38">
        <v>0</v>
      </c>
      <c r="AA1652" s="38">
        <v>0</v>
      </c>
      <c r="AB1652" s="38">
        <v>32.06</v>
      </c>
      <c r="AC1652" s="38">
        <v>1.0657399999999999</v>
      </c>
      <c r="AD1652" s="39">
        <v>26.96</v>
      </c>
      <c r="AE1652" s="38">
        <v>2.35</v>
      </c>
      <c r="AF1652" s="38">
        <v>2.5072000000000001E-2</v>
      </c>
      <c r="AG1652" s="38">
        <f t="shared" si="201"/>
        <v>0</v>
      </c>
      <c r="AH1652" s="38">
        <v>75.686999999999998</v>
      </c>
      <c r="AI1652" s="38">
        <v>6.7446999999999993E-2</v>
      </c>
      <c r="AJ1652" s="38">
        <v>0</v>
      </c>
      <c r="AK1652" s="38">
        <v>0</v>
      </c>
      <c r="AL1652" s="38">
        <v>0</v>
      </c>
      <c r="AM1652" s="38">
        <v>0</v>
      </c>
      <c r="AN1652" s="72"/>
      <c r="AO1652" s="41"/>
      <c r="AP1652" s="41"/>
      <c r="AQ1652" s="41">
        <f>SUM(N1652:Q1652)</f>
        <v>32.07</v>
      </c>
      <c r="AR1652" s="41">
        <f>SUM(T1652:W1652)</f>
        <v>32.07</v>
      </c>
      <c r="AS1652" s="41">
        <f>SUM(Z1652:AB1652)</f>
        <v>32.06</v>
      </c>
      <c r="AT1652" s="22"/>
      <c r="AU1652" s="22">
        <f>I1652/AQ1652</f>
        <v>0.99975054568132204</v>
      </c>
      <c r="AV1652" s="48">
        <f>I1652/AR1652</f>
        <v>0.99975054568132204</v>
      </c>
      <c r="AW1652" s="22">
        <f>I1652/AS1652</f>
        <v>1.0000623830318152</v>
      </c>
      <c r="AX1652" s="22"/>
      <c r="AY1652" s="22"/>
      <c r="AZ1652" s="22"/>
      <c r="BA1652" s="22"/>
      <c r="BB1652" s="22"/>
      <c r="BC1652" s="22"/>
      <c r="BD1652" s="22"/>
      <c r="BE1652" s="22"/>
      <c r="BF1652" s="22"/>
      <c r="BG1652" s="22"/>
      <c r="BH1652" s="22"/>
      <c r="BI1652" s="22"/>
      <c r="BJ1652" s="22"/>
      <c r="BK1652" s="22"/>
      <c r="BL1652" s="22"/>
      <c r="BM1652" s="22"/>
      <c r="BN1652" s="22"/>
      <c r="BO1652" s="22"/>
      <c r="BP1652" s="22"/>
      <c r="BQ1652" s="22"/>
      <c r="BR1652" s="22"/>
      <c r="BS1652" s="22"/>
      <c r="BT1652" s="22"/>
      <c r="BU1652" s="22"/>
      <c r="BV1652" s="22"/>
      <c r="BW1652" s="22"/>
      <c r="BX1652" s="22"/>
      <c r="BY1652" s="22"/>
      <c r="BZ1652" s="22"/>
      <c r="CA1652" s="22"/>
      <c r="CB1652" s="22"/>
      <c r="CC1652" s="22"/>
      <c r="CD1652" s="22"/>
      <c r="CE1652" s="22"/>
      <c r="CF1652" s="22"/>
      <c r="CG1652" s="22"/>
      <c r="CH1652" s="22"/>
      <c r="CI1652" s="22"/>
      <c r="CJ1652" s="22"/>
    </row>
    <row r="1653" spans="1:88">
      <c r="A1653" s="1">
        <v>57</v>
      </c>
      <c r="B1653" s="4" t="s">
        <v>37</v>
      </c>
      <c r="C1653" s="14">
        <v>523</v>
      </c>
      <c r="D1653" s="19">
        <v>1348</v>
      </c>
      <c r="E1653" s="16">
        <v>100</v>
      </c>
      <c r="F1653" s="14" t="s">
        <v>124</v>
      </c>
      <c r="G1653" s="20" t="s">
        <v>92</v>
      </c>
      <c r="H1653" s="20" t="s">
        <v>111</v>
      </c>
      <c r="I1653" s="8">
        <v>17.213000000000001</v>
      </c>
      <c r="J1653" s="8">
        <v>4</v>
      </c>
      <c r="K1653" s="9" t="s">
        <v>238</v>
      </c>
      <c r="L1653" s="18">
        <v>42222</v>
      </c>
      <c r="M1653" s="37" t="s">
        <v>191</v>
      </c>
      <c r="N1653" s="26">
        <v>12.324999999999999</v>
      </c>
      <c r="O1653" s="26">
        <v>2.85</v>
      </c>
      <c r="P1653" s="26">
        <v>1.45</v>
      </c>
      <c r="Q1653" s="26">
        <v>0.625</v>
      </c>
      <c r="R1653" s="26">
        <v>2.3765399999999999</v>
      </c>
      <c r="S1653" s="38">
        <f t="shared" si="199"/>
        <v>2.5</v>
      </c>
      <c r="T1653" s="26">
        <v>16.875</v>
      </c>
      <c r="U1653" s="26">
        <v>0.3</v>
      </c>
      <c r="V1653" s="26">
        <v>7.4999999999999997E-2</v>
      </c>
      <c r="W1653" s="26">
        <v>0</v>
      </c>
      <c r="X1653" s="26">
        <v>4.3838600000000003</v>
      </c>
      <c r="Y1653" s="38">
        <f t="shared" si="200"/>
        <v>4.5</v>
      </c>
      <c r="Z1653" s="26">
        <v>0</v>
      </c>
      <c r="AA1653" s="26">
        <v>0</v>
      </c>
      <c r="AB1653" s="26">
        <f>SUM(N1653:Q1653)</f>
        <v>17.25</v>
      </c>
      <c r="AC1653" s="26">
        <v>1.25369</v>
      </c>
      <c r="AD1653" s="258">
        <v>0.79</v>
      </c>
      <c r="AE1653" s="26">
        <v>27.94</v>
      </c>
      <c r="AF1653" s="26">
        <f>(AD1653+AE1653*0.5)/(3.5*I1653*1000)*100</f>
        <v>2.4499755168435819E-2</v>
      </c>
      <c r="AG1653" s="38">
        <f t="shared" si="201"/>
        <v>0</v>
      </c>
      <c r="AH1653" s="26">
        <v>1.82</v>
      </c>
      <c r="AI1653" s="26">
        <f>AH1653/(3.5*I1653*1000)*100</f>
        <v>3.0209725207691858E-3</v>
      </c>
      <c r="AJ1653" s="26">
        <v>9</v>
      </c>
      <c r="AK1653" s="26">
        <f>AJ1653/(3.5*I1653*1000)*100</f>
        <v>1.4938875102704766E-2</v>
      </c>
      <c r="AL1653" s="26">
        <v>0</v>
      </c>
      <c r="AM1653" s="26">
        <f t="shared" ref="AM1653:AM1661" si="203">AL1653/(3.5*I1653*1000)*100</f>
        <v>0</v>
      </c>
      <c r="AN1653" s="22"/>
      <c r="AO1653" s="25"/>
      <c r="AP1653" s="25"/>
      <c r="AQ1653" s="22"/>
      <c r="AR1653" s="22"/>
      <c r="AS1653" s="22"/>
      <c r="AT1653" s="22"/>
      <c r="AU1653" s="22"/>
      <c r="AV1653" s="48"/>
      <c r="AW1653" s="22"/>
      <c r="AX1653" s="22"/>
      <c r="AY1653" s="22"/>
      <c r="AZ1653" s="22"/>
      <c r="BA1653" s="22"/>
      <c r="BB1653" s="22"/>
      <c r="BC1653" s="22"/>
      <c r="BD1653" s="22"/>
      <c r="BE1653" s="22"/>
      <c r="BF1653" s="22"/>
      <c r="BG1653" s="22"/>
      <c r="BH1653" s="22"/>
      <c r="BI1653" s="22"/>
      <c r="BJ1653" s="22"/>
      <c r="BK1653" s="22"/>
      <c r="BL1653" s="22"/>
      <c r="BM1653" s="22"/>
      <c r="BN1653" s="22"/>
      <c r="BO1653" s="22"/>
      <c r="BP1653" s="22"/>
      <c r="BQ1653" s="22"/>
      <c r="BR1653" s="22"/>
      <c r="BS1653" s="22"/>
      <c r="BT1653" s="22"/>
      <c r="BU1653" s="22"/>
      <c r="BV1653" s="22"/>
      <c r="BW1653" s="22"/>
      <c r="BX1653" s="22"/>
      <c r="BY1653" s="22"/>
      <c r="BZ1653" s="22"/>
      <c r="CA1653" s="22"/>
      <c r="CB1653" s="22"/>
      <c r="CC1653" s="22"/>
      <c r="CD1653" s="22"/>
      <c r="CE1653" s="22"/>
      <c r="CF1653" s="22"/>
      <c r="CG1653" s="22"/>
      <c r="CH1653" s="22"/>
      <c r="CI1653" s="22"/>
      <c r="CJ1653" s="22"/>
    </row>
    <row r="1654" spans="1:88">
      <c r="A1654" s="1">
        <v>2097</v>
      </c>
      <c r="B1654" s="34" t="s">
        <v>2732</v>
      </c>
      <c r="C1654" s="34">
        <v>323</v>
      </c>
      <c r="D1654" s="75">
        <v>4204</v>
      </c>
      <c r="E1654" s="8">
        <v>100</v>
      </c>
      <c r="F1654" s="9" t="s">
        <v>2746</v>
      </c>
      <c r="G1654" s="20">
        <v>0</v>
      </c>
      <c r="H1654" s="20">
        <v>8180</v>
      </c>
      <c r="I1654" s="21">
        <v>8.18</v>
      </c>
      <c r="J1654" s="9">
        <v>2</v>
      </c>
      <c r="K1654" s="34" t="s">
        <v>238</v>
      </c>
      <c r="L1654" s="18">
        <v>42132</v>
      </c>
      <c r="M1654" s="37" t="s">
        <v>191</v>
      </c>
      <c r="N1654" s="38">
        <v>6.52</v>
      </c>
      <c r="O1654" s="38">
        <v>1.18</v>
      </c>
      <c r="P1654" s="38">
        <v>0.43</v>
      </c>
      <c r="Q1654" s="38">
        <v>0.05</v>
      </c>
      <c r="R1654" s="38">
        <v>2.0257100000000001</v>
      </c>
      <c r="S1654" s="38">
        <f t="shared" si="199"/>
        <v>2</v>
      </c>
      <c r="T1654" s="38">
        <v>8.0500000000000007</v>
      </c>
      <c r="U1654" s="38">
        <v>0.08</v>
      </c>
      <c r="V1654" s="38">
        <v>0.05</v>
      </c>
      <c r="W1654" s="38">
        <v>0</v>
      </c>
      <c r="X1654" s="38">
        <v>2.6213299999999999</v>
      </c>
      <c r="Y1654" s="38">
        <f t="shared" si="200"/>
        <v>2.5</v>
      </c>
      <c r="Z1654" s="38">
        <v>0</v>
      </c>
      <c r="AA1654" s="38">
        <v>0</v>
      </c>
      <c r="AB1654" s="38">
        <v>8.18</v>
      </c>
      <c r="AC1654" s="38">
        <v>1.20787</v>
      </c>
      <c r="AD1654" s="39">
        <v>7</v>
      </c>
      <c r="AE1654" s="38">
        <v>0</v>
      </c>
      <c r="AF1654" s="38">
        <f>(AD1654+AE1654*0.5)/(3.5*I1654*1000)*100</f>
        <v>2.4449877750611245E-2</v>
      </c>
      <c r="AG1654" s="38">
        <f t="shared" si="201"/>
        <v>0</v>
      </c>
      <c r="AH1654" s="38">
        <v>0</v>
      </c>
      <c r="AI1654" s="38">
        <f>AH1654/(3.5*I1654*1000)*100</f>
        <v>0</v>
      </c>
      <c r="AJ1654" s="38">
        <v>20</v>
      </c>
      <c r="AK1654" s="38">
        <v>6.9856793573174994E-2</v>
      </c>
      <c r="AL1654" s="38">
        <v>0</v>
      </c>
      <c r="AM1654" s="38">
        <f t="shared" si="203"/>
        <v>0</v>
      </c>
      <c r="AN1654" s="25"/>
      <c r="AO1654" s="25"/>
      <c r="AP1654" s="22"/>
      <c r="AQ1654" s="41">
        <f>SUM(N1654:Q1654)</f>
        <v>8.18</v>
      </c>
      <c r="AR1654" s="41">
        <f>SUM(T1654:W1654)</f>
        <v>8.1800000000000015</v>
      </c>
      <c r="AS1654" s="12">
        <f>SUM(Z1654:AB1654)</f>
        <v>8.18</v>
      </c>
      <c r="AU1654" s="1">
        <f>I1654/AQ1654</f>
        <v>1</v>
      </c>
      <c r="AV1654" s="178">
        <f>I1654/AR1654</f>
        <v>0.99999999999999978</v>
      </c>
      <c r="AW1654" s="1">
        <f>I1654/AS1654</f>
        <v>1</v>
      </c>
      <c r="AX1654" s="22"/>
      <c r="AY1654" s="22"/>
      <c r="AZ1654" s="22"/>
      <c r="BA1654" s="22"/>
      <c r="BB1654" s="22"/>
      <c r="BC1654" s="22"/>
      <c r="BD1654" s="22"/>
      <c r="BE1654" s="22"/>
      <c r="BF1654" s="22"/>
      <c r="BG1654" s="22"/>
      <c r="BH1654" s="22"/>
      <c r="BI1654" s="22"/>
      <c r="BJ1654" s="22"/>
      <c r="BK1654" s="22"/>
      <c r="BL1654" s="22"/>
      <c r="BM1654" s="22"/>
      <c r="BN1654" s="22"/>
      <c r="BO1654" s="22"/>
      <c r="BP1654" s="22"/>
      <c r="BQ1654" s="22"/>
      <c r="BR1654" s="22"/>
      <c r="BS1654" s="22"/>
      <c r="BT1654" s="22"/>
      <c r="BU1654" s="22"/>
      <c r="BV1654" s="22"/>
      <c r="BW1654" s="22"/>
      <c r="BX1654" s="22"/>
      <c r="BY1654" s="22"/>
      <c r="BZ1654" s="22"/>
      <c r="CA1654" s="22"/>
      <c r="CB1654" s="22"/>
      <c r="CC1654" s="22"/>
      <c r="CD1654" s="22"/>
      <c r="CE1654" s="22"/>
      <c r="CF1654" s="22"/>
      <c r="CG1654" s="22"/>
      <c r="CH1654" s="22"/>
      <c r="CI1654" s="22"/>
      <c r="CJ1654" s="22"/>
    </row>
    <row r="1655" spans="1:88">
      <c r="A1655" s="1">
        <v>52</v>
      </c>
      <c r="B1655" s="4" t="s">
        <v>37</v>
      </c>
      <c r="C1655" s="14">
        <v>523</v>
      </c>
      <c r="D1655" s="19">
        <v>1102</v>
      </c>
      <c r="E1655" s="16">
        <v>100</v>
      </c>
      <c r="F1655" s="14" t="s">
        <v>120</v>
      </c>
      <c r="G1655" s="20" t="s">
        <v>92</v>
      </c>
      <c r="H1655" s="20" t="s">
        <v>105</v>
      </c>
      <c r="I1655" s="8">
        <v>27.221</v>
      </c>
      <c r="J1655" s="8">
        <v>2</v>
      </c>
      <c r="K1655" s="9" t="s">
        <v>238</v>
      </c>
      <c r="L1655" s="18">
        <v>42221</v>
      </c>
      <c r="M1655" s="37" t="s">
        <v>191</v>
      </c>
      <c r="N1655" s="26">
        <v>9.4250000000000007</v>
      </c>
      <c r="O1655" s="26">
        <v>7.1749999999999998</v>
      </c>
      <c r="P1655" s="26">
        <v>5</v>
      </c>
      <c r="Q1655" s="26">
        <v>5.7249999999999996</v>
      </c>
      <c r="R1655" s="26">
        <v>3.5996199999999998</v>
      </c>
      <c r="S1655" s="38">
        <f t="shared" si="199"/>
        <v>3.5</v>
      </c>
      <c r="T1655" s="26">
        <v>25.5</v>
      </c>
      <c r="U1655" s="26">
        <v>1.3</v>
      </c>
      <c r="V1655" s="26">
        <v>0.375</v>
      </c>
      <c r="W1655" s="26">
        <v>0.15</v>
      </c>
      <c r="X1655" s="26">
        <v>3.6269100000000001</v>
      </c>
      <c r="Y1655" s="38">
        <f t="shared" si="200"/>
        <v>3.5</v>
      </c>
      <c r="Z1655" s="26">
        <v>0</v>
      </c>
      <c r="AA1655" s="26">
        <v>0</v>
      </c>
      <c r="AB1655" s="26">
        <f>SUM(N1655:Q1655)</f>
        <v>27.325000000000003</v>
      </c>
      <c r="AC1655" s="26">
        <v>1.2281500000000001</v>
      </c>
      <c r="AD1655" s="258">
        <v>19.760000000000002</v>
      </c>
      <c r="AE1655" s="26">
        <v>6.72</v>
      </c>
      <c r="AF1655" s="26">
        <f>(AD1655+AE1655*0.5)/(3.5*I1655*1000)*100</f>
        <v>2.4266978750649447E-2</v>
      </c>
      <c r="AG1655" s="38">
        <f t="shared" si="201"/>
        <v>0</v>
      </c>
      <c r="AH1655" s="26">
        <v>4.04</v>
      </c>
      <c r="AI1655" s="26">
        <f>AH1655/(3.5*I1655*1000)*100</f>
        <v>4.2404236225183287E-3</v>
      </c>
      <c r="AJ1655" s="26">
        <v>0</v>
      </c>
      <c r="AK1655" s="26">
        <f>AJ1655/(3.5*I1655*1000)*100</f>
        <v>0</v>
      </c>
      <c r="AL1655" s="26">
        <v>0</v>
      </c>
      <c r="AM1655" s="26">
        <f t="shared" si="203"/>
        <v>0</v>
      </c>
      <c r="AN1655" s="22"/>
      <c r="AO1655" s="25"/>
      <c r="AP1655" s="25"/>
      <c r="AQ1655" s="22"/>
      <c r="AR1655" s="22"/>
      <c r="AS1655" s="22"/>
      <c r="AT1655" s="22"/>
      <c r="AU1655" s="22"/>
      <c r="AV1655" s="48"/>
      <c r="AW1655" s="22"/>
      <c r="AX1655" s="22"/>
      <c r="AY1655" s="22"/>
      <c r="AZ1655" s="22"/>
      <c r="BA1655" s="22"/>
      <c r="BB1655" s="22"/>
      <c r="BC1655" s="22"/>
      <c r="BD1655" s="22"/>
      <c r="BE1655" s="22"/>
      <c r="BF1655" s="22"/>
      <c r="BG1655" s="22"/>
      <c r="BH1655" s="22"/>
      <c r="BI1655" s="22"/>
      <c r="BJ1655" s="22"/>
      <c r="BK1655" s="22"/>
      <c r="BL1655" s="22"/>
      <c r="BM1655" s="22"/>
      <c r="BN1655" s="22"/>
      <c r="BO1655" s="22"/>
      <c r="BP1655" s="22"/>
      <c r="BQ1655" s="22"/>
      <c r="BR1655" s="22"/>
      <c r="BS1655" s="22"/>
      <c r="BT1655" s="22"/>
      <c r="BU1655" s="22"/>
      <c r="BV1655" s="22"/>
      <c r="BW1655" s="22"/>
      <c r="BX1655" s="22"/>
      <c r="BY1655" s="22"/>
      <c r="BZ1655" s="22"/>
      <c r="CA1655" s="22"/>
      <c r="CB1655" s="22"/>
      <c r="CC1655" s="22"/>
      <c r="CD1655" s="22"/>
      <c r="CE1655" s="22"/>
      <c r="CF1655" s="22"/>
      <c r="CG1655" s="22"/>
      <c r="CH1655" s="22"/>
      <c r="CI1655" s="22"/>
      <c r="CJ1655" s="22"/>
    </row>
    <row r="1656" spans="1:88" s="22" customFormat="1">
      <c r="A1656" s="1">
        <v>634</v>
      </c>
      <c r="B1656" s="78" t="s">
        <v>1040</v>
      </c>
      <c r="C1656" s="78">
        <v>629</v>
      </c>
      <c r="D1656" s="78">
        <v>2133</v>
      </c>
      <c r="E1656" s="78">
        <v>100</v>
      </c>
      <c r="F1656" s="71" t="s">
        <v>1042</v>
      </c>
      <c r="G1656" s="120">
        <v>0</v>
      </c>
      <c r="H1656" s="120">
        <v>36030</v>
      </c>
      <c r="I1656" s="121">
        <v>36.03</v>
      </c>
      <c r="J1656" s="71">
        <v>2</v>
      </c>
      <c r="K1656" s="78" t="s">
        <v>238</v>
      </c>
      <c r="L1656" s="122">
        <v>42179</v>
      </c>
      <c r="M1656" s="123" t="s">
        <v>191</v>
      </c>
      <c r="N1656" s="83">
        <v>27.45</v>
      </c>
      <c r="O1656" s="83">
        <v>6.3</v>
      </c>
      <c r="P1656" s="83">
        <v>1.9</v>
      </c>
      <c r="Q1656" s="83">
        <v>0.3</v>
      </c>
      <c r="R1656" s="83">
        <v>2.5430000000000001</v>
      </c>
      <c r="S1656" s="38">
        <f t="shared" si="199"/>
        <v>2.5</v>
      </c>
      <c r="T1656" s="83">
        <v>33.9</v>
      </c>
      <c r="U1656" s="83">
        <v>1.575</v>
      </c>
      <c r="V1656" s="83">
        <v>0.35</v>
      </c>
      <c r="W1656" s="83">
        <v>0.125</v>
      </c>
      <c r="X1656" s="83">
        <v>5.016</v>
      </c>
      <c r="Y1656" s="38">
        <f t="shared" si="200"/>
        <v>5</v>
      </c>
      <c r="Z1656" s="124">
        <v>0</v>
      </c>
      <c r="AA1656" s="124">
        <v>0</v>
      </c>
      <c r="AB1656" s="124">
        <f>T1656+U1656+V1656+W1656</f>
        <v>35.950000000000003</v>
      </c>
      <c r="AC1656" s="83">
        <v>1.1220000000000001</v>
      </c>
      <c r="AD1656" s="83">
        <v>27.45</v>
      </c>
      <c r="AE1656" s="83">
        <v>6.3</v>
      </c>
      <c r="AF1656" s="83">
        <v>2.4265493041513021E-2</v>
      </c>
      <c r="AG1656" s="38">
        <f t="shared" si="201"/>
        <v>0</v>
      </c>
      <c r="AH1656" s="83">
        <v>0.3</v>
      </c>
      <c r="AI1656" s="83">
        <v>2.3789699060306887E-4</v>
      </c>
      <c r="AJ1656" s="83">
        <v>33.9</v>
      </c>
      <c r="AK1656" s="83">
        <v>2.6882359938146781E-2</v>
      </c>
      <c r="AL1656" s="83">
        <v>0.35</v>
      </c>
      <c r="AM1656" s="83">
        <f t="shared" si="203"/>
        <v>2.7754648903691365E-4</v>
      </c>
      <c r="AN1656" s="25"/>
      <c r="AO1656" s="25">
        <f>AE1656*0.5</f>
        <v>3.15</v>
      </c>
      <c r="AP1656" s="25">
        <f>(AD1656+AH1656+AJ1656+AL1656+AO1656)*I1656</f>
        <v>2347.3545000000004</v>
      </c>
      <c r="AQ1656" s="25">
        <f>SUM(N1656:Q1656)</f>
        <v>35.949999999999996</v>
      </c>
      <c r="AR1656" s="25">
        <f>SUM(T1656:W1656)</f>
        <v>35.950000000000003</v>
      </c>
      <c r="AT1656" s="41"/>
      <c r="AU1656" s="41"/>
      <c r="AV1656" s="41"/>
      <c r="AW1656" s="41"/>
    </row>
    <row r="1657" spans="1:88" s="22" customFormat="1">
      <c r="A1657" s="1">
        <v>56</v>
      </c>
      <c r="B1657" s="4" t="s">
        <v>37</v>
      </c>
      <c r="C1657" s="14">
        <v>523</v>
      </c>
      <c r="D1657" s="19">
        <v>1274</v>
      </c>
      <c r="E1657" s="16">
        <v>202</v>
      </c>
      <c r="F1657" s="14" t="s">
        <v>123</v>
      </c>
      <c r="G1657" s="20" t="s">
        <v>109</v>
      </c>
      <c r="H1657" s="20" t="s">
        <v>110</v>
      </c>
      <c r="I1657" s="8">
        <v>12.093</v>
      </c>
      <c r="J1657" s="8">
        <v>2</v>
      </c>
      <c r="K1657" s="9" t="s">
        <v>238</v>
      </c>
      <c r="L1657" s="18">
        <v>42223</v>
      </c>
      <c r="M1657" s="37" t="s">
        <v>191</v>
      </c>
      <c r="N1657" s="26">
        <v>6.2</v>
      </c>
      <c r="O1657" s="26">
        <v>4</v>
      </c>
      <c r="P1657" s="26">
        <v>1.5</v>
      </c>
      <c r="Q1657" s="26">
        <v>0.42499999999999999</v>
      </c>
      <c r="R1657" s="26">
        <v>2.7064300000000001</v>
      </c>
      <c r="S1657" s="38">
        <f t="shared" si="199"/>
        <v>2.5</v>
      </c>
      <c r="T1657" s="26">
        <v>11.775</v>
      </c>
      <c r="U1657" s="26">
        <v>0.35</v>
      </c>
      <c r="V1657" s="26">
        <v>0</v>
      </c>
      <c r="W1657" s="26">
        <v>0</v>
      </c>
      <c r="X1657" s="26">
        <v>3.6631499999999999</v>
      </c>
      <c r="Y1657" s="38">
        <f t="shared" si="200"/>
        <v>3.5</v>
      </c>
      <c r="Z1657" s="26">
        <v>0</v>
      </c>
      <c r="AA1657" s="26">
        <v>0</v>
      </c>
      <c r="AB1657" s="26">
        <f>SUM(N1657:Q1657)</f>
        <v>12.125</v>
      </c>
      <c r="AC1657" s="26">
        <v>1.13043</v>
      </c>
      <c r="AD1657" s="26">
        <v>10.199999999999999</v>
      </c>
      <c r="AE1657" s="26">
        <v>0</v>
      </c>
      <c r="AF1657" s="26">
        <f>(AD1657+AE1657*0.5)/(3.5*I1657*1000)*100</f>
        <v>2.4098947443030795E-2</v>
      </c>
      <c r="AG1657" s="38">
        <f t="shared" si="201"/>
        <v>0</v>
      </c>
      <c r="AH1657" s="26">
        <v>0</v>
      </c>
      <c r="AI1657" s="26">
        <f>AH1657/(3.5*I1657*1000)*100</f>
        <v>0</v>
      </c>
      <c r="AJ1657" s="26">
        <v>0</v>
      </c>
      <c r="AK1657" s="26">
        <f>AJ1657/(3.5*I1657*1000)*100</f>
        <v>0</v>
      </c>
      <c r="AL1657" s="26">
        <v>0</v>
      </c>
      <c r="AM1657" s="26">
        <f t="shared" si="203"/>
        <v>0</v>
      </c>
      <c r="AO1657" s="25"/>
      <c r="AP1657" s="25"/>
    </row>
    <row r="1658" spans="1:88" s="22" customFormat="1">
      <c r="A1658" s="1">
        <v>588</v>
      </c>
      <c r="B1658" s="34" t="s">
        <v>976</v>
      </c>
      <c r="C1658" s="34">
        <v>552</v>
      </c>
      <c r="D1658" s="34">
        <v>2320</v>
      </c>
      <c r="E1658" s="34">
        <v>100</v>
      </c>
      <c r="F1658" s="9" t="s">
        <v>989</v>
      </c>
      <c r="G1658" s="20">
        <v>10728</v>
      </c>
      <c r="H1658" s="20">
        <v>0</v>
      </c>
      <c r="I1658" s="35">
        <v>10.728</v>
      </c>
      <c r="J1658" s="71">
        <v>2</v>
      </c>
      <c r="K1658" s="34" t="s">
        <v>12</v>
      </c>
      <c r="L1658" s="10">
        <v>42195</v>
      </c>
      <c r="M1658" s="37" t="s">
        <v>191</v>
      </c>
      <c r="N1658" s="38">
        <v>7.625</v>
      </c>
      <c r="O1658" s="38">
        <v>1.65</v>
      </c>
      <c r="P1658" s="38">
        <v>0.85</v>
      </c>
      <c r="Q1658" s="38">
        <v>0.57499999999999996</v>
      </c>
      <c r="R1658" s="38">
        <v>2.3740000000000001</v>
      </c>
      <c r="S1658" s="38">
        <f t="shared" si="199"/>
        <v>2.5</v>
      </c>
      <c r="T1658" s="38">
        <v>9.375</v>
      </c>
      <c r="U1658" s="38">
        <v>0.8</v>
      </c>
      <c r="V1658" s="38">
        <v>0.3</v>
      </c>
      <c r="W1658" s="38">
        <v>0.22500000000000001</v>
      </c>
      <c r="X1658" s="38">
        <v>5.9139999999999997</v>
      </c>
      <c r="Y1658" s="38">
        <f t="shared" si="200"/>
        <v>6</v>
      </c>
      <c r="Z1658" s="38">
        <v>0</v>
      </c>
      <c r="AA1658" s="38">
        <v>0</v>
      </c>
      <c r="AB1658" s="38">
        <f>N1658+O1658+P1658+Q1658</f>
        <v>10.7</v>
      </c>
      <c r="AC1658" s="38">
        <v>1.2789999999999999</v>
      </c>
      <c r="AD1658" s="38">
        <v>9</v>
      </c>
      <c r="AE1658" s="38">
        <v>0</v>
      </c>
      <c r="AF1658" s="38">
        <f>(AD1658+AE1658*0.5)/(3.5*I1658*1000)*100</f>
        <v>2.3969319271332692E-2</v>
      </c>
      <c r="AG1658" s="38">
        <f t="shared" si="201"/>
        <v>0</v>
      </c>
      <c r="AH1658" s="38">
        <v>0</v>
      </c>
      <c r="AI1658" s="38">
        <f>AH1658/(3.5*I1658*1000)*100</f>
        <v>0</v>
      </c>
      <c r="AJ1658" s="38">
        <v>0</v>
      </c>
      <c r="AK1658" s="38">
        <f>AJ1658/(3.5*I1658*1000)*100</f>
        <v>0</v>
      </c>
      <c r="AL1658" s="38">
        <v>0</v>
      </c>
      <c r="AM1658" s="38">
        <f t="shared" si="203"/>
        <v>0</v>
      </c>
      <c r="AN1658" s="25"/>
      <c r="AO1658" s="25">
        <f>AE1658*0.5</f>
        <v>0</v>
      </c>
      <c r="AP1658" s="25">
        <f>(AD1658+AH1658+AJ1658+AL1658+AO1658)*I1658</f>
        <v>96.551999999999992</v>
      </c>
      <c r="AQ1658" s="25">
        <f>SUM(N1658:Q1658)</f>
        <v>10.7</v>
      </c>
      <c r="AR1658" s="25">
        <f>SUM(T1658:W1658)</f>
        <v>10.700000000000001</v>
      </c>
      <c r="AS1658" s="268">
        <v>10.728</v>
      </c>
      <c r="AT1658" s="41"/>
      <c r="AU1658" s="41"/>
      <c r="AV1658" s="41"/>
      <c r="AW1658" s="41"/>
    </row>
    <row r="1659" spans="1:88" s="22" customFormat="1">
      <c r="A1659" s="1">
        <v>630</v>
      </c>
      <c r="B1659" s="34" t="s">
        <v>1017</v>
      </c>
      <c r="C1659" s="34">
        <v>555</v>
      </c>
      <c r="D1659" s="34">
        <v>2479</v>
      </c>
      <c r="E1659" s="34">
        <v>102</v>
      </c>
      <c r="F1659" s="9" t="s">
        <v>1033</v>
      </c>
      <c r="G1659" s="118" t="s">
        <v>1034</v>
      </c>
      <c r="H1659" s="118" t="s">
        <v>1035</v>
      </c>
      <c r="I1659" s="35">
        <v>17.885999999999999</v>
      </c>
      <c r="J1659" s="71">
        <v>2</v>
      </c>
      <c r="K1659" s="34" t="s">
        <v>12</v>
      </c>
      <c r="L1659" s="10">
        <v>42186</v>
      </c>
      <c r="M1659" s="37" t="s">
        <v>191</v>
      </c>
      <c r="N1659" s="38">
        <v>7.375</v>
      </c>
      <c r="O1659" s="38">
        <v>5.375</v>
      </c>
      <c r="P1659" s="38">
        <v>2.8250000000000002</v>
      </c>
      <c r="Q1659" s="38">
        <v>1.2250000000000001</v>
      </c>
      <c r="R1659" s="38">
        <v>3.3021099999999999</v>
      </c>
      <c r="S1659" s="38">
        <f t="shared" si="199"/>
        <v>3.5</v>
      </c>
      <c r="T1659" s="38">
        <v>15.3</v>
      </c>
      <c r="U1659" s="38">
        <v>0.95</v>
      </c>
      <c r="V1659" s="38">
        <v>0.22500000000000001</v>
      </c>
      <c r="W1659" s="38">
        <v>0.32500000000000001</v>
      </c>
      <c r="X1659" s="38">
        <v>2.9883000000000002</v>
      </c>
      <c r="Y1659" s="38">
        <f t="shared" si="200"/>
        <v>3</v>
      </c>
      <c r="Z1659" s="38">
        <v>0</v>
      </c>
      <c r="AA1659" s="38">
        <v>0</v>
      </c>
      <c r="AB1659" s="38">
        <f>N1659+O1659+P1659+Q1659</f>
        <v>16.8</v>
      </c>
      <c r="AC1659" s="38">
        <v>1.3669</v>
      </c>
      <c r="AD1659" s="38">
        <v>15</v>
      </c>
      <c r="AE1659" s="38">
        <v>0</v>
      </c>
      <c r="AF1659" s="38">
        <f>(AD1659+AE1659*0.5)/(3.5*I1659*1000)*100</f>
        <v>2.3961278573824702E-2</v>
      </c>
      <c r="AG1659" s="38">
        <f t="shared" si="201"/>
        <v>0</v>
      </c>
      <c r="AH1659" s="38">
        <v>261</v>
      </c>
      <c r="AI1659" s="38">
        <f>AH1659/(3.5*I1659*1000)*100</f>
        <v>0.41692624718454974</v>
      </c>
      <c r="AJ1659" s="38">
        <v>0</v>
      </c>
      <c r="AK1659" s="38">
        <f>AJ1659/(3.5*I1659*1000)*100</f>
        <v>0</v>
      </c>
      <c r="AL1659" s="38">
        <v>0</v>
      </c>
      <c r="AM1659" s="38">
        <f t="shared" si="203"/>
        <v>0</v>
      </c>
      <c r="AN1659" s="25"/>
      <c r="AO1659" s="25">
        <f>AE1659*0.5</f>
        <v>0</v>
      </c>
      <c r="AP1659" s="25">
        <f>(AD1659+AH1659+AJ1659+AL1659+AO1659)*I1659</f>
        <v>4936.5360000000001</v>
      </c>
      <c r="AQ1659" s="25">
        <f>SUM(N1659:Q1659)</f>
        <v>16.8</v>
      </c>
      <c r="AR1659" s="25">
        <f>SUM(T1659:W1659)</f>
        <v>16.8</v>
      </c>
      <c r="AT1659" s="41"/>
      <c r="AU1659" s="41"/>
      <c r="AV1659" s="41"/>
      <c r="AW1659" s="41"/>
    </row>
    <row r="1660" spans="1:88" s="22" customFormat="1">
      <c r="A1660" s="1">
        <v>13</v>
      </c>
      <c r="B1660" s="4" t="s">
        <v>8</v>
      </c>
      <c r="C1660" s="14">
        <v>521</v>
      </c>
      <c r="D1660" s="19">
        <v>1013</v>
      </c>
      <c r="E1660" s="16">
        <v>100</v>
      </c>
      <c r="F1660" s="14" t="s">
        <v>15</v>
      </c>
      <c r="G1660" s="20">
        <v>0</v>
      </c>
      <c r="H1660" s="20">
        <v>8330</v>
      </c>
      <c r="I1660" s="21">
        <v>8.33</v>
      </c>
      <c r="J1660" s="8">
        <v>2</v>
      </c>
      <c r="K1660" s="9" t="s">
        <v>238</v>
      </c>
      <c r="L1660" s="18">
        <v>42231</v>
      </c>
      <c r="M1660" s="37" t="s">
        <v>191</v>
      </c>
      <c r="N1660" s="11">
        <v>4.45</v>
      </c>
      <c r="O1660" s="11">
        <v>2.4500000000000002</v>
      </c>
      <c r="P1660" s="11">
        <v>1.1000000000000001</v>
      </c>
      <c r="Q1660" s="11">
        <v>0.375</v>
      </c>
      <c r="R1660" s="11">
        <v>2.7425999999999999</v>
      </c>
      <c r="S1660" s="38">
        <f t="shared" si="199"/>
        <v>2.5</v>
      </c>
      <c r="T1660" s="11">
        <v>8.35</v>
      </c>
      <c r="U1660" s="11">
        <v>2.5000000000000001E-2</v>
      </c>
      <c r="V1660" s="11">
        <v>0</v>
      </c>
      <c r="W1660" s="11">
        <v>0</v>
      </c>
      <c r="X1660" s="11">
        <v>1.09198</v>
      </c>
      <c r="Y1660" s="38">
        <f t="shared" si="200"/>
        <v>1</v>
      </c>
      <c r="Z1660" s="11">
        <v>0</v>
      </c>
      <c r="AA1660" s="11">
        <v>0</v>
      </c>
      <c r="AB1660" s="11">
        <v>8.375</v>
      </c>
      <c r="AC1660" s="11">
        <v>1.09961</v>
      </c>
      <c r="AD1660" s="11">
        <v>0</v>
      </c>
      <c r="AE1660" s="11">
        <v>13.8</v>
      </c>
      <c r="AF1660" s="11">
        <f>(AD1660+AE1660*0.5)/(3.5*I1660*1000)*100</f>
        <v>2.3666609500943236E-2</v>
      </c>
      <c r="AG1660" s="38">
        <f t="shared" si="201"/>
        <v>0</v>
      </c>
      <c r="AH1660" s="11">
        <v>0</v>
      </c>
      <c r="AI1660" s="11">
        <f>AH1660/(3.5*I1660*1000)*100</f>
        <v>0</v>
      </c>
      <c r="AJ1660" s="11">
        <v>0</v>
      </c>
      <c r="AK1660" s="11">
        <f>AJ1660/(3.5*I1660*1000)*100</f>
        <v>0</v>
      </c>
      <c r="AL1660" s="11">
        <v>0</v>
      </c>
      <c r="AM1660" s="11">
        <f t="shared" si="203"/>
        <v>0</v>
      </c>
      <c r="AQ1660" s="12">
        <f>N1660+O1660+P1660+Q1660</f>
        <v>8.375</v>
      </c>
      <c r="AR1660" s="12">
        <f>T1660+U1660+V1660+W1660</f>
        <v>8.375</v>
      </c>
      <c r="AS1660" s="12">
        <f>Z1660+AA1660+AB1660</f>
        <v>8.375</v>
      </c>
      <c r="AU1660" s="22">
        <v>1.0054021608643458</v>
      </c>
      <c r="AV1660" s="22">
        <v>1.0054021608643458</v>
      </c>
      <c r="AW1660" s="22">
        <v>1.0054021608643458</v>
      </c>
    </row>
    <row r="1661" spans="1:88" s="22" customFormat="1">
      <c r="A1661" s="1">
        <v>212</v>
      </c>
      <c r="B1661" s="34" t="s">
        <v>383</v>
      </c>
      <c r="C1661" s="34">
        <v>535</v>
      </c>
      <c r="D1661" s="34">
        <v>1298</v>
      </c>
      <c r="E1661" s="34">
        <v>100</v>
      </c>
      <c r="F1661" s="34" t="s">
        <v>408</v>
      </c>
      <c r="G1661" s="20" t="s">
        <v>92</v>
      </c>
      <c r="H1661" s="20" t="s">
        <v>409</v>
      </c>
      <c r="I1661" s="35">
        <v>3.9710000000000001</v>
      </c>
      <c r="J1661" s="36">
        <v>2</v>
      </c>
      <c r="K1661" s="34" t="s">
        <v>238</v>
      </c>
      <c r="L1661" s="18">
        <v>42209</v>
      </c>
      <c r="M1661" s="37" t="s">
        <v>191</v>
      </c>
      <c r="N1661" s="38">
        <v>2.2400000000000002</v>
      </c>
      <c r="O1661" s="38">
        <v>1.0900000000000001</v>
      </c>
      <c r="P1661" s="38">
        <v>0.38</v>
      </c>
      <c r="Q1661" s="38">
        <v>0.28000000000000003</v>
      </c>
      <c r="R1661" s="38">
        <v>2.6773419999999999</v>
      </c>
      <c r="S1661" s="38">
        <f t="shared" si="199"/>
        <v>2.5</v>
      </c>
      <c r="T1661" s="38">
        <v>3.07</v>
      </c>
      <c r="U1661" s="38">
        <v>0.63</v>
      </c>
      <c r="V1661" s="38">
        <v>0.2</v>
      </c>
      <c r="W1661" s="38">
        <v>0.08</v>
      </c>
      <c r="X1661" s="38">
        <v>7.5592090000000001</v>
      </c>
      <c r="Y1661" s="38">
        <f t="shared" si="200"/>
        <v>7.5</v>
      </c>
      <c r="Z1661" s="38">
        <v>0</v>
      </c>
      <c r="AA1661" s="38">
        <v>0</v>
      </c>
      <c r="AB1661" s="38">
        <v>3.98</v>
      </c>
      <c r="AC1661" s="38">
        <v>1.410658</v>
      </c>
      <c r="AD1661" s="38">
        <v>0</v>
      </c>
      <c r="AE1661" s="38">
        <v>6.55</v>
      </c>
      <c r="AF1661" s="38">
        <f>(AD1661+AE1661*0.5)/(3.5*I1661*1000)*100</f>
        <v>2.3563693923804727E-2</v>
      </c>
      <c r="AG1661" s="38">
        <f t="shared" si="201"/>
        <v>0</v>
      </c>
      <c r="AH1661" s="38">
        <v>0</v>
      </c>
      <c r="AI1661" s="38">
        <f>AH1661/(3.5*I1661*1000)*100</f>
        <v>0</v>
      </c>
      <c r="AJ1661" s="38">
        <v>0</v>
      </c>
      <c r="AK1661" s="38">
        <f>AJ1661/(3.5*I1661*1000)*100</f>
        <v>0</v>
      </c>
      <c r="AL1661" s="38">
        <v>0</v>
      </c>
      <c r="AM1661" s="38">
        <f t="shared" si="203"/>
        <v>0</v>
      </c>
      <c r="AN1661" s="25"/>
      <c r="AO1661" s="25"/>
      <c r="AP1661" s="25">
        <f>AE1661*0.5</f>
        <v>3.2749999999999999</v>
      </c>
      <c r="AQ1661" s="25">
        <f>(AD1661+AH1661+AJ1661+AL1661+AP1661)*I1661</f>
        <v>13.005025</v>
      </c>
      <c r="AR1661" s="25"/>
      <c r="AS1661" s="25"/>
      <c r="AT1661" s="25"/>
      <c r="AU1661" s="41">
        <f>SUM(N1661:Q1661)</f>
        <v>3.99</v>
      </c>
      <c r="AV1661" s="41">
        <f>SUM(T1661:W1661)</f>
        <v>3.98</v>
      </c>
      <c r="AW1661" s="41">
        <f>SUM(Z1661:AB1661)</f>
        <v>3.98</v>
      </c>
      <c r="AX1661" s="41"/>
      <c r="AY1661" s="22">
        <f>I1661/AU1661</f>
        <v>0.99523809523809526</v>
      </c>
      <c r="AZ1661" s="22">
        <f>I1661/AV1661</f>
        <v>0.99773869346733668</v>
      </c>
      <c r="BA1661" s="22">
        <f>I1661/AW1661</f>
        <v>0.99773869346733668</v>
      </c>
    </row>
    <row r="1662" spans="1:88" s="22" customFormat="1">
      <c r="A1662" s="1">
        <v>808</v>
      </c>
      <c r="B1662" s="34" t="s">
        <v>1186</v>
      </c>
      <c r="C1662" s="34">
        <v>635</v>
      </c>
      <c r="D1662" s="8">
        <v>2418</v>
      </c>
      <c r="E1662" s="34">
        <v>100</v>
      </c>
      <c r="F1662" s="34" t="s">
        <v>1200</v>
      </c>
      <c r="G1662" s="58">
        <v>0</v>
      </c>
      <c r="H1662" s="58">
        <v>37083</v>
      </c>
      <c r="I1662" s="35">
        <v>37.082999999999998</v>
      </c>
      <c r="J1662" s="9">
        <v>2</v>
      </c>
      <c r="K1662" s="34" t="s">
        <v>238</v>
      </c>
      <c r="L1662" s="10" t="s">
        <v>1201</v>
      </c>
      <c r="M1662" s="37" t="s">
        <v>191</v>
      </c>
      <c r="N1662" s="38">
        <v>28.8</v>
      </c>
      <c r="O1662" s="38">
        <v>6</v>
      </c>
      <c r="P1662" s="38">
        <v>1.7250000000000001</v>
      </c>
      <c r="Q1662" s="38">
        <v>0.77500000000000002</v>
      </c>
      <c r="R1662" s="38">
        <v>2.3319999999999999</v>
      </c>
      <c r="S1662" s="38">
        <f t="shared" si="199"/>
        <v>2.5</v>
      </c>
      <c r="T1662" s="38">
        <v>37.075000000000003</v>
      </c>
      <c r="U1662" s="38">
        <v>0.17499999999999999</v>
      </c>
      <c r="V1662" s="38">
        <v>2.5000000000000001E-2</v>
      </c>
      <c r="W1662" s="38">
        <v>2.5000000000000001E-2</v>
      </c>
      <c r="X1662" s="38">
        <v>3.0430000000000001</v>
      </c>
      <c r="Y1662" s="38">
        <f t="shared" si="200"/>
        <v>3</v>
      </c>
      <c r="Z1662" s="38">
        <v>0</v>
      </c>
      <c r="AA1662" s="38">
        <v>0</v>
      </c>
      <c r="AB1662" s="35">
        <v>37.082999999999998</v>
      </c>
      <c r="AC1662" s="38">
        <v>1.17</v>
      </c>
      <c r="AD1662" s="38">
        <v>20.34</v>
      </c>
      <c r="AE1662" s="38">
        <v>20.46</v>
      </c>
      <c r="AF1662" s="38">
        <v>2.3550000000000001E-2</v>
      </c>
      <c r="AG1662" s="38">
        <f t="shared" si="201"/>
        <v>0</v>
      </c>
      <c r="AH1662" s="38">
        <v>0</v>
      </c>
      <c r="AI1662" s="38">
        <v>0</v>
      </c>
      <c r="AJ1662" s="38">
        <v>0</v>
      </c>
      <c r="AK1662" s="38">
        <v>0</v>
      </c>
      <c r="AL1662" s="38">
        <v>0</v>
      </c>
      <c r="AM1662" s="38">
        <v>0</v>
      </c>
      <c r="AN1662" s="25"/>
      <c r="AO1662" s="25">
        <f>AE1662*0.5</f>
        <v>10.23</v>
      </c>
      <c r="AP1662" s="25">
        <f>(AD1662+AH1662+AJ1662+AL1662+AO1662)*I1662</f>
        <v>1133.6273099999999</v>
      </c>
      <c r="AQ1662" s="25">
        <f>SUM(N1662:Q1662)</f>
        <v>37.299999999999997</v>
      </c>
      <c r="AR1662" s="25">
        <f>SUM(T1662:W1662)</f>
        <v>37.299999999999997</v>
      </c>
      <c r="AT1662" s="41"/>
      <c r="AU1662" s="41"/>
      <c r="AV1662" s="41"/>
      <c r="AW1662" s="41"/>
    </row>
    <row r="1663" spans="1:88" s="22" customFormat="1">
      <c r="A1663" s="1">
        <v>1928</v>
      </c>
      <c r="B1663" s="34" t="s">
        <v>2559</v>
      </c>
      <c r="C1663" s="34">
        <v>338</v>
      </c>
      <c r="D1663" s="75">
        <v>3313</v>
      </c>
      <c r="E1663" s="8">
        <v>100</v>
      </c>
      <c r="F1663" s="9" t="s">
        <v>2574</v>
      </c>
      <c r="G1663" s="20">
        <v>0</v>
      </c>
      <c r="H1663" s="20">
        <v>8742</v>
      </c>
      <c r="I1663" s="21">
        <v>8.7420000000000009</v>
      </c>
      <c r="J1663" s="8">
        <v>2</v>
      </c>
      <c r="K1663" s="8" t="s">
        <v>238</v>
      </c>
      <c r="L1663" s="18">
        <v>42096</v>
      </c>
      <c r="M1663" s="247" t="s">
        <v>191</v>
      </c>
      <c r="N1663" s="38">
        <v>6.41</v>
      </c>
      <c r="O1663" s="38">
        <v>1.71</v>
      </c>
      <c r="P1663" s="38">
        <v>0.4</v>
      </c>
      <c r="Q1663" s="38">
        <v>0.23</v>
      </c>
      <c r="R1663" s="38">
        <v>2.2224699999999999</v>
      </c>
      <c r="S1663" s="38">
        <f t="shared" si="199"/>
        <v>2</v>
      </c>
      <c r="T1663" s="38">
        <v>8.74</v>
      </c>
      <c r="U1663" s="38">
        <v>0</v>
      </c>
      <c r="V1663" s="38">
        <v>0</v>
      </c>
      <c r="W1663" s="38">
        <v>0</v>
      </c>
      <c r="X1663" s="38">
        <v>1.8600300000000001</v>
      </c>
      <c r="Y1663" s="38">
        <f t="shared" si="200"/>
        <v>2</v>
      </c>
      <c r="Z1663" s="38">
        <v>0</v>
      </c>
      <c r="AA1663" s="38">
        <v>0</v>
      </c>
      <c r="AB1663" s="38">
        <v>8.74</v>
      </c>
      <c r="AC1663" s="38">
        <v>1.46092</v>
      </c>
      <c r="AD1663" s="38">
        <v>3</v>
      </c>
      <c r="AE1663" s="38">
        <v>8.39</v>
      </c>
      <c r="AF1663" s="38">
        <v>2.3515377324574305E-2</v>
      </c>
      <c r="AG1663" s="38">
        <f t="shared" si="201"/>
        <v>0</v>
      </c>
      <c r="AH1663" s="38">
        <v>0</v>
      </c>
      <c r="AI1663" s="38">
        <v>0</v>
      </c>
      <c r="AJ1663" s="38">
        <v>0</v>
      </c>
      <c r="AK1663" s="38">
        <v>0</v>
      </c>
      <c r="AL1663" s="38">
        <v>0</v>
      </c>
      <c r="AM1663" s="38">
        <f>AL1663/(3.5*I1663*1000)*100</f>
        <v>0</v>
      </c>
      <c r="AN1663" s="41"/>
      <c r="AO1663" s="73"/>
      <c r="AP1663" s="41"/>
      <c r="AQ1663" s="41">
        <f>SUM(N1663:Q1663)</f>
        <v>8.7500000000000018</v>
      </c>
      <c r="AR1663" s="41">
        <f>SUM(T1663:W1663)</f>
        <v>8.74</v>
      </c>
      <c r="AS1663" s="12">
        <f>SUM(Z1663:AB1663)</f>
        <v>8.74</v>
      </c>
      <c r="AT1663" s="1"/>
      <c r="AU1663" s="1">
        <f>I1663/AQ1663</f>
        <v>0.99908571428571413</v>
      </c>
      <c r="AV1663" s="1">
        <f>I1663/AR1663</f>
        <v>1.0002288329519451</v>
      </c>
      <c r="AW1663" s="1">
        <f>I1663/AS1663</f>
        <v>1.0002288329519451</v>
      </c>
      <c r="AX1663" s="1">
        <f>AT1663/I1688</f>
        <v>0</v>
      </c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</row>
    <row r="1664" spans="1:88" s="22" customFormat="1">
      <c r="A1664" s="1">
        <v>1991</v>
      </c>
      <c r="B1664" s="34" t="s">
        <v>2615</v>
      </c>
      <c r="C1664" s="34">
        <v>322</v>
      </c>
      <c r="D1664" s="75">
        <v>4258</v>
      </c>
      <c r="E1664" s="8">
        <v>100</v>
      </c>
      <c r="F1664" s="34" t="s">
        <v>2632</v>
      </c>
      <c r="G1664" s="58">
        <v>0</v>
      </c>
      <c r="H1664" s="58">
        <v>10500</v>
      </c>
      <c r="I1664" s="21">
        <v>10.5</v>
      </c>
      <c r="J1664" s="8">
        <v>2</v>
      </c>
      <c r="K1664" s="8" t="s">
        <v>237</v>
      </c>
      <c r="L1664" s="18">
        <v>42129</v>
      </c>
      <c r="M1664" s="37" t="s">
        <v>191</v>
      </c>
      <c r="N1664" s="38">
        <v>7.375</v>
      </c>
      <c r="O1664" s="38">
        <v>1.7749999999999999</v>
      </c>
      <c r="P1664" s="38">
        <v>0.7</v>
      </c>
      <c r="Q1664" s="38">
        <v>0.52500000000000002</v>
      </c>
      <c r="R1664" s="38">
        <v>2.3748</v>
      </c>
      <c r="S1664" s="38">
        <f t="shared" si="199"/>
        <v>2.5</v>
      </c>
      <c r="T1664" s="38">
        <v>10.050000000000001</v>
      </c>
      <c r="U1664" s="38">
        <v>0.27500000000000002</v>
      </c>
      <c r="V1664" s="38">
        <v>0</v>
      </c>
      <c r="W1664" s="38">
        <v>0</v>
      </c>
      <c r="X1664" s="38">
        <v>3.4859800000000001</v>
      </c>
      <c r="Y1664" s="38">
        <f t="shared" si="200"/>
        <v>3.5</v>
      </c>
      <c r="Z1664" s="38">
        <v>0</v>
      </c>
      <c r="AA1664" s="38">
        <v>0</v>
      </c>
      <c r="AB1664" s="38">
        <v>10.375</v>
      </c>
      <c r="AC1664" s="38">
        <v>1.1735</v>
      </c>
      <c r="AD1664" s="38">
        <v>0</v>
      </c>
      <c r="AE1664" s="38">
        <v>17</v>
      </c>
      <c r="AF1664" s="38">
        <v>2.3129251700680274E-2</v>
      </c>
      <c r="AG1664" s="38">
        <f t="shared" si="201"/>
        <v>0</v>
      </c>
      <c r="AH1664" s="38">
        <v>0.52</v>
      </c>
      <c r="AI1664" s="38">
        <v>1.4149659863945578E-3</v>
      </c>
      <c r="AJ1664" s="38">
        <v>10</v>
      </c>
      <c r="AK1664" s="38">
        <v>2.7210884353741496E-2</v>
      </c>
      <c r="AL1664" s="38">
        <v>0</v>
      </c>
      <c r="AM1664" s="38">
        <f>AL1664/(3.5*I1664*1000)*100</f>
        <v>0</v>
      </c>
      <c r="AN1664" s="72"/>
      <c r="AO1664" s="41"/>
      <c r="AP1664" s="41"/>
      <c r="AQ1664" s="73"/>
      <c r="AR1664" s="73"/>
      <c r="AS1664" s="73"/>
      <c r="AT1664" s="73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</row>
    <row r="1665" spans="1:88" s="22" customFormat="1">
      <c r="A1665" s="1">
        <v>1362</v>
      </c>
      <c r="B1665" s="74" t="s">
        <v>1905</v>
      </c>
      <c r="C1665" s="34">
        <v>445</v>
      </c>
      <c r="D1665" s="75">
        <v>3086</v>
      </c>
      <c r="E1665" s="69">
        <v>202</v>
      </c>
      <c r="F1665" s="184" t="s">
        <v>1913</v>
      </c>
      <c r="G1665" s="20">
        <v>81557</v>
      </c>
      <c r="H1665" s="20">
        <v>108278</v>
      </c>
      <c r="I1665" s="21">
        <v>26.721</v>
      </c>
      <c r="J1665" s="8">
        <v>2</v>
      </c>
      <c r="K1665" s="34" t="s">
        <v>238</v>
      </c>
      <c r="L1665" s="10">
        <v>42208</v>
      </c>
      <c r="M1665" s="37" t="s">
        <v>191</v>
      </c>
      <c r="N1665" s="38">
        <v>20.9</v>
      </c>
      <c r="O1665" s="38">
        <v>4.2249999999999996</v>
      </c>
      <c r="P1665" s="38">
        <v>1.4</v>
      </c>
      <c r="Q1665" s="38">
        <v>0.22500000000000001</v>
      </c>
      <c r="R1665" s="38">
        <v>2.04799</v>
      </c>
      <c r="S1665" s="38">
        <f t="shared" si="199"/>
        <v>2</v>
      </c>
      <c r="T1665" s="38">
        <v>26.574999999999999</v>
      </c>
      <c r="U1665" s="38">
        <v>0.17499999999999999</v>
      </c>
      <c r="V1665" s="38">
        <v>0</v>
      </c>
      <c r="W1665" s="38">
        <v>0</v>
      </c>
      <c r="X1665" s="38">
        <v>3.29691</v>
      </c>
      <c r="Y1665" s="38">
        <f t="shared" si="200"/>
        <v>3.5</v>
      </c>
      <c r="Z1665" s="38">
        <v>0</v>
      </c>
      <c r="AA1665" s="38">
        <v>0</v>
      </c>
      <c r="AB1665" s="38">
        <v>26.75</v>
      </c>
      <c r="AC1665" s="38">
        <v>1.06447</v>
      </c>
      <c r="AD1665" s="38">
        <v>5</v>
      </c>
      <c r="AE1665" s="38">
        <v>33</v>
      </c>
      <c r="AF1665" s="38">
        <v>2.2988874454014232E-2</v>
      </c>
      <c r="AG1665" s="38">
        <f t="shared" si="201"/>
        <v>0</v>
      </c>
      <c r="AH1665" s="38">
        <v>0</v>
      </c>
      <c r="AI1665" s="38">
        <v>0</v>
      </c>
      <c r="AJ1665" s="38">
        <v>29</v>
      </c>
      <c r="AK1665" s="38">
        <v>3.1008249263554079E-2</v>
      </c>
      <c r="AL1665" s="38">
        <v>1</v>
      </c>
      <c r="AM1665" s="38">
        <v>1.0692499746053131E-3</v>
      </c>
      <c r="AN1665" s="72"/>
      <c r="AO1665" s="41"/>
      <c r="AP1665" s="41"/>
      <c r="AQ1665" s="41"/>
      <c r="AR1665" s="41"/>
      <c r="AS1665" s="73"/>
      <c r="AT1665" s="73"/>
      <c r="AU1665" s="73"/>
      <c r="AV1665" s="73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</row>
    <row r="1666" spans="1:88" s="22" customFormat="1">
      <c r="A1666" s="1">
        <v>2227</v>
      </c>
      <c r="B1666" s="34" t="s">
        <v>2853</v>
      </c>
      <c r="C1666" s="34">
        <v>318</v>
      </c>
      <c r="D1666" s="75">
        <v>4184</v>
      </c>
      <c r="E1666" s="8">
        <v>100</v>
      </c>
      <c r="F1666" s="9" t="s">
        <v>2874</v>
      </c>
      <c r="G1666" s="20">
        <v>0</v>
      </c>
      <c r="H1666" s="20">
        <v>21850</v>
      </c>
      <c r="I1666" s="21">
        <v>21.85</v>
      </c>
      <c r="J1666" s="8">
        <v>2</v>
      </c>
      <c r="K1666" s="8" t="s">
        <v>238</v>
      </c>
      <c r="L1666" s="18">
        <v>42150</v>
      </c>
      <c r="M1666" s="37" t="s">
        <v>191</v>
      </c>
      <c r="N1666" s="38">
        <v>19.25</v>
      </c>
      <c r="O1666" s="38">
        <v>2.1749999999999998</v>
      </c>
      <c r="P1666" s="38">
        <v>0.32500000000000001</v>
      </c>
      <c r="Q1666" s="38">
        <v>0.05</v>
      </c>
      <c r="R1666" s="38">
        <v>1.82481</v>
      </c>
      <c r="S1666" s="38">
        <f t="shared" si="199"/>
        <v>2</v>
      </c>
      <c r="T1666" s="38">
        <v>21.7</v>
      </c>
      <c r="U1666" s="38">
        <v>0.1</v>
      </c>
      <c r="V1666" s="38">
        <v>0</v>
      </c>
      <c r="W1666" s="38">
        <v>0</v>
      </c>
      <c r="X1666" s="38">
        <v>1.95163</v>
      </c>
      <c r="Y1666" s="38">
        <f t="shared" si="200"/>
        <v>2</v>
      </c>
      <c r="Z1666" s="38">
        <v>0</v>
      </c>
      <c r="AA1666" s="38">
        <v>0</v>
      </c>
      <c r="AB1666" s="38">
        <v>21.8</v>
      </c>
      <c r="AC1666" s="38">
        <v>1.1593199999999999</v>
      </c>
      <c r="AD1666" s="38">
        <v>13.07</v>
      </c>
      <c r="AE1666" s="38">
        <v>9</v>
      </c>
      <c r="AF1666" s="38">
        <v>2.2974828375286038E-2</v>
      </c>
      <c r="AG1666" s="38">
        <f t="shared" si="201"/>
        <v>0</v>
      </c>
      <c r="AH1666" s="38">
        <v>0</v>
      </c>
      <c r="AI1666" s="38">
        <v>0</v>
      </c>
      <c r="AJ1666" s="38">
        <v>0</v>
      </c>
      <c r="AK1666" s="38">
        <v>0</v>
      </c>
      <c r="AL1666" s="38">
        <v>1</v>
      </c>
      <c r="AM1666" s="38">
        <f>AL1666/(3.5*I1666*1000)*100</f>
        <v>1.3076168682576003E-3</v>
      </c>
      <c r="AO1666" s="25"/>
      <c r="AP1666" s="25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</row>
    <row r="1667" spans="1:88" s="22" customFormat="1">
      <c r="A1667" s="1">
        <v>1139</v>
      </c>
      <c r="B1667" s="74" t="s">
        <v>1577</v>
      </c>
      <c r="C1667" s="34">
        <v>432</v>
      </c>
      <c r="D1667" s="34">
        <v>2224</v>
      </c>
      <c r="E1667" s="34">
        <v>100</v>
      </c>
      <c r="F1667" s="34" t="s">
        <v>1587</v>
      </c>
      <c r="G1667" s="34" t="s">
        <v>92</v>
      </c>
      <c r="H1667" s="34" t="s">
        <v>1588</v>
      </c>
      <c r="I1667" s="55">
        <v>19.187000000000001</v>
      </c>
      <c r="J1667" s="5">
        <v>4</v>
      </c>
      <c r="K1667" s="181" t="s">
        <v>238</v>
      </c>
      <c r="L1667" s="10">
        <v>42282</v>
      </c>
      <c r="M1667" s="37" t="s">
        <v>191</v>
      </c>
      <c r="N1667" s="38">
        <v>11.55</v>
      </c>
      <c r="O1667" s="38">
        <v>5.45</v>
      </c>
      <c r="P1667" s="38">
        <v>1.8</v>
      </c>
      <c r="Q1667" s="38">
        <v>0.42499999999999999</v>
      </c>
      <c r="R1667" s="38">
        <v>2.5855299999999999</v>
      </c>
      <c r="S1667" s="38">
        <f t="shared" ref="S1667:S1730" si="204">ROUND(R1667/5,1)*5</f>
        <v>2.5</v>
      </c>
      <c r="T1667" s="38">
        <v>18.975000000000001</v>
      </c>
      <c r="U1667" s="38">
        <v>0.15</v>
      </c>
      <c r="V1667" s="38">
        <v>7.4999999999999997E-2</v>
      </c>
      <c r="W1667" s="38">
        <v>2.5000000000000001E-2</v>
      </c>
      <c r="X1667" s="38">
        <v>2.9905400000000002</v>
      </c>
      <c r="Y1667" s="38">
        <f t="shared" ref="Y1667:Y1730" si="205">ROUND(X1667/5,1)*5</f>
        <v>3</v>
      </c>
      <c r="Z1667" s="38">
        <v>0</v>
      </c>
      <c r="AA1667" s="38">
        <v>0</v>
      </c>
      <c r="AB1667" s="38">
        <v>19.225000000000001</v>
      </c>
      <c r="AC1667" s="38">
        <v>1.3356399999999999</v>
      </c>
      <c r="AD1667" s="39">
        <v>6.3250000000000002</v>
      </c>
      <c r="AE1667" s="38">
        <v>18.202999999999999</v>
      </c>
      <c r="AF1667" s="38">
        <v>2.2971999999999999E-2</v>
      </c>
      <c r="AG1667" s="38">
        <f t="shared" ref="AG1667:AG1730" si="206">ROUND(AF1667,1)</f>
        <v>0</v>
      </c>
      <c r="AH1667" s="38">
        <v>4.62</v>
      </c>
      <c r="AI1667" s="38">
        <v>6.8799999999999998E-3</v>
      </c>
      <c r="AJ1667" s="38">
        <v>0</v>
      </c>
      <c r="AK1667" s="38">
        <v>0</v>
      </c>
      <c r="AL1667" s="38">
        <v>0</v>
      </c>
      <c r="AM1667" s="38">
        <v>0</v>
      </c>
      <c r="AN1667" s="114"/>
      <c r="AO1667" s="73"/>
    </row>
    <row r="1668" spans="1:88" s="22" customFormat="1">
      <c r="A1668" s="1">
        <v>229</v>
      </c>
      <c r="B1668" s="34" t="s">
        <v>436</v>
      </c>
      <c r="C1668" s="34">
        <v>537</v>
      </c>
      <c r="D1668" s="34">
        <v>1020</v>
      </c>
      <c r="E1668" s="34">
        <v>202</v>
      </c>
      <c r="F1668" s="34" t="s">
        <v>439</v>
      </c>
      <c r="G1668" s="20">
        <v>52550</v>
      </c>
      <c r="H1668" s="20">
        <v>95700</v>
      </c>
      <c r="I1668" s="35">
        <v>43.15</v>
      </c>
      <c r="J1668" s="33">
        <v>2</v>
      </c>
      <c r="K1668" s="34" t="s">
        <v>238</v>
      </c>
      <c r="L1668" s="10">
        <v>42198</v>
      </c>
      <c r="M1668" s="37" t="s">
        <v>191</v>
      </c>
      <c r="N1668" s="38">
        <v>34.57</v>
      </c>
      <c r="O1668" s="38">
        <v>6.52</v>
      </c>
      <c r="P1668" s="38">
        <v>1.64</v>
      </c>
      <c r="Q1668" s="38">
        <v>0.44</v>
      </c>
      <c r="R1668" s="38">
        <v>2.4877500000000001</v>
      </c>
      <c r="S1668" s="38">
        <f t="shared" si="204"/>
        <v>2.5</v>
      </c>
      <c r="T1668" s="38">
        <v>41.39</v>
      </c>
      <c r="U1668" s="38">
        <v>1.46</v>
      </c>
      <c r="V1668" s="38">
        <v>0.27</v>
      </c>
      <c r="W1668" s="38">
        <v>0.04</v>
      </c>
      <c r="X1668" s="38">
        <v>4.9930099999999999</v>
      </c>
      <c r="Y1668" s="38">
        <f t="shared" si="205"/>
        <v>5</v>
      </c>
      <c r="Z1668" s="38">
        <v>0</v>
      </c>
      <c r="AA1668" s="38">
        <v>0</v>
      </c>
      <c r="AB1668" s="38">
        <v>43.16</v>
      </c>
      <c r="AC1668" s="38">
        <v>1.1199300000000001</v>
      </c>
      <c r="AD1668" s="39">
        <v>22</v>
      </c>
      <c r="AE1668" s="38">
        <v>8.44</v>
      </c>
      <c r="AF1668" s="38">
        <v>2.2965752824735047E-2</v>
      </c>
      <c r="AG1668" s="38">
        <f t="shared" si="206"/>
        <v>0</v>
      </c>
      <c r="AH1668" s="38">
        <v>35</v>
      </c>
      <c r="AI1668" s="38">
        <v>3.0656039239730232E-2</v>
      </c>
      <c r="AJ1668" s="38">
        <v>6</v>
      </c>
      <c r="AK1668" s="55">
        <v>5.2553210125251826E-3</v>
      </c>
      <c r="AL1668" s="55">
        <v>2</v>
      </c>
      <c r="AM1668" s="55">
        <v>1.7517736708417275E-3</v>
      </c>
      <c r="AN1668" s="40"/>
      <c r="AO1668" s="25">
        <f>SUM(N1668:Q1668)</f>
        <v>43.17</v>
      </c>
      <c r="AP1668" s="25">
        <f>SUM(T1668:W1668)</f>
        <v>43.160000000000004</v>
      </c>
      <c r="AQ1668" s="268">
        <v>32.619999999999997</v>
      </c>
      <c r="AR1668" s="41"/>
      <c r="AS1668" s="41"/>
      <c r="AT1668" s="41"/>
      <c r="AU1668" s="41">
        <f>SUM(N1668:Q1668)</f>
        <v>43.17</v>
      </c>
      <c r="AV1668" s="41">
        <f>SUM(T1668:W1668)</f>
        <v>43.160000000000004</v>
      </c>
      <c r="AW1668" s="41">
        <f>SUM(Z1668:AB1668)</f>
        <v>43.16</v>
      </c>
      <c r="AY1668" s="22">
        <f>I1668/AU1668</f>
        <v>0.99953671531155885</v>
      </c>
      <c r="AZ1668" s="22">
        <f>I1668/AV1668</f>
        <v>0.99976830398517136</v>
      </c>
      <c r="BA1668" s="22">
        <f>I1668/AW1668</f>
        <v>0.99976830398517147</v>
      </c>
    </row>
    <row r="1669" spans="1:88" s="22" customFormat="1">
      <c r="A1669" s="1">
        <v>382</v>
      </c>
      <c r="B1669" s="67" t="s">
        <v>626</v>
      </c>
      <c r="C1669" s="34">
        <v>517</v>
      </c>
      <c r="D1669" s="68">
        <v>1074</v>
      </c>
      <c r="E1669" s="69">
        <v>101</v>
      </c>
      <c r="F1669" s="88" t="s">
        <v>634</v>
      </c>
      <c r="G1669" s="6" t="s">
        <v>92</v>
      </c>
      <c r="H1669" s="6" t="s">
        <v>635</v>
      </c>
      <c r="I1669" s="7">
        <v>23.094000000000001</v>
      </c>
      <c r="J1669" s="89">
        <v>2</v>
      </c>
      <c r="K1669" s="34" t="s">
        <v>237</v>
      </c>
      <c r="L1669" s="18">
        <v>42262</v>
      </c>
      <c r="M1669" s="123" t="s">
        <v>191</v>
      </c>
      <c r="N1669" s="38">
        <v>13.06</v>
      </c>
      <c r="O1669" s="38">
        <v>6.42</v>
      </c>
      <c r="P1669" s="38">
        <v>2.67</v>
      </c>
      <c r="Q1669" s="38">
        <v>0.95</v>
      </c>
      <c r="R1669" s="38">
        <v>2.6777299999999999</v>
      </c>
      <c r="S1669" s="38">
        <f t="shared" si="204"/>
        <v>2.5</v>
      </c>
      <c r="T1669" s="38">
        <v>21.25</v>
      </c>
      <c r="U1669" s="38">
        <v>1.6</v>
      </c>
      <c r="V1669" s="38">
        <v>0.17</v>
      </c>
      <c r="W1669" s="38">
        <v>7.0000000000000007E-2</v>
      </c>
      <c r="X1669" s="38">
        <v>4.9298599999999997</v>
      </c>
      <c r="Y1669" s="38">
        <f t="shared" si="205"/>
        <v>5</v>
      </c>
      <c r="Z1669" s="38">
        <v>0</v>
      </c>
      <c r="AA1669" s="38">
        <v>0</v>
      </c>
      <c r="AB1669" s="38">
        <v>23.09</v>
      </c>
      <c r="AC1669" s="38">
        <v>1.1061799999999999</v>
      </c>
      <c r="AD1669" s="39">
        <v>14.7</v>
      </c>
      <c r="AE1669" s="38">
        <v>7.67</v>
      </c>
      <c r="AF1669" s="38">
        <f>(AD1669+AE1669*0.5)/(3.5*I1669*1000)*100</f>
        <v>2.2931126204703754E-2</v>
      </c>
      <c r="AG1669" s="38">
        <f t="shared" si="206"/>
        <v>0</v>
      </c>
      <c r="AH1669" s="38">
        <v>387.24200000000002</v>
      </c>
      <c r="AI1669" s="38">
        <f>AH1669/(3.5*I1669*1000)*100</f>
        <v>0.47908795110665725</v>
      </c>
      <c r="AJ1669" s="38">
        <v>0</v>
      </c>
      <c r="AK1669" s="38">
        <f>AJ1669/(3.5*I1669*1000)*100</f>
        <v>0</v>
      </c>
      <c r="AL1669" s="38">
        <v>0</v>
      </c>
      <c r="AM1669" s="38">
        <f t="shared" ref="AM1669:AM1674" si="207">AL1669/(3.5*I1669*1000)*100</f>
        <v>0</v>
      </c>
      <c r="AQ1669" s="25">
        <f>SUM(N1669:Q1669)</f>
        <v>23.099999999999998</v>
      </c>
      <c r="AR1669" s="25">
        <f>SUM(T1669:W1669)</f>
        <v>23.090000000000003</v>
      </c>
      <c r="AS1669" s="25">
        <f>SUM(Z1669:AB1669)</f>
        <v>23.09</v>
      </c>
      <c r="AU1669" s="1">
        <f>I1669/AQ1669</f>
        <v>0.99974025974025993</v>
      </c>
      <c r="AV1669" s="1">
        <f>I1669/AR1669</f>
        <v>1.0001732351667387</v>
      </c>
      <c r="AW1669" s="1">
        <f>I1669/AS1669</f>
        <v>1.0001732351667389</v>
      </c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</row>
    <row r="1670" spans="1:88" s="22" customFormat="1">
      <c r="A1670" s="1">
        <v>636</v>
      </c>
      <c r="B1670" s="78" t="s">
        <v>1040</v>
      </c>
      <c r="C1670" s="78">
        <v>629</v>
      </c>
      <c r="D1670" s="78">
        <v>2263</v>
      </c>
      <c r="E1670" s="78">
        <v>202</v>
      </c>
      <c r="F1670" s="71" t="s">
        <v>1044</v>
      </c>
      <c r="G1670" s="120">
        <v>38500</v>
      </c>
      <c r="H1670" s="120">
        <v>48348</v>
      </c>
      <c r="I1670" s="121">
        <v>9.8480000000000008</v>
      </c>
      <c r="J1670" s="71">
        <v>2</v>
      </c>
      <c r="K1670" s="78" t="s">
        <v>238</v>
      </c>
      <c r="L1670" s="122">
        <v>42180</v>
      </c>
      <c r="M1670" s="123" t="s">
        <v>191</v>
      </c>
      <c r="N1670" s="83">
        <v>6.875</v>
      </c>
      <c r="O1670" s="83">
        <v>2.0499999999999998</v>
      </c>
      <c r="P1670" s="83">
        <v>1.05</v>
      </c>
      <c r="Q1670" s="83">
        <v>0.45</v>
      </c>
      <c r="R1670" s="83">
        <v>2.40618</v>
      </c>
      <c r="S1670" s="38">
        <f t="shared" si="204"/>
        <v>2.5</v>
      </c>
      <c r="T1670" s="83">
        <v>10.3</v>
      </c>
      <c r="U1670" s="83">
        <v>0.1</v>
      </c>
      <c r="V1670" s="83">
        <v>2.5000000000000001E-2</v>
      </c>
      <c r="W1670" s="83">
        <v>0</v>
      </c>
      <c r="X1670" s="83">
        <v>2.6586400000000001</v>
      </c>
      <c r="Y1670" s="38">
        <f t="shared" si="205"/>
        <v>2.5</v>
      </c>
      <c r="Z1670" s="124">
        <v>0</v>
      </c>
      <c r="AA1670" s="124">
        <v>0</v>
      </c>
      <c r="AB1670" s="124">
        <f>T1670+U1670+V1670+W1670</f>
        <v>10.425000000000001</v>
      </c>
      <c r="AC1670" s="83">
        <v>1.2336800000000001</v>
      </c>
      <c r="AD1670" s="125">
        <v>6.875</v>
      </c>
      <c r="AE1670" s="83">
        <v>2.0499999999999998</v>
      </c>
      <c r="AF1670" s="83">
        <v>2.2919809678542416E-2</v>
      </c>
      <c r="AG1670" s="38">
        <f t="shared" si="206"/>
        <v>0</v>
      </c>
      <c r="AH1670" s="83">
        <v>0.45</v>
      </c>
      <c r="AI1670" s="83">
        <v>1.3055587791574795E-3</v>
      </c>
      <c r="AJ1670" s="83">
        <v>10.3</v>
      </c>
      <c r="AK1670" s="83">
        <v>2.9882789834048976E-2</v>
      </c>
      <c r="AL1670" s="83">
        <v>2.5000000000000001E-2</v>
      </c>
      <c r="AM1670" s="83">
        <f t="shared" si="207"/>
        <v>7.253104328652664E-5</v>
      </c>
      <c r="AN1670" s="25"/>
      <c r="AO1670" s="25">
        <f>AE1670*0.5</f>
        <v>1.0249999999999999</v>
      </c>
      <c r="AP1670" s="25">
        <f>(AD1670+AH1670+AJ1670+AL1670+AO1670)*I1670</f>
        <v>183.91139999999999</v>
      </c>
      <c r="AQ1670" s="25">
        <f>SUM(N1670:Q1670)</f>
        <v>10.425000000000001</v>
      </c>
      <c r="AR1670" s="25">
        <f>SUM(T1670:W1670)</f>
        <v>10.425000000000001</v>
      </c>
      <c r="AT1670" s="41"/>
      <c r="AU1670" s="41"/>
      <c r="AV1670" s="41"/>
      <c r="AW1670" s="41"/>
    </row>
    <row r="1671" spans="1:88" s="22" customFormat="1">
      <c r="A1671" s="1">
        <v>1544</v>
      </c>
      <c r="B1671" s="88" t="s">
        <v>2121</v>
      </c>
      <c r="C1671" s="88">
        <v>415</v>
      </c>
      <c r="D1671" s="199">
        <v>338</v>
      </c>
      <c r="E1671" s="88">
        <v>201</v>
      </c>
      <c r="F1671" s="88" t="s">
        <v>2122</v>
      </c>
      <c r="G1671" s="200" t="s">
        <v>2123</v>
      </c>
      <c r="H1671" s="200" t="s">
        <v>2124</v>
      </c>
      <c r="I1671" s="51">
        <v>16.308</v>
      </c>
      <c r="J1671" s="88">
        <v>12</v>
      </c>
      <c r="K1671" s="88" t="s">
        <v>237</v>
      </c>
      <c r="L1671" s="116">
        <v>42242</v>
      </c>
      <c r="M1671" s="37" t="s">
        <v>191</v>
      </c>
      <c r="N1671" s="117">
        <v>12.3</v>
      </c>
      <c r="O1671" s="117">
        <v>3.05</v>
      </c>
      <c r="P1671" s="117">
        <v>1.175</v>
      </c>
      <c r="Q1671" s="117">
        <v>0.375</v>
      </c>
      <c r="R1671" s="117">
        <v>2.2564500000000001</v>
      </c>
      <c r="S1671" s="38">
        <f t="shared" si="204"/>
        <v>2.5</v>
      </c>
      <c r="T1671" s="117">
        <v>16.600000000000001</v>
      </c>
      <c r="U1671" s="117">
        <v>0.3</v>
      </c>
      <c r="V1671" s="117">
        <v>0</v>
      </c>
      <c r="W1671" s="117">
        <v>0</v>
      </c>
      <c r="X1671" s="117">
        <v>4.2220700000000004</v>
      </c>
      <c r="Y1671" s="38">
        <f t="shared" si="205"/>
        <v>4</v>
      </c>
      <c r="Z1671" s="117">
        <v>0</v>
      </c>
      <c r="AA1671" s="117">
        <v>0</v>
      </c>
      <c r="AB1671" s="117">
        <f>SUM(N1671:Q1671)</f>
        <v>16.900000000000002</v>
      </c>
      <c r="AC1671" s="117">
        <v>1.3488</v>
      </c>
      <c r="AD1671" s="39">
        <v>0</v>
      </c>
      <c r="AE1671" s="38">
        <v>25.99</v>
      </c>
      <c r="AF1671" s="38">
        <f>(AD1671+AE1671*0.5)/(3.5*I1671*1000)*100</f>
        <v>2.2767090647885346E-2</v>
      </c>
      <c r="AG1671" s="38">
        <f t="shared" si="206"/>
        <v>0</v>
      </c>
      <c r="AH1671" s="38">
        <v>0</v>
      </c>
      <c r="AI1671" s="38">
        <f>AH1671/(3.5*I1671*1000)*100</f>
        <v>0</v>
      </c>
      <c r="AJ1671" s="38">
        <v>3.05</v>
      </c>
      <c r="AK1671" s="38">
        <f>AJ1671/(3.5*I1671*1000)*100</f>
        <v>5.3435649462139521E-3</v>
      </c>
      <c r="AL1671" s="38">
        <v>0</v>
      </c>
      <c r="AM1671" s="38">
        <f t="shared" si="207"/>
        <v>0</v>
      </c>
      <c r="AN1671" s="12"/>
      <c r="AO1671" s="12">
        <f>AE1671*0.5</f>
        <v>12.994999999999999</v>
      </c>
      <c r="AP1671" s="12">
        <f>(AD1671+AH1671+AJ1671+AL1671+AO1671)*I1671</f>
        <v>261.66185999999999</v>
      </c>
      <c r="AQ1671" s="12">
        <f>SUM(N1671:Q1671)</f>
        <v>16.900000000000002</v>
      </c>
      <c r="AR1671" s="12">
        <f>SUM(T1671:W1671)</f>
        <v>16.900000000000002</v>
      </c>
      <c r="AS1671" s="12"/>
      <c r="AT1671" s="1"/>
      <c r="AU1671" s="41">
        <v>0</v>
      </c>
      <c r="AV1671" s="41">
        <v>0</v>
      </c>
      <c r="AW1671" s="41">
        <v>0</v>
      </c>
      <c r="AX1671" s="41">
        <v>0</v>
      </c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</row>
    <row r="1672" spans="1:88" s="22" customFormat="1">
      <c r="A1672" s="1">
        <v>1039</v>
      </c>
      <c r="B1672" s="9" t="s">
        <v>1394</v>
      </c>
      <c r="C1672" s="9">
        <v>617</v>
      </c>
      <c r="D1672" s="8">
        <v>2226</v>
      </c>
      <c r="E1672" s="9">
        <v>202</v>
      </c>
      <c r="F1672" s="9" t="s">
        <v>1438</v>
      </c>
      <c r="G1672" s="20">
        <v>63656</v>
      </c>
      <c r="H1672" s="20">
        <v>95835</v>
      </c>
      <c r="I1672" s="35">
        <v>32.179000000000002</v>
      </c>
      <c r="J1672" s="9">
        <v>2</v>
      </c>
      <c r="K1672" s="9" t="s">
        <v>238</v>
      </c>
      <c r="L1672" s="18">
        <v>42129</v>
      </c>
      <c r="M1672" s="37" t="s">
        <v>191</v>
      </c>
      <c r="N1672" s="11">
        <v>22.385999999999999</v>
      </c>
      <c r="O1672" s="11">
        <v>7.0540000000000003</v>
      </c>
      <c r="P1672" s="11">
        <v>2.2029999999999998</v>
      </c>
      <c r="Q1672" s="11">
        <v>0.53600000000000003</v>
      </c>
      <c r="R1672" s="11">
        <v>2.45262</v>
      </c>
      <c r="S1672" s="38">
        <f t="shared" si="204"/>
        <v>2.5</v>
      </c>
      <c r="T1672" s="11">
        <v>30.95</v>
      </c>
      <c r="U1672" s="11">
        <v>0.72499999999999998</v>
      </c>
      <c r="V1672" s="11">
        <v>0.125</v>
      </c>
      <c r="W1672" s="11">
        <v>2.5000000000000001E-2</v>
      </c>
      <c r="X1672" s="11">
        <v>4.2396000000000003</v>
      </c>
      <c r="Y1672" s="38">
        <f t="shared" si="205"/>
        <v>4</v>
      </c>
      <c r="Z1672" s="11">
        <v>0</v>
      </c>
      <c r="AA1672" s="11">
        <v>0</v>
      </c>
      <c r="AB1672" s="11">
        <f>SUM(N1672:Q1672)</f>
        <v>32.178999999999995</v>
      </c>
      <c r="AC1672" s="11">
        <v>1.2118899999999999</v>
      </c>
      <c r="AD1672" s="164">
        <v>22.89</v>
      </c>
      <c r="AE1672" s="11">
        <v>5.44</v>
      </c>
      <c r="AF1672" s="11">
        <f>(AD1672+AE1672*0.5)/(3.5*I1672*1000)*100</f>
        <v>2.2738875841831183E-2</v>
      </c>
      <c r="AG1672" s="38">
        <f t="shared" si="206"/>
        <v>0</v>
      </c>
      <c r="AH1672" s="11">
        <v>32.58</v>
      </c>
      <c r="AI1672" s="38">
        <f>AH1672/(3.5*I1672*1000)*100</f>
        <v>2.8927472664071065E-2</v>
      </c>
      <c r="AJ1672" s="11">
        <v>22.11</v>
      </c>
      <c r="AK1672" s="38">
        <f>AJ1672/(3.5*I1672*1000)*100</f>
        <v>1.96312590731311E-2</v>
      </c>
      <c r="AL1672" s="11">
        <v>0</v>
      </c>
      <c r="AM1672" s="38">
        <f t="shared" si="207"/>
        <v>0</v>
      </c>
      <c r="AN1672" s="25"/>
      <c r="AO1672" s="25">
        <f>AE1672*0.5</f>
        <v>2.72</v>
      </c>
      <c r="AP1672" s="25">
        <f>(AD1672+AH1672+AJ1672+AL1672+AO1672)*I1672</f>
        <v>2583.9737</v>
      </c>
      <c r="AQ1672" s="25"/>
      <c r="AR1672" s="25"/>
      <c r="AS1672" s="25">
        <f>SUM(N1672:Q1672)</f>
        <v>32.178999999999995</v>
      </c>
      <c r="AT1672" s="25">
        <f>SUM(T1672:W1672)</f>
        <v>31.824999999999999</v>
      </c>
      <c r="AU1672" s="41"/>
      <c r="AV1672" s="41"/>
      <c r="AW1672" s="41"/>
    </row>
    <row r="1673" spans="1:88" s="22" customFormat="1">
      <c r="A1673" s="1">
        <v>1121</v>
      </c>
      <c r="B1673" s="9" t="s">
        <v>1513</v>
      </c>
      <c r="C1673" s="34">
        <v>431</v>
      </c>
      <c r="D1673" s="75">
        <v>3326</v>
      </c>
      <c r="E1673" s="69">
        <v>102</v>
      </c>
      <c r="F1673" s="34" t="s">
        <v>1556</v>
      </c>
      <c r="G1673" s="58" t="s">
        <v>1555</v>
      </c>
      <c r="H1673" s="58" t="s">
        <v>1557</v>
      </c>
      <c r="I1673" s="34">
        <v>15.419</v>
      </c>
      <c r="J1673" s="5">
        <v>2</v>
      </c>
      <c r="K1673" s="5" t="s">
        <v>12</v>
      </c>
      <c r="L1673" s="18">
        <v>42282</v>
      </c>
      <c r="M1673" s="37" t="s">
        <v>191</v>
      </c>
      <c r="N1673" s="38">
        <v>15.4</v>
      </c>
      <c r="O1673" s="38">
        <v>0</v>
      </c>
      <c r="P1673" s="38">
        <v>0</v>
      </c>
      <c r="Q1673" s="38">
        <v>0</v>
      </c>
      <c r="R1673" s="38">
        <v>2.1269999999999998</v>
      </c>
      <c r="S1673" s="38">
        <f t="shared" si="204"/>
        <v>2</v>
      </c>
      <c r="T1673" s="38">
        <v>15.4</v>
      </c>
      <c r="U1673" s="38">
        <v>0</v>
      </c>
      <c r="V1673" s="38">
        <v>0</v>
      </c>
      <c r="W1673" s="38">
        <v>0</v>
      </c>
      <c r="X1673" s="38">
        <v>2.9809999999999999</v>
      </c>
      <c r="Y1673" s="38">
        <f t="shared" si="205"/>
        <v>3</v>
      </c>
      <c r="Z1673" s="38">
        <v>0</v>
      </c>
      <c r="AA1673" s="38">
        <v>0</v>
      </c>
      <c r="AB1673" s="38">
        <v>15.4</v>
      </c>
      <c r="AC1673" s="38">
        <v>1.1850000000000001</v>
      </c>
      <c r="AD1673" s="39">
        <v>12.26</v>
      </c>
      <c r="AE1673" s="38">
        <v>0</v>
      </c>
      <c r="AF1673" s="38">
        <f>(AD1673+AE1673*0.5)/(3.5*I1673*1000)*100</f>
        <v>2.271779715193685E-2</v>
      </c>
      <c r="AG1673" s="38">
        <f t="shared" si="206"/>
        <v>0</v>
      </c>
      <c r="AH1673" s="38">
        <v>0</v>
      </c>
      <c r="AI1673" s="38">
        <f>AH1673/(3.5*I1673*1000)*100</f>
        <v>0</v>
      </c>
      <c r="AJ1673" s="38">
        <v>0</v>
      </c>
      <c r="AK1673" s="38">
        <f>AJ1673/(3.5*I1673*1000)*100</f>
        <v>0</v>
      </c>
      <c r="AL1673" s="38">
        <v>0</v>
      </c>
      <c r="AM1673" s="38">
        <f t="shared" si="207"/>
        <v>0</v>
      </c>
      <c r="AN1673" s="41"/>
      <c r="AO1673" s="114"/>
      <c r="AP1673" s="73"/>
      <c r="AQ1673" s="73"/>
    </row>
    <row r="1674" spans="1:88" s="22" customFormat="1">
      <c r="A1674" s="1">
        <v>1112</v>
      </c>
      <c r="B1674" s="9" t="s">
        <v>1513</v>
      </c>
      <c r="C1674" s="34">
        <v>431</v>
      </c>
      <c r="D1674" s="75">
        <v>3017</v>
      </c>
      <c r="E1674" s="69">
        <v>102</v>
      </c>
      <c r="F1674" s="34" t="s">
        <v>1542</v>
      </c>
      <c r="G1674" s="20" t="s">
        <v>1543</v>
      </c>
      <c r="H1674" s="20" t="s">
        <v>1544</v>
      </c>
      <c r="I1674" s="21">
        <v>39.639000000000003</v>
      </c>
      <c r="J1674" s="8">
        <v>4</v>
      </c>
      <c r="K1674" s="5" t="s">
        <v>238</v>
      </c>
      <c r="L1674" s="18">
        <v>42282</v>
      </c>
      <c r="M1674" s="37" t="s">
        <v>191</v>
      </c>
      <c r="N1674" s="38">
        <v>23.824999999999999</v>
      </c>
      <c r="O1674" s="38">
        <v>8.7750000000000004</v>
      </c>
      <c r="P1674" s="38">
        <v>5.2</v>
      </c>
      <c r="Q1674" s="38">
        <v>2.1749999999999998</v>
      </c>
      <c r="R1674" s="38">
        <v>2.7223600000000001</v>
      </c>
      <c r="S1674" s="38">
        <f t="shared" si="204"/>
        <v>2.5</v>
      </c>
      <c r="T1674" s="38">
        <v>34.299999999999997</v>
      </c>
      <c r="U1674" s="38">
        <v>4.375</v>
      </c>
      <c r="V1674" s="38">
        <v>1.075</v>
      </c>
      <c r="W1674" s="38">
        <v>0.22500000000000001</v>
      </c>
      <c r="X1674" s="38">
        <v>5.3558500000000002</v>
      </c>
      <c r="Y1674" s="38">
        <f t="shared" si="205"/>
        <v>5.5</v>
      </c>
      <c r="Z1674" s="38">
        <v>0</v>
      </c>
      <c r="AA1674" s="38">
        <v>0</v>
      </c>
      <c r="AB1674" s="38">
        <v>39.975000000000001</v>
      </c>
      <c r="AC1674" s="38">
        <v>1.17347</v>
      </c>
      <c r="AD1674" s="39">
        <v>29.335999999999999</v>
      </c>
      <c r="AE1674" s="38">
        <v>3.68</v>
      </c>
      <c r="AF1674" s="38">
        <f>(AD1674+AE1674*0.5)/(3.5*I1674*1000)*100</f>
        <v>2.2471375593300969E-2</v>
      </c>
      <c r="AG1674" s="38">
        <f t="shared" si="206"/>
        <v>0</v>
      </c>
      <c r="AH1674" s="38">
        <v>1.32</v>
      </c>
      <c r="AI1674" s="38">
        <f>AH1674/(3.5*I1674*1000)*100</f>
        <v>9.5144392427371318E-4</v>
      </c>
      <c r="AJ1674" s="38">
        <v>1.02</v>
      </c>
      <c r="AK1674" s="38">
        <f>AJ1674/(3.5*I1674*1000)*100</f>
        <v>7.3520666875696015E-4</v>
      </c>
      <c r="AL1674" s="38">
        <v>0</v>
      </c>
      <c r="AM1674" s="38">
        <f t="shared" si="207"/>
        <v>0</v>
      </c>
      <c r="AN1674" s="41"/>
      <c r="AO1674" s="72"/>
      <c r="AP1674" s="73"/>
      <c r="AQ1674" s="73"/>
    </row>
    <row r="1675" spans="1:88" s="22" customFormat="1">
      <c r="A1675" s="1">
        <v>733</v>
      </c>
      <c r="B1675" s="34" t="s">
        <v>1138</v>
      </c>
      <c r="C1675" s="34">
        <v>628</v>
      </c>
      <c r="D1675" s="34">
        <v>208</v>
      </c>
      <c r="E1675" s="34">
        <v>100</v>
      </c>
      <c r="F1675" s="34" t="s">
        <v>1139</v>
      </c>
      <c r="G1675" s="58">
        <v>9950</v>
      </c>
      <c r="H1675" s="58">
        <v>0</v>
      </c>
      <c r="I1675" s="51">
        <v>9.9499999999999993</v>
      </c>
      <c r="J1675" s="34">
        <v>4</v>
      </c>
      <c r="K1675" s="34" t="s">
        <v>96</v>
      </c>
      <c r="L1675" s="10">
        <v>42173</v>
      </c>
      <c r="M1675" s="37" t="s">
        <v>191</v>
      </c>
      <c r="N1675" s="38">
        <v>5.9</v>
      </c>
      <c r="O1675" s="38">
        <v>2.7250000000000001</v>
      </c>
      <c r="P1675" s="38">
        <v>0.875</v>
      </c>
      <c r="Q1675" s="38">
        <v>0.45</v>
      </c>
      <c r="R1675" s="38">
        <v>2.5465300000000002</v>
      </c>
      <c r="S1675" s="38">
        <f t="shared" si="204"/>
        <v>2.5</v>
      </c>
      <c r="T1675" s="38">
        <v>5.8</v>
      </c>
      <c r="U1675" s="38">
        <v>2.9249999999999998</v>
      </c>
      <c r="V1675" s="38">
        <v>0.47499999999999998</v>
      </c>
      <c r="W1675" s="38">
        <v>0.75</v>
      </c>
      <c r="X1675" s="38">
        <v>10.211399999999999</v>
      </c>
      <c r="Y1675" s="38">
        <f t="shared" si="205"/>
        <v>10</v>
      </c>
      <c r="Z1675" s="38">
        <v>0</v>
      </c>
      <c r="AA1675" s="38">
        <v>0</v>
      </c>
      <c r="AB1675" s="38">
        <f>N1675+O1675+P1675+Q1675</f>
        <v>9.9499999999999993</v>
      </c>
      <c r="AC1675" s="38">
        <v>1.05477</v>
      </c>
      <c r="AD1675" s="39">
        <v>7.79</v>
      </c>
      <c r="AE1675" s="38">
        <v>0</v>
      </c>
      <c r="AF1675" s="38">
        <v>2.2370000000000001E-2</v>
      </c>
      <c r="AG1675" s="38">
        <f t="shared" si="206"/>
        <v>0</v>
      </c>
      <c r="AH1675" s="38">
        <v>0</v>
      </c>
      <c r="AI1675" s="38">
        <v>0</v>
      </c>
      <c r="AJ1675" s="38">
        <v>0</v>
      </c>
      <c r="AK1675" s="38">
        <v>0</v>
      </c>
      <c r="AL1675" s="38">
        <v>0</v>
      </c>
      <c r="AM1675" s="38">
        <v>0</v>
      </c>
      <c r="AN1675" s="25"/>
      <c r="AO1675" s="25">
        <f>AE1675*0.5</f>
        <v>0</v>
      </c>
      <c r="AP1675" s="25">
        <f>(AD1675+AH1675+AJ1675+AL1675+AO1675)*I1675</f>
        <v>77.510499999999993</v>
      </c>
      <c r="AQ1675" s="25">
        <f>SUM(N1675:Q1675)</f>
        <v>9.9499999999999993</v>
      </c>
      <c r="AR1675" s="25">
        <f>SUM(T1675:W1675)</f>
        <v>9.9499999999999993</v>
      </c>
      <c r="AT1675" s="41"/>
      <c r="AU1675" s="41"/>
      <c r="AV1675" s="41"/>
      <c r="AW1675" s="41"/>
    </row>
    <row r="1676" spans="1:88" s="137" customFormat="1">
      <c r="A1676" s="1">
        <v>1675</v>
      </c>
      <c r="B1676" s="129" t="s">
        <v>2272</v>
      </c>
      <c r="C1676" s="129">
        <v>419</v>
      </c>
      <c r="D1676" s="203">
        <v>3902</v>
      </c>
      <c r="E1676" s="129">
        <v>101</v>
      </c>
      <c r="F1676" s="129" t="s">
        <v>2273</v>
      </c>
      <c r="G1676" s="153" t="s">
        <v>2274</v>
      </c>
      <c r="H1676" s="153" t="s">
        <v>92</v>
      </c>
      <c r="I1676" s="132">
        <v>0</v>
      </c>
      <c r="J1676" s="129">
        <v>2</v>
      </c>
      <c r="K1676" s="129" t="s">
        <v>12</v>
      </c>
      <c r="L1676" s="10">
        <v>42246</v>
      </c>
      <c r="M1676" s="37" t="s">
        <v>191</v>
      </c>
      <c r="N1676" s="55">
        <v>0</v>
      </c>
      <c r="O1676" s="55">
        <v>0</v>
      </c>
      <c r="P1676" s="55">
        <v>0</v>
      </c>
      <c r="Q1676" s="55">
        <v>0</v>
      </c>
      <c r="R1676" s="55">
        <v>0</v>
      </c>
      <c r="S1676" s="38">
        <f t="shared" si="204"/>
        <v>0</v>
      </c>
      <c r="T1676" s="55">
        <v>0</v>
      </c>
      <c r="U1676" s="55">
        <v>0</v>
      </c>
      <c r="V1676" s="55">
        <v>0</v>
      </c>
      <c r="W1676" s="55">
        <v>0</v>
      </c>
      <c r="X1676" s="55">
        <v>0</v>
      </c>
      <c r="Y1676" s="38">
        <f t="shared" si="205"/>
        <v>0</v>
      </c>
      <c r="Z1676" s="38">
        <v>0</v>
      </c>
      <c r="AA1676" s="38">
        <v>0</v>
      </c>
      <c r="AB1676" s="204">
        <v>0</v>
      </c>
      <c r="AC1676" s="204">
        <v>0</v>
      </c>
      <c r="AD1676" s="204">
        <v>0</v>
      </c>
      <c r="AE1676" s="204">
        <v>0</v>
      </c>
      <c r="AF1676" s="204">
        <v>0</v>
      </c>
      <c r="AG1676" s="38">
        <f t="shared" si="206"/>
        <v>0</v>
      </c>
      <c r="AH1676" s="204">
        <v>0</v>
      </c>
      <c r="AI1676" s="204">
        <v>0</v>
      </c>
      <c r="AJ1676" s="204">
        <v>0</v>
      </c>
      <c r="AK1676" s="204">
        <v>0</v>
      </c>
      <c r="AL1676" s="204">
        <v>0</v>
      </c>
      <c r="AM1676" s="204">
        <v>0</v>
      </c>
      <c r="AN1676" s="136"/>
      <c r="AO1676" s="136">
        <f>AE1676*0.5</f>
        <v>0</v>
      </c>
      <c r="AP1676" s="136">
        <f>(AD1676+AH1676+AJ1676+AL1676+AO1676)*I1676</f>
        <v>0</v>
      </c>
      <c r="AQ1676" s="136">
        <f>(AD1676+AH1676+AJ1676+AL1676)*I1676</f>
        <v>0</v>
      </c>
      <c r="AR1676" s="136">
        <f>SUM(N1676:Q1676)</f>
        <v>0</v>
      </c>
      <c r="AS1676" s="136">
        <f>SUM(T1676:W1676)</f>
        <v>0</v>
      </c>
      <c r="AU1676" s="138"/>
      <c r="AV1676" s="138"/>
      <c r="AW1676" s="138"/>
      <c r="AX1676" s="138"/>
    </row>
    <row r="1677" spans="1:88" s="22" customFormat="1">
      <c r="A1677" s="1">
        <v>734</v>
      </c>
      <c r="B1677" s="34" t="s">
        <v>1138</v>
      </c>
      <c r="C1677" s="34">
        <v>628</v>
      </c>
      <c r="D1677" s="34">
        <v>208</v>
      </c>
      <c r="E1677" s="34">
        <v>100</v>
      </c>
      <c r="F1677" s="34" t="s">
        <v>1139</v>
      </c>
      <c r="G1677" s="58">
        <v>0</v>
      </c>
      <c r="H1677" s="58">
        <v>9950</v>
      </c>
      <c r="I1677" s="51">
        <v>9.9499999999999993</v>
      </c>
      <c r="J1677" s="34">
        <v>4</v>
      </c>
      <c r="K1677" s="34" t="s">
        <v>237</v>
      </c>
      <c r="L1677" s="10">
        <v>42173</v>
      </c>
      <c r="M1677" s="37" t="s">
        <v>191</v>
      </c>
      <c r="N1677" s="38">
        <v>6.6749999999999998</v>
      </c>
      <c r="O1677" s="38">
        <v>2.6</v>
      </c>
      <c r="P1677" s="38">
        <v>0.45</v>
      </c>
      <c r="Q1677" s="38">
        <v>0.25</v>
      </c>
      <c r="R1677" s="38">
        <v>2.3593600000000001</v>
      </c>
      <c r="S1677" s="38">
        <f t="shared" si="204"/>
        <v>2.5</v>
      </c>
      <c r="T1677" s="38">
        <v>5.0250000000000004</v>
      </c>
      <c r="U1677" s="38">
        <v>3.3250000000000002</v>
      </c>
      <c r="V1677" s="38">
        <v>1.0249999999999999</v>
      </c>
      <c r="W1677" s="38">
        <v>0.6</v>
      </c>
      <c r="X1677" s="38">
        <v>10.5899</v>
      </c>
      <c r="Y1677" s="38">
        <f t="shared" si="205"/>
        <v>10.5</v>
      </c>
      <c r="Z1677" s="38">
        <v>0</v>
      </c>
      <c r="AA1677" s="38">
        <v>0</v>
      </c>
      <c r="AB1677" s="38">
        <f>N1677+O1677+P1677+Q1677</f>
        <v>9.9749999999999996</v>
      </c>
      <c r="AC1677" s="38">
        <v>1.1279999999999999</v>
      </c>
      <c r="AD1677" s="39">
        <v>7.79</v>
      </c>
      <c r="AE1677" s="38">
        <v>0</v>
      </c>
      <c r="AF1677" s="38">
        <v>2.236898779612348E-2</v>
      </c>
      <c r="AG1677" s="38">
        <f t="shared" si="206"/>
        <v>0</v>
      </c>
      <c r="AH1677" s="38">
        <v>0</v>
      </c>
      <c r="AI1677" s="38">
        <v>0</v>
      </c>
      <c r="AJ1677" s="38">
        <v>0</v>
      </c>
      <c r="AK1677" s="38">
        <v>0</v>
      </c>
      <c r="AL1677" s="38">
        <v>0</v>
      </c>
      <c r="AM1677" s="38">
        <v>0</v>
      </c>
      <c r="AN1677" s="25"/>
      <c r="AO1677" s="25">
        <f>AE1677*0.5</f>
        <v>0</v>
      </c>
      <c r="AP1677" s="25">
        <f>(AD1677+AH1677+AJ1677+AL1677+AO1677)*I1677</f>
        <v>77.510499999999993</v>
      </c>
      <c r="AQ1677" s="25">
        <f>SUM(N1677:Q1677)</f>
        <v>9.9749999999999996</v>
      </c>
      <c r="AR1677" s="25">
        <f>SUM(T1677:W1677)</f>
        <v>9.9750000000000014</v>
      </c>
      <c r="AT1677" s="41"/>
      <c r="AU1677" s="41"/>
      <c r="AV1677" s="41"/>
      <c r="AW1677" s="41"/>
    </row>
    <row r="1678" spans="1:88" s="22" customFormat="1">
      <c r="A1678" s="1">
        <v>742</v>
      </c>
      <c r="B1678" s="34" t="s">
        <v>1138</v>
      </c>
      <c r="C1678" s="34">
        <v>628</v>
      </c>
      <c r="D1678" s="34">
        <v>2440</v>
      </c>
      <c r="E1678" s="34">
        <v>201</v>
      </c>
      <c r="F1678" s="34" t="s">
        <v>1147</v>
      </c>
      <c r="G1678" s="58">
        <v>9150</v>
      </c>
      <c r="H1678" s="58">
        <v>21500</v>
      </c>
      <c r="I1678" s="51">
        <v>12.35</v>
      </c>
      <c r="J1678" s="34">
        <v>2</v>
      </c>
      <c r="K1678" s="34" t="s">
        <v>238</v>
      </c>
      <c r="L1678" s="10">
        <v>42173</v>
      </c>
      <c r="M1678" s="37" t="s">
        <v>191</v>
      </c>
      <c r="N1678" s="38">
        <v>8.75</v>
      </c>
      <c r="O1678" s="38">
        <v>3.0750000000000002</v>
      </c>
      <c r="P1678" s="38">
        <v>0.42499999999999999</v>
      </c>
      <c r="Q1678" s="38">
        <v>0.22500000000000001</v>
      </c>
      <c r="R1678" s="38">
        <v>2.4468899999999998</v>
      </c>
      <c r="S1678" s="38">
        <f t="shared" si="204"/>
        <v>2.5</v>
      </c>
      <c r="T1678" s="38">
        <v>11.775</v>
      </c>
      <c r="U1678" s="38">
        <v>0.625</v>
      </c>
      <c r="V1678" s="38">
        <v>7.4999999999999997E-2</v>
      </c>
      <c r="W1678" s="38">
        <v>0</v>
      </c>
      <c r="X1678" s="38">
        <v>4.6322299999999998</v>
      </c>
      <c r="Y1678" s="38">
        <f t="shared" si="205"/>
        <v>4.5</v>
      </c>
      <c r="Z1678" s="38">
        <v>0</v>
      </c>
      <c r="AA1678" s="38">
        <v>0</v>
      </c>
      <c r="AB1678" s="38">
        <f>N1678+O1678+P1678+Q1678</f>
        <v>12.475</v>
      </c>
      <c r="AC1678" s="38">
        <v>1.1712499999999999</v>
      </c>
      <c r="AD1678" s="39">
        <v>9.65</v>
      </c>
      <c r="AE1678" s="38">
        <v>0</v>
      </c>
      <c r="AF1678" s="38">
        <v>2.232E-2</v>
      </c>
      <c r="AG1678" s="38">
        <f t="shared" si="206"/>
        <v>0</v>
      </c>
      <c r="AH1678" s="38">
        <v>0</v>
      </c>
      <c r="AI1678" s="38">
        <v>0</v>
      </c>
      <c r="AJ1678" s="38">
        <v>11.46</v>
      </c>
      <c r="AK1678" s="38">
        <v>2.6519999999999998E-2</v>
      </c>
      <c r="AL1678" s="38">
        <v>0</v>
      </c>
      <c r="AM1678" s="38">
        <v>0</v>
      </c>
      <c r="AN1678" s="25"/>
      <c r="AO1678" s="25">
        <f>AE1678*0.5</f>
        <v>0</v>
      </c>
      <c r="AP1678" s="25">
        <f>(AD1678+AH1678+AJ1678+AL1678+AO1678)*I1678</f>
        <v>260.70849999999996</v>
      </c>
      <c r="AQ1678" s="25">
        <f>SUM(N1678:Q1678)</f>
        <v>12.475</v>
      </c>
      <c r="AR1678" s="25">
        <f>SUM(T1678:W1678)</f>
        <v>12.475</v>
      </c>
      <c r="AT1678" s="41"/>
      <c r="AU1678" s="41"/>
      <c r="AV1678" s="41"/>
      <c r="AW1678" s="41"/>
    </row>
    <row r="1679" spans="1:88" s="22" customFormat="1">
      <c r="A1679" s="1">
        <v>55</v>
      </c>
      <c r="B1679" s="4" t="s">
        <v>37</v>
      </c>
      <c r="C1679" s="14">
        <v>523</v>
      </c>
      <c r="D1679" s="19">
        <v>1274</v>
      </c>
      <c r="E1679" s="16">
        <v>201</v>
      </c>
      <c r="F1679" s="14" t="s">
        <v>122</v>
      </c>
      <c r="G1679" s="20" t="s">
        <v>107</v>
      </c>
      <c r="H1679" s="20" t="s">
        <v>108</v>
      </c>
      <c r="I1679" s="8">
        <v>21.042000000000002</v>
      </c>
      <c r="J1679" s="8">
        <v>2</v>
      </c>
      <c r="K1679" s="9" t="s">
        <v>238</v>
      </c>
      <c r="L1679" s="18">
        <v>42223</v>
      </c>
      <c r="M1679" s="37" t="s">
        <v>191</v>
      </c>
      <c r="N1679" s="26">
        <v>8.7249999999999996</v>
      </c>
      <c r="O1679" s="26">
        <v>6.7750000000000004</v>
      </c>
      <c r="P1679" s="26">
        <v>3.8</v>
      </c>
      <c r="Q1679" s="26">
        <v>1.7250000000000001</v>
      </c>
      <c r="R1679" s="26">
        <v>3.0402999999999998</v>
      </c>
      <c r="S1679" s="38">
        <f t="shared" si="204"/>
        <v>3</v>
      </c>
      <c r="T1679" s="26">
        <v>18.649999999999999</v>
      </c>
      <c r="U1679" s="26">
        <v>1.425</v>
      </c>
      <c r="V1679" s="26">
        <v>0.67500000000000004</v>
      </c>
      <c r="W1679" s="26">
        <v>0.27500000000000002</v>
      </c>
      <c r="X1679" s="26">
        <v>4.2241799999999996</v>
      </c>
      <c r="Y1679" s="38">
        <f t="shared" si="205"/>
        <v>4</v>
      </c>
      <c r="Z1679" s="26">
        <v>0</v>
      </c>
      <c r="AA1679" s="26">
        <v>0</v>
      </c>
      <c r="AB1679" s="26">
        <f>SUM(N1679:Q1679)</f>
        <v>21.025000000000002</v>
      </c>
      <c r="AC1679" s="26">
        <v>2.0699999999999998</v>
      </c>
      <c r="AD1679" s="258">
        <v>0</v>
      </c>
      <c r="AE1679" s="26">
        <v>32.79</v>
      </c>
      <c r="AF1679" s="26">
        <f>(AD1679+AE1679*0.5)/(3.5*I1679*1000)*100</f>
        <v>2.2261599250478634E-2</v>
      </c>
      <c r="AG1679" s="38">
        <f t="shared" si="206"/>
        <v>0</v>
      </c>
      <c r="AH1679" s="26">
        <v>0.81</v>
      </c>
      <c r="AI1679" s="26">
        <f>AH1679/(3.5*I1679*1000)*100</f>
        <v>1.0998411340584137E-3</v>
      </c>
      <c r="AJ1679" s="26">
        <v>0</v>
      </c>
      <c r="AK1679" s="26">
        <f>AJ1679/(3.5*I1679*1000)*100</f>
        <v>0</v>
      </c>
      <c r="AL1679" s="26">
        <v>0</v>
      </c>
      <c r="AM1679" s="26">
        <f t="shared" ref="AM1679:AM1688" si="208">AL1679/(3.5*I1679*1000)*100</f>
        <v>0</v>
      </c>
      <c r="AO1679" s="25"/>
      <c r="AP1679" s="25"/>
    </row>
    <row r="1680" spans="1:88" s="22" customFormat="1">
      <c r="A1680" s="1">
        <v>2163</v>
      </c>
      <c r="B1680" s="34" t="s">
        <v>2798</v>
      </c>
      <c r="C1680" s="34">
        <v>311</v>
      </c>
      <c r="D1680" s="75">
        <v>408</v>
      </c>
      <c r="E1680" s="8">
        <v>102</v>
      </c>
      <c r="F1680" s="9" t="s">
        <v>2801</v>
      </c>
      <c r="G1680" s="20" t="s">
        <v>2802</v>
      </c>
      <c r="H1680" s="20" t="s">
        <v>2803</v>
      </c>
      <c r="I1680" s="21">
        <v>30.13</v>
      </c>
      <c r="J1680" s="8">
        <v>2</v>
      </c>
      <c r="K1680" s="8" t="s">
        <v>237</v>
      </c>
      <c r="L1680" s="18">
        <v>42147</v>
      </c>
      <c r="M1680" s="37" t="s">
        <v>191</v>
      </c>
      <c r="N1680" s="38">
        <v>24.175000000000001</v>
      </c>
      <c r="O1680" s="38">
        <v>4.5250000000000004</v>
      </c>
      <c r="P1680" s="38">
        <v>1.075</v>
      </c>
      <c r="Q1680" s="38">
        <v>0.47499999999999998</v>
      </c>
      <c r="R1680" s="38">
        <v>2.1221399999999999</v>
      </c>
      <c r="S1680" s="38">
        <f t="shared" si="204"/>
        <v>2</v>
      </c>
      <c r="T1680" s="38">
        <v>28.9</v>
      </c>
      <c r="U1680" s="38">
        <v>1.325</v>
      </c>
      <c r="V1680" s="38">
        <v>2.5000000000000001E-2</v>
      </c>
      <c r="W1680" s="38">
        <v>0</v>
      </c>
      <c r="X1680" s="38">
        <v>5.0123100000000003</v>
      </c>
      <c r="Y1680" s="38">
        <f t="shared" si="205"/>
        <v>5</v>
      </c>
      <c r="Z1680" s="38">
        <v>0</v>
      </c>
      <c r="AA1680" s="38">
        <v>0</v>
      </c>
      <c r="AB1680" s="38">
        <v>30.250000000000004</v>
      </c>
      <c r="AC1680" s="38">
        <v>1.1813100000000001</v>
      </c>
      <c r="AD1680" s="39">
        <v>22.22</v>
      </c>
      <c r="AE1680" s="38">
        <v>2.02</v>
      </c>
      <c r="AF1680" s="38">
        <f>(AD1680+AE1680*0.5)/(3.5*I1680*1000)*100</f>
        <v>2.202835332606325E-2</v>
      </c>
      <c r="AG1680" s="38">
        <f t="shared" si="206"/>
        <v>0</v>
      </c>
      <c r="AH1680" s="38">
        <v>9.5</v>
      </c>
      <c r="AI1680" s="38">
        <f>AH1680/(3.5*I1680*1000)*100</f>
        <v>9.0085818595609501E-3</v>
      </c>
      <c r="AJ1680" s="38">
        <v>0</v>
      </c>
      <c r="AK1680" s="38">
        <f>AJ1680/(3.5*I1680*1000)*100</f>
        <v>0</v>
      </c>
      <c r="AL1680" s="38">
        <v>0</v>
      </c>
      <c r="AM1680" s="38">
        <f t="shared" si="208"/>
        <v>0</v>
      </c>
      <c r="AN1680" s="72"/>
      <c r="AO1680" s="41"/>
      <c r="AP1680" s="41"/>
      <c r="AQ1680" s="41">
        <f>SUM(N1680:Q1680)</f>
        <v>30.250000000000004</v>
      </c>
      <c r="AR1680" s="41">
        <f>SUM(T1680:W1680)</f>
        <v>30.249999999999996</v>
      </c>
      <c r="AS1680" s="12">
        <f>SUM(Z1680:AB1680)</f>
        <v>30.250000000000004</v>
      </c>
      <c r="AT1680" s="1"/>
      <c r="AU1680" s="1">
        <f>I1680/AQ1680</f>
        <v>0.99603305785123952</v>
      </c>
      <c r="AV1680" s="1">
        <f>I1680/AR1680</f>
        <v>0.99603305785123974</v>
      </c>
      <c r="AW1680" s="1">
        <f>I1680/AS1680</f>
        <v>0.99603305785123952</v>
      </c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</row>
    <row r="1681" spans="1:88" s="22" customFormat="1">
      <c r="A1681" s="1">
        <v>1662</v>
      </c>
      <c r="B1681" s="34" t="s">
        <v>2251</v>
      </c>
      <c r="C1681" s="34">
        <v>418</v>
      </c>
      <c r="D1681" s="69">
        <v>3215</v>
      </c>
      <c r="E1681" s="34">
        <v>102</v>
      </c>
      <c r="F1681" s="34" t="s">
        <v>2264</v>
      </c>
      <c r="G1681" s="58" t="s">
        <v>2265</v>
      </c>
      <c r="H1681" s="58" t="s">
        <v>2266</v>
      </c>
      <c r="I1681" s="35">
        <v>11.473000000000001</v>
      </c>
      <c r="J1681" s="34">
        <v>4</v>
      </c>
      <c r="K1681" s="34" t="s">
        <v>237</v>
      </c>
      <c r="L1681" s="10">
        <v>42244</v>
      </c>
      <c r="M1681" s="37" t="s">
        <v>191</v>
      </c>
      <c r="N1681" s="55">
        <v>7.4</v>
      </c>
      <c r="O1681" s="55">
        <v>2.875</v>
      </c>
      <c r="P1681" s="55">
        <v>0.97499999999999998</v>
      </c>
      <c r="Q1681" s="55">
        <v>0.3</v>
      </c>
      <c r="R1681" s="55">
        <v>2.4268200000000002</v>
      </c>
      <c r="S1681" s="38">
        <f t="shared" si="204"/>
        <v>2.5</v>
      </c>
      <c r="T1681" s="38">
        <v>10.75</v>
      </c>
      <c r="U1681" s="38">
        <v>0.65</v>
      </c>
      <c r="V1681" s="38">
        <v>0.1</v>
      </c>
      <c r="W1681" s="38">
        <v>0.05</v>
      </c>
      <c r="X1681" s="38">
        <v>4.22872</v>
      </c>
      <c r="Y1681" s="38">
        <f t="shared" si="205"/>
        <v>4</v>
      </c>
      <c r="Z1681" s="38">
        <v>0</v>
      </c>
      <c r="AA1681" s="38">
        <v>0</v>
      </c>
      <c r="AB1681" s="38">
        <f>SUM(N1681:Q1681)</f>
        <v>11.55</v>
      </c>
      <c r="AC1681" s="38">
        <v>0.87315399999999999</v>
      </c>
      <c r="AD1681" s="39">
        <v>2.4500000000000002</v>
      </c>
      <c r="AE1681" s="38">
        <v>12.78</v>
      </c>
      <c r="AF1681" s="38">
        <f>(AD1681+AE1681*0.5)/(3.5*I1681*1000)*100</f>
        <v>2.2014418946346079E-2</v>
      </c>
      <c r="AG1681" s="38">
        <f t="shared" si="206"/>
        <v>0</v>
      </c>
      <c r="AH1681" s="38">
        <v>0</v>
      </c>
      <c r="AI1681" s="38">
        <f>AH1681/(3.5*I1681*1000)*100</f>
        <v>0</v>
      </c>
      <c r="AJ1681" s="38">
        <v>0</v>
      </c>
      <c r="AK1681" s="38">
        <f>AJ1681/(3.5*I1681*1000)*100</f>
        <v>0</v>
      </c>
      <c r="AL1681" s="38">
        <v>0</v>
      </c>
      <c r="AM1681" s="38">
        <f t="shared" si="208"/>
        <v>0</v>
      </c>
      <c r="AN1681" s="25"/>
      <c r="AO1681" s="25">
        <f>AE1681*0.5</f>
        <v>6.39</v>
      </c>
      <c r="AP1681" s="25">
        <f>(AD1681+AH1681+AJ1681+AL1681+AO1681)*I1681</f>
        <v>101.42132000000001</v>
      </c>
      <c r="AQ1681" s="25">
        <f>(AD1681+AH1681+AJ1681+AL1681)*I1681</f>
        <v>28.108850000000004</v>
      </c>
      <c r="AR1681" s="25">
        <f>SUM(N1681:Q1681)</f>
        <v>11.55</v>
      </c>
      <c r="AS1681" s="25">
        <f>SUM(T1681:W1681)</f>
        <v>11.55</v>
      </c>
      <c r="AU1681" s="41"/>
      <c r="AV1681" s="41"/>
      <c r="AW1681" s="41"/>
      <c r="AX1681" s="41"/>
    </row>
    <row r="1682" spans="1:88" s="22" customFormat="1">
      <c r="A1682" s="1">
        <v>812</v>
      </c>
      <c r="B1682" s="34" t="s">
        <v>1204</v>
      </c>
      <c r="C1682" s="34">
        <v>647</v>
      </c>
      <c r="D1682" s="8">
        <v>12</v>
      </c>
      <c r="E1682" s="34">
        <v>902</v>
      </c>
      <c r="F1682" s="34" t="s">
        <v>1205</v>
      </c>
      <c r="G1682" s="58">
        <v>662897</v>
      </c>
      <c r="H1682" s="58">
        <v>620712</v>
      </c>
      <c r="I1682" s="35">
        <v>42.185000000000002</v>
      </c>
      <c r="J1682" s="9">
        <v>4</v>
      </c>
      <c r="K1682" s="34" t="s">
        <v>12</v>
      </c>
      <c r="L1682" s="10">
        <v>42153</v>
      </c>
      <c r="M1682" s="37" t="s">
        <v>191</v>
      </c>
      <c r="N1682" s="38">
        <v>28.450000000000003</v>
      </c>
      <c r="O1682" s="38">
        <v>10.425000000000001</v>
      </c>
      <c r="P1682" s="38">
        <v>2.4500000000000002</v>
      </c>
      <c r="Q1682" s="38">
        <v>1</v>
      </c>
      <c r="R1682" s="38">
        <v>2.5314999999999999</v>
      </c>
      <c r="S1682" s="38">
        <f t="shared" si="204"/>
        <v>2.5</v>
      </c>
      <c r="T1682" s="38">
        <v>37.424999999999997</v>
      </c>
      <c r="U1682" s="38">
        <v>3.9</v>
      </c>
      <c r="V1682" s="38">
        <v>0.7</v>
      </c>
      <c r="W1682" s="38">
        <v>0.3</v>
      </c>
      <c r="X1682" s="38">
        <v>5.96</v>
      </c>
      <c r="Y1682" s="38">
        <f t="shared" si="205"/>
        <v>6</v>
      </c>
      <c r="Z1682" s="38">
        <v>0</v>
      </c>
      <c r="AA1682" s="38">
        <v>0</v>
      </c>
      <c r="AB1682" s="38">
        <f>N1682+O1682+P1682+Q1682</f>
        <v>42.325000000000003</v>
      </c>
      <c r="AC1682" s="38">
        <v>1.1435999999999999</v>
      </c>
      <c r="AD1682" s="39">
        <v>14</v>
      </c>
      <c r="AE1682" s="38">
        <v>37</v>
      </c>
      <c r="AF1682" s="38">
        <f>(AD1682+AE1682*0.5)/(3.5*I1682*1000)*100</f>
        <v>2.2011886418666079E-2</v>
      </c>
      <c r="AG1682" s="38">
        <f t="shared" si="206"/>
        <v>0</v>
      </c>
      <c r="AH1682" s="38">
        <v>0</v>
      </c>
      <c r="AI1682" s="38">
        <f>AH1682/(3.5*I1682*1000)*100</f>
        <v>0</v>
      </c>
      <c r="AJ1682" s="38">
        <v>73</v>
      </c>
      <c r="AK1682" s="38">
        <f>AJ1682/(3.5*I1682*1000)*100</f>
        <v>4.9442083340388431E-2</v>
      </c>
      <c r="AL1682" s="38">
        <v>0</v>
      </c>
      <c r="AM1682" s="38">
        <f t="shared" si="208"/>
        <v>0</v>
      </c>
      <c r="AN1682" s="25"/>
      <c r="AO1682" s="25">
        <f>AE1682*0.5</f>
        <v>18.5</v>
      </c>
      <c r="AP1682" s="25">
        <f>(AD1682+AH1682+AJ1682+AL1682+AO1682)*I1682</f>
        <v>4450.5174999999999</v>
      </c>
      <c r="AQ1682" s="136">
        <f>SUM(N1682:Q1682)</f>
        <v>42.325000000000003</v>
      </c>
      <c r="AR1682" s="136">
        <f>SUM(T1682:W1682)</f>
        <v>42.324999999999996</v>
      </c>
      <c r="AS1682" s="268">
        <v>42.185000000000002</v>
      </c>
      <c r="AT1682" s="41"/>
      <c r="AU1682" s="41"/>
      <c r="AV1682" s="41"/>
      <c r="AW1682" s="41"/>
    </row>
    <row r="1683" spans="1:88" s="22" customFormat="1">
      <c r="A1683" s="1">
        <v>2216</v>
      </c>
      <c r="B1683" s="34" t="s">
        <v>2853</v>
      </c>
      <c r="C1683" s="34">
        <v>318</v>
      </c>
      <c r="D1683" s="75">
        <v>416</v>
      </c>
      <c r="E1683" s="8">
        <v>101</v>
      </c>
      <c r="F1683" s="9" t="s">
        <v>2861</v>
      </c>
      <c r="G1683" s="20">
        <v>0</v>
      </c>
      <c r="H1683" s="20">
        <v>37039</v>
      </c>
      <c r="I1683" s="21">
        <v>37.039000000000001</v>
      </c>
      <c r="J1683" s="8">
        <v>4</v>
      </c>
      <c r="K1683" s="8" t="s">
        <v>238</v>
      </c>
      <c r="L1683" s="18">
        <v>42150</v>
      </c>
      <c r="M1683" s="37" t="s">
        <v>191</v>
      </c>
      <c r="N1683" s="38">
        <v>20.675000000000001</v>
      </c>
      <c r="O1683" s="38">
        <v>10.45</v>
      </c>
      <c r="P1683" s="38">
        <v>4.6749999999999998</v>
      </c>
      <c r="Q1683" s="38">
        <v>1.3</v>
      </c>
      <c r="R1683" s="38">
        <v>2.6375899999999999</v>
      </c>
      <c r="S1683" s="38">
        <f t="shared" si="204"/>
        <v>2.5</v>
      </c>
      <c r="T1683" s="38">
        <v>34.5</v>
      </c>
      <c r="U1683" s="38">
        <v>2.0750000000000002</v>
      </c>
      <c r="V1683" s="38">
        <v>0.42499999999999999</v>
      </c>
      <c r="W1683" s="38">
        <v>0.1</v>
      </c>
      <c r="X1683" s="11">
        <v>4.5005300000000004</v>
      </c>
      <c r="Y1683" s="38">
        <f t="shared" si="205"/>
        <v>4.5</v>
      </c>
      <c r="Z1683" s="38">
        <v>0</v>
      </c>
      <c r="AA1683" s="38">
        <v>0</v>
      </c>
      <c r="AB1683" s="38">
        <v>37.099999999999994</v>
      </c>
      <c r="AC1683" s="11">
        <v>1.1319699999999999</v>
      </c>
      <c r="AD1683" s="39">
        <v>0</v>
      </c>
      <c r="AE1683" s="38">
        <v>57</v>
      </c>
      <c r="AF1683" s="38">
        <v>2.1984549104611738E-2</v>
      </c>
      <c r="AG1683" s="38">
        <f t="shared" si="206"/>
        <v>0</v>
      </c>
      <c r="AH1683" s="38">
        <v>0</v>
      </c>
      <c r="AI1683" s="38">
        <v>0</v>
      </c>
      <c r="AJ1683" s="38">
        <v>0</v>
      </c>
      <c r="AK1683" s="38">
        <v>0</v>
      </c>
      <c r="AL1683" s="38">
        <v>0</v>
      </c>
      <c r="AM1683" s="38">
        <f t="shared" si="208"/>
        <v>0</v>
      </c>
      <c r="AO1683" s="25"/>
      <c r="AP1683" s="25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</row>
    <row r="1684" spans="1:88" s="22" customFormat="1">
      <c r="A1684" s="1">
        <v>357</v>
      </c>
      <c r="B1684" s="74" t="s">
        <v>571</v>
      </c>
      <c r="C1684" s="34">
        <v>512</v>
      </c>
      <c r="D1684" s="75">
        <v>1331</v>
      </c>
      <c r="E1684" s="69">
        <v>100</v>
      </c>
      <c r="F1684" s="76" t="s">
        <v>594</v>
      </c>
      <c r="G1684" s="20" t="s">
        <v>92</v>
      </c>
      <c r="H1684" s="20" t="s">
        <v>595</v>
      </c>
      <c r="I1684" s="21">
        <v>26.722999999999999</v>
      </c>
      <c r="J1684" s="8">
        <v>4</v>
      </c>
      <c r="K1684" s="34" t="s">
        <v>238</v>
      </c>
      <c r="L1684" s="18">
        <v>42259</v>
      </c>
      <c r="M1684" s="123" t="s">
        <v>191</v>
      </c>
      <c r="N1684" s="38">
        <v>18.55</v>
      </c>
      <c r="O1684" s="38">
        <v>3.15</v>
      </c>
      <c r="P1684" s="38">
        <v>3.6</v>
      </c>
      <c r="Q1684" s="38">
        <v>1.35</v>
      </c>
      <c r="R1684" s="38">
        <v>2.3892199999999999</v>
      </c>
      <c r="S1684" s="38">
        <f t="shared" si="204"/>
        <v>2.5</v>
      </c>
      <c r="T1684" s="38">
        <v>26.175000000000001</v>
      </c>
      <c r="U1684" s="38">
        <v>0.4</v>
      </c>
      <c r="V1684" s="38">
        <v>0.05</v>
      </c>
      <c r="W1684" s="38">
        <v>2.5000000000000001E-2</v>
      </c>
      <c r="X1684" s="38">
        <v>1.8840699999999999</v>
      </c>
      <c r="Y1684" s="38">
        <f t="shared" si="205"/>
        <v>2</v>
      </c>
      <c r="Z1684" s="38">
        <v>0</v>
      </c>
      <c r="AA1684" s="38">
        <v>0</v>
      </c>
      <c r="AB1684" s="38">
        <v>26.650000000000002</v>
      </c>
      <c r="AC1684" s="38">
        <v>1.2694300000000001</v>
      </c>
      <c r="AD1684" s="39">
        <v>12.236000000000001</v>
      </c>
      <c r="AE1684" s="38">
        <v>16.32</v>
      </c>
      <c r="AF1684" s="38">
        <f>(AD1684+AE1684*0.5)/(3.5*I1684*1000)*100</f>
        <v>2.1806790298351877E-2</v>
      </c>
      <c r="AG1684" s="38">
        <f t="shared" si="206"/>
        <v>0</v>
      </c>
      <c r="AH1684" s="38">
        <v>134.59</v>
      </c>
      <c r="AI1684" s="38">
        <f>AH1684/(3.5*I1684*1000)*100</f>
        <v>0.14389958355830454</v>
      </c>
      <c r="AJ1684" s="38">
        <v>0</v>
      </c>
      <c r="AK1684" s="38">
        <f>AJ1684/(3.5*I1684*1000)*100</f>
        <v>0</v>
      </c>
      <c r="AL1684" s="38">
        <v>0</v>
      </c>
      <c r="AM1684" s="38">
        <f t="shared" si="208"/>
        <v>0</v>
      </c>
      <c r="AN1684" s="72"/>
      <c r="AO1684" s="41"/>
      <c r="AP1684" s="41"/>
      <c r="AQ1684" s="73"/>
      <c r="AR1684" s="73"/>
      <c r="AS1684" s="73"/>
      <c r="AT1684" s="73"/>
    </row>
    <row r="1685" spans="1:88" s="22" customFormat="1">
      <c r="A1685" s="1">
        <v>1676</v>
      </c>
      <c r="B1685" s="34" t="s">
        <v>2272</v>
      </c>
      <c r="C1685" s="34">
        <v>419</v>
      </c>
      <c r="D1685" s="69">
        <v>3902</v>
      </c>
      <c r="E1685" s="34">
        <v>102</v>
      </c>
      <c r="F1685" s="34" t="s">
        <v>2275</v>
      </c>
      <c r="G1685" s="58" t="s">
        <v>2253</v>
      </c>
      <c r="H1685" s="58" t="s">
        <v>2274</v>
      </c>
      <c r="I1685" s="35">
        <v>11.9</v>
      </c>
      <c r="J1685" s="34">
        <v>2</v>
      </c>
      <c r="K1685" s="34" t="s">
        <v>12</v>
      </c>
      <c r="L1685" s="10">
        <v>42246</v>
      </c>
      <c r="M1685" s="37" t="s">
        <v>191</v>
      </c>
      <c r="N1685" s="198">
        <v>2.6336065573770497</v>
      </c>
      <c r="O1685" s="198">
        <v>5.8036885245901644</v>
      </c>
      <c r="P1685" s="198">
        <v>1.6581967213114754</v>
      </c>
      <c r="Q1685" s="198">
        <v>1.8045081967213117</v>
      </c>
      <c r="R1685" s="55">
        <v>3.2719999999999998</v>
      </c>
      <c r="S1685" s="38">
        <f t="shared" si="204"/>
        <v>3.5</v>
      </c>
      <c r="T1685" s="147">
        <v>11.802459016393442</v>
      </c>
      <c r="U1685" s="147">
        <v>4.8770491803278693E-2</v>
      </c>
      <c r="V1685" s="147">
        <v>4.8770491803278693E-2</v>
      </c>
      <c r="W1685" s="147">
        <v>0</v>
      </c>
      <c r="X1685" s="38">
        <v>3.665</v>
      </c>
      <c r="Y1685" s="38">
        <f t="shared" si="205"/>
        <v>3.5</v>
      </c>
      <c r="Z1685" s="38">
        <v>0</v>
      </c>
      <c r="AA1685" s="38">
        <v>0</v>
      </c>
      <c r="AB1685" s="38">
        <f>SUM(N1685:Q1685)</f>
        <v>11.9</v>
      </c>
      <c r="AC1685" s="38">
        <v>1.1739999999999999</v>
      </c>
      <c r="AD1685" s="39">
        <v>0</v>
      </c>
      <c r="AE1685" s="38">
        <v>18.13</v>
      </c>
      <c r="AF1685" s="38">
        <f>(AD1685+AE1685*0.5)/(3.5*I1685*1000)*100</f>
        <v>2.1764705882352939E-2</v>
      </c>
      <c r="AG1685" s="38">
        <f t="shared" si="206"/>
        <v>0</v>
      </c>
      <c r="AH1685" s="38">
        <v>0</v>
      </c>
      <c r="AI1685" s="38">
        <f>AH1685/(3.5*I1685*1000)*100</f>
        <v>0</v>
      </c>
      <c r="AJ1685" s="38">
        <v>0</v>
      </c>
      <c r="AK1685" s="38">
        <f>AJ1685/(3.5*I1685*1000)*100</f>
        <v>0</v>
      </c>
      <c r="AL1685" s="38">
        <v>0</v>
      </c>
      <c r="AM1685" s="38">
        <f t="shared" si="208"/>
        <v>0</v>
      </c>
      <c r="AN1685" s="25"/>
      <c r="AO1685" s="25">
        <f>AE1685*0.5</f>
        <v>9.0649999999999995</v>
      </c>
      <c r="AP1685" s="25">
        <f>(AD1685+AH1685+AJ1685+AL1685+AO1685)*I1685</f>
        <v>107.87349999999999</v>
      </c>
      <c r="AQ1685" s="25">
        <f>(AD1685+AH1685+AJ1685+AL1685)*I1685</f>
        <v>0</v>
      </c>
      <c r="AR1685" s="25">
        <f>SUM(N1685:Q1685)</f>
        <v>11.9</v>
      </c>
      <c r="AS1685" s="25">
        <f>SUM(T1685:W1685)</f>
        <v>11.899999999999999</v>
      </c>
      <c r="AU1685" s="41"/>
      <c r="AV1685" s="41"/>
      <c r="AW1685" s="41"/>
      <c r="AX1685" s="41"/>
    </row>
    <row r="1686" spans="1:88" s="22" customFormat="1">
      <c r="A1686" s="1">
        <v>1869</v>
      </c>
      <c r="B1686" s="34" t="s">
        <v>2495</v>
      </c>
      <c r="C1686" s="34">
        <v>335</v>
      </c>
      <c r="D1686" s="75">
        <v>3090</v>
      </c>
      <c r="E1686" s="8">
        <v>101</v>
      </c>
      <c r="F1686" s="9" t="s">
        <v>2498</v>
      </c>
      <c r="G1686" s="20" t="s">
        <v>2500</v>
      </c>
      <c r="H1686" s="20" t="s">
        <v>2501</v>
      </c>
      <c r="I1686" s="21">
        <v>24.571000000000002</v>
      </c>
      <c r="J1686" s="34">
        <v>2</v>
      </c>
      <c r="K1686" s="34" t="s">
        <v>12</v>
      </c>
      <c r="L1686" s="18">
        <v>42095</v>
      </c>
      <c r="M1686" s="247" t="s">
        <v>191</v>
      </c>
      <c r="N1686" s="38">
        <v>21.15</v>
      </c>
      <c r="O1686" s="38">
        <v>3.42</v>
      </c>
      <c r="P1686" s="38">
        <v>0</v>
      </c>
      <c r="Q1686" s="38">
        <v>0</v>
      </c>
      <c r="R1686" s="38">
        <v>2.4123899999999998</v>
      </c>
      <c r="S1686" s="38">
        <f t="shared" si="204"/>
        <v>2.5</v>
      </c>
      <c r="T1686" s="38">
        <v>24.57</v>
      </c>
      <c r="U1686" s="38">
        <v>0</v>
      </c>
      <c r="V1686" s="38">
        <v>0</v>
      </c>
      <c r="W1686" s="38">
        <v>0</v>
      </c>
      <c r="X1686" s="38">
        <v>1.8412299999999999</v>
      </c>
      <c r="Y1686" s="38">
        <f t="shared" si="205"/>
        <v>2</v>
      </c>
      <c r="Z1686" s="38">
        <v>0</v>
      </c>
      <c r="AA1686" s="38">
        <v>0</v>
      </c>
      <c r="AB1686" s="38">
        <v>24.57</v>
      </c>
      <c r="AC1686" s="38">
        <v>1.1324399999999999</v>
      </c>
      <c r="AD1686" s="39">
        <v>18.66</v>
      </c>
      <c r="AE1686" s="38">
        <v>0</v>
      </c>
      <c r="AF1686" s="38">
        <f>(AD1686+AE1686*0.5)/(3.5*I1686*1000)*100</f>
        <v>2.1698052873015228E-2</v>
      </c>
      <c r="AG1686" s="38">
        <f t="shared" si="206"/>
        <v>0</v>
      </c>
      <c r="AH1686" s="38">
        <v>58.98</v>
      </c>
      <c r="AI1686" s="38">
        <f>AH1686/(3.5*I1686*1000)*100</f>
        <v>6.858259155682947E-2</v>
      </c>
      <c r="AJ1686" s="38">
        <v>0</v>
      </c>
      <c r="AK1686" s="38">
        <f>AJ1686/(3.5*I1686*1000)*100</f>
        <v>0</v>
      </c>
      <c r="AL1686" s="38">
        <v>0</v>
      </c>
      <c r="AM1686" s="38">
        <f t="shared" si="208"/>
        <v>0</v>
      </c>
      <c r="AN1686" s="73"/>
      <c r="AO1686" s="73"/>
      <c r="AP1686" s="73"/>
      <c r="AQ1686" s="41">
        <f>SUM(N1686:Q1686)</f>
        <v>24.57</v>
      </c>
      <c r="AR1686" s="41">
        <f>SUM(T1686:W1686)</f>
        <v>24.57</v>
      </c>
      <c r="AS1686" s="12">
        <f>SUM(Z1686:AB1686)</f>
        <v>24.57</v>
      </c>
      <c r="AU1686" s="1">
        <f>I1686/AQ1686</f>
        <v>1.0000407000407001</v>
      </c>
      <c r="AV1686" s="1">
        <f>I1686/AR1686</f>
        <v>1.0000407000407001</v>
      </c>
      <c r="AW1686" s="1">
        <f>I1686/AS1686</f>
        <v>1.0000407000407001</v>
      </c>
    </row>
    <row r="1687" spans="1:88" s="22" customFormat="1">
      <c r="A1687" s="1">
        <v>1000</v>
      </c>
      <c r="B1687" s="170" t="s">
        <v>1394</v>
      </c>
      <c r="C1687" s="170">
        <v>617</v>
      </c>
      <c r="D1687" s="8">
        <v>219</v>
      </c>
      <c r="E1687" s="170">
        <v>301</v>
      </c>
      <c r="F1687" s="9" t="s">
        <v>1398</v>
      </c>
      <c r="G1687" s="20">
        <v>128082</v>
      </c>
      <c r="H1687" s="20">
        <v>97604</v>
      </c>
      <c r="I1687" s="35">
        <v>30.478000000000002</v>
      </c>
      <c r="J1687" s="9">
        <v>4</v>
      </c>
      <c r="K1687" s="9" t="s">
        <v>12</v>
      </c>
      <c r="L1687" s="172">
        <v>42129</v>
      </c>
      <c r="M1687" s="37" t="s">
        <v>191</v>
      </c>
      <c r="N1687" s="173">
        <v>12.78</v>
      </c>
      <c r="O1687" s="173">
        <v>8.3000000000000007</v>
      </c>
      <c r="P1687" s="173">
        <v>7.25</v>
      </c>
      <c r="Q1687" s="173">
        <v>2.7250000000000001</v>
      </c>
      <c r="R1687" s="173">
        <v>3.3398400000000001</v>
      </c>
      <c r="S1687" s="38">
        <f t="shared" si="204"/>
        <v>3.5</v>
      </c>
      <c r="T1687" s="173">
        <v>25.475000000000001</v>
      </c>
      <c r="U1687" s="173">
        <v>3.4</v>
      </c>
      <c r="V1687" s="173">
        <v>0.9</v>
      </c>
      <c r="W1687" s="173">
        <v>1.2749999999999999</v>
      </c>
      <c r="X1687" s="173">
        <v>9.9896999999999991</v>
      </c>
      <c r="Y1687" s="38">
        <f t="shared" si="205"/>
        <v>10</v>
      </c>
      <c r="Z1687" s="11">
        <v>0</v>
      </c>
      <c r="AA1687" s="11">
        <v>0</v>
      </c>
      <c r="AB1687" s="11">
        <f>SUM(N1687:Q1687)</f>
        <v>31.055</v>
      </c>
      <c r="AC1687" s="173">
        <v>1.2140299999999999</v>
      </c>
      <c r="AD1687" s="164">
        <v>0</v>
      </c>
      <c r="AE1687" s="11">
        <v>46.27</v>
      </c>
      <c r="AF1687" s="169">
        <f>(AD1687+AE1687*0.5)/(3.5*I1687*1000)*100</f>
        <v>2.1687774788371941E-2</v>
      </c>
      <c r="AG1687" s="38">
        <f t="shared" si="206"/>
        <v>0</v>
      </c>
      <c r="AH1687" s="11">
        <v>0</v>
      </c>
      <c r="AI1687" s="99">
        <f>AH1687/(3.5*I1687*1000)*100</f>
        <v>0</v>
      </c>
      <c r="AJ1687" s="11">
        <v>0.74</v>
      </c>
      <c r="AK1687" s="99">
        <f>AJ1687/(3.5*I1687*1000)*100</f>
        <v>6.9370881103934454E-4</v>
      </c>
      <c r="AL1687" s="11">
        <v>0</v>
      </c>
      <c r="AM1687" s="99">
        <f t="shared" si="208"/>
        <v>0</v>
      </c>
      <c r="AN1687" s="12"/>
      <c r="AO1687" s="25">
        <f>AE1687*0.5</f>
        <v>23.135000000000002</v>
      </c>
      <c r="AP1687" s="25">
        <f>(AD1687+AH1687+AJ1687+AL1687+AO1687)*I1687</f>
        <v>727.66225000000009</v>
      </c>
      <c r="AQ1687" s="12"/>
      <c r="AR1687" s="12"/>
      <c r="AS1687" s="25">
        <f>SUM(N1687:Q1687)</f>
        <v>31.055</v>
      </c>
      <c r="AT1687" s="25">
        <f>SUM(T1687:W1687)</f>
        <v>31.049999999999997</v>
      </c>
      <c r="AU1687" s="41"/>
      <c r="AV1687" s="41"/>
      <c r="AW1687" s="4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</row>
    <row r="1688" spans="1:88" s="22" customFormat="1">
      <c r="A1688" s="1">
        <v>2032</v>
      </c>
      <c r="B1688" s="34" t="s">
        <v>2678</v>
      </c>
      <c r="C1688" s="34">
        <v>326</v>
      </c>
      <c r="D1688" s="75">
        <v>4015</v>
      </c>
      <c r="E1688" s="8">
        <v>201</v>
      </c>
      <c r="F1688" s="34" t="s">
        <v>2680</v>
      </c>
      <c r="G1688" s="58" t="s">
        <v>2681</v>
      </c>
      <c r="H1688" s="58" t="s">
        <v>2595</v>
      </c>
      <c r="I1688" s="21">
        <v>36.229999999999997</v>
      </c>
      <c r="J1688" s="8">
        <v>4</v>
      </c>
      <c r="K1688" s="8" t="s">
        <v>96</v>
      </c>
      <c r="L1688" s="18">
        <v>42125</v>
      </c>
      <c r="M1688" s="37" t="s">
        <v>191</v>
      </c>
      <c r="N1688" s="38">
        <v>30.9</v>
      </c>
      <c r="O1688" s="38">
        <v>3.65</v>
      </c>
      <c r="P1688" s="38">
        <v>1.3</v>
      </c>
      <c r="Q1688" s="38">
        <v>0.52500000000000002</v>
      </c>
      <c r="R1688" s="38">
        <v>1.88236</v>
      </c>
      <c r="S1688" s="38">
        <f t="shared" si="204"/>
        <v>2</v>
      </c>
      <c r="T1688" s="38">
        <v>36.299999999999997</v>
      </c>
      <c r="U1688" s="38">
        <v>7.4999999999999997E-2</v>
      </c>
      <c r="V1688" s="38">
        <v>0</v>
      </c>
      <c r="W1688" s="38">
        <v>0</v>
      </c>
      <c r="X1688" s="38">
        <v>2.9120599999999999</v>
      </c>
      <c r="Y1688" s="38">
        <f t="shared" si="205"/>
        <v>3</v>
      </c>
      <c r="Z1688" s="38">
        <v>0</v>
      </c>
      <c r="AA1688" s="38">
        <v>0</v>
      </c>
      <c r="AB1688" s="38">
        <v>36.374999999999993</v>
      </c>
      <c r="AC1688" s="38">
        <v>1.3465199999999999</v>
      </c>
      <c r="AD1688" s="39">
        <v>25.63</v>
      </c>
      <c r="AE1688" s="38">
        <v>3.48</v>
      </c>
      <c r="AF1688" s="38">
        <f>(AD1688+AE1688*0.5)/(3.5*I1688*1000)*100</f>
        <v>2.1584322384764008E-2</v>
      </c>
      <c r="AG1688" s="38">
        <f t="shared" si="206"/>
        <v>0</v>
      </c>
      <c r="AH1688" s="38">
        <v>129.63</v>
      </c>
      <c r="AI1688" s="38">
        <v>0.15425715475694601</v>
      </c>
      <c r="AJ1688" s="55">
        <v>0.25</v>
      </c>
      <c r="AK1688" s="55">
        <v>-2.97495091330993E-4</v>
      </c>
      <c r="AL1688" s="55">
        <v>0</v>
      </c>
      <c r="AM1688" s="55">
        <f t="shared" si="208"/>
        <v>0</v>
      </c>
      <c r="AO1688" s="12"/>
      <c r="AP1688" s="12"/>
    </row>
    <row r="1689" spans="1:88" s="22" customFormat="1">
      <c r="A1689" s="1">
        <v>736</v>
      </c>
      <c r="B1689" s="34" t="s">
        <v>1138</v>
      </c>
      <c r="C1689" s="34">
        <v>628</v>
      </c>
      <c r="D1689" s="34">
        <v>2131</v>
      </c>
      <c r="E1689" s="34">
        <v>200</v>
      </c>
      <c r="F1689" s="34" t="s">
        <v>1141</v>
      </c>
      <c r="G1689" s="58">
        <v>4138</v>
      </c>
      <c r="H1689" s="58">
        <v>12863</v>
      </c>
      <c r="I1689" s="51">
        <v>8.7249999999999996</v>
      </c>
      <c r="J1689" s="34">
        <v>2</v>
      </c>
      <c r="K1689" s="34" t="s">
        <v>238</v>
      </c>
      <c r="L1689" s="10">
        <v>42173</v>
      </c>
      <c r="M1689" s="37" t="s">
        <v>191</v>
      </c>
      <c r="N1689" s="38">
        <v>5.95</v>
      </c>
      <c r="O1689" s="38">
        <v>1.675</v>
      </c>
      <c r="P1689" s="38">
        <v>0.75</v>
      </c>
      <c r="Q1689" s="38">
        <v>0.3</v>
      </c>
      <c r="R1689" s="38">
        <v>2.4937299999999998</v>
      </c>
      <c r="S1689" s="38">
        <f t="shared" si="204"/>
        <v>2.5</v>
      </c>
      <c r="T1689" s="38">
        <v>8.0250000000000004</v>
      </c>
      <c r="U1689" s="38">
        <v>0.55000000000000004</v>
      </c>
      <c r="V1689" s="38">
        <v>7.4999999999999997E-2</v>
      </c>
      <c r="W1689" s="38">
        <v>2.5000000000000001E-2</v>
      </c>
      <c r="X1689" s="38">
        <v>6.3875400000000004</v>
      </c>
      <c r="Y1689" s="38">
        <f t="shared" si="205"/>
        <v>6.5</v>
      </c>
      <c r="Z1689" s="38">
        <v>0</v>
      </c>
      <c r="AA1689" s="38">
        <v>0</v>
      </c>
      <c r="AB1689" s="38">
        <f>N1689+O1689+P1689+Q1689</f>
        <v>8.6750000000000007</v>
      </c>
      <c r="AC1689" s="38">
        <v>1.0321400000000001</v>
      </c>
      <c r="AD1689" s="39">
        <v>6.43</v>
      </c>
      <c r="AE1689" s="38">
        <v>0</v>
      </c>
      <c r="AF1689" s="38">
        <v>2.146E-2</v>
      </c>
      <c r="AG1689" s="38">
        <f t="shared" si="206"/>
        <v>0</v>
      </c>
      <c r="AH1689" s="38">
        <v>0</v>
      </c>
      <c r="AI1689" s="38">
        <v>0</v>
      </c>
      <c r="AJ1689" s="38">
        <v>7.64</v>
      </c>
      <c r="AK1689" s="38">
        <v>2.5499999999999998E-2</v>
      </c>
      <c r="AL1689" s="38">
        <v>0</v>
      </c>
      <c r="AM1689" s="38">
        <v>0</v>
      </c>
      <c r="AN1689" s="25"/>
      <c r="AO1689" s="25">
        <f>AE1689*0.5</f>
        <v>0</v>
      </c>
      <c r="AP1689" s="25">
        <f>(AD1689+AH1689+AJ1689+AL1689+AO1689)*I1689</f>
        <v>122.76075</v>
      </c>
      <c r="AQ1689" s="25">
        <f>SUM(N1689:Q1689)</f>
        <v>8.6750000000000007</v>
      </c>
      <c r="AR1689" s="25">
        <f>SUM(T1689:W1689)</f>
        <v>8.6750000000000007</v>
      </c>
      <c r="AT1689" s="41"/>
      <c r="AU1689" s="41"/>
      <c r="AV1689" s="41"/>
      <c r="AW1689" s="41"/>
    </row>
    <row r="1690" spans="1:88" s="22" customFormat="1">
      <c r="A1690" s="1">
        <v>1685</v>
      </c>
      <c r="B1690" s="34" t="s">
        <v>2279</v>
      </c>
      <c r="C1690" s="34">
        <v>421</v>
      </c>
      <c r="D1690" s="8">
        <v>319</v>
      </c>
      <c r="E1690" s="34">
        <v>200</v>
      </c>
      <c r="F1690" s="34" t="s">
        <v>2285</v>
      </c>
      <c r="G1690" s="58">
        <v>38238</v>
      </c>
      <c r="H1690" s="58">
        <v>48064</v>
      </c>
      <c r="I1690" s="35">
        <v>9.8260000000000005</v>
      </c>
      <c r="J1690" s="9">
        <v>2</v>
      </c>
      <c r="K1690" s="34" t="s">
        <v>12</v>
      </c>
      <c r="L1690" s="10">
        <v>42226</v>
      </c>
      <c r="M1690" s="37" t="s">
        <v>191</v>
      </c>
      <c r="N1690" s="38">
        <v>8.2249999999999996</v>
      </c>
      <c r="O1690" s="38">
        <v>1.2</v>
      </c>
      <c r="P1690" s="38">
        <v>0.2</v>
      </c>
      <c r="Q1690" s="38">
        <v>0.2</v>
      </c>
      <c r="R1690" s="38">
        <v>1.9795400000000001</v>
      </c>
      <c r="S1690" s="38">
        <f t="shared" si="204"/>
        <v>2</v>
      </c>
      <c r="T1690" s="38">
        <v>7.875</v>
      </c>
      <c r="U1690" s="38">
        <v>1.05</v>
      </c>
      <c r="V1690" s="38">
        <v>0.65</v>
      </c>
      <c r="W1690" s="38">
        <v>0.25</v>
      </c>
      <c r="X1690" s="38">
        <v>7.71671</v>
      </c>
      <c r="Y1690" s="38">
        <f t="shared" si="205"/>
        <v>7.5</v>
      </c>
      <c r="Z1690" s="38">
        <v>0</v>
      </c>
      <c r="AA1690" s="38">
        <v>0</v>
      </c>
      <c r="AB1690" s="38">
        <v>9.8260000000000005</v>
      </c>
      <c r="AC1690" s="38">
        <v>1.13117</v>
      </c>
      <c r="AD1690" s="39">
        <v>4.84</v>
      </c>
      <c r="AE1690" s="38">
        <v>5.08</v>
      </c>
      <c r="AF1690" s="38">
        <f>(AD1690+AE1690*0.5)/(3.5*I1690*1000)*100</f>
        <v>2.1459102672210746E-2</v>
      </c>
      <c r="AG1690" s="38">
        <f t="shared" si="206"/>
        <v>0</v>
      </c>
      <c r="AH1690" s="38">
        <v>0.28000000000000003</v>
      </c>
      <c r="AI1690" s="38">
        <f>AH1690/(3.5*I1690*1000)*100</f>
        <v>8.1416649704864634E-4</v>
      </c>
      <c r="AJ1690" s="38">
        <v>81</v>
      </c>
      <c r="AK1690" s="38">
        <f>AJ1690/(3.5*I1690*1000)*100</f>
        <v>0.23552673664621551</v>
      </c>
      <c r="AL1690" s="38">
        <v>0</v>
      </c>
      <c r="AM1690" s="38">
        <f>AL1690/(3.5*I1690*1000)*100</f>
        <v>0</v>
      </c>
      <c r="AN1690" s="25"/>
      <c r="AO1690" s="25">
        <f>AE1690*0.5</f>
        <v>2.54</v>
      </c>
      <c r="AP1690" s="25">
        <f>(AD1690+AH1690+AJ1690+AL1690+AO1690)*I1690</f>
        <v>871.17316000000017</v>
      </c>
      <c r="AQ1690" s="25">
        <f>SUM(N1690:Q1690)</f>
        <v>9.8249999999999975</v>
      </c>
      <c r="AR1690" s="25">
        <f>SUM(T1690:W1690)</f>
        <v>9.8250000000000011</v>
      </c>
      <c r="AT1690" s="41"/>
      <c r="AU1690" s="41"/>
      <c r="AV1690" s="41"/>
      <c r="AW1690" s="41"/>
    </row>
    <row r="1691" spans="1:88" s="22" customFormat="1">
      <c r="A1691" s="1">
        <v>1757</v>
      </c>
      <c r="B1691" s="34" t="s">
        <v>2348</v>
      </c>
      <c r="C1691" s="34">
        <v>425</v>
      </c>
      <c r="D1691" s="8">
        <v>3159</v>
      </c>
      <c r="E1691" s="34">
        <v>100</v>
      </c>
      <c r="F1691" s="34" t="s">
        <v>2355</v>
      </c>
      <c r="G1691" s="58">
        <v>0</v>
      </c>
      <c r="H1691" s="58">
        <v>26690</v>
      </c>
      <c r="I1691" s="35">
        <v>26.69</v>
      </c>
      <c r="J1691" s="9">
        <v>2</v>
      </c>
      <c r="K1691" s="34" t="s">
        <v>238</v>
      </c>
      <c r="L1691" s="10">
        <v>42236</v>
      </c>
      <c r="M1691" s="37" t="s">
        <v>191</v>
      </c>
      <c r="N1691" s="38">
        <v>13.75</v>
      </c>
      <c r="O1691" s="38">
        <v>6.5</v>
      </c>
      <c r="P1691" s="38">
        <v>3.8250000000000002</v>
      </c>
      <c r="Q1691" s="38">
        <v>2.7</v>
      </c>
      <c r="R1691" s="38">
        <v>3.3845499999999999</v>
      </c>
      <c r="S1691" s="38">
        <f t="shared" si="204"/>
        <v>3.5</v>
      </c>
      <c r="T1691" s="38">
        <v>25.8</v>
      </c>
      <c r="U1691" s="38">
        <v>0.75</v>
      </c>
      <c r="V1691" s="38">
        <v>0.17499999999999999</v>
      </c>
      <c r="W1691" s="38">
        <v>0.05</v>
      </c>
      <c r="X1691" s="38">
        <v>4.9573700000000001</v>
      </c>
      <c r="Y1691" s="38">
        <f t="shared" si="205"/>
        <v>5</v>
      </c>
      <c r="Z1691" s="38">
        <v>0</v>
      </c>
      <c r="AA1691" s="38">
        <v>0</v>
      </c>
      <c r="AB1691" s="38">
        <f>SUM(T1691:W1691)</f>
        <v>26.775000000000002</v>
      </c>
      <c r="AC1691" s="38">
        <v>1.3145100000000001</v>
      </c>
      <c r="AD1691" s="39">
        <v>19.8</v>
      </c>
      <c r="AE1691" s="38">
        <v>0</v>
      </c>
      <c r="AF1691" s="38">
        <f>(AD1691+AE1691*0.5)/(3.5*I1691*1000)*100</f>
        <v>2.1195739442273726E-2</v>
      </c>
      <c r="AG1691" s="38">
        <f t="shared" si="206"/>
        <v>0</v>
      </c>
      <c r="AH1691" s="38">
        <v>57.17</v>
      </c>
      <c r="AI1691" s="38">
        <f>AH1691/(3.5*I1691*1000)*100</f>
        <v>6.1200021409837824E-2</v>
      </c>
      <c r="AJ1691" s="38">
        <v>0</v>
      </c>
      <c r="AK1691" s="38">
        <f>AJ1691/(3.5*I1691*1000)*100</f>
        <v>0</v>
      </c>
      <c r="AL1691" s="38">
        <v>29.13</v>
      </c>
      <c r="AM1691" s="55">
        <f>AL1691/(3.5*I1691*1000)*100</f>
        <v>3.1183428785526948E-2</v>
      </c>
      <c r="AN1691" s="25"/>
      <c r="AO1691" s="25">
        <f>AE1691*0.5</f>
        <v>0</v>
      </c>
      <c r="AP1691" s="25">
        <f>(AD1691+AH1691+AJ1691+AL1691+AO1691)*I1691</f>
        <v>2831.8090000000002</v>
      </c>
      <c r="AQ1691" s="25">
        <f>SUM(N1691:Q1691)</f>
        <v>26.774999999999999</v>
      </c>
      <c r="AR1691" s="25">
        <f>SUM(T1691:W1691)</f>
        <v>26.775000000000002</v>
      </c>
      <c r="AT1691" s="41"/>
      <c r="AU1691" s="41"/>
      <c r="AV1691" s="41"/>
      <c r="AW1691" s="41"/>
    </row>
    <row r="1692" spans="1:88" s="22" customFormat="1">
      <c r="A1692" s="1">
        <v>301</v>
      </c>
      <c r="B1692" s="34" t="s">
        <v>529</v>
      </c>
      <c r="C1692" s="34">
        <v>643</v>
      </c>
      <c r="D1692" s="34">
        <v>212</v>
      </c>
      <c r="E1692" s="34">
        <v>201</v>
      </c>
      <c r="F1692" s="34" t="s">
        <v>530</v>
      </c>
      <c r="G1692" s="58" t="s">
        <v>531</v>
      </c>
      <c r="H1692" s="58" t="s">
        <v>532</v>
      </c>
      <c r="I1692" s="35">
        <v>112.14700000000001</v>
      </c>
      <c r="J1692" s="62">
        <v>2</v>
      </c>
      <c r="K1692" s="34" t="s">
        <v>12</v>
      </c>
      <c r="L1692" s="10">
        <v>42164</v>
      </c>
      <c r="M1692" s="37" t="s">
        <v>191</v>
      </c>
      <c r="N1692" s="38">
        <v>73.05</v>
      </c>
      <c r="O1692" s="38">
        <v>25.175000000000001</v>
      </c>
      <c r="P1692" s="38">
        <v>9.6</v>
      </c>
      <c r="Q1692" s="38">
        <v>4.4749999999999996</v>
      </c>
      <c r="R1692" s="38">
        <v>2.7897400000000001</v>
      </c>
      <c r="S1692" s="38">
        <f t="shared" si="204"/>
        <v>3</v>
      </c>
      <c r="T1692" s="38">
        <v>106.15</v>
      </c>
      <c r="U1692" s="38">
        <v>4.4249999999999998</v>
      </c>
      <c r="V1692" s="38">
        <v>1.25</v>
      </c>
      <c r="W1692" s="38">
        <v>0.47499999999999998</v>
      </c>
      <c r="X1692" s="38">
        <v>5.2402800000000003</v>
      </c>
      <c r="Y1692" s="38">
        <f t="shared" si="205"/>
        <v>5</v>
      </c>
      <c r="Z1692" s="38">
        <v>0</v>
      </c>
      <c r="AA1692" s="38">
        <v>0</v>
      </c>
      <c r="AB1692" s="38">
        <f>T1692+U1692+V1692+W1692</f>
        <v>112.3</v>
      </c>
      <c r="AC1692" s="38">
        <v>1.21156</v>
      </c>
      <c r="AD1692" s="39">
        <v>2</v>
      </c>
      <c r="AE1692" s="38">
        <v>162</v>
      </c>
      <c r="AF1692" s="38">
        <v>2.1149999999999999E-2</v>
      </c>
      <c r="AG1692" s="38">
        <f t="shared" si="206"/>
        <v>0</v>
      </c>
      <c r="AH1692" s="38">
        <v>0</v>
      </c>
      <c r="AI1692" s="38">
        <v>0</v>
      </c>
      <c r="AJ1692" s="38">
        <v>0</v>
      </c>
      <c r="AK1692" s="38">
        <v>0</v>
      </c>
      <c r="AL1692" s="38">
        <v>0</v>
      </c>
      <c r="AM1692" s="38">
        <v>0</v>
      </c>
      <c r="AN1692" s="25"/>
      <c r="AO1692" s="25"/>
      <c r="AP1692" s="25">
        <f>AE1692*0.5</f>
        <v>81</v>
      </c>
      <c r="AQ1692" s="25">
        <f>(AD1692+AH1692+AJ1692+AL1692+AP1692)*I1692</f>
        <v>9308.2010000000009</v>
      </c>
      <c r="AR1692" s="25">
        <f>SUM(N1692:Q1692)</f>
        <v>112.29999999999998</v>
      </c>
      <c r="AS1692" s="25">
        <f>SUM(T1692:W1692)</f>
        <v>112.3</v>
      </c>
      <c r="AU1692" s="41">
        <f>SUM(N1692:Q1692)</f>
        <v>112.29999999999998</v>
      </c>
      <c r="AV1692" s="41">
        <f>SUM(T1692:W1692)</f>
        <v>112.3</v>
      </c>
      <c r="AW1692" s="41">
        <f>SUM(Z1692:AB1692)</f>
        <v>112.3</v>
      </c>
      <c r="AY1692" s="22">
        <f>I1692/AU1692</f>
        <v>0.99863757791629582</v>
      </c>
      <c r="AZ1692" s="22">
        <f>I1692/AV1692</f>
        <v>0.9986375779162957</v>
      </c>
      <c r="BA1692" s="22">
        <f>I1692/AW1692</f>
        <v>0.9986375779162957</v>
      </c>
    </row>
    <row r="1693" spans="1:88" s="22" customFormat="1">
      <c r="A1693" s="1">
        <v>641</v>
      </c>
      <c r="B1693" s="78" t="s">
        <v>1040</v>
      </c>
      <c r="C1693" s="78">
        <v>629</v>
      </c>
      <c r="D1693" s="78">
        <v>2470</v>
      </c>
      <c r="E1693" s="78">
        <v>100</v>
      </c>
      <c r="F1693" s="71" t="s">
        <v>1049</v>
      </c>
      <c r="G1693" s="120">
        <v>0</v>
      </c>
      <c r="H1693" s="126">
        <v>136</v>
      </c>
      <c r="I1693" s="121">
        <v>0.13600000000000001</v>
      </c>
      <c r="J1693" s="78">
        <v>2</v>
      </c>
      <c r="K1693" s="78" t="s">
        <v>238</v>
      </c>
      <c r="L1693" s="122">
        <v>42180</v>
      </c>
      <c r="M1693" s="71" t="s">
        <v>191</v>
      </c>
      <c r="N1693" s="83">
        <v>0.05</v>
      </c>
      <c r="O1693" s="83">
        <v>0.1</v>
      </c>
      <c r="P1693" s="83">
        <v>2.5000000000000001E-2</v>
      </c>
      <c r="Q1693" s="83">
        <v>0</v>
      </c>
      <c r="R1693" s="83">
        <v>2.7928600000000001</v>
      </c>
      <c r="S1693" s="38">
        <f t="shared" si="204"/>
        <v>3</v>
      </c>
      <c r="T1693" s="83">
        <v>0.17499999999999999</v>
      </c>
      <c r="U1693" s="83">
        <v>0</v>
      </c>
      <c r="V1693" s="83">
        <v>0</v>
      </c>
      <c r="W1693" s="83">
        <v>0</v>
      </c>
      <c r="X1693" s="83">
        <v>3.25414</v>
      </c>
      <c r="Y1693" s="38">
        <f t="shared" si="205"/>
        <v>3.5</v>
      </c>
      <c r="Z1693" s="124">
        <v>0</v>
      </c>
      <c r="AA1693" s="124">
        <v>0</v>
      </c>
      <c r="AB1693" s="124">
        <f>T1693+U1693+V1693+W1693</f>
        <v>0.17499999999999999</v>
      </c>
      <c r="AC1693" s="83">
        <v>1.0888599999999999</v>
      </c>
      <c r="AD1693" s="83">
        <v>0.05</v>
      </c>
      <c r="AE1693" s="83">
        <v>0.1</v>
      </c>
      <c r="AF1693" s="83">
        <v>2.1008403361344536E-2</v>
      </c>
      <c r="AG1693" s="38">
        <f t="shared" si="206"/>
        <v>0</v>
      </c>
      <c r="AH1693" s="83">
        <v>0</v>
      </c>
      <c r="AI1693" s="83">
        <v>0</v>
      </c>
      <c r="AJ1693" s="83">
        <v>0.17499999999999999</v>
      </c>
      <c r="AK1693" s="83">
        <v>3.6764705882352935E-2</v>
      </c>
      <c r="AL1693" s="83">
        <v>0</v>
      </c>
      <c r="AM1693" s="83">
        <f>AL1693/(3.5*I1693*1000)*100</f>
        <v>0</v>
      </c>
      <c r="AN1693" s="25"/>
      <c r="AO1693" s="25">
        <f>AE1693*0.5</f>
        <v>0.05</v>
      </c>
      <c r="AP1693" s="25">
        <f>(AD1693+AH1693+AJ1693+AL1693+AO1693)*I1693</f>
        <v>3.7399999999999996E-2</v>
      </c>
      <c r="AQ1693" s="25">
        <f>SUM(N1693:Q1693)</f>
        <v>0.17500000000000002</v>
      </c>
      <c r="AR1693" s="25">
        <f>SUM(T1693:W1693)</f>
        <v>0.17499999999999999</v>
      </c>
      <c r="AT1693" s="41"/>
      <c r="AU1693" s="41"/>
      <c r="AV1693" s="41"/>
      <c r="AW1693" s="4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</row>
    <row r="1694" spans="1:88" s="22" customFormat="1">
      <c r="A1694" s="1">
        <v>577</v>
      </c>
      <c r="B1694" s="34" t="s">
        <v>976</v>
      </c>
      <c r="C1694" s="34">
        <v>552</v>
      </c>
      <c r="D1694" s="34">
        <v>1069</v>
      </c>
      <c r="E1694" s="34">
        <v>200</v>
      </c>
      <c r="F1694" s="9" t="s">
        <v>979</v>
      </c>
      <c r="G1694" s="20">
        <v>39004</v>
      </c>
      <c r="H1694" s="20">
        <v>52009</v>
      </c>
      <c r="I1694" s="35">
        <v>13.005000000000001</v>
      </c>
      <c r="J1694" s="71">
        <v>2</v>
      </c>
      <c r="K1694" s="34" t="s">
        <v>238</v>
      </c>
      <c r="L1694" s="10">
        <v>42195</v>
      </c>
      <c r="M1694" s="9" t="s">
        <v>191</v>
      </c>
      <c r="N1694" s="38">
        <v>9.5500000000000007</v>
      </c>
      <c r="O1694" s="38">
        <v>2.4500000000000002</v>
      </c>
      <c r="P1694" s="38">
        <v>0.72499999999999998</v>
      </c>
      <c r="Q1694" s="38">
        <v>0.25</v>
      </c>
      <c r="R1694" s="38">
        <v>2.22559</v>
      </c>
      <c r="S1694" s="38">
        <f t="shared" si="204"/>
        <v>2</v>
      </c>
      <c r="T1694" s="38">
        <v>12.25</v>
      </c>
      <c r="U1694" s="38">
        <v>0.65</v>
      </c>
      <c r="V1694" s="38">
        <v>7.4999999999999997E-2</v>
      </c>
      <c r="W1694" s="38">
        <v>0</v>
      </c>
      <c r="X1694" s="38">
        <v>5.1767799999999999</v>
      </c>
      <c r="Y1694" s="38">
        <f t="shared" si="205"/>
        <v>5</v>
      </c>
      <c r="Z1694" s="38">
        <v>0</v>
      </c>
      <c r="AA1694" s="38">
        <v>0</v>
      </c>
      <c r="AB1694" s="38">
        <f>N1694+O1694+P1694+Q1694</f>
        <v>12.975</v>
      </c>
      <c r="AC1694" s="38">
        <v>1.32907</v>
      </c>
      <c r="AD1694" s="38">
        <v>6</v>
      </c>
      <c r="AE1694" s="38">
        <v>7.12</v>
      </c>
      <c r="AF1694" s="38">
        <f>(AD1694+AE1694*0.5)/(3.5*I1694*1000)*100</f>
        <v>2.1002910968308891E-2</v>
      </c>
      <c r="AG1694" s="38">
        <f t="shared" si="206"/>
        <v>0</v>
      </c>
      <c r="AH1694" s="38">
        <v>0</v>
      </c>
      <c r="AI1694" s="38">
        <f>AH1694/(3.5*I1694*1000)*100</f>
        <v>0</v>
      </c>
      <c r="AJ1694" s="38">
        <v>0</v>
      </c>
      <c r="AK1694" s="38">
        <f>AJ1694/(3.5*I1694*1000)*100</f>
        <v>0</v>
      </c>
      <c r="AL1694" s="38">
        <v>17</v>
      </c>
      <c r="AM1694" s="38">
        <f>AL1694/(3.5*I1694*1000)*100</f>
        <v>3.7348272642390282E-2</v>
      </c>
      <c r="AN1694" s="25"/>
      <c r="AO1694" s="25">
        <f>AE1694*0.5</f>
        <v>3.56</v>
      </c>
      <c r="AP1694" s="25">
        <f>(AD1694+AH1694+AJ1694+AL1694+AO1694)*I1694</f>
        <v>345.4128</v>
      </c>
      <c r="AQ1694" s="25">
        <f>SUM(N1694:Q1694)</f>
        <v>12.975</v>
      </c>
      <c r="AR1694" s="25">
        <f>SUM(T1694:W1694)</f>
        <v>12.975</v>
      </c>
      <c r="AS1694" s="268">
        <v>13.005000000000001</v>
      </c>
      <c r="AT1694" s="41"/>
      <c r="AU1694" s="41"/>
      <c r="AV1694" s="41"/>
      <c r="AW1694" s="41"/>
    </row>
    <row r="1695" spans="1:88" s="22" customFormat="1">
      <c r="A1695" s="1">
        <v>1976</v>
      </c>
      <c r="B1695" s="34" t="s">
        <v>2615</v>
      </c>
      <c r="C1695" s="34">
        <v>322</v>
      </c>
      <c r="D1695" s="75">
        <v>404</v>
      </c>
      <c r="E1695" s="8">
        <v>100</v>
      </c>
      <c r="F1695" s="34" t="s">
        <v>2619</v>
      </c>
      <c r="G1695" s="58">
        <v>0</v>
      </c>
      <c r="H1695" s="58">
        <v>30000</v>
      </c>
      <c r="I1695" s="21">
        <v>30</v>
      </c>
      <c r="J1695" s="8">
        <v>2</v>
      </c>
      <c r="K1695" s="8" t="s">
        <v>671</v>
      </c>
      <c r="L1695" s="18">
        <v>42131</v>
      </c>
      <c r="M1695" s="37" t="s">
        <v>191</v>
      </c>
      <c r="N1695" s="38">
        <v>19.524999999999999</v>
      </c>
      <c r="O1695" s="38">
        <v>6.55</v>
      </c>
      <c r="P1695" s="38">
        <v>2.5</v>
      </c>
      <c r="Q1695" s="38">
        <v>1.35</v>
      </c>
      <c r="R1695" s="38">
        <v>2.4274800000000001</v>
      </c>
      <c r="S1695" s="38">
        <f t="shared" si="204"/>
        <v>2.5</v>
      </c>
      <c r="T1695" s="38">
        <v>28.375</v>
      </c>
      <c r="U1695" s="38">
        <v>1.0249999999999999</v>
      </c>
      <c r="V1695" s="38">
        <v>0.27500000000000002</v>
      </c>
      <c r="W1695" s="38">
        <v>0.125</v>
      </c>
      <c r="X1695" s="38">
        <v>4.39222</v>
      </c>
      <c r="Y1695" s="38">
        <f t="shared" si="205"/>
        <v>4.5</v>
      </c>
      <c r="Z1695" s="38">
        <v>0</v>
      </c>
      <c r="AA1695" s="38">
        <v>0</v>
      </c>
      <c r="AB1695" s="38">
        <v>30</v>
      </c>
      <c r="AC1695" s="38">
        <v>1.1954800000000001</v>
      </c>
      <c r="AD1695" s="39">
        <v>0</v>
      </c>
      <c r="AE1695" s="38">
        <v>44</v>
      </c>
      <c r="AF1695" s="38">
        <v>2.0952380952380951E-2</v>
      </c>
      <c r="AG1695" s="38">
        <f t="shared" si="206"/>
        <v>0</v>
      </c>
      <c r="AH1695" s="38">
        <v>0</v>
      </c>
      <c r="AI1695" s="38">
        <v>0</v>
      </c>
      <c r="AJ1695" s="38">
        <v>0</v>
      </c>
      <c r="AK1695" s="38">
        <v>0</v>
      </c>
      <c r="AL1695" s="38">
        <v>0</v>
      </c>
      <c r="AM1695" s="38">
        <f>AL1695/(3.5*I1695*1000)*100</f>
        <v>0</v>
      </c>
      <c r="AN1695" s="72"/>
      <c r="AO1695" s="41"/>
      <c r="AP1695" s="41"/>
      <c r="AQ1695" s="73"/>
      <c r="AR1695" s="73"/>
      <c r="AS1695" s="73"/>
      <c r="AT1695" s="73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</row>
    <row r="1696" spans="1:88" s="22" customFormat="1">
      <c r="A1696" s="1">
        <v>737</v>
      </c>
      <c r="B1696" s="34" t="s">
        <v>1138</v>
      </c>
      <c r="C1696" s="34">
        <v>628</v>
      </c>
      <c r="D1696" s="34">
        <v>2199</v>
      </c>
      <c r="E1696" s="34">
        <v>100</v>
      </c>
      <c r="F1696" s="34" t="s">
        <v>1142</v>
      </c>
      <c r="G1696" s="58">
        <v>0</v>
      </c>
      <c r="H1696" s="58">
        <v>37076</v>
      </c>
      <c r="I1696" s="51">
        <v>37.076000000000001</v>
      </c>
      <c r="J1696" s="34">
        <v>2</v>
      </c>
      <c r="K1696" s="34" t="s">
        <v>238</v>
      </c>
      <c r="L1696" s="10">
        <v>42173</v>
      </c>
      <c r="M1696" s="37" t="s">
        <v>191</v>
      </c>
      <c r="N1696" s="38">
        <v>24.85</v>
      </c>
      <c r="O1696" s="38">
        <v>8.25</v>
      </c>
      <c r="P1696" s="38">
        <v>3.0750000000000002</v>
      </c>
      <c r="Q1696" s="38">
        <v>0.75</v>
      </c>
      <c r="R1696" s="38">
        <v>2.3615400000000002</v>
      </c>
      <c r="S1696" s="38">
        <f t="shared" si="204"/>
        <v>2.5</v>
      </c>
      <c r="T1696" s="38">
        <v>35.15</v>
      </c>
      <c r="U1696" s="38">
        <v>1.3</v>
      </c>
      <c r="V1696" s="38">
        <v>0.42499999999999999</v>
      </c>
      <c r="W1696" s="38">
        <v>0.05</v>
      </c>
      <c r="X1696" s="38">
        <v>4.2889099999999996</v>
      </c>
      <c r="Y1696" s="38">
        <f t="shared" si="205"/>
        <v>4.5</v>
      </c>
      <c r="Z1696" s="38">
        <v>0</v>
      </c>
      <c r="AA1696" s="38">
        <v>0</v>
      </c>
      <c r="AB1696" s="38">
        <f>N1696+O1696+P1696+Q1696</f>
        <v>36.925000000000004</v>
      </c>
      <c r="AC1696" s="38">
        <v>1.2324299999999999</v>
      </c>
      <c r="AD1696" s="39">
        <v>26.8</v>
      </c>
      <c r="AE1696" s="38">
        <v>0</v>
      </c>
      <c r="AF1696" s="38">
        <v>2.0652559221984189E-2</v>
      </c>
      <c r="AG1696" s="38">
        <f t="shared" si="206"/>
        <v>0</v>
      </c>
      <c r="AH1696" s="38">
        <v>0</v>
      </c>
      <c r="AI1696" s="38">
        <v>0</v>
      </c>
      <c r="AJ1696" s="38">
        <v>31.84</v>
      </c>
      <c r="AK1696" s="38">
        <v>2.4536473344327483E-2</v>
      </c>
      <c r="AL1696" s="38">
        <v>0</v>
      </c>
      <c r="AM1696" s="38">
        <v>0</v>
      </c>
      <c r="AN1696" s="25"/>
      <c r="AO1696" s="25">
        <f>AE1696*0.5</f>
        <v>0</v>
      </c>
      <c r="AP1696" s="25">
        <f>(AD1696+AH1696+AJ1696+AL1696+AO1696)*I1696</f>
        <v>2174.1366400000002</v>
      </c>
      <c r="AQ1696" s="25">
        <f>SUM(N1696:Q1696)</f>
        <v>36.925000000000004</v>
      </c>
      <c r="AR1696" s="25">
        <f>SUM(T1696:W1696)</f>
        <v>36.92499999999999</v>
      </c>
      <c r="AT1696" s="41"/>
      <c r="AU1696" s="41"/>
      <c r="AV1696" s="41"/>
      <c r="AW1696" s="41"/>
    </row>
    <row r="1697" spans="1:88" s="22" customFormat="1">
      <c r="A1697" s="1">
        <v>1982</v>
      </c>
      <c r="B1697" s="34" t="s">
        <v>2615</v>
      </c>
      <c r="C1697" s="34">
        <v>322</v>
      </c>
      <c r="D1697" s="75">
        <v>4046</v>
      </c>
      <c r="E1697" s="8">
        <v>101</v>
      </c>
      <c r="F1697" s="34" t="s">
        <v>2622</v>
      </c>
      <c r="G1697" s="58">
        <v>0</v>
      </c>
      <c r="H1697" s="58">
        <v>30029</v>
      </c>
      <c r="I1697" s="21">
        <v>30.029</v>
      </c>
      <c r="J1697" s="8">
        <v>2</v>
      </c>
      <c r="K1697" s="8" t="s">
        <v>671</v>
      </c>
      <c r="L1697" s="18">
        <v>42130</v>
      </c>
      <c r="M1697" s="37" t="s">
        <v>191</v>
      </c>
      <c r="N1697" s="38">
        <v>21.074999999999999</v>
      </c>
      <c r="O1697" s="38">
        <v>5.25</v>
      </c>
      <c r="P1697" s="38">
        <v>2.0249999999999999</v>
      </c>
      <c r="Q1697" s="38">
        <v>1.2250000000000001</v>
      </c>
      <c r="R1697" s="38">
        <v>2.2580900000000002</v>
      </c>
      <c r="S1697" s="38">
        <f t="shared" si="204"/>
        <v>2.5</v>
      </c>
      <c r="T1697" s="38">
        <v>29</v>
      </c>
      <c r="U1697" s="38">
        <v>0.52500000000000002</v>
      </c>
      <c r="V1697" s="38">
        <v>0.05</v>
      </c>
      <c r="W1697" s="38">
        <v>0</v>
      </c>
      <c r="X1697" s="38">
        <v>3.20967</v>
      </c>
      <c r="Y1697" s="38">
        <f t="shared" si="205"/>
        <v>3</v>
      </c>
      <c r="Z1697" s="38">
        <v>0</v>
      </c>
      <c r="AA1697" s="38">
        <v>0</v>
      </c>
      <c r="AB1697" s="38">
        <v>29.574999999999999</v>
      </c>
      <c r="AC1697" s="38">
        <v>1.24719</v>
      </c>
      <c r="AD1697" s="39">
        <v>3.13</v>
      </c>
      <c r="AE1697" s="38">
        <v>37</v>
      </c>
      <c r="AF1697" s="38">
        <v>2.0580105897632289E-2</v>
      </c>
      <c r="AG1697" s="38">
        <f t="shared" si="206"/>
        <v>0</v>
      </c>
      <c r="AH1697" s="38">
        <v>1.62</v>
      </c>
      <c r="AI1697" s="38">
        <v>1.5413671546076887E-3</v>
      </c>
      <c r="AJ1697" s="38">
        <v>0</v>
      </c>
      <c r="AK1697" s="38">
        <v>0</v>
      </c>
      <c r="AL1697" s="38">
        <v>0</v>
      </c>
      <c r="AM1697" s="38">
        <f>AL1697/(3.5*I1697*1000)*100</f>
        <v>0</v>
      </c>
      <c r="AN1697" s="72"/>
      <c r="AO1697" s="41"/>
      <c r="AP1697" s="41"/>
      <c r="AQ1697" s="73"/>
      <c r="AR1697" s="73"/>
      <c r="AS1697" s="73"/>
      <c r="AT1697" s="73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</row>
    <row r="1698" spans="1:88" s="22" customFormat="1">
      <c r="A1698" s="1">
        <v>1663</v>
      </c>
      <c r="B1698" s="34" t="s">
        <v>2251</v>
      </c>
      <c r="C1698" s="34">
        <v>418</v>
      </c>
      <c r="D1698" s="69">
        <v>3215</v>
      </c>
      <c r="E1698" s="34">
        <v>102</v>
      </c>
      <c r="F1698" s="34" t="s">
        <v>2264</v>
      </c>
      <c r="G1698" s="58" t="s">
        <v>2266</v>
      </c>
      <c r="H1698" s="58" t="s">
        <v>2265</v>
      </c>
      <c r="I1698" s="35">
        <v>11.473000000000001</v>
      </c>
      <c r="J1698" s="34">
        <v>4</v>
      </c>
      <c r="K1698" s="34" t="s">
        <v>96</v>
      </c>
      <c r="L1698" s="10">
        <v>42244</v>
      </c>
      <c r="M1698" s="37" t="s">
        <v>191</v>
      </c>
      <c r="N1698" s="55">
        <v>5.5750000000000002</v>
      </c>
      <c r="O1698" s="55">
        <v>3.5750000000000002</v>
      </c>
      <c r="P1698" s="55">
        <v>1.675</v>
      </c>
      <c r="Q1698" s="55">
        <v>0.55000000000000004</v>
      </c>
      <c r="R1698" s="55">
        <v>2.7792500000000002</v>
      </c>
      <c r="S1698" s="38">
        <f t="shared" si="204"/>
        <v>3</v>
      </c>
      <c r="T1698" s="38">
        <v>5.625</v>
      </c>
      <c r="U1698" s="38">
        <v>2.9249999999999998</v>
      </c>
      <c r="V1698" s="38">
        <v>1.875</v>
      </c>
      <c r="W1698" s="38">
        <v>0.95</v>
      </c>
      <c r="X1698" s="38">
        <v>10.776899999999999</v>
      </c>
      <c r="Y1698" s="38">
        <f t="shared" si="205"/>
        <v>11</v>
      </c>
      <c r="Z1698" s="38">
        <v>0</v>
      </c>
      <c r="AA1698" s="38">
        <v>0</v>
      </c>
      <c r="AB1698" s="38">
        <f>SUM(N1698:Q1698)</f>
        <v>11.375000000000002</v>
      </c>
      <c r="AC1698" s="38">
        <v>0.94515199999999999</v>
      </c>
      <c r="AD1698" s="39">
        <v>3.21</v>
      </c>
      <c r="AE1698" s="38">
        <v>10.07</v>
      </c>
      <c r="AF1698" s="38">
        <f>(AD1698+AE1698*0.5)/(3.5*I1698*1000)*100</f>
        <v>2.0532679209572788E-2</v>
      </c>
      <c r="AG1698" s="38">
        <f t="shared" si="206"/>
        <v>0</v>
      </c>
      <c r="AH1698" s="38">
        <v>0</v>
      </c>
      <c r="AI1698" s="38">
        <f>AH1698/(3.5*I1698*1000)*100</f>
        <v>0</v>
      </c>
      <c r="AJ1698" s="38">
        <v>0</v>
      </c>
      <c r="AK1698" s="38">
        <f>AJ1698/(3.5*I1698*1000)*100</f>
        <v>0</v>
      </c>
      <c r="AL1698" s="38">
        <v>0</v>
      </c>
      <c r="AM1698" s="38">
        <f>AL1698/(3.5*I1698*1000)*100</f>
        <v>0</v>
      </c>
      <c r="AN1698" s="25"/>
      <c r="AO1698" s="25">
        <f t="shared" ref="AO1698:AO1703" si="209">AE1698*0.5</f>
        <v>5.0350000000000001</v>
      </c>
      <c r="AP1698" s="25">
        <f t="shared" ref="AP1698:AP1703" si="210">(AD1698+AH1698+AJ1698+AL1698+AO1698)*I1698</f>
        <v>94.594885000000019</v>
      </c>
      <c r="AQ1698" s="25">
        <f>(AD1698+AH1698+AJ1698+AL1698)*I1698</f>
        <v>36.828330000000001</v>
      </c>
      <c r="AR1698" s="25">
        <f>SUM(N1698:Q1698)</f>
        <v>11.375000000000002</v>
      </c>
      <c r="AS1698" s="25">
        <f>SUM(T1698:W1698)</f>
        <v>11.375</v>
      </c>
      <c r="AU1698" s="41"/>
      <c r="AV1698" s="41"/>
      <c r="AW1698" s="41"/>
      <c r="AX1698" s="41"/>
    </row>
    <row r="1699" spans="1:88" s="22" customFormat="1">
      <c r="A1699" s="1">
        <v>638</v>
      </c>
      <c r="B1699" s="78" t="s">
        <v>1040</v>
      </c>
      <c r="C1699" s="78">
        <v>629</v>
      </c>
      <c r="D1699" s="78">
        <v>2315</v>
      </c>
      <c r="E1699" s="78">
        <v>100</v>
      </c>
      <c r="F1699" s="71" t="s">
        <v>1046</v>
      </c>
      <c r="G1699" s="120">
        <v>0</v>
      </c>
      <c r="H1699" s="120">
        <v>19000</v>
      </c>
      <c r="I1699" s="121">
        <v>19</v>
      </c>
      <c r="J1699" s="71">
        <v>2</v>
      </c>
      <c r="K1699" s="78" t="s">
        <v>238</v>
      </c>
      <c r="L1699" s="122">
        <v>42180</v>
      </c>
      <c r="M1699" s="123" t="s">
        <v>191</v>
      </c>
      <c r="N1699" s="83">
        <v>10.975</v>
      </c>
      <c r="O1699" s="83">
        <v>5.35</v>
      </c>
      <c r="P1699" s="83">
        <v>2.0750000000000002</v>
      </c>
      <c r="Q1699" s="83">
        <v>0.57499999999999996</v>
      </c>
      <c r="R1699" s="83">
        <v>2.6720000000000002</v>
      </c>
      <c r="S1699" s="38">
        <f t="shared" si="204"/>
        <v>2.5</v>
      </c>
      <c r="T1699" s="83">
        <v>18.88</v>
      </c>
      <c r="U1699" s="83">
        <v>0.1</v>
      </c>
      <c r="V1699" s="83">
        <v>0</v>
      </c>
      <c r="W1699" s="83">
        <v>0</v>
      </c>
      <c r="X1699" s="83">
        <v>3.246</v>
      </c>
      <c r="Y1699" s="38">
        <f t="shared" si="205"/>
        <v>3</v>
      </c>
      <c r="Z1699" s="124">
        <v>0</v>
      </c>
      <c r="AA1699" s="124">
        <v>0</v>
      </c>
      <c r="AB1699" s="124">
        <f>T1699+U1699+V1699+W1699</f>
        <v>18.98</v>
      </c>
      <c r="AC1699" s="83">
        <v>1.0189999999999999</v>
      </c>
      <c r="AD1699" s="125">
        <v>10.975</v>
      </c>
      <c r="AE1699" s="83">
        <v>5.35</v>
      </c>
      <c r="AF1699" s="83">
        <v>2.0526315789473684E-2</v>
      </c>
      <c r="AG1699" s="38">
        <f t="shared" si="206"/>
        <v>0</v>
      </c>
      <c r="AH1699" s="83">
        <v>0.57499999999999996</v>
      </c>
      <c r="AI1699" s="83">
        <v>8.6466165413533831E-4</v>
      </c>
      <c r="AJ1699" s="83">
        <v>18.875</v>
      </c>
      <c r="AK1699" s="83">
        <v>2.8383458646616542E-2</v>
      </c>
      <c r="AL1699" s="83">
        <v>0</v>
      </c>
      <c r="AM1699" s="83">
        <f>AL1699/(3.5*I1699*1000)*100</f>
        <v>0</v>
      </c>
      <c r="AN1699" s="25"/>
      <c r="AO1699" s="25">
        <f t="shared" si="209"/>
        <v>2.6749999999999998</v>
      </c>
      <c r="AP1699" s="25">
        <f t="shared" si="210"/>
        <v>628.89999999999986</v>
      </c>
      <c r="AQ1699" s="25">
        <f>SUM(N1699:Q1699)</f>
        <v>18.974999999999998</v>
      </c>
      <c r="AR1699" s="25">
        <f>SUM(T1699:W1699)</f>
        <v>18.98</v>
      </c>
      <c r="AT1699" s="41"/>
      <c r="AU1699" s="41"/>
      <c r="AV1699" s="41"/>
      <c r="AW1699" s="41"/>
    </row>
    <row r="1700" spans="1:88" s="22" customFormat="1">
      <c r="A1700" s="1">
        <v>899</v>
      </c>
      <c r="B1700" s="34" t="s">
        <v>1285</v>
      </c>
      <c r="C1700" s="34">
        <v>634</v>
      </c>
      <c r="D1700" s="162">
        <v>2134</v>
      </c>
      <c r="E1700" s="34">
        <v>101</v>
      </c>
      <c r="F1700" s="34" t="s">
        <v>1293</v>
      </c>
      <c r="G1700" s="58">
        <v>24821</v>
      </c>
      <c r="H1700" s="58">
        <v>0</v>
      </c>
      <c r="I1700" s="35">
        <v>24.821000000000002</v>
      </c>
      <c r="J1700" s="9">
        <v>2</v>
      </c>
      <c r="K1700" s="34" t="s">
        <v>12</v>
      </c>
      <c r="L1700" s="10">
        <v>42146</v>
      </c>
      <c r="M1700" s="37" t="s">
        <v>191</v>
      </c>
      <c r="N1700" s="38">
        <v>10.050000000000001</v>
      </c>
      <c r="O1700" s="38">
        <v>7.8250000000000002</v>
      </c>
      <c r="P1700" s="38">
        <v>3.8250000000000002</v>
      </c>
      <c r="Q1700" s="38">
        <v>3.15</v>
      </c>
      <c r="R1700" s="38">
        <v>4.5759999999999996</v>
      </c>
      <c r="S1700" s="38">
        <f t="shared" si="204"/>
        <v>4.5</v>
      </c>
      <c r="T1700" s="38">
        <v>21.425000000000001</v>
      </c>
      <c r="U1700" s="38">
        <v>2.375</v>
      </c>
      <c r="V1700" s="38">
        <v>0.8</v>
      </c>
      <c r="W1700" s="38">
        <v>0.25</v>
      </c>
      <c r="X1700" s="38">
        <v>7.851</v>
      </c>
      <c r="Y1700" s="38">
        <f t="shared" si="205"/>
        <v>8</v>
      </c>
      <c r="Z1700" s="38">
        <v>0</v>
      </c>
      <c r="AA1700" s="38">
        <v>0</v>
      </c>
      <c r="AB1700" s="38">
        <f>N1700+O1700+P1700+Q1700</f>
        <v>24.849999999999998</v>
      </c>
      <c r="AC1700" s="38">
        <v>1.5247999999999999</v>
      </c>
      <c r="AD1700" s="39">
        <v>0</v>
      </c>
      <c r="AE1700" s="38">
        <v>51.2</v>
      </c>
      <c r="AF1700" s="38">
        <v>2.044E-2</v>
      </c>
      <c r="AG1700" s="38">
        <f t="shared" si="206"/>
        <v>0</v>
      </c>
      <c r="AH1700" s="38">
        <v>0</v>
      </c>
      <c r="AI1700" s="38">
        <v>0</v>
      </c>
      <c r="AJ1700" s="38">
        <v>0</v>
      </c>
      <c r="AK1700" s="38">
        <v>0</v>
      </c>
      <c r="AL1700" s="38">
        <v>0</v>
      </c>
      <c r="AM1700" s="38">
        <v>0</v>
      </c>
      <c r="AN1700" s="25"/>
      <c r="AO1700" s="25">
        <f t="shared" si="209"/>
        <v>25.6</v>
      </c>
      <c r="AP1700" s="25">
        <f t="shared" si="210"/>
        <v>635.41760000000011</v>
      </c>
      <c r="AQ1700" s="25">
        <f>SUM(N1700:Q1700)</f>
        <v>24.849999999999998</v>
      </c>
      <c r="AR1700" s="25">
        <f>SUM(T1700:W1700)</f>
        <v>24.85</v>
      </c>
      <c r="AT1700" s="41"/>
      <c r="AU1700" s="41"/>
      <c r="AV1700" s="41"/>
      <c r="AW1700" s="41"/>
    </row>
    <row r="1701" spans="1:88" s="22" customFormat="1">
      <c r="A1701" s="1">
        <v>633</v>
      </c>
      <c r="B1701" s="78" t="s">
        <v>1040</v>
      </c>
      <c r="C1701" s="78">
        <v>629</v>
      </c>
      <c r="D1701" s="78">
        <v>228</v>
      </c>
      <c r="E1701" s="78">
        <v>201</v>
      </c>
      <c r="F1701" s="71" t="s">
        <v>1041</v>
      </c>
      <c r="G1701" s="120">
        <v>38759</v>
      </c>
      <c r="H1701" s="120">
        <v>56884</v>
      </c>
      <c r="I1701" s="121">
        <v>18.125</v>
      </c>
      <c r="J1701" s="71">
        <v>2</v>
      </c>
      <c r="K1701" s="78" t="s">
        <v>238</v>
      </c>
      <c r="L1701" s="122">
        <v>42179</v>
      </c>
      <c r="M1701" s="123" t="s">
        <v>191</v>
      </c>
      <c r="N1701" s="124">
        <v>9.625</v>
      </c>
      <c r="O1701" s="124">
        <v>6.35</v>
      </c>
      <c r="P1701" s="124">
        <v>1.85</v>
      </c>
      <c r="Q1701" s="124">
        <v>0.52500000000000002</v>
      </c>
      <c r="R1701" s="83">
        <v>2.3450000000000002</v>
      </c>
      <c r="S1701" s="38">
        <f t="shared" si="204"/>
        <v>2.5</v>
      </c>
      <c r="T1701" s="124">
        <v>16.625</v>
      </c>
      <c r="U1701" s="124">
        <v>1.4</v>
      </c>
      <c r="V1701" s="124">
        <v>0.22500000000000001</v>
      </c>
      <c r="W1701" s="124">
        <v>0.1</v>
      </c>
      <c r="X1701" s="124">
        <v>3.3079999999999998</v>
      </c>
      <c r="Y1701" s="38">
        <f t="shared" si="205"/>
        <v>3.5</v>
      </c>
      <c r="Z1701" s="124">
        <v>0</v>
      </c>
      <c r="AA1701" s="124">
        <v>0</v>
      </c>
      <c r="AB1701" s="124">
        <f>T1701+U1701+V1701+W1701</f>
        <v>18.350000000000001</v>
      </c>
      <c r="AC1701" s="124">
        <v>0.96399999999999997</v>
      </c>
      <c r="AD1701" s="125">
        <v>9.625</v>
      </c>
      <c r="AE1701" s="83">
        <v>6.35</v>
      </c>
      <c r="AF1701" s="83">
        <v>2.0177339901477832E-2</v>
      </c>
      <c r="AG1701" s="38">
        <f t="shared" si="206"/>
        <v>0</v>
      </c>
      <c r="AH1701" s="83">
        <v>0.52500000000000002</v>
      </c>
      <c r="AI1701" s="83">
        <v>8.2758620689655181E-4</v>
      </c>
      <c r="AJ1701" s="83">
        <v>16.625</v>
      </c>
      <c r="AK1701" s="83">
        <v>2.6206896551724135E-2</v>
      </c>
      <c r="AL1701" s="83">
        <v>0.22500000000000001</v>
      </c>
      <c r="AM1701" s="83">
        <f t="shared" ref="AM1701:AM1709" si="211">AL1701/(3.5*I1701*1000)*100</f>
        <v>3.5467980295566501E-4</v>
      </c>
      <c r="AN1701" s="25"/>
      <c r="AO1701" s="25">
        <f t="shared" si="209"/>
        <v>3.1749999999999998</v>
      </c>
      <c r="AP1701" s="25">
        <f t="shared" si="210"/>
        <v>546.921875</v>
      </c>
      <c r="AQ1701" s="25">
        <f>SUM(N1701:Q1701)</f>
        <v>18.349999999999998</v>
      </c>
      <c r="AR1701" s="25">
        <f>SUM(T1701:W1701)</f>
        <v>18.350000000000001</v>
      </c>
      <c r="AT1701" s="41"/>
      <c r="AU1701" s="41"/>
      <c r="AV1701" s="41"/>
      <c r="AW1701" s="4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</row>
    <row r="1702" spans="1:88" s="22" customFormat="1">
      <c r="A1702" s="1">
        <v>328</v>
      </c>
      <c r="B1702" s="34" t="s">
        <v>557</v>
      </c>
      <c r="C1702" s="34">
        <v>646</v>
      </c>
      <c r="D1702" s="34">
        <v>212</v>
      </c>
      <c r="E1702" s="34">
        <v>101</v>
      </c>
      <c r="F1702" s="34" t="s">
        <v>562</v>
      </c>
      <c r="G1702" s="58">
        <v>0</v>
      </c>
      <c r="H1702" s="58">
        <v>32600</v>
      </c>
      <c r="I1702" s="35">
        <v>32.6</v>
      </c>
      <c r="J1702" s="62">
        <v>4</v>
      </c>
      <c r="K1702" s="34" t="s">
        <v>96</v>
      </c>
      <c r="L1702" s="10">
        <v>42165</v>
      </c>
      <c r="M1702" s="9" t="s">
        <v>191</v>
      </c>
      <c r="N1702" s="38">
        <v>24.9</v>
      </c>
      <c r="O1702" s="38">
        <v>5.4249999999999998</v>
      </c>
      <c r="P1702" s="38">
        <v>1.4750000000000001</v>
      </c>
      <c r="Q1702" s="38">
        <v>0.65</v>
      </c>
      <c r="R1702" s="38">
        <v>2.2968099999999998</v>
      </c>
      <c r="S1702" s="38">
        <f t="shared" si="204"/>
        <v>2.5</v>
      </c>
      <c r="T1702" s="38">
        <v>24.375</v>
      </c>
      <c r="U1702" s="38">
        <v>5.65</v>
      </c>
      <c r="V1702" s="38">
        <v>1.675</v>
      </c>
      <c r="W1702" s="38">
        <v>0.75</v>
      </c>
      <c r="X1702" s="38">
        <v>8.3544999999999998</v>
      </c>
      <c r="Y1702" s="38">
        <f t="shared" si="205"/>
        <v>8.5</v>
      </c>
      <c r="Z1702" s="38">
        <v>0</v>
      </c>
      <c r="AA1702" s="38">
        <v>0</v>
      </c>
      <c r="AB1702" s="38">
        <f>T1702+U1702+V1702+W1702</f>
        <v>32.450000000000003</v>
      </c>
      <c r="AC1702" s="38">
        <v>1.14062</v>
      </c>
      <c r="AD1702" s="38">
        <v>23</v>
      </c>
      <c r="AE1702" s="38">
        <v>0</v>
      </c>
      <c r="AF1702" s="38">
        <f>(AD1702+AE1702*0.5)/(3.5*I1702*1000)*100</f>
        <v>2.0157756354075372E-2</v>
      </c>
      <c r="AG1702" s="38">
        <f t="shared" si="206"/>
        <v>0</v>
      </c>
      <c r="AH1702" s="38">
        <v>0</v>
      </c>
      <c r="AI1702" s="38">
        <f>AH1702/(3.5*I1702*1000)*100</f>
        <v>0</v>
      </c>
      <c r="AJ1702" s="38">
        <v>9.89</v>
      </c>
      <c r="AK1702" s="38">
        <f>AJ1702/(3.5*I1702*1000)*100</f>
        <v>8.6678352322524105E-3</v>
      </c>
      <c r="AL1702" s="38">
        <v>0</v>
      </c>
      <c r="AM1702" s="38">
        <f t="shared" si="211"/>
        <v>0</v>
      </c>
      <c r="AN1702" s="25"/>
      <c r="AO1702" s="25">
        <f t="shared" si="209"/>
        <v>0</v>
      </c>
      <c r="AP1702" s="25">
        <f t="shared" si="210"/>
        <v>1072.2140000000002</v>
      </c>
      <c r="AQ1702" s="25">
        <f>SUM(N1702:Q1702)</f>
        <v>32.450000000000003</v>
      </c>
      <c r="AR1702" s="25">
        <f>SUM(T1702:W1702)</f>
        <v>32.450000000000003</v>
      </c>
      <c r="AT1702" s="41"/>
      <c r="AU1702" s="41">
        <f>SUM(N1702:Q1702)</f>
        <v>32.450000000000003</v>
      </c>
      <c r="AV1702" s="41">
        <f>SUM(T1702:W1702)</f>
        <v>32.450000000000003</v>
      </c>
      <c r="AW1702" s="41">
        <f>SUM(Z1702:AB1702)</f>
        <v>32.450000000000003</v>
      </c>
      <c r="AY1702" s="22">
        <f>I1702/AU1702</f>
        <v>1.0046224961479198</v>
      </c>
      <c r="AZ1702" s="22">
        <f>I1702/AV1702</f>
        <v>1.0046224961479198</v>
      </c>
      <c r="BA1702" s="22">
        <f>I1702/AW1702</f>
        <v>1.0046224961479198</v>
      </c>
    </row>
    <row r="1703" spans="1:88" s="22" customFormat="1">
      <c r="A1703" s="1">
        <v>637</v>
      </c>
      <c r="B1703" s="78" t="s">
        <v>1040</v>
      </c>
      <c r="C1703" s="78">
        <v>629</v>
      </c>
      <c r="D1703" s="78">
        <v>2314</v>
      </c>
      <c r="E1703" s="78">
        <v>100</v>
      </c>
      <c r="F1703" s="71" t="s">
        <v>1045</v>
      </c>
      <c r="G1703" s="120">
        <v>0</v>
      </c>
      <c r="H1703" s="120">
        <v>24753</v>
      </c>
      <c r="I1703" s="121">
        <v>24.753</v>
      </c>
      <c r="J1703" s="71">
        <v>2</v>
      </c>
      <c r="K1703" s="78" t="s">
        <v>238</v>
      </c>
      <c r="L1703" s="122">
        <v>42180</v>
      </c>
      <c r="M1703" s="71" t="s">
        <v>191</v>
      </c>
      <c r="N1703" s="83">
        <v>14.45</v>
      </c>
      <c r="O1703" s="83">
        <v>6.0250000000000004</v>
      </c>
      <c r="P1703" s="83">
        <v>3.2749999999999999</v>
      </c>
      <c r="Q1703" s="83">
        <v>0.95</v>
      </c>
      <c r="R1703" s="83">
        <v>2.7677900000000002</v>
      </c>
      <c r="S1703" s="38">
        <f t="shared" si="204"/>
        <v>3</v>
      </c>
      <c r="T1703" s="83">
        <v>24.125</v>
      </c>
      <c r="U1703" s="83">
        <v>0.55000000000000004</v>
      </c>
      <c r="V1703" s="83">
        <v>2.5000000000000001E-2</v>
      </c>
      <c r="W1703" s="83">
        <v>0</v>
      </c>
      <c r="X1703" s="83">
        <v>4.2792399999999997</v>
      </c>
      <c r="Y1703" s="38">
        <f t="shared" si="205"/>
        <v>4.5</v>
      </c>
      <c r="Z1703" s="124">
        <v>0</v>
      </c>
      <c r="AA1703" s="124">
        <v>0</v>
      </c>
      <c r="AB1703" s="124">
        <f>T1703+U1703+V1703+W1703</f>
        <v>24.7</v>
      </c>
      <c r="AC1703" s="83">
        <v>1.1118600000000001</v>
      </c>
      <c r="AD1703" s="83">
        <v>14.45</v>
      </c>
      <c r="AE1703" s="83">
        <v>6.0250000000000004</v>
      </c>
      <c r="AF1703" s="83">
        <v>2.0156286972430465E-2</v>
      </c>
      <c r="AG1703" s="38">
        <f t="shared" si="206"/>
        <v>0</v>
      </c>
      <c r="AH1703" s="83">
        <v>0.95</v>
      </c>
      <c r="AI1703" s="83">
        <v>1.0965481817499752E-3</v>
      </c>
      <c r="AJ1703" s="83">
        <v>24.125</v>
      </c>
      <c r="AK1703" s="83">
        <v>2.7846552510229636E-2</v>
      </c>
      <c r="AL1703" s="83">
        <v>2.5000000000000001E-2</v>
      </c>
      <c r="AM1703" s="83">
        <f t="shared" si="211"/>
        <v>2.8856531098683562E-5</v>
      </c>
      <c r="AN1703" s="25"/>
      <c r="AO1703" s="25">
        <f t="shared" si="209"/>
        <v>3.0125000000000002</v>
      </c>
      <c r="AP1703" s="25">
        <f t="shared" si="210"/>
        <v>1053.5495625000001</v>
      </c>
      <c r="AQ1703" s="25">
        <f>SUM(N1703:Q1703)</f>
        <v>24.7</v>
      </c>
      <c r="AR1703" s="25">
        <f>SUM(T1703:W1703)</f>
        <v>24.7</v>
      </c>
      <c r="AT1703" s="41"/>
      <c r="AU1703" s="41"/>
      <c r="AV1703" s="41"/>
      <c r="AW1703" s="41"/>
    </row>
    <row r="1704" spans="1:88" s="22" customFormat="1">
      <c r="A1704" s="1">
        <v>1990</v>
      </c>
      <c r="B1704" s="34" t="s">
        <v>2615</v>
      </c>
      <c r="C1704" s="34">
        <v>322</v>
      </c>
      <c r="D1704" s="75">
        <v>4235</v>
      </c>
      <c r="E1704" s="8">
        <v>100</v>
      </c>
      <c r="F1704" s="34" t="s">
        <v>2631</v>
      </c>
      <c r="G1704" s="58">
        <v>0</v>
      </c>
      <c r="H1704" s="58">
        <v>31188</v>
      </c>
      <c r="I1704" s="21">
        <v>31.187999999999999</v>
      </c>
      <c r="J1704" s="8">
        <v>2</v>
      </c>
      <c r="K1704" s="8" t="s">
        <v>237</v>
      </c>
      <c r="L1704" s="18">
        <v>42131</v>
      </c>
      <c r="M1704" s="9" t="s">
        <v>191</v>
      </c>
      <c r="N1704" s="38">
        <v>26.9</v>
      </c>
      <c r="O1704" s="38">
        <v>3</v>
      </c>
      <c r="P1704" s="38">
        <v>0.5</v>
      </c>
      <c r="Q1704" s="38">
        <v>0.32500000000000001</v>
      </c>
      <c r="R1704" s="38">
        <v>1.9500200000000001</v>
      </c>
      <c r="S1704" s="38">
        <f t="shared" si="204"/>
        <v>2</v>
      </c>
      <c r="T1704" s="38">
        <v>30.7</v>
      </c>
      <c r="U1704" s="38">
        <v>2.5000000000000001E-2</v>
      </c>
      <c r="V1704" s="38">
        <v>0</v>
      </c>
      <c r="W1704" s="38">
        <v>0</v>
      </c>
      <c r="X1704" s="38">
        <v>2.8820100000000002</v>
      </c>
      <c r="Y1704" s="38">
        <f t="shared" si="205"/>
        <v>3</v>
      </c>
      <c r="Z1704" s="38">
        <v>0</v>
      </c>
      <c r="AA1704" s="38">
        <v>0</v>
      </c>
      <c r="AB1704" s="38">
        <v>30.724999999999998</v>
      </c>
      <c r="AC1704" s="38">
        <v>1.1509499999999999</v>
      </c>
      <c r="AD1704" s="38">
        <v>0</v>
      </c>
      <c r="AE1704" s="38">
        <v>43.93</v>
      </c>
      <c r="AF1704" s="38">
        <v>2.0122208175305519E-2</v>
      </c>
      <c r="AG1704" s="38">
        <f t="shared" si="206"/>
        <v>0</v>
      </c>
      <c r="AH1704" s="38">
        <v>0</v>
      </c>
      <c r="AI1704" s="38">
        <v>0</v>
      </c>
      <c r="AJ1704" s="38">
        <v>0</v>
      </c>
      <c r="AK1704" s="38">
        <v>0</v>
      </c>
      <c r="AL1704" s="38">
        <v>0</v>
      </c>
      <c r="AM1704" s="38">
        <f t="shared" si="211"/>
        <v>0</v>
      </c>
      <c r="AN1704" s="72"/>
      <c r="AO1704" s="41"/>
      <c r="AP1704" s="41"/>
      <c r="AQ1704" s="73"/>
      <c r="AR1704" s="73"/>
      <c r="AS1704" s="73"/>
      <c r="AT1704" s="73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</row>
    <row r="1705" spans="1:88" s="22" customFormat="1">
      <c r="A1705" s="1">
        <v>2014</v>
      </c>
      <c r="B1705" s="34" t="s">
        <v>2646</v>
      </c>
      <c r="C1705" s="34">
        <v>325</v>
      </c>
      <c r="D1705" s="75">
        <v>4153</v>
      </c>
      <c r="E1705" s="8">
        <v>100</v>
      </c>
      <c r="F1705" s="34" t="s">
        <v>2661</v>
      </c>
      <c r="G1705" s="58">
        <v>8354</v>
      </c>
      <c r="H1705" s="58">
        <v>0</v>
      </c>
      <c r="I1705" s="21">
        <v>8.3539999999999992</v>
      </c>
      <c r="J1705" s="8">
        <v>6</v>
      </c>
      <c r="K1705" s="8" t="s">
        <v>1521</v>
      </c>
      <c r="L1705" s="18">
        <v>42117</v>
      </c>
      <c r="M1705" s="37" t="s">
        <v>191</v>
      </c>
      <c r="N1705" s="38">
        <v>4.84</v>
      </c>
      <c r="O1705" s="38">
        <v>2.0299999999999998</v>
      </c>
      <c r="P1705" s="38">
        <v>1.06</v>
      </c>
      <c r="Q1705" s="38">
        <v>0.43</v>
      </c>
      <c r="R1705" s="38">
        <v>2.5956100000000002</v>
      </c>
      <c r="S1705" s="38">
        <f t="shared" si="204"/>
        <v>2.5</v>
      </c>
      <c r="T1705" s="38">
        <v>8</v>
      </c>
      <c r="U1705" s="38">
        <v>0.35</v>
      </c>
      <c r="V1705" s="38">
        <v>0</v>
      </c>
      <c r="W1705" s="38">
        <v>0</v>
      </c>
      <c r="X1705" s="38">
        <v>3.8329800000000001</v>
      </c>
      <c r="Y1705" s="38">
        <f t="shared" si="205"/>
        <v>4</v>
      </c>
      <c r="Z1705" s="38">
        <v>0</v>
      </c>
      <c r="AA1705" s="38">
        <v>0</v>
      </c>
      <c r="AB1705" s="38">
        <v>8.35</v>
      </c>
      <c r="AC1705" s="38">
        <v>1.2747200000000001</v>
      </c>
      <c r="AD1705" s="39">
        <v>4.0599999999999996</v>
      </c>
      <c r="AE1705" s="38">
        <v>3.61</v>
      </c>
      <c r="AF1705" s="38">
        <f>(AD1705+AE1705*0.5)/(3.5*I1705*1000)*100</f>
        <v>2.0058825541229178E-2</v>
      </c>
      <c r="AG1705" s="38">
        <f t="shared" si="206"/>
        <v>0</v>
      </c>
      <c r="AH1705" s="38">
        <v>8</v>
      </c>
      <c r="AI1705" s="38">
        <f>AH1705/(3.5*I1705*1000)*100</f>
        <v>2.7360716850781494E-2</v>
      </c>
      <c r="AJ1705" s="38">
        <v>53.92</v>
      </c>
      <c r="AK1705" s="38">
        <f>AJ1705/(3.5*I1705*1000)*100</f>
        <v>0.18441123157426725</v>
      </c>
      <c r="AL1705" s="38">
        <v>0</v>
      </c>
      <c r="AM1705" s="38">
        <f t="shared" si="211"/>
        <v>0</v>
      </c>
      <c r="AN1705" s="12"/>
      <c r="AO1705" s="12"/>
      <c r="AP1705" s="1"/>
      <c r="AQ1705" s="41">
        <f t="shared" ref="AQ1705:AQ1712" si="212">SUM(N1705:Q1705)</f>
        <v>8.36</v>
      </c>
      <c r="AR1705" s="41">
        <f t="shared" ref="AR1705:AR1712" si="213">SUM(T1705:W1705)</f>
        <v>8.35</v>
      </c>
      <c r="AS1705" s="12">
        <f>SUM(Z1705:AB1705)</f>
        <v>8.35</v>
      </c>
      <c r="AT1705" s="1"/>
      <c r="AU1705" s="1">
        <f>I1705/AQ1705</f>
        <v>0.99928229665071766</v>
      </c>
      <c r="AV1705" s="1">
        <f>I1705/AR1705</f>
        <v>1.0004790419161675</v>
      </c>
      <c r="AW1705" s="1">
        <f>I1705/AS1705</f>
        <v>1.0004790419161675</v>
      </c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</row>
    <row r="1706" spans="1:88" s="22" customFormat="1">
      <c r="A1706" s="1">
        <v>811</v>
      </c>
      <c r="B1706" s="34" t="s">
        <v>1204</v>
      </c>
      <c r="C1706" s="34">
        <v>647</v>
      </c>
      <c r="D1706" s="8">
        <v>12</v>
      </c>
      <c r="E1706" s="34">
        <v>902</v>
      </c>
      <c r="F1706" s="34" t="s">
        <v>1205</v>
      </c>
      <c r="G1706" s="58">
        <v>620712</v>
      </c>
      <c r="H1706" s="58">
        <v>662897</v>
      </c>
      <c r="I1706" s="35">
        <v>42.185000000000002</v>
      </c>
      <c r="J1706" s="9">
        <v>4</v>
      </c>
      <c r="K1706" s="34" t="s">
        <v>238</v>
      </c>
      <c r="L1706" s="10">
        <v>42153</v>
      </c>
      <c r="M1706" s="37" t="s">
        <v>191</v>
      </c>
      <c r="N1706" s="38">
        <v>26</v>
      </c>
      <c r="O1706" s="38">
        <v>12.625</v>
      </c>
      <c r="P1706" s="38">
        <v>2.5750000000000002</v>
      </c>
      <c r="Q1706" s="38">
        <v>1.125</v>
      </c>
      <c r="R1706" s="38">
        <v>2.5794999999999999</v>
      </c>
      <c r="S1706" s="38">
        <f t="shared" si="204"/>
        <v>2.5</v>
      </c>
      <c r="T1706" s="38">
        <v>37.650000000000006</v>
      </c>
      <c r="U1706" s="38">
        <v>3.25</v>
      </c>
      <c r="V1706" s="38">
        <v>0.9</v>
      </c>
      <c r="W1706" s="38">
        <v>0.5</v>
      </c>
      <c r="X1706" s="38">
        <v>6.2489999999999997</v>
      </c>
      <c r="Y1706" s="38">
        <f t="shared" si="205"/>
        <v>6</v>
      </c>
      <c r="Z1706" s="38">
        <v>0</v>
      </c>
      <c r="AA1706" s="38">
        <v>0</v>
      </c>
      <c r="AB1706" s="38">
        <f>N1706+O1706+P1706+Q1706</f>
        <v>42.325000000000003</v>
      </c>
      <c r="AC1706" s="38">
        <v>1.2169000000000001</v>
      </c>
      <c r="AD1706" s="39">
        <v>16</v>
      </c>
      <c r="AE1706" s="38">
        <v>27</v>
      </c>
      <c r="AF1706" s="38">
        <f>(AD1706+AE1706*0.5)/(3.5*I1706*1000)*100</f>
        <v>1.998001998001998E-2</v>
      </c>
      <c r="AG1706" s="38">
        <f t="shared" si="206"/>
        <v>0</v>
      </c>
      <c r="AH1706" s="38">
        <v>83</v>
      </c>
      <c r="AI1706" s="38">
        <f>AH1706/(3.5*I1706*1000)*100</f>
        <v>5.6214971469208758E-2</v>
      </c>
      <c r="AJ1706" s="38">
        <v>185</v>
      </c>
      <c r="AK1706" s="38">
        <f>AJ1706/(3.5*I1706*1000)*100</f>
        <v>0.12529843038317615</v>
      </c>
      <c r="AL1706" s="38">
        <v>0</v>
      </c>
      <c r="AM1706" s="38">
        <f t="shared" si="211"/>
        <v>0</v>
      </c>
      <c r="AN1706" s="25"/>
      <c r="AO1706" s="25">
        <f t="shared" ref="AO1706:AO1712" si="214">AE1706*0.5</f>
        <v>13.5</v>
      </c>
      <c r="AP1706" s="25">
        <f t="shared" ref="AP1706:AP1712" si="215">(AD1706+AH1706+AJ1706+AL1706+AO1706)*I1706</f>
        <v>12550.0375</v>
      </c>
      <c r="AQ1706" s="136">
        <f t="shared" si="212"/>
        <v>42.325000000000003</v>
      </c>
      <c r="AR1706" s="136">
        <f t="shared" si="213"/>
        <v>42.300000000000004</v>
      </c>
      <c r="AS1706" s="268">
        <v>42.185000000000002</v>
      </c>
      <c r="AT1706" s="41"/>
      <c r="AU1706" s="41"/>
      <c r="AV1706" s="41"/>
      <c r="AW1706" s="41"/>
    </row>
    <row r="1707" spans="1:88" s="22" customFormat="1">
      <c r="A1707" s="1">
        <v>635</v>
      </c>
      <c r="B1707" s="78" t="s">
        <v>1040</v>
      </c>
      <c r="C1707" s="78">
        <v>629</v>
      </c>
      <c r="D1707" s="78">
        <v>2263</v>
      </c>
      <c r="E1707" s="78">
        <v>201</v>
      </c>
      <c r="F1707" s="71" t="s">
        <v>1043</v>
      </c>
      <c r="G1707" s="120">
        <v>21412</v>
      </c>
      <c r="H1707" s="120">
        <v>38500</v>
      </c>
      <c r="I1707" s="121">
        <v>17.088000000000001</v>
      </c>
      <c r="J1707" s="71">
        <v>2</v>
      </c>
      <c r="K1707" s="78" t="s">
        <v>238</v>
      </c>
      <c r="L1707" s="122">
        <v>42180</v>
      </c>
      <c r="M1707" s="123" t="s">
        <v>191</v>
      </c>
      <c r="N1707" s="83">
        <v>9.4</v>
      </c>
      <c r="O1707" s="83">
        <v>5.0750000000000002</v>
      </c>
      <c r="P1707" s="83">
        <v>2.25</v>
      </c>
      <c r="Q1707" s="83">
        <v>0.35</v>
      </c>
      <c r="R1707" s="83">
        <v>2.6301100000000002</v>
      </c>
      <c r="S1707" s="38">
        <f t="shared" si="204"/>
        <v>2.5</v>
      </c>
      <c r="T1707" s="83">
        <v>16.975000000000001</v>
      </c>
      <c r="U1707" s="83">
        <v>0.1</v>
      </c>
      <c r="V1707" s="83">
        <v>0</v>
      </c>
      <c r="W1707" s="83">
        <v>0</v>
      </c>
      <c r="X1707" s="83">
        <v>3.5662199999999999</v>
      </c>
      <c r="Y1707" s="38">
        <f t="shared" si="205"/>
        <v>3.5</v>
      </c>
      <c r="Z1707" s="124">
        <v>0</v>
      </c>
      <c r="AA1707" s="124">
        <v>0</v>
      </c>
      <c r="AB1707" s="124">
        <f>T1707+U1707+V1707+W1707</f>
        <v>17.075000000000003</v>
      </c>
      <c r="AC1707" s="83">
        <v>1.0480700000000001</v>
      </c>
      <c r="AD1707" s="125">
        <v>9.4</v>
      </c>
      <c r="AE1707" s="83">
        <v>5.0750000000000002</v>
      </c>
      <c r="AF1707" s="83">
        <v>1.9959704387372927E-2</v>
      </c>
      <c r="AG1707" s="38">
        <f t="shared" si="206"/>
        <v>0</v>
      </c>
      <c r="AH1707" s="83">
        <v>0.35</v>
      </c>
      <c r="AI1707" s="83">
        <v>5.852059925093631E-4</v>
      </c>
      <c r="AJ1707" s="83">
        <v>16.975000000000001</v>
      </c>
      <c r="AK1707" s="83">
        <v>2.8382490636704116E-2</v>
      </c>
      <c r="AL1707" s="83">
        <v>0</v>
      </c>
      <c r="AM1707" s="83">
        <f t="shared" si="211"/>
        <v>0</v>
      </c>
      <c r="AN1707" s="25"/>
      <c r="AO1707" s="25">
        <f t="shared" si="214"/>
        <v>2.5375000000000001</v>
      </c>
      <c r="AP1707" s="25">
        <f t="shared" si="215"/>
        <v>500.03760000000005</v>
      </c>
      <c r="AQ1707" s="25">
        <f t="shared" si="212"/>
        <v>17.075000000000003</v>
      </c>
      <c r="AR1707" s="25">
        <f t="shared" si="213"/>
        <v>17.075000000000003</v>
      </c>
      <c r="AT1707" s="41"/>
      <c r="AU1707" s="41"/>
      <c r="AV1707" s="41"/>
      <c r="AW1707" s="41"/>
    </row>
    <row r="1708" spans="1:88" s="22" customFormat="1">
      <c r="A1708" s="1">
        <v>581</v>
      </c>
      <c r="B1708" s="34" t="s">
        <v>976</v>
      </c>
      <c r="C1708" s="34">
        <v>552</v>
      </c>
      <c r="D1708" s="34">
        <v>2012</v>
      </c>
      <c r="E1708" s="34">
        <v>100</v>
      </c>
      <c r="F1708" s="9" t="s">
        <v>983</v>
      </c>
      <c r="G1708" s="118">
        <v>0</v>
      </c>
      <c r="H1708" s="118">
        <v>7200</v>
      </c>
      <c r="I1708" s="35">
        <v>7.2</v>
      </c>
      <c r="J1708" s="71">
        <v>6</v>
      </c>
      <c r="K1708" s="34" t="s">
        <v>237</v>
      </c>
      <c r="L1708" s="10">
        <v>42194</v>
      </c>
      <c r="M1708" s="37" t="s">
        <v>191</v>
      </c>
      <c r="N1708" s="38">
        <v>4.3499999999999996</v>
      </c>
      <c r="O1708" s="38">
        <v>1.175</v>
      </c>
      <c r="P1708" s="38">
        <v>0.82499999999999996</v>
      </c>
      <c r="Q1708" s="38">
        <v>0.875</v>
      </c>
      <c r="R1708" s="38">
        <v>3.056</v>
      </c>
      <c r="S1708" s="38">
        <f t="shared" si="204"/>
        <v>3</v>
      </c>
      <c r="T1708" s="38">
        <v>6.6</v>
      </c>
      <c r="U1708" s="38">
        <v>0.55000000000000004</v>
      </c>
      <c r="V1708" s="38">
        <v>7.4999999999999997E-2</v>
      </c>
      <c r="W1708" s="38">
        <v>0</v>
      </c>
      <c r="X1708" s="38">
        <v>6.1070000000000002</v>
      </c>
      <c r="Y1708" s="38">
        <f t="shared" si="205"/>
        <v>6</v>
      </c>
      <c r="Z1708" s="38">
        <v>0</v>
      </c>
      <c r="AA1708" s="38">
        <v>0</v>
      </c>
      <c r="AB1708" s="38">
        <f>N1708+O1708+P1708+Q1708</f>
        <v>7.2249999999999996</v>
      </c>
      <c r="AC1708" s="38">
        <v>1.4570000000000001</v>
      </c>
      <c r="AD1708" s="39">
        <v>0</v>
      </c>
      <c r="AE1708" s="38">
        <v>9.98</v>
      </c>
      <c r="AF1708" s="38">
        <f>(AD1708+AE1708*0.5)/(3.5*I1708*1000)*100</f>
        <v>1.9801587301587303E-2</v>
      </c>
      <c r="AG1708" s="38">
        <f t="shared" si="206"/>
        <v>0</v>
      </c>
      <c r="AH1708" s="38">
        <v>0</v>
      </c>
      <c r="AI1708" s="38">
        <f>AH1708/(3.5*I1708*1000)*100</f>
        <v>0</v>
      </c>
      <c r="AJ1708" s="38">
        <v>14</v>
      </c>
      <c r="AK1708" s="38">
        <f>AJ1708/(3.5*I1708*1000)*100</f>
        <v>5.5555555555555552E-2</v>
      </c>
      <c r="AL1708" s="38">
        <v>1.9</v>
      </c>
      <c r="AM1708" s="38">
        <f t="shared" si="211"/>
        <v>7.5396825396825398E-3</v>
      </c>
      <c r="AN1708" s="25"/>
      <c r="AO1708" s="25">
        <f t="shared" si="214"/>
        <v>4.99</v>
      </c>
      <c r="AP1708" s="25">
        <f t="shared" si="215"/>
        <v>150.40800000000002</v>
      </c>
      <c r="AQ1708" s="25">
        <f t="shared" si="212"/>
        <v>7.2249999999999996</v>
      </c>
      <c r="AR1708" s="25">
        <f t="shared" si="213"/>
        <v>7.2249999999999996</v>
      </c>
      <c r="AS1708" s="268">
        <v>7.2</v>
      </c>
      <c r="AT1708" s="41"/>
      <c r="AU1708" s="41"/>
      <c r="AV1708" s="41"/>
      <c r="AW1708" s="41"/>
    </row>
    <row r="1709" spans="1:88" s="22" customFormat="1">
      <c r="A1709" s="1">
        <v>705</v>
      </c>
      <c r="B1709" s="34" t="s">
        <v>1106</v>
      </c>
      <c r="C1709" s="34">
        <v>626</v>
      </c>
      <c r="D1709" s="34">
        <v>2065</v>
      </c>
      <c r="E1709" s="34">
        <v>200</v>
      </c>
      <c r="F1709" s="34" t="s">
        <v>1114</v>
      </c>
      <c r="G1709" s="58">
        <v>34507</v>
      </c>
      <c r="H1709" s="58">
        <v>45292</v>
      </c>
      <c r="I1709" s="35">
        <v>10.785</v>
      </c>
      <c r="J1709" s="127">
        <v>2</v>
      </c>
      <c r="K1709" s="34" t="s">
        <v>238</v>
      </c>
      <c r="L1709" s="10">
        <v>42177</v>
      </c>
      <c r="M1709" s="37" t="s">
        <v>191</v>
      </c>
      <c r="N1709" s="38">
        <v>4.95</v>
      </c>
      <c r="O1709" s="38">
        <v>3.7749999999999999</v>
      </c>
      <c r="P1709" s="38">
        <v>1.5</v>
      </c>
      <c r="Q1709" s="38">
        <v>0.5</v>
      </c>
      <c r="R1709" s="38">
        <v>2.8553799999999998</v>
      </c>
      <c r="S1709" s="38">
        <f t="shared" si="204"/>
        <v>3</v>
      </c>
      <c r="T1709" s="38">
        <v>10.625</v>
      </c>
      <c r="U1709" s="38">
        <v>7.4999999999999997E-2</v>
      </c>
      <c r="V1709" s="38">
        <v>0</v>
      </c>
      <c r="W1709" s="38">
        <v>0</v>
      </c>
      <c r="X1709" s="38">
        <v>2.0923400000000001</v>
      </c>
      <c r="Y1709" s="38">
        <f t="shared" si="205"/>
        <v>2</v>
      </c>
      <c r="Z1709" s="38">
        <v>0</v>
      </c>
      <c r="AA1709" s="38">
        <v>0</v>
      </c>
      <c r="AB1709" s="38">
        <f>N1709+O1709+P1709+Q1709</f>
        <v>10.725</v>
      </c>
      <c r="AC1709" s="38">
        <v>1.2457</v>
      </c>
      <c r="AD1709" s="39">
        <v>5.69</v>
      </c>
      <c r="AE1709" s="38">
        <v>3.24</v>
      </c>
      <c r="AF1709" s="38">
        <f>(AD1709+AE1709*0.5)/(3.5*I1709*1000)*100</f>
        <v>1.9365520895423538E-2</v>
      </c>
      <c r="AG1709" s="38">
        <f t="shared" si="206"/>
        <v>0</v>
      </c>
      <c r="AH1709" s="38">
        <v>0</v>
      </c>
      <c r="AI1709" s="38">
        <f>AH1709/(3.5*I1709*1000)*100</f>
        <v>0</v>
      </c>
      <c r="AJ1709" s="38">
        <v>0</v>
      </c>
      <c r="AK1709" s="38">
        <f>AJ1709/(3.5*I1709*1000)*100</f>
        <v>0</v>
      </c>
      <c r="AL1709" s="38">
        <v>0</v>
      </c>
      <c r="AM1709" s="38">
        <f t="shared" si="211"/>
        <v>0</v>
      </c>
      <c r="AN1709" s="25"/>
      <c r="AO1709" s="25">
        <f t="shared" si="214"/>
        <v>1.62</v>
      </c>
      <c r="AP1709" s="25">
        <f t="shared" si="215"/>
        <v>78.838350000000005</v>
      </c>
      <c r="AQ1709" s="25">
        <f t="shared" si="212"/>
        <v>10.725</v>
      </c>
      <c r="AR1709" s="25">
        <f t="shared" si="213"/>
        <v>10.7</v>
      </c>
      <c r="AS1709" s="51">
        <v>10.785</v>
      </c>
      <c r="AT1709" s="41"/>
      <c r="AU1709" s="41"/>
      <c r="AV1709" s="41"/>
      <c r="AW1709" s="41"/>
    </row>
    <row r="1710" spans="1:88" s="22" customFormat="1" ht="23.25" customHeight="1">
      <c r="A1710" s="1">
        <v>1709</v>
      </c>
      <c r="B1710" s="34" t="s">
        <v>2308</v>
      </c>
      <c r="C1710" s="34">
        <v>422</v>
      </c>
      <c r="D1710" s="8">
        <v>315</v>
      </c>
      <c r="E1710" s="34">
        <v>200</v>
      </c>
      <c r="F1710" s="34" t="s">
        <v>2309</v>
      </c>
      <c r="G1710" s="58" t="s">
        <v>2310</v>
      </c>
      <c r="H1710" s="58">
        <v>19440</v>
      </c>
      <c r="I1710" s="21">
        <v>3.75</v>
      </c>
      <c r="J1710" s="9">
        <v>4</v>
      </c>
      <c r="K1710" s="34" t="s">
        <v>96</v>
      </c>
      <c r="L1710" s="10">
        <v>42229</v>
      </c>
      <c r="M1710" s="37" t="s">
        <v>191</v>
      </c>
      <c r="N1710" s="38">
        <v>0</v>
      </c>
      <c r="O1710" s="38">
        <v>0</v>
      </c>
      <c r="P1710" s="38">
        <v>0</v>
      </c>
      <c r="Q1710" s="38">
        <v>0</v>
      </c>
      <c r="R1710" s="38">
        <v>0</v>
      </c>
      <c r="S1710" s="38">
        <f t="shared" si="204"/>
        <v>0</v>
      </c>
      <c r="T1710" s="38">
        <v>0</v>
      </c>
      <c r="U1710" s="38">
        <v>0</v>
      </c>
      <c r="V1710" s="38">
        <v>0</v>
      </c>
      <c r="W1710" s="38">
        <v>0</v>
      </c>
      <c r="X1710" s="38">
        <v>0</v>
      </c>
      <c r="Y1710" s="38">
        <f t="shared" si="205"/>
        <v>0</v>
      </c>
      <c r="Z1710" s="38">
        <v>0</v>
      </c>
      <c r="AA1710" s="38">
        <v>0</v>
      </c>
      <c r="AB1710" s="21">
        <v>3.75</v>
      </c>
      <c r="AC1710" s="38">
        <v>0</v>
      </c>
      <c r="AD1710" s="38">
        <v>0</v>
      </c>
      <c r="AE1710" s="38">
        <v>0</v>
      </c>
      <c r="AF1710" s="38">
        <v>0</v>
      </c>
      <c r="AG1710" s="38">
        <f t="shared" si="206"/>
        <v>0</v>
      </c>
      <c r="AH1710" s="38">
        <v>0</v>
      </c>
      <c r="AI1710" s="38">
        <v>0</v>
      </c>
      <c r="AJ1710" s="38">
        <v>0</v>
      </c>
      <c r="AK1710" s="38">
        <v>0</v>
      </c>
      <c r="AL1710" s="38">
        <v>0</v>
      </c>
      <c r="AM1710" s="38">
        <v>0</v>
      </c>
      <c r="AO1710" s="22">
        <f t="shared" si="214"/>
        <v>0</v>
      </c>
      <c r="AP1710" s="41">
        <f t="shared" si="215"/>
        <v>0</v>
      </c>
      <c r="AQ1710" s="25">
        <f t="shared" si="212"/>
        <v>0</v>
      </c>
      <c r="AR1710" s="25">
        <f t="shared" si="213"/>
        <v>0</v>
      </c>
      <c r="AS1710" s="9">
        <v>12.31</v>
      </c>
      <c r="AU1710" s="25">
        <f>AS1710-AQ1710</f>
        <v>12.31</v>
      </c>
      <c r="AV1710" s="41">
        <f>SUM(N1710:Q1710)</f>
        <v>0</v>
      </c>
      <c r="AW1710" s="41">
        <f>SUM(T1710:W1710)</f>
        <v>0</v>
      </c>
      <c r="AX1710" s="41">
        <f>SUM(Z1710:AB1710)</f>
        <v>3.75</v>
      </c>
      <c r="AZ1710" s="22" t="e">
        <f>I1710/AV1710</f>
        <v>#DIV/0!</v>
      </c>
      <c r="BA1710" s="22" t="e">
        <f>I1710/AW1710</f>
        <v>#DIV/0!</v>
      </c>
      <c r="BB1710" s="22">
        <f>I1710/AX1710</f>
        <v>1</v>
      </c>
    </row>
    <row r="1711" spans="1:88" s="22" customFormat="1">
      <c r="A1711" s="1">
        <v>753</v>
      </c>
      <c r="B1711" s="34" t="s">
        <v>1106</v>
      </c>
      <c r="C1711" s="34">
        <v>626</v>
      </c>
      <c r="D1711" s="34">
        <v>2065</v>
      </c>
      <c r="E1711" s="34">
        <v>200</v>
      </c>
      <c r="F1711" s="34" t="s">
        <v>1114</v>
      </c>
      <c r="G1711" s="58">
        <v>34507</v>
      </c>
      <c r="H1711" s="58">
        <v>45292</v>
      </c>
      <c r="I1711" s="35">
        <v>10.785</v>
      </c>
      <c r="J1711" s="127">
        <v>2</v>
      </c>
      <c r="K1711" s="34" t="s">
        <v>238</v>
      </c>
      <c r="L1711" s="10">
        <v>42177</v>
      </c>
      <c r="M1711" s="37" t="s">
        <v>191</v>
      </c>
      <c r="N1711" s="38">
        <v>4.95</v>
      </c>
      <c r="O1711" s="38">
        <v>3.7749999999999999</v>
      </c>
      <c r="P1711" s="38">
        <v>1.5</v>
      </c>
      <c r="Q1711" s="38">
        <v>0.5</v>
      </c>
      <c r="R1711" s="38">
        <v>2.8553799999999998</v>
      </c>
      <c r="S1711" s="38">
        <f t="shared" si="204"/>
        <v>3</v>
      </c>
      <c r="T1711" s="38">
        <v>10.625</v>
      </c>
      <c r="U1711" s="38">
        <v>7.4999999999999997E-2</v>
      </c>
      <c r="V1711" s="38">
        <v>0</v>
      </c>
      <c r="W1711" s="38">
        <v>0</v>
      </c>
      <c r="X1711" s="38">
        <v>2.0923400000000001</v>
      </c>
      <c r="Y1711" s="38">
        <f t="shared" si="205"/>
        <v>2</v>
      </c>
      <c r="Z1711" s="38">
        <v>0</v>
      </c>
      <c r="AA1711" s="38">
        <v>0</v>
      </c>
      <c r="AB1711" s="38">
        <f>N1711+O1711+P1711+Q1711</f>
        <v>10.725</v>
      </c>
      <c r="AC1711" s="38">
        <v>1.2457</v>
      </c>
      <c r="AD1711" s="39">
        <v>5.69</v>
      </c>
      <c r="AE1711" s="38">
        <v>3.24</v>
      </c>
      <c r="AF1711" s="38">
        <f>(AD1711+AE1711*0.5)/(3.5*I1711*1000)*100</f>
        <v>1.9365520895423538E-2</v>
      </c>
      <c r="AG1711" s="38">
        <f t="shared" si="206"/>
        <v>0</v>
      </c>
      <c r="AH1711" s="38">
        <v>0</v>
      </c>
      <c r="AI1711" s="38">
        <f>AH1711/(3.5*I1711*1000)*100</f>
        <v>0</v>
      </c>
      <c r="AJ1711" s="38">
        <v>0</v>
      </c>
      <c r="AK1711" s="38">
        <f>AJ1711/(3.5*I1711*1000)*100</f>
        <v>0</v>
      </c>
      <c r="AL1711" s="38">
        <v>0</v>
      </c>
      <c r="AM1711" s="38">
        <f>AL1711/(3.5*I1711*1000)*100</f>
        <v>0</v>
      </c>
      <c r="AN1711" s="25"/>
      <c r="AO1711" s="25">
        <f t="shared" si="214"/>
        <v>1.62</v>
      </c>
      <c r="AP1711" s="25">
        <f t="shared" si="215"/>
        <v>78.838350000000005</v>
      </c>
      <c r="AQ1711" s="25">
        <f t="shared" si="212"/>
        <v>10.725</v>
      </c>
      <c r="AR1711" s="25">
        <f t="shared" si="213"/>
        <v>10.7</v>
      </c>
      <c r="AS1711" s="51">
        <v>10.785</v>
      </c>
      <c r="AT1711" s="41"/>
      <c r="AU1711" s="41"/>
      <c r="AV1711" s="41"/>
      <c r="AW1711" s="41"/>
    </row>
    <row r="1712" spans="1:88" s="22" customFormat="1">
      <c r="A1712" s="1">
        <v>887</v>
      </c>
      <c r="B1712" s="34" t="s">
        <v>1271</v>
      </c>
      <c r="C1712" s="34">
        <v>632</v>
      </c>
      <c r="D1712" s="162">
        <v>2248</v>
      </c>
      <c r="E1712" s="34">
        <v>200</v>
      </c>
      <c r="F1712" s="34" t="s">
        <v>1280</v>
      </c>
      <c r="G1712" s="58">
        <v>41015</v>
      </c>
      <c r="H1712" s="58">
        <v>106262</v>
      </c>
      <c r="I1712" s="35">
        <v>65.247</v>
      </c>
      <c r="J1712" s="9">
        <v>2</v>
      </c>
      <c r="K1712" s="34" t="s">
        <v>12</v>
      </c>
      <c r="L1712" s="10">
        <v>42143</v>
      </c>
      <c r="M1712" s="37" t="s">
        <v>191</v>
      </c>
      <c r="N1712" s="38">
        <v>53.774999999999999</v>
      </c>
      <c r="O1712" s="38">
        <v>7.8250000000000002</v>
      </c>
      <c r="P1712" s="38">
        <v>1.55</v>
      </c>
      <c r="Q1712" s="38">
        <v>1.7749999999999999</v>
      </c>
      <c r="R1712" s="38">
        <v>1.94126</v>
      </c>
      <c r="S1712" s="38">
        <f t="shared" si="204"/>
        <v>2</v>
      </c>
      <c r="T1712" s="38">
        <v>63.6</v>
      </c>
      <c r="U1712" s="38">
        <v>1.0249999999999999</v>
      </c>
      <c r="V1712" s="38">
        <v>0.22500000000000001</v>
      </c>
      <c r="W1712" s="38">
        <v>7.4999999999999997E-2</v>
      </c>
      <c r="X1712" s="38">
        <v>2.8105600000000002</v>
      </c>
      <c r="Y1712" s="38">
        <f t="shared" si="205"/>
        <v>3</v>
      </c>
      <c r="Z1712" s="38">
        <v>0</v>
      </c>
      <c r="AA1712" s="38">
        <v>0</v>
      </c>
      <c r="AB1712" s="38">
        <f>N1712+O1712+P1712+Q1712</f>
        <v>64.924999999999997</v>
      </c>
      <c r="AC1712" s="38">
        <v>1.35737</v>
      </c>
      <c r="AD1712" s="39">
        <v>38.86</v>
      </c>
      <c r="AE1712" s="38">
        <v>10.67</v>
      </c>
      <c r="AF1712" s="38">
        <v>1.9352999999999999E-2</v>
      </c>
      <c r="AG1712" s="38">
        <f t="shared" si="206"/>
        <v>0</v>
      </c>
      <c r="AH1712" s="38">
        <v>593.75</v>
      </c>
      <c r="AI1712" s="38">
        <v>0.26000099999999998</v>
      </c>
      <c r="AJ1712" s="38">
        <v>2.1</v>
      </c>
      <c r="AK1712" s="38">
        <v>9.2000000000000003E-4</v>
      </c>
      <c r="AL1712" s="38">
        <v>1122.17</v>
      </c>
      <c r="AM1712" s="38">
        <v>0.491394</v>
      </c>
      <c r="AN1712" s="25"/>
      <c r="AO1712" s="25">
        <f t="shared" si="214"/>
        <v>5.335</v>
      </c>
      <c r="AP1712" s="25">
        <f t="shared" si="215"/>
        <v>114979.24210500001</v>
      </c>
      <c r="AQ1712" s="25">
        <f t="shared" si="212"/>
        <v>64.924999999999997</v>
      </c>
      <c r="AR1712" s="25">
        <f t="shared" si="213"/>
        <v>64.924999999999997</v>
      </c>
      <c r="AS1712" s="48"/>
      <c r="AT1712" s="41"/>
      <c r="AU1712" s="41"/>
      <c r="AV1712" s="41"/>
      <c r="AW1712" s="41"/>
    </row>
    <row r="1713" spans="1:88" s="22" customFormat="1">
      <c r="A1713" s="1">
        <v>963</v>
      </c>
      <c r="B1713" s="9" t="s">
        <v>1359</v>
      </c>
      <c r="C1713" s="9">
        <v>612</v>
      </c>
      <c r="D1713" s="8">
        <v>2068</v>
      </c>
      <c r="E1713" s="9">
        <v>100</v>
      </c>
      <c r="F1713" s="9" t="s">
        <v>1362</v>
      </c>
      <c r="G1713" s="20">
        <v>0</v>
      </c>
      <c r="H1713" s="20">
        <v>21253</v>
      </c>
      <c r="I1713" s="35">
        <v>21.253</v>
      </c>
      <c r="J1713" s="9">
        <v>4</v>
      </c>
      <c r="K1713" s="9" t="s">
        <v>237</v>
      </c>
      <c r="L1713" s="18">
        <v>42115</v>
      </c>
      <c r="M1713" s="37" t="s">
        <v>191</v>
      </c>
      <c r="N1713" s="11">
        <v>14.675000000000001</v>
      </c>
      <c r="O1713" s="11">
        <v>3.7</v>
      </c>
      <c r="P1713" s="11">
        <v>1.9</v>
      </c>
      <c r="Q1713" s="11">
        <v>0.92500000000000004</v>
      </c>
      <c r="R1713" s="11">
        <v>2.1726000000000001</v>
      </c>
      <c r="S1713" s="38">
        <f t="shared" si="204"/>
        <v>2</v>
      </c>
      <c r="T1713" s="11">
        <v>14.725</v>
      </c>
      <c r="U1713" s="11">
        <v>4.7249999999999996</v>
      </c>
      <c r="V1713" s="11">
        <v>1.425</v>
      </c>
      <c r="W1713" s="11">
        <v>0.32500000000000001</v>
      </c>
      <c r="X1713" s="11">
        <v>4.8514999999999997</v>
      </c>
      <c r="Y1713" s="38">
        <f t="shared" si="205"/>
        <v>5</v>
      </c>
      <c r="Z1713" s="11">
        <v>0</v>
      </c>
      <c r="AA1713" s="11">
        <v>0</v>
      </c>
      <c r="AB1713" s="11">
        <f>SUM(N1713:Q1713)</f>
        <v>21.2</v>
      </c>
      <c r="AC1713" s="11">
        <v>1.2503599999999999</v>
      </c>
      <c r="AD1713" s="164">
        <v>14.35</v>
      </c>
      <c r="AE1713" s="11">
        <v>0</v>
      </c>
      <c r="AF1713" s="11">
        <v>1.9290000000000002E-2</v>
      </c>
      <c r="AG1713" s="38">
        <f t="shared" si="206"/>
        <v>0</v>
      </c>
      <c r="AH1713" s="11">
        <v>404</v>
      </c>
      <c r="AI1713" s="11">
        <v>0.54312000000000005</v>
      </c>
      <c r="AJ1713" s="11">
        <v>0</v>
      </c>
      <c r="AK1713" s="11">
        <v>0</v>
      </c>
      <c r="AL1713" s="11">
        <v>19</v>
      </c>
      <c r="AM1713" s="11">
        <v>2.554E-2</v>
      </c>
      <c r="AN1713" s="72"/>
      <c r="AO1713" s="72"/>
      <c r="AP1713" s="72">
        <f>AE1713*0.5</f>
        <v>0</v>
      </c>
      <c r="AQ1713" s="25">
        <f>(AD1712+AH1712+AJ1712+AL1712+AP1713)*I1712</f>
        <v>114631.14936000001</v>
      </c>
      <c r="AR1713" s="25"/>
      <c r="AS1713" s="49"/>
      <c r="AT1713" s="25"/>
      <c r="AU1713" s="25">
        <f>SUM(N1713:Q1713)</f>
        <v>21.2</v>
      </c>
      <c r="AV1713" s="41">
        <f>SUM(T1713:W1713)</f>
        <v>21.2</v>
      </c>
      <c r="AW1713" s="41"/>
      <c r="AX1713" s="41"/>
      <c r="AY1713" s="4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</row>
    <row r="1714" spans="1:88" s="22" customFormat="1">
      <c r="A1714" s="1">
        <v>640</v>
      </c>
      <c r="B1714" s="78" t="s">
        <v>1040</v>
      </c>
      <c r="C1714" s="78">
        <v>629</v>
      </c>
      <c r="D1714" s="78">
        <v>2420</v>
      </c>
      <c r="E1714" s="78">
        <v>100</v>
      </c>
      <c r="F1714" s="71" t="s">
        <v>1048</v>
      </c>
      <c r="G1714" s="120">
        <v>0</v>
      </c>
      <c r="H1714" s="120">
        <v>45530</v>
      </c>
      <c r="I1714" s="121">
        <v>45.03</v>
      </c>
      <c r="J1714" s="71">
        <v>2</v>
      </c>
      <c r="K1714" s="78" t="s">
        <v>238</v>
      </c>
      <c r="L1714" s="122">
        <v>42179</v>
      </c>
      <c r="M1714" s="123" t="s">
        <v>191</v>
      </c>
      <c r="N1714" s="83">
        <v>22.9</v>
      </c>
      <c r="O1714" s="83">
        <v>13.525</v>
      </c>
      <c r="P1714" s="83">
        <v>5.5250000000000004</v>
      </c>
      <c r="Q1714" s="83">
        <v>2.4</v>
      </c>
      <c r="R1714" s="83">
        <v>2.8013300000000001</v>
      </c>
      <c r="S1714" s="38">
        <f t="shared" si="204"/>
        <v>3</v>
      </c>
      <c r="T1714" s="83">
        <v>39.975000000000001</v>
      </c>
      <c r="U1714" s="83">
        <v>3.15</v>
      </c>
      <c r="V1714" s="83">
        <v>0.72499999999999998</v>
      </c>
      <c r="W1714" s="83">
        <v>0.5</v>
      </c>
      <c r="X1714" s="83">
        <v>5.2889299999999997</v>
      </c>
      <c r="Y1714" s="38">
        <f t="shared" si="205"/>
        <v>5.5</v>
      </c>
      <c r="Z1714" s="124">
        <v>0</v>
      </c>
      <c r="AA1714" s="124">
        <v>0</v>
      </c>
      <c r="AB1714" s="124">
        <f>T1714+U1714+V1714+W1714</f>
        <v>44.35</v>
      </c>
      <c r="AC1714" s="83">
        <v>1.20685</v>
      </c>
      <c r="AD1714" s="125">
        <v>22.9</v>
      </c>
      <c r="AE1714" s="83">
        <v>13.525</v>
      </c>
      <c r="AF1714" s="83">
        <v>1.861410059301559E-2</v>
      </c>
      <c r="AG1714" s="38">
        <f t="shared" si="206"/>
        <v>0</v>
      </c>
      <c r="AH1714" s="83">
        <v>2.4</v>
      </c>
      <c r="AI1714" s="83">
        <v>1.5060713501302123E-3</v>
      </c>
      <c r="AJ1714" s="83">
        <v>39.975000000000001</v>
      </c>
      <c r="AK1714" s="83">
        <v>2.5085500925606349E-2</v>
      </c>
      <c r="AL1714" s="83">
        <v>0.72499999999999998</v>
      </c>
      <c r="AM1714" s="83">
        <f>AL1714/(3.5*I1714*1000)*100</f>
        <v>4.6001078645982035E-4</v>
      </c>
      <c r="AN1714" s="25"/>
      <c r="AO1714" s="25">
        <f>AE1714*0.5</f>
        <v>6.7625000000000002</v>
      </c>
      <c r="AP1714" s="25">
        <f>(AD1714+AH1714+AJ1714+AL1714+AO1714)*I1714</f>
        <v>3276.4953750000004</v>
      </c>
      <c r="AQ1714" s="25">
        <f>SUM(N1714:Q1714)</f>
        <v>44.349999999999994</v>
      </c>
      <c r="AR1714" s="25">
        <f>SUM(T1714:W1714)</f>
        <v>44.35</v>
      </c>
      <c r="AS1714" s="48"/>
      <c r="AT1714" s="41"/>
      <c r="AU1714" s="41"/>
      <c r="AV1714" s="41"/>
      <c r="AW1714" s="41"/>
    </row>
    <row r="1715" spans="1:88" s="22" customFormat="1">
      <c r="A1715" s="1">
        <v>2050</v>
      </c>
      <c r="B1715" s="34" t="s">
        <v>2697</v>
      </c>
      <c r="C1715" s="34">
        <v>328</v>
      </c>
      <c r="D1715" s="75">
        <v>401</v>
      </c>
      <c r="E1715" s="8">
        <v>402</v>
      </c>
      <c r="F1715" s="34" t="s">
        <v>2699</v>
      </c>
      <c r="G1715" s="58">
        <v>209704</v>
      </c>
      <c r="H1715" s="58">
        <v>162379</v>
      </c>
      <c r="I1715" s="21">
        <v>47.325000000000003</v>
      </c>
      <c r="J1715" s="8">
        <v>4</v>
      </c>
      <c r="K1715" s="8" t="s">
        <v>96</v>
      </c>
      <c r="L1715" s="18">
        <v>42120</v>
      </c>
      <c r="M1715" s="37" t="s">
        <v>191</v>
      </c>
      <c r="N1715" s="38">
        <v>35.65</v>
      </c>
      <c r="O1715" s="38">
        <v>6.7750000000000004</v>
      </c>
      <c r="P1715" s="38">
        <v>2.9750000000000001</v>
      </c>
      <c r="Q1715" s="38">
        <v>1.7250000000000001</v>
      </c>
      <c r="R1715" s="38">
        <v>2.2130000000000001</v>
      </c>
      <c r="S1715" s="38">
        <f t="shared" si="204"/>
        <v>2</v>
      </c>
      <c r="T1715" s="38">
        <v>44.674999999999997</v>
      </c>
      <c r="U1715" s="38">
        <v>2.2250000000000001</v>
      </c>
      <c r="V1715" s="38">
        <v>0.22500000000000001</v>
      </c>
      <c r="W1715" s="38">
        <v>0</v>
      </c>
      <c r="X1715" s="38">
        <v>4.6210199999999997</v>
      </c>
      <c r="Y1715" s="38">
        <f t="shared" si="205"/>
        <v>4.5</v>
      </c>
      <c r="Z1715" s="38">
        <v>0</v>
      </c>
      <c r="AA1715" s="38">
        <v>0</v>
      </c>
      <c r="AB1715" s="38">
        <v>47.125</v>
      </c>
      <c r="AC1715" s="38">
        <v>1.3240099999999999</v>
      </c>
      <c r="AD1715" s="39">
        <v>21.06</v>
      </c>
      <c r="AE1715" s="38">
        <v>18.52</v>
      </c>
      <c r="AF1715" s="38">
        <v>1.8305033582371139E-2</v>
      </c>
      <c r="AG1715" s="38">
        <f t="shared" si="206"/>
        <v>0</v>
      </c>
      <c r="AH1715" s="38">
        <v>0</v>
      </c>
      <c r="AI1715" s="38">
        <v>0</v>
      </c>
      <c r="AJ1715" s="38">
        <v>23.55</v>
      </c>
      <c r="AK1715" s="38">
        <v>1.4217794883405023E-2</v>
      </c>
      <c r="AL1715" s="38">
        <v>0</v>
      </c>
      <c r="AM1715" s="38">
        <f>AL1715/(3.5*I1715*1000)*100</f>
        <v>0</v>
      </c>
      <c r="AN1715" s="72"/>
      <c r="AO1715" s="41"/>
      <c r="AP1715" s="41"/>
      <c r="AQ1715" s="73"/>
      <c r="AR1715" s="73"/>
      <c r="AS1715" s="178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</row>
    <row r="1716" spans="1:88" s="22" customFormat="1">
      <c r="A1716" s="1">
        <v>1504</v>
      </c>
      <c r="B1716" s="88" t="s">
        <v>2069</v>
      </c>
      <c r="C1716" s="88">
        <v>413</v>
      </c>
      <c r="D1716" s="69">
        <v>309</v>
      </c>
      <c r="E1716" s="34">
        <v>103</v>
      </c>
      <c r="F1716" s="34" t="s">
        <v>2074</v>
      </c>
      <c r="G1716" s="197">
        <v>37600</v>
      </c>
      <c r="H1716" s="197">
        <v>24637</v>
      </c>
      <c r="I1716" s="198">
        <v>12.962999999999999</v>
      </c>
      <c r="J1716" s="34">
        <v>4</v>
      </c>
      <c r="K1716" s="34" t="s">
        <v>12</v>
      </c>
      <c r="L1716" s="10">
        <v>42265</v>
      </c>
      <c r="M1716" s="37" t="s">
        <v>191</v>
      </c>
      <c r="N1716" s="38">
        <v>8.5250000000000004</v>
      </c>
      <c r="O1716" s="38">
        <v>1.7250000000000001</v>
      </c>
      <c r="P1716" s="38">
        <v>1.2</v>
      </c>
      <c r="Q1716" s="38">
        <v>1.575</v>
      </c>
      <c r="R1716" s="38">
        <v>3.72336</v>
      </c>
      <c r="S1716" s="38">
        <f t="shared" si="204"/>
        <v>3.5</v>
      </c>
      <c r="T1716" s="38">
        <v>9.65</v>
      </c>
      <c r="U1716" s="38">
        <v>2.5249999999999999</v>
      </c>
      <c r="V1716" s="38">
        <v>0.47499999999999998</v>
      </c>
      <c r="W1716" s="38">
        <v>0.375</v>
      </c>
      <c r="X1716" s="38">
        <v>7.4774099999999999</v>
      </c>
      <c r="Y1716" s="38">
        <f t="shared" si="205"/>
        <v>7.5</v>
      </c>
      <c r="Z1716" s="38">
        <v>0</v>
      </c>
      <c r="AA1716" s="38">
        <v>0</v>
      </c>
      <c r="AB1716" s="147">
        <v>12.962999999999999</v>
      </c>
      <c r="AC1716" s="38">
        <v>0.85931299999999999</v>
      </c>
      <c r="AD1716" s="39">
        <v>0</v>
      </c>
      <c r="AE1716" s="38">
        <v>16.260000000000002</v>
      </c>
      <c r="AF1716" s="38">
        <f>(AD1716+AE1716*0.5)/(3.5*I1716*1000)*100</f>
        <v>1.7919132475948032E-2</v>
      </c>
      <c r="AG1716" s="38">
        <f t="shared" si="206"/>
        <v>0</v>
      </c>
      <c r="AH1716" s="38">
        <v>0</v>
      </c>
      <c r="AI1716" s="38">
        <f>AH1716/(3.5*I1716*1000)*100</f>
        <v>0</v>
      </c>
      <c r="AJ1716" s="38">
        <v>0</v>
      </c>
      <c r="AK1716" s="38">
        <f>AJ1716/(3.5*I1716*1000)*100</f>
        <v>0</v>
      </c>
      <c r="AL1716" s="38">
        <v>0</v>
      </c>
      <c r="AM1716" s="38">
        <f>AL1716/(3.5*I1716*1000)*100</f>
        <v>0</v>
      </c>
      <c r="AN1716" s="25"/>
      <c r="AO1716" s="25">
        <f>AE1716*0.5</f>
        <v>8.1300000000000008</v>
      </c>
      <c r="AP1716" s="25">
        <f>(AD1716+AH1716+AJ1716+AL1716+AO1716)*I1716</f>
        <v>105.38919</v>
      </c>
      <c r="AQ1716" s="25">
        <f>(AD1716+AH1716+AJ1716+AL1716)*I1716</f>
        <v>0</v>
      </c>
      <c r="AR1716" s="25">
        <f>SUM(N1716:Q1716)</f>
        <v>13.024999999999999</v>
      </c>
      <c r="AS1716" s="49">
        <f>SUM(T1716:W1716)</f>
        <v>13.025</v>
      </c>
      <c r="AU1716" s="277">
        <v>12.962999999999999</v>
      </c>
      <c r="AV1716" s="41">
        <f>SUM(N1716:Q1716)</f>
        <v>13.024999999999999</v>
      </c>
      <c r="AW1716" s="41">
        <f>SUM(T1716:W1716)</f>
        <v>13.025</v>
      </c>
      <c r="AX1716" s="41">
        <f>SUM(Z1716:AB1716)</f>
        <v>12.962999999999999</v>
      </c>
      <c r="AZ1716" s="22">
        <f>I1716/AV1716</f>
        <v>0.99523992322456822</v>
      </c>
      <c r="BA1716" s="22">
        <f>I1716/AW1716</f>
        <v>0.995239923224568</v>
      </c>
      <c r="BB1716" s="22">
        <f>I1716/AX1716</f>
        <v>1</v>
      </c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</row>
    <row r="1717" spans="1:88" s="22" customFormat="1">
      <c r="A1717" s="1">
        <v>1696</v>
      </c>
      <c r="B1717" s="34" t="s">
        <v>2279</v>
      </c>
      <c r="C1717" s="34">
        <v>421</v>
      </c>
      <c r="D1717" s="8">
        <v>3551</v>
      </c>
      <c r="E1717" s="34">
        <v>100</v>
      </c>
      <c r="F1717" s="34" t="s">
        <v>2296</v>
      </c>
      <c r="G1717" s="58">
        <v>0</v>
      </c>
      <c r="H1717" s="58">
        <v>10947</v>
      </c>
      <c r="I1717" s="35">
        <v>10.946999999999999</v>
      </c>
      <c r="J1717" s="9">
        <v>4</v>
      </c>
      <c r="K1717" s="34" t="s">
        <v>238</v>
      </c>
      <c r="L1717" s="10">
        <v>42226</v>
      </c>
      <c r="M1717" s="37" t="s">
        <v>191</v>
      </c>
      <c r="N1717" s="38">
        <v>8.5250000000000004</v>
      </c>
      <c r="O1717" s="38">
        <v>0.97499999999999998</v>
      </c>
      <c r="P1717" s="38">
        <v>0.8</v>
      </c>
      <c r="Q1717" s="38">
        <v>0.27500000000000002</v>
      </c>
      <c r="R1717" s="38">
        <v>2.1801699999999999</v>
      </c>
      <c r="S1717" s="38">
        <f t="shared" si="204"/>
        <v>2</v>
      </c>
      <c r="T1717" s="38">
        <v>6.7249999999999996</v>
      </c>
      <c r="U1717" s="38">
        <v>2.5249999999999999</v>
      </c>
      <c r="V1717" s="38">
        <v>0.72499999999999998</v>
      </c>
      <c r="W1717" s="38">
        <v>0.6</v>
      </c>
      <c r="X1717" s="38">
        <v>8.6203500000000002</v>
      </c>
      <c r="Y1717" s="38">
        <f t="shared" si="205"/>
        <v>8.5</v>
      </c>
      <c r="Z1717" s="38">
        <v>0</v>
      </c>
      <c r="AA1717" s="38">
        <v>0</v>
      </c>
      <c r="AB1717" s="38">
        <v>10.946999999999999</v>
      </c>
      <c r="AC1717" s="38">
        <v>1.3366199999999999</v>
      </c>
      <c r="AD1717" s="39">
        <v>0</v>
      </c>
      <c r="AE1717" s="38">
        <v>13.67</v>
      </c>
      <c r="AF1717" s="38">
        <f>(AD1717+AE1717*0.5)/(3.5*I1717*1000)*100</f>
        <v>1.7839199258766265E-2</v>
      </c>
      <c r="AG1717" s="38">
        <f t="shared" si="206"/>
        <v>0</v>
      </c>
      <c r="AH1717" s="38">
        <v>0</v>
      </c>
      <c r="AI1717" s="38">
        <f>AH1717/(3.5*I1717*1000)*100</f>
        <v>0</v>
      </c>
      <c r="AJ1717" s="38">
        <v>0</v>
      </c>
      <c r="AK1717" s="38">
        <f>AJ1717/(3.5*I1717*1000)*100</f>
        <v>0</v>
      </c>
      <c r="AL1717" s="38">
        <v>0</v>
      </c>
      <c r="AM1717" s="38">
        <f>AL1717/(3.5*I1717*1000)*100</f>
        <v>0</v>
      </c>
      <c r="AN1717" s="25"/>
      <c r="AO1717" s="25">
        <f>AE1717*0.5</f>
        <v>6.835</v>
      </c>
      <c r="AP1717" s="25">
        <f>(AD1717+AH1717+AJ1717+AL1717+AO1717)*I1717</f>
        <v>74.822744999999998</v>
      </c>
      <c r="AQ1717" s="25">
        <f>SUM(N1717:Q1717)</f>
        <v>10.575000000000001</v>
      </c>
      <c r="AR1717" s="25">
        <f>SUM(T1717:W1717)</f>
        <v>10.574999999999999</v>
      </c>
      <c r="AS1717" s="48"/>
      <c r="AT1717" s="41"/>
      <c r="AU1717" s="41"/>
      <c r="AV1717" s="41"/>
      <c r="AW1717" s="41"/>
    </row>
    <row r="1718" spans="1:88" s="22" customFormat="1">
      <c r="A1718" s="1">
        <v>835</v>
      </c>
      <c r="B1718" s="34" t="s">
        <v>1231</v>
      </c>
      <c r="C1718" s="34">
        <v>615</v>
      </c>
      <c r="D1718" s="34">
        <v>24</v>
      </c>
      <c r="E1718" s="34">
        <v>401</v>
      </c>
      <c r="F1718" s="34" t="s">
        <v>1232</v>
      </c>
      <c r="G1718" s="58">
        <v>171872</v>
      </c>
      <c r="H1718" s="58">
        <v>191746</v>
      </c>
      <c r="I1718" s="35">
        <v>19.873999999999999</v>
      </c>
      <c r="J1718" s="71">
        <v>4</v>
      </c>
      <c r="K1718" s="34" t="s">
        <v>238</v>
      </c>
      <c r="L1718" s="10">
        <v>42134</v>
      </c>
      <c r="M1718" s="37" t="s">
        <v>191</v>
      </c>
      <c r="N1718" s="38">
        <v>12.85</v>
      </c>
      <c r="O1718" s="38">
        <v>4.3250000000000002</v>
      </c>
      <c r="P1718" s="38">
        <v>1.925</v>
      </c>
      <c r="Q1718" s="38">
        <v>0.7</v>
      </c>
      <c r="R1718" s="38">
        <v>2.4638300000000002</v>
      </c>
      <c r="S1718" s="38">
        <f t="shared" si="204"/>
        <v>2.5</v>
      </c>
      <c r="T1718" s="38">
        <v>17.175000000000001</v>
      </c>
      <c r="U1718" s="38">
        <v>2.25</v>
      </c>
      <c r="V1718" s="38">
        <v>0.35</v>
      </c>
      <c r="W1718" s="38">
        <v>2.5000000000000001E-2</v>
      </c>
      <c r="X1718" s="38">
        <v>5.8877800000000002</v>
      </c>
      <c r="Y1718" s="38">
        <f t="shared" si="205"/>
        <v>6</v>
      </c>
      <c r="Z1718" s="38">
        <v>0</v>
      </c>
      <c r="AA1718" s="38">
        <v>0</v>
      </c>
      <c r="AB1718" s="38">
        <f>N1718+O1718+P1718+Q1718</f>
        <v>19.8</v>
      </c>
      <c r="AC1718" s="38">
        <v>1.0014000000000001</v>
      </c>
      <c r="AD1718" s="39">
        <v>10.38</v>
      </c>
      <c r="AE1718" s="38">
        <v>3.9</v>
      </c>
      <c r="AF1718" s="38">
        <v>1.7729999999999999E-2</v>
      </c>
      <c r="AG1718" s="38">
        <f t="shared" si="206"/>
        <v>0</v>
      </c>
      <c r="AH1718" s="38">
        <v>326.19</v>
      </c>
      <c r="AI1718" s="38">
        <v>0.46894000000000002</v>
      </c>
      <c r="AJ1718" s="38">
        <v>0</v>
      </c>
      <c r="AK1718" s="38">
        <v>0</v>
      </c>
      <c r="AL1718" s="38">
        <v>0.26</v>
      </c>
      <c r="AM1718" s="38">
        <v>3.6999999999999999E-4</v>
      </c>
      <c r="AN1718" s="25"/>
      <c r="AO1718" s="25">
        <f>AE1718*0.5</f>
        <v>1.95</v>
      </c>
      <c r="AP1718" s="25">
        <f>(AD1718+AH1718+AJ1718+AL1718+AO1718)*I1718</f>
        <v>6732.9137199999986</v>
      </c>
      <c r="AQ1718" s="25">
        <f>SUM(N1718:Q1718)</f>
        <v>19.8</v>
      </c>
      <c r="AR1718" s="25">
        <f>SUM(T1718:W1718)</f>
        <v>19.8</v>
      </c>
      <c r="AS1718" s="51">
        <v>19.873999999999999</v>
      </c>
      <c r="AT1718" s="41"/>
      <c r="AU1718" s="41"/>
      <c r="AV1718" s="41"/>
      <c r="AW1718" s="41"/>
    </row>
    <row r="1719" spans="1:88" s="22" customFormat="1">
      <c r="A1719" s="1">
        <v>1188</v>
      </c>
      <c r="B1719" s="34" t="s">
        <v>1639</v>
      </c>
      <c r="C1719" s="34">
        <v>433</v>
      </c>
      <c r="D1719" s="34">
        <v>3252</v>
      </c>
      <c r="E1719" s="34">
        <v>100</v>
      </c>
      <c r="F1719" s="34" t="s">
        <v>1667</v>
      </c>
      <c r="G1719" s="58" t="s">
        <v>92</v>
      </c>
      <c r="H1719" s="58" t="s">
        <v>279</v>
      </c>
      <c r="I1719" s="55">
        <v>10</v>
      </c>
      <c r="J1719" s="34">
        <v>2</v>
      </c>
      <c r="K1719" s="181" t="s">
        <v>238</v>
      </c>
      <c r="L1719" s="10">
        <v>42282</v>
      </c>
      <c r="M1719" s="37" t="s">
        <v>191</v>
      </c>
      <c r="N1719" s="38">
        <v>8.375</v>
      </c>
      <c r="O1719" s="38">
        <v>1.2</v>
      </c>
      <c r="P1719" s="38">
        <v>0.375</v>
      </c>
      <c r="Q1719" s="38">
        <v>0.125</v>
      </c>
      <c r="R1719" s="38">
        <v>2.0759300000000001</v>
      </c>
      <c r="S1719" s="38">
        <f t="shared" si="204"/>
        <v>2</v>
      </c>
      <c r="T1719" s="38">
        <v>9.7750000000000004</v>
      </c>
      <c r="U1719" s="38">
        <v>0.22500000000000001</v>
      </c>
      <c r="V1719" s="38">
        <v>7.4999999999999997E-2</v>
      </c>
      <c r="W1719" s="38">
        <v>0</v>
      </c>
      <c r="X1719" s="38">
        <v>2.3841800000000002</v>
      </c>
      <c r="Y1719" s="38">
        <f t="shared" si="205"/>
        <v>2.5</v>
      </c>
      <c r="Z1719" s="38">
        <v>0</v>
      </c>
      <c r="AA1719" s="38">
        <v>0</v>
      </c>
      <c r="AB1719" s="38">
        <v>10</v>
      </c>
      <c r="AC1719" s="38">
        <v>1.29741</v>
      </c>
      <c r="AD1719" s="39">
        <v>2.2050000000000001</v>
      </c>
      <c r="AE1719" s="38">
        <v>7.95</v>
      </c>
      <c r="AF1719" s="38">
        <f>(AD1719+AE1719*0.5)/(3.5*I1719*1000)*100</f>
        <v>1.7657142857142854E-2</v>
      </c>
      <c r="AG1719" s="38">
        <f t="shared" si="206"/>
        <v>0</v>
      </c>
      <c r="AH1719" s="38">
        <v>0</v>
      </c>
      <c r="AI1719" s="38">
        <f>AH1719/(3.5*I1719*1000)*100</f>
        <v>0</v>
      </c>
      <c r="AJ1719" s="38">
        <v>0</v>
      </c>
      <c r="AK1719" s="38">
        <f>AJ1719/(3.5*I1719*1000)*100</f>
        <v>0</v>
      </c>
      <c r="AL1719" s="38">
        <v>0</v>
      </c>
      <c r="AM1719" s="38">
        <f>AJ1719/(3.5*I1719*1000)*100</f>
        <v>0</v>
      </c>
      <c r="AN1719" s="25"/>
      <c r="AS1719" s="48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</row>
    <row r="1720" spans="1:88" s="22" customFormat="1" ht="22.5" customHeight="1">
      <c r="A1720" s="1">
        <v>296</v>
      </c>
      <c r="B1720" s="34" t="s">
        <v>509</v>
      </c>
      <c r="C1720" s="34">
        <v>642</v>
      </c>
      <c r="D1720" s="34">
        <v>2307</v>
      </c>
      <c r="E1720" s="34">
        <v>100</v>
      </c>
      <c r="F1720" s="34" t="s">
        <v>524</v>
      </c>
      <c r="G1720" s="58">
        <v>0</v>
      </c>
      <c r="H1720" s="58">
        <v>26094</v>
      </c>
      <c r="I1720" s="35">
        <v>26.094000000000001</v>
      </c>
      <c r="J1720" s="62">
        <v>2</v>
      </c>
      <c r="K1720" s="34" t="s">
        <v>238</v>
      </c>
      <c r="L1720" s="10">
        <v>42161</v>
      </c>
      <c r="M1720" s="37" t="s">
        <v>191</v>
      </c>
      <c r="N1720" s="38">
        <v>15.05</v>
      </c>
      <c r="O1720" s="38">
        <v>7.15</v>
      </c>
      <c r="P1720" s="38">
        <v>2.6749999999999998</v>
      </c>
      <c r="Q1720" s="38">
        <v>1.1499999999999999</v>
      </c>
      <c r="R1720" s="38">
        <v>2.5960899999999998</v>
      </c>
      <c r="S1720" s="38">
        <f t="shared" si="204"/>
        <v>2.5</v>
      </c>
      <c r="T1720" s="38">
        <v>22.85</v>
      </c>
      <c r="U1720" s="38">
        <v>1.825</v>
      </c>
      <c r="V1720" s="38">
        <v>0.9</v>
      </c>
      <c r="W1720" s="38">
        <v>0.45</v>
      </c>
      <c r="X1720" s="38">
        <v>5.2803899999999997</v>
      </c>
      <c r="Y1720" s="38">
        <f t="shared" si="205"/>
        <v>5.5</v>
      </c>
      <c r="Z1720" s="38">
        <v>0</v>
      </c>
      <c r="AA1720" s="38">
        <v>0</v>
      </c>
      <c r="AB1720" s="38">
        <f>T1720+U1720+V1720+W1720</f>
        <v>26.024999999999999</v>
      </c>
      <c r="AC1720" s="38">
        <v>1.3869499999999999</v>
      </c>
      <c r="AD1720" s="38">
        <v>14</v>
      </c>
      <c r="AE1720" s="38">
        <v>4</v>
      </c>
      <c r="AF1720" s="38">
        <v>1.7519079372378982E-2</v>
      </c>
      <c r="AG1720" s="38">
        <f t="shared" si="206"/>
        <v>0</v>
      </c>
      <c r="AH1720" s="38">
        <v>21.44</v>
      </c>
      <c r="AI1720" s="38">
        <v>2.3475566358987832E-2</v>
      </c>
      <c r="AJ1720" s="38">
        <v>0</v>
      </c>
      <c r="AK1720" s="38">
        <v>0</v>
      </c>
      <c r="AL1720" s="38">
        <v>0</v>
      </c>
      <c r="AM1720" s="38">
        <v>0</v>
      </c>
      <c r="AN1720" s="60"/>
      <c r="AO1720" s="60"/>
      <c r="AP1720" s="60">
        <f>AE1720*0.5</f>
        <v>2</v>
      </c>
      <c r="AQ1720" s="64">
        <f>(AD1720+AH1720+AJ1720+AL1720+AP1720)*I1720</f>
        <v>976.95935999999995</v>
      </c>
      <c r="AR1720" s="60"/>
      <c r="AS1720" s="49">
        <f>SUM(N1720:Q1720)</f>
        <v>26.025000000000002</v>
      </c>
      <c r="AT1720" s="25"/>
      <c r="AU1720" s="41">
        <f>SUM(N1720:Q1720)</f>
        <v>26.025000000000002</v>
      </c>
      <c r="AV1720" s="41">
        <f>SUM(T1720:W1720)</f>
        <v>26.024999999999999</v>
      </c>
      <c r="AW1720" s="41">
        <f>SUM(Z1720:AB1720)</f>
        <v>26.024999999999999</v>
      </c>
      <c r="AY1720" s="22">
        <f>I1720/AU1720</f>
        <v>1.0026512968299712</v>
      </c>
      <c r="AZ1720" s="22">
        <f>I1720/AV1720</f>
        <v>1.0026512968299712</v>
      </c>
      <c r="BA1720" s="22">
        <f>I1720/AW1720</f>
        <v>1.0026512968299712</v>
      </c>
      <c r="BB1720" s="61"/>
      <c r="BC1720" s="61"/>
      <c r="BD1720" s="61"/>
      <c r="BE1720" s="61"/>
      <c r="BF1720" s="61"/>
      <c r="BG1720" s="61"/>
      <c r="BH1720" s="61"/>
      <c r="BI1720" s="61"/>
      <c r="BJ1720" s="61"/>
      <c r="BK1720" s="61"/>
      <c r="BL1720" s="61"/>
      <c r="BM1720" s="61"/>
      <c r="BN1720" s="61"/>
      <c r="BO1720" s="61"/>
      <c r="BP1720" s="61"/>
      <c r="BQ1720" s="61"/>
      <c r="BR1720" s="61"/>
      <c r="BS1720" s="61"/>
      <c r="BT1720" s="61"/>
      <c r="BU1720" s="61"/>
      <c r="BV1720" s="61"/>
      <c r="BW1720" s="61"/>
      <c r="BX1720" s="61"/>
      <c r="BY1720" s="61"/>
      <c r="BZ1720" s="61"/>
      <c r="CA1720" s="61"/>
      <c r="CB1720" s="61"/>
      <c r="CC1720" s="61"/>
      <c r="CD1720" s="61"/>
      <c r="CE1720" s="61"/>
      <c r="CF1720" s="61"/>
      <c r="CG1720" s="61"/>
      <c r="CH1720" s="61"/>
      <c r="CI1720" s="61"/>
      <c r="CJ1720" s="61"/>
    </row>
    <row r="1721" spans="1:88" s="22" customFormat="1">
      <c r="A1721" s="1">
        <v>2043</v>
      </c>
      <c r="B1721" s="34" t="s">
        <v>2678</v>
      </c>
      <c r="C1721" s="34">
        <v>326</v>
      </c>
      <c r="D1721" s="75">
        <v>4230</v>
      </c>
      <c r="E1721" s="8">
        <v>100</v>
      </c>
      <c r="F1721" s="34" t="s">
        <v>2693</v>
      </c>
      <c r="G1721" s="58">
        <v>0</v>
      </c>
      <c r="H1721" s="58">
        <v>15193</v>
      </c>
      <c r="I1721" s="21">
        <v>15.193</v>
      </c>
      <c r="J1721" s="8">
        <v>2</v>
      </c>
      <c r="K1721" s="8" t="s">
        <v>238</v>
      </c>
      <c r="L1721" s="18">
        <v>42126</v>
      </c>
      <c r="M1721" s="37" t="s">
        <v>191</v>
      </c>
      <c r="N1721" s="38">
        <v>11.225</v>
      </c>
      <c r="O1721" s="38">
        <v>2.4500000000000002</v>
      </c>
      <c r="P1721" s="38">
        <v>0.95</v>
      </c>
      <c r="Q1721" s="38">
        <v>0.55000000000000004</v>
      </c>
      <c r="R1721" s="38">
        <v>2.21909</v>
      </c>
      <c r="S1721" s="38">
        <f t="shared" si="204"/>
        <v>2</v>
      </c>
      <c r="T1721" s="38">
        <v>14.574999999999999</v>
      </c>
      <c r="U1721" s="38">
        <v>0.45</v>
      </c>
      <c r="V1721" s="38">
        <v>0.1</v>
      </c>
      <c r="W1721" s="38">
        <v>0.05</v>
      </c>
      <c r="X1721" s="38">
        <v>3.2265000000000001</v>
      </c>
      <c r="Y1721" s="38">
        <f t="shared" si="205"/>
        <v>3</v>
      </c>
      <c r="Z1721" s="38">
        <v>0</v>
      </c>
      <c r="AA1721" s="38">
        <v>0</v>
      </c>
      <c r="AB1721" s="38">
        <v>15.175000000000001</v>
      </c>
      <c r="AC1721" s="38">
        <v>1.11561</v>
      </c>
      <c r="AD1721" s="39">
        <v>8.68</v>
      </c>
      <c r="AE1721" s="38">
        <v>1.22</v>
      </c>
      <c r="AF1721" s="38">
        <f>(AD1721+AE1721*0.5)/(3.5*I1721*1000)*100</f>
        <v>1.7470451617756295E-2</v>
      </c>
      <c r="AG1721" s="38">
        <f t="shared" si="206"/>
        <v>0</v>
      </c>
      <c r="AH1721" s="38">
        <v>0</v>
      </c>
      <c r="AI1721" s="38">
        <v>0</v>
      </c>
      <c r="AJ1721" s="55">
        <v>0</v>
      </c>
      <c r="AK1721" s="55">
        <v>0</v>
      </c>
      <c r="AL1721" s="55">
        <v>5.96</v>
      </c>
      <c r="AM1721" s="55">
        <f>AL1721/(3.5*I1721*1000)*100</f>
        <v>1.1208169175654202E-2</v>
      </c>
      <c r="AN1721" s="1"/>
      <c r="AO1721" s="12"/>
      <c r="AP1721" s="12"/>
      <c r="AQ1721" s="1"/>
      <c r="AR1721" s="1"/>
      <c r="AS1721" s="178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</row>
    <row r="1722" spans="1:88" s="22" customFormat="1" ht="23.25" customHeight="1">
      <c r="A1722" s="1">
        <v>891</v>
      </c>
      <c r="B1722" s="34" t="s">
        <v>1271</v>
      </c>
      <c r="C1722" s="34">
        <v>632</v>
      </c>
      <c r="D1722" s="162">
        <v>2461</v>
      </c>
      <c r="E1722" s="34">
        <v>100</v>
      </c>
      <c r="F1722" s="34" t="s">
        <v>1284</v>
      </c>
      <c r="G1722" s="58">
        <v>0</v>
      </c>
      <c r="H1722" s="58">
        <v>1174</v>
      </c>
      <c r="I1722" s="35">
        <v>1.1739999999999999</v>
      </c>
      <c r="J1722" s="9">
        <v>2</v>
      </c>
      <c r="K1722" s="34" t="s">
        <v>238</v>
      </c>
      <c r="L1722" s="10">
        <v>42143</v>
      </c>
      <c r="M1722" s="37" t="s">
        <v>191</v>
      </c>
      <c r="N1722" s="38">
        <v>7.4999999999999997E-2</v>
      </c>
      <c r="O1722" s="38">
        <v>0.45</v>
      </c>
      <c r="P1722" s="38">
        <v>0.45</v>
      </c>
      <c r="Q1722" s="38">
        <v>0.17499999999999999</v>
      </c>
      <c r="R1722" s="38">
        <v>4.23217</v>
      </c>
      <c r="S1722" s="38">
        <f t="shared" si="204"/>
        <v>4</v>
      </c>
      <c r="T1722" s="38">
        <v>1.1499999999999999</v>
      </c>
      <c r="U1722" s="38">
        <v>0</v>
      </c>
      <c r="V1722" s="38">
        <v>0</v>
      </c>
      <c r="W1722" s="38">
        <v>0</v>
      </c>
      <c r="X1722" s="38">
        <v>3.87296</v>
      </c>
      <c r="Y1722" s="38">
        <f t="shared" si="205"/>
        <v>4</v>
      </c>
      <c r="Z1722" s="38">
        <v>0</v>
      </c>
      <c r="AA1722" s="38">
        <v>0</v>
      </c>
      <c r="AB1722" s="38">
        <f>N1722+O1722+P1722+Q1722</f>
        <v>1.1500000000000001</v>
      </c>
      <c r="AC1722" s="38">
        <v>1.2904599999999999</v>
      </c>
      <c r="AD1722" s="38">
        <v>0</v>
      </c>
      <c r="AE1722" s="38">
        <v>1.43</v>
      </c>
      <c r="AF1722" s="38">
        <v>1.7401E-2</v>
      </c>
      <c r="AG1722" s="38">
        <f t="shared" si="206"/>
        <v>0</v>
      </c>
      <c r="AH1722" s="38">
        <v>18.21</v>
      </c>
      <c r="AI1722" s="38">
        <v>0.44317400000000001</v>
      </c>
      <c r="AJ1722" s="38">
        <v>0</v>
      </c>
      <c r="AK1722" s="38">
        <v>0</v>
      </c>
      <c r="AL1722" s="38">
        <v>0</v>
      </c>
      <c r="AM1722" s="38">
        <v>0</v>
      </c>
      <c r="AN1722" s="25"/>
      <c r="AO1722" s="25">
        <f>AE1722*0.5</f>
        <v>0.71499999999999997</v>
      </c>
      <c r="AP1722" s="25">
        <f>(AD1722+AH1722+AJ1722+AL1722+AO1722)*I1722</f>
        <v>22.217949999999998</v>
      </c>
      <c r="AQ1722" s="25">
        <f>SUM(N1722:Q1722)</f>
        <v>1.1500000000000001</v>
      </c>
      <c r="AR1722" s="25">
        <f>SUM(T1722:W1722)</f>
        <v>1.1499999999999999</v>
      </c>
      <c r="AS1722" s="48"/>
      <c r="AT1722" s="41"/>
      <c r="AU1722" s="41"/>
      <c r="AV1722" s="41"/>
      <c r="AW1722" s="41"/>
    </row>
    <row r="1723" spans="1:88" s="22" customFormat="1" ht="23.25" customHeight="1">
      <c r="A1723" s="1">
        <v>776</v>
      </c>
      <c r="B1723" s="34" t="s">
        <v>1149</v>
      </c>
      <c r="C1723" s="34">
        <v>622</v>
      </c>
      <c r="D1723" s="8">
        <v>2380</v>
      </c>
      <c r="E1723" s="34">
        <v>100</v>
      </c>
      <c r="F1723" s="34" t="s">
        <v>1168</v>
      </c>
      <c r="G1723" s="58">
        <v>0</v>
      </c>
      <c r="H1723" s="58">
        <v>28739</v>
      </c>
      <c r="I1723" s="35">
        <v>28.739000000000001</v>
      </c>
      <c r="J1723" s="9">
        <v>2</v>
      </c>
      <c r="K1723" s="34" t="s">
        <v>238</v>
      </c>
      <c r="L1723" s="10">
        <v>42152</v>
      </c>
      <c r="M1723" s="37" t="s">
        <v>191</v>
      </c>
      <c r="N1723" s="38">
        <v>19.899999999999999</v>
      </c>
      <c r="O1723" s="38">
        <v>6.9749999999999996</v>
      </c>
      <c r="P1723" s="38">
        <v>1.425</v>
      </c>
      <c r="Q1723" s="38">
        <v>0.3</v>
      </c>
      <c r="R1723" s="38">
        <v>2.5249999999999999</v>
      </c>
      <c r="S1723" s="38">
        <f t="shared" si="204"/>
        <v>2.5</v>
      </c>
      <c r="T1723" s="38">
        <v>28.27</v>
      </c>
      <c r="U1723" s="38">
        <v>0.43</v>
      </c>
      <c r="V1723" s="38">
        <v>0.05</v>
      </c>
      <c r="W1723" s="38">
        <v>0</v>
      </c>
      <c r="X1723" s="38">
        <v>3.5339999999999998</v>
      </c>
      <c r="Y1723" s="38">
        <f t="shared" si="205"/>
        <v>3.5</v>
      </c>
      <c r="Z1723" s="38">
        <v>0</v>
      </c>
      <c r="AA1723" s="38">
        <v>0</v>
      </c>
      <c r="AB1723" s="38">
        <v>28.74</v>
      </c>
      <c r="AC1723" s="38">
        <v>1.3919999999999999</v>
      </c>
      <c r="AD1723" s="39">
        <v>17</v>
      </c>
      <c r="AE1723" s="38">
        <v>1</v>
      </c>
      <c r="AF1723" s="38">
        <f>(AD1723+AE1723*0.5)/(3.5*I1723*1000)*100</f>
        <v>1.7397960958975608E-2</v>
      </c>
      <c r="AG1723" s="38">
        <f t="shared" si="206"/>
        <v>0</v>
      </c>
      <c r="AH1723" s="38">
        <v>90</v>
      </c>
      <c r="AI1723" s="38">
        <f>AH1723/(3.5*I1723*1000)*100</f>
        <v>8.9475227789017411E-2</v>
      </c>
      <c r="AJ1723" s="38">
        <v>8</v>
      </c>
      <c r="AK1723" s="38">
        <f>AJ1723/(3.5*I1723*1000)*100</f>
        <v>7.9533535812459921E-3</v>
      </c>
      <c r="AL1723" s="38">
        <v>2</v>
      </c>
      <c r="AM1723" s="38">
        <f>AL1723/(3.5*I1723*1000)*100</f>
        <v>1.988338395311498E-3</v>
      </c>
      <c r="AN1723" s="25"/>
      <c r="AO1723" s="25">
        <f>AE1723*0.5</f>
        <v>0.5</v>
      </c>
      <c r="AP1723" s="25">
        <f>(AD1723+AH1723+AJ1723+AL1723+AO1723)*I1723</f>
        <v>3376.8325</v>
      </c>
      <c r="AQ1723" s="25">
        <f>SUM(N1723:Q1723)</f>
        <v>28.6</v>
      </c>
      <c r="AR1723" s="25">
        <f>SUM(T1723:W1723)</f>
        <v>28.75</v>
      </c>
      <c r="AS1723" s="51">
        <v>28.739000000000001</v>
      </c>
      <c r="AT1723" s="41"/>
      <c r="AU1723" s="41">
        <f>SUM(N1723:Q1723)</f>
        <v>28.6</v>
      </c>
      <c r="AV1723" s="41">
        <f>SUM(T1723:W1723)</f>
        <v>28.75</v>
      </c>
      <c r="AW1723" s="41">
        <f>SUM(Z1723:AB1723)</f>
        <v>28.74</v>
      </c>
      <c r="AY1723" s="22">
        <f>I1723/AU1723</f>
        <v>1.0048601398601398</v>
      </c>
      <c r="AZ1723" s="22">
        <f>I1723/AV1723</f>
        <v>0.9996173913043479</v>
      </c>
      <c r="BA1723" s="22">
        <f>I1723/AW1723</f>
        <v>0.99996520528879618</v>
      </c>
    </row>
    <row r="1724" spans="1:88" s="22" customFormat="1">
      <c r="A1724" s="1">
        <v>1764</v>
      </c>
      <c r="B1724" s="34" t="s">
        <v>2348</v>
      </c>
      <c r="C1724" s="34">
        <v>425</v>
      </c>
      <c r="D1724" s="8">
        <v>3494</v>
      </c>
      <c r="E1724" s="34">
        <v>100</v>
      </c>
      <c r="F1724" s="34" t="s">
        <v>2365</v>
      </c>
      <c r="G1724" s="58" t="s">
        <v>92</v>
      </c>
      <c r="H1724" s="58" t="s">
        <v>2366</v>
      </c>
      <c r="I1724" s="35">
        <v>21.5</v>
      </c>
      <c r="J1724" s="9">
        <v>2</v>
      </c>
      <c r="K1724" s="34" t="s">
        <v>238</v>
      </c>
      <c r="L1724" s="10">
        <v>42236</v>
      </c>
      <c r="M1724" s="37" t="s">
        <v>191</v>
      </c>
      <c r="N1724" s="38">
        <v>18.524999999999999</v>
      </c>
      <c r="O1724" s="38">
        <v>1.5</v>
      </c>
      <c r="P1724" s="38">
        <v>0.82499999999999996</v>
      </c>
      <c r="Q1724" s="38">
        <v>0.5</v>
      </c>
      <c r="R1724" s="38">
        <v>1.8919999999999999</v>
      </c>
      <c r="S1724" s="38">
        <f t="shared" si="204"/>
        <v>2</v>
      </c>
      <c r="T1724" s="38">
        <v>20.95</v>
      </c>
      <c r="U1724" s="38">
        <v>0.375</v>
      </c>
      <c r="V1724" s="38">
        <v>2.5000000000000001E-2</v>
      </c>
      <c r="W1724" s="38">
        <v>0</v>
      </c>
      <c r="X1724" s="38">
        <v>3.9550000000000001</v>
      </c>
      <c r="Y1724" s="38">
        <f t="shared" si="205"/>
        <v>4</v>
      </c>
      <c r="Z1724" s="38">
        <v>0</v>
      </c>
      <c r="AA1724" s="38">
        <v>0</v>
      </c>
      <c r="AB1724" s="38">
        <f>SUM(T1724:W1724)</f>
        <v>21.349999999999998</v>
      </c>
      <c r="AC1724" s="38">
        <v>1.2230000000000001</v>
      </c>
      <c r="AD1724" s="39">
        <v>0</v>
      </c>
      <c r="AE1724" s="38">
        <v>26.18</v>
      </c>
      <c r="AF1724" s="38">
        <f>(AD1724+AE1724*0.5)/(3.5*I1724*1000)*100</f>
        <v>1.7395348837209303E-2</v>
      </c>
      <c r="AG1724" s="38">
        <f t="shared" si="206"/>
        <v>0</v>
      </c>
      <c r="AH1724" s="38">
        <v>4.21</v>
      </c>
      <c r="AI1724" s="38">
        <f>AH1724/(3.5*I1724*1000)*100</f>
        <v>5.5946843853820595E-3</v>
      </c>
      <c r="AJ1724" s="38">
        <v>0</v>
      </c>
      <c r="AK1724" s="38">
        <f>AJ1724/(3.5*I1724*1000)*100</f>
        <v>0</v>
      </c>
      <c r="AL1724" s="38">
        <v>10.220000000000001</v>
      </c>
      <c r="AM1724" s="55">
        <f>AL1724/(3.5*I1724*1000)*100</f>
        <v>1.3581395348837209E-2</v>
      </c>
      <c r="AN1724" s="25"/>
      <c r="AO1724" s="25">
        <f>AE1724*0.5</f>
        <v>13.09</v>
      </c>
      <c r="AP1724" s="25">
        <f>(AD1724+AH1724+AJ1724+AL1724+AO1724)*I1724</f>
        <v>591.67999999999995</v>
      </c>
      <c r="AQ1724" s="25"/>
      <c r="AR1724" s="25"/>
      <c r="AS1724" s="48"/>
      <c r="AT1724" s="41"/>
      <c r="AU1724" s="41"/>
      <c r="AV1724" s="41"/>
      <c r="AW1724" s="41"/>
    </row>
    <row r="1725" spans="1:88" s="22" customFormat="1">
      <c r="A1725" s="1">
        <v>1318</v>
      </c>
      <c r="B1725" s="74" t="s">
        <v>1851</v>
      </c>
      <c r="C1725" s="34">
        <v>444</v>
      </c>
      <c r="D1725" s="75">
        <v>367</v>
      </c>
      <c r="E1725" s="69">
        <v>100</v>
      </c>
      <c r="F1725" s="34" t="s">
        <v>1861</v>
      </c>
      <c r="G1725" s="20">
        <v>0</v>
      </c>
      <c r="H1725" s="20">
        <v>13154</v>
      </c>
      <c r="I1725" s="21">
        <v>13.154</v>
      </c>
      <c r="J1725" s="8">
        <v>4</v>
      </c>
      <c r="K1725" s="34" t="s">
        <v>238</v>
      </c>
      <c r="L1725" s="10">
        <v>42211</v>
      </c>
      <c r="M1725" s="37" t="s">
        <v>191</v>
      </c>
      <c r="N1725" s="38">
        <v>8.1750000000000007</v>
      </c>
      <c r="O1725" s="38">
        <v>3.15</v>
      </c>
      <c r="P1725" s="38">
        <v>1.3</v>
      </c>
      <c r="Q1725" s="38">
        <v>0.55000000000000004</v>
      </c>
      <c r="R1725" s="38">
        <v>2.6842299999999999</v>
      </c>
      <c r="S1725" s="38">
        <f t="shared" si="204"/>
        <v>2.5</v>
      </c>
      <c r="T1725" s="38">
        <v>12.925000000000001</v>
      </c>
      <c r="U1725" s="38">
        <v>0.22500000000000001</v>
      </c>
      <c r="V1725" s="38">
        <v>2.5000000000000001E-2</v>
      </c>
      <c r="W1725" s="38">
        <v>0</v>
      </c>
      <c r="X1725" s="38">
        <v>3.4190800000000001</v>
      </c>
      <c r="Y1725" s="38">
        <f t="shared" si="205"/>
        <v>3.5</v>
      </c>
      <c r="Z1725" s="38">
        <v>0</v>
      </c>
      <c r="AA1725" s="38">
        <v>0</v>
      </c>
      <c r="AB1725" s="38">
        <v>13.175000000000002</v>
      </c>
      <c r="AC1725" s="38">
        <v>0.99652700000000005</v>
      </c>
      <c r="AD1725" s="39">
        <v>8</v>
      </c>
      <c r="AE1725" s="38">
        <v>0</v>
      </c>
      <c r="AF1725" s="38">
        <v>1.7376572036751449E-2</v>
      </c>
      <c r="AG1725" s="38">
        <f t="shared" si="206"/>
        <v>0</v>
      </c>
      <c r="AH1725" s="38">
        <v>17</v>
      </c>
      <c r="AI1725" s="38">
        <v>3.6925215578096832E-2</v>
      </c>
      <c r="AJ1725" s="38">
        <v>83</v>
      </c>
      <c r="AK1725" s="38">
        <v>0.18028193488129629</v>
      </c>
      <c r="AL1725" s="38">
        <v>1</v>
      </c>
      <c r="AM1725" s="38">
        <v>2.1720715045939311E-3</v>
      </c>
      <c r="AN1725" s="1"/>
      <c r="AO1725" s="1"/>
      <c r="AP1725" s="1"/>
      <c r="AQ1725" s="1"/>
      <c r="AR1725" s="1"/>
      <c r="AS1725" s="178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</row>
    <row r="1726" spans="1:88" s="22" customFormat="1">
      <c r="A1726" s="1">
        <v>1227</v>
      </c>
      <c r="B1726" s="34" t="s">
        <v>1725</v>
      </c>
      <c r="C1726" s="88">
        <v>437</v>
      </c>
      <c r="D1726" s="88">
        <v>1073</v>
      </c>
      <c r="E1726" s="88">
        <v>100</v>
      </c>
      <c r="F1726" s="88" t="s">
        <v>1730</v>
      </c>
      <c r="G1726" s="88" t="s">
        <v>1731</v>
      </c>
      <c r="H1726" s="88" t="s">
        <v>92</v>
      </c>
      <c r="I1726" s="115">
        <v>40.68</v>
      </c>
      <c r="J1726" s="88">
        <v>2</v>
      </c>
      <c r="K1726" s="88" t="s">
        <v>12</v>
      </c>
      <c r="L1726" s="116">
        <v>42282</v>
      </c>
      <c r="M1726" s="37" t="s">
        <v>191</v>
      </c>
      <c r="N1726" s="38">
        <v>26.975000000000001</v>
      </c>
      <c r="O1726" s="38">
        <v>9.8249999999999993</v>
      </c>
      <c r="P1726" s="38">
        <v>3</v>
      </c>
      <c r="Q1726" s="38">
        <v>1.0249999999999999</v>
      </c>
      <c r="R1726" s="38">
        <v>2.4221699999999999</v>
      </c>
      <c r="S1726" s="38">
        <f t="shared" si="204"/>
        <v>2.5</v>
      </c>
      <c r="T1726" s="38">
        <v>38.174999999999997</v>
      </c>
      <c r="U1726" s="38">
        <v>2.2749999999999999</v>
      </c>
      <c r="V1726" s="38">
        <v>0.3</v>
      </c>
      <c r="W1726" s="38">
        <v>7.4999999999999997E-2</v>
      </c>
      <c r="X1726" s="38">
        <v>4.3403400000000003</v>
      </c>
      <c r="Y1726" s="38">
        <f t="shared" si="205"/>
        <v>4.5</v>
      </c>
      <c r="Z1726" s="38">
        <v>0</v>
      </c>
      <c r="AA1726" s="117">
        <v>0</v>
      </c>
      <c r="AB1726" s="117">
        <v>40.68</v>
      </c>
      <c r="AC1726" s="117">
        <v>1.2635700000000001</v>
      </c>
      <c r="AD1726" s="254">
        <v>15.2</v>
      </c>
      <c r="AE1726" s="117">
        <v>18.96</v>
      </c>
      <c r="AF1726" s="117">
        <f>(AD1726+AE1726*0.5)/(3.5*I1726*1000)*100</f>
        <v>1.7333895210001404E-2</v>
      </c>
      <c r="AG1726" s="38">
        <f t="shared" si="206"/>
        <v>0</v>
      </c>
      <c r="AH1726" s="117">
        <v>9.35</v>
      </c>
      <c r="AI1726" s="117">
        <f>AH1726/(3.5*I1726*1000)*100</f>
        <v>6.5669335580839996E-3</v>
      </c>
      <c r="AJ1726" s="117">
        <v>0</v>
      </c>
      <c r="AK1726" s="117">
        <f>AJ1726/(3.5*I1726*1000)*100</f>
        <v>0</v>
      </c>
      <c r="AL1726" s="117">
        <v>0</v>
      </c>
      <c r="AM1726" s="117">
        <f>AJ1726/(3.5*I1726*1000)*100</f>
        <v>0</v>
      </c>
      <c r="AN1726" s="12"/>
      <c r="AO1726" s="1"/>
      <c r="AP1726" s="1"/>
      <c r="AQ1726" s="1"/>
      <c r="AR1726" s="1"/>
      <c r="AS1726" s="178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</row>
    <row r="1727" spans="1:88" s="22" customFormat="1">
      <c r="A1727" s="1">
        <v>228</v>
      </c>
      <c r="B1727" s="34" t="s">
        <v>436</v>
      </c>
      <c r="C1727" s="34">
        <v>537</v>
      </c>
      <c r="D1727" s="34">
        <v>1016</v>
      </c>
      <c r="E1727" s="34">
        <v>200</v>
      </c>
      <c r="F1727" s="34" t="s">
        <v>437</v>
      </c>
      <c r="G1727" s="20" t="s">
        <v>438</v>
      </c>
      <c r="H1727" s="20" t="s">
        <v>279</v>
      </c>
      <c r="I1727" s="51">
        <v>20.434000000000001</v>
      </c>
      <c r="J1727" s="33">
        <v>4</v>
      </c>
      <c r="K1727" s="34" t="s">
        <v>12</v>
      </c>
      <c r="L1727" s="10">
        <v>42200</v>
      </c>
      <c r="M1727" s="37" t="s">
        <v>191</v>
      </c>
      <c r="N1727" s="38">
        <v>14.34</v>
      </c>
      <c r="O1727" s="38">
        <v>4.92</v>
      </c>
      <c r="P1727" s="38">
        <v>0.89</v>
      </c>
      <c r="Q1727" s="38">
        <v>0.28000000000000003</v>
      </c>
      <c r="R1727" s="38">
        <v>2.2145700000000001</v>
      </c>
      <c r="S1727" s="38">
        <f t="shared" si="204"/>
        <v>2</v>
      </c>
      <c r="T1727" s="38">
        <v>19.02</v>
      </c>
      <c r="U1727" s="38">
        <v>1.32</v>
      </c>
      <c r="V1727" s="38">
        <v>0.1</v>
      </c>
      <c r="W1727" s="38">
        <v>0</v>
      </c>
      <c r="X1727" s="38">
        <v>5.5171400000000004</v>
      </c>
      <c r="Y1727" s="38">
        <f t="shared" si="205"/>
        <v>5.5</v>
      </c>
      <c r="Z1727" s="38">
        <v>0</v>
      </c>
      <c r="AA1727" s="38">
        <v>0</v>
      </c>
      <c r="AB1727" s="38">
        <v>20.440000000000001</v>
      </c>
      <c r="AC1727" s="38">
        <v>1.0775999999999999</v>
      </c>
      <c r="AD1727" s="39">
        <v>12.36</v>
      </c>
      <c r="AE1727" s="38">
        <v>0</v>
      </c>
      <c r="AF1727" s="38">
        <v>1.7282120835022858E-2</v>
      </c>
      <c r="AG1727" s="38">
        <f t="shared" si="206"/>
        <v>0</v>
      </c>
      <c r="AH1727" s="38">
        <v>0</v>
      </c>
      <c r="AI1727" s="38">
        <v>0</v>
      </c>
      <c r="AJ1727" s="38">
        <v>0</v>
      </c>
      <c r="AK1727" s="55">
        <v>0</v>
      </c>
      <c r="AL1727" s="55">
        <v>0</v>
      </c>
      <c r="AM1727" s="55">
        <v>0</v>
      </c>
      <c r="AN1727" s="40"/>
      <c r="AO1727" s="25">
        <f>SUM(N1727:Q1727)</f>
        <v>20.43</v>
      </c>
      <c r="AP1727" s="25">
        <f>SUM(T1727:W1727)</f>
        <v>20.440000000000001</v>
      </c>
      <c r="AQ1727" s="268">
        <v>20.434000000000001</v>
      </c>
      <c r="AR1727" s="41"/>
      <c r="AS1727" s="49"/>
      <c r="AT1727" s="41"/>
      <c r="AU1727" s="41">
        <f>SUM(N1727:Q1727)</f>
        <v>20.43</v>
      </c>
      <c r="AV1727" s="41">
        <f>SUM(T1727:W1727)</f>
        <v>20.440000000000001</v>
      </c>
      <c r="AW1727" s="41">
        <f>SUM(Z1727:AB1727)</f>
        <v>20.440000000000001</v>
      </c>
      <c r="AY1727" s="22">
        <f>I1727/AU1727</f>
        <v>1.0001957905041605</v>
      </c>
      <c r="AZ1727" s="22">
        <f>I1727/AV1727</f>
        <v>0.99970645792563595</v>
      </c>
      <c r="BA1727" s="22">
        <f>I1727/AW1727</f>
        <v>0.99970645792563595</v>
      </c>
    </row>
    <row r="1728" spans="1:88" s="22" customFormat="1">
      <c r="A1728" s="1">
        <v>1889</v>
      </c>
      <c r="B1728" s="34" t="s">
        <v>2495</v>
      </c>
      <c r="C1728" s="34">
        <v>335</v>
      </c>
      <c r="D1728" s="75">
        <v>3526</v>
      </c>
      <c r="E1728" s="8">
        <v>100</v>
      </c>
      <c r="F1728" s="9" t="s">
        <v>2523</v>
      </c>
      <c r="G1728" s="20" t="s">
        <v>2524</v>
      </c>
      <c r="H1728" s="20" t="s">
        <v>92</v>
      </c>
      <c r="I1728" s="21">
        <v>4.218</v>
      </c>
      <c r="J1728" s="34">
        <v>2</v>
      </c>
      <c r="K1728" s="34" t="s">
        <v>12</v>
      </c>
      <c r="L1728" s="18">
        <v>42093</v>
      </c>
      <c r="M1728" s="247" t="s">
        <v>191</v>
      </c>
      <c r="N1728" s="38">
        <v>1.62</v>
      </c>
      <c r="O1728" s="38">
        <v>1.77</v>
      </c>
      <c r="P1728" s="38">
        <v>0.56999999999999995</v>
      </c>
      <c r="Q1728" s="38">
        <v>0.25</v>
      </c>
      <c r="R1728" s="38">
        <v>3.0341399999999998</v>
      </c>
      <c r="S1728" s="38">
        <f t="shared" si="204"/>
        <v>3</v>
      </c>
      <c r="T1728" s="38">
        <v>4.22</v>
      </c>
      <c r="U1728" s="38">
        <v>0</v>
      </c>
      <c r="V1728" s="38">
        <v>0</v>
      </c>
      <c r="W1728" s="38">
        <v>0</v>
      </c>
      <c r="X1728" s="38">
        <v>2.0115799999999999</v>
      </c>
      <c r="Y1728" s="38">
        <f t="shared" si="205"/>
        <v>2</v>
      </c>
      <c r="Z1728" s="38">
        <v>0</v>
      </c>
      <c r="AA1728" s="38">
        <v>0</v>
      </c>
      <c r="AB1728" s="38">
        <v>4.22</v>
      </c>
      <c r="AC1728" s="38">
        <v>1.27301</v>
      </c>
      <c r="AD1728" s="39">
        <v>2.36</v>
      </c>
      <c r="AE1728" s="38">
        <v>0.38</v>
      </c>
      <c r="AF1728" s="38">
        <f t="shared" ref="AF1728:AF1733" si="216">(AD1728+AE1728*0.5)/(3.5*I1728*1000)*100</f>
        <v>1.7272912009754116E-2</v>
      </c>
      <c r="AG1728" s="38">
        <f t="shared" si="206"/>
        <v>0</v>
      </c>
      <c r="AH1728" s="38">
        <v>21.364999999999998</v>
      </c>
      <c r="AI1728" s="38">
        <f t="shared" ref="AI1728:AI1733" si="217">AH1728/(3.5*I1728*1000)*100</f>
        <v>0.14471990787780262</v>
      </c>
      <c r="AJ1728" s="38">
        <v>0</v>
      </c>
      <c r="AK1728" s="38">
        <f>AJ1728/(3.5*I1728*1000)*100</f>
        <v>0</v>
      </c>
      <c r="AL1728" s="38">
        <v>0</v>
      </c>
      <c r="AM1728" s="38">
        <f t="shared" ref="AM1728:AM1735" si="218">AL1728/(3.5*I1728*1000)*100</f>
        <v>0</v>
      </c>
      <c r="AN1728" s="73"/>
      <c r="AO1728" s="73"/>
      <c r="AP1728" s="73"/>
      <c r="AQ1728" s="41">
        <f>SUM(N1728:Q1728)</f>
        <v>4.21</v>
      </c>
      <c r="AR1728" s="41">
        <f>SUM(T1728:W1728)</f>
        <v>4.22</v>
      </c>
      <c r="AS1728" s="270">
        <f>SUM(Z1728:AB1728)</f>
        <v>4.22</v>
      </c>
      <c r="AT1728" s="1"/>
      <c r="AU1728" s="1">
        <f>I1728/AQ1728</f>
        <v>1.0019002375296913</v>
      </c>
      <c r="AV1728" s="1">
        <f>I1728/AR1728</f>
        <v>0.99952606635071095</v>
      </c>
      <c r="AW1728" s="1">
        <f>I1728/AS1728</f>
        <v>0.99952606635071095</v>
      </c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</row>
    <row r="1729" spans="1:88">
      <c r="A1729" s="1">
        <v>764</v>
      </c>
      <c r="B1729" s="34" t="s">
        <v>1149</v>
      </c>
      <c r="C1729" s="34">
        <v>622</v>
      </c>
      <c r="D1729" s="8">
        <v>219</v>
      </c>
      <c r="E1729" s="34">
        <v>101</v>
      </c>
      <c r="F1729" s="34" t="s">
        <v>1151</v>
      </c>
      <c r="G1729" s="58" t="s">
        <v>1154</v>
      </c>
      <c r="H1729" s="58" t="s">
        <v>1152</v>
      </c>
      <c r="I1729" s="35">
        <v>47.4</v>
      </c>
      <c r="J1729" s="9">
        <v>2</v>
      </c>
      <c r="K1729" s="34" t="s">
        <v>12</v>
      </c>
      <c r="L1729" s="10">
        <v>42151</v>
      </c>
      <c r="M1729" s="37" t="s">
        <v>191</v>
      </c>
      <c r="N1729" s="38">
        <v>24.571999999999999</v>
      </c>
      <c r="O1729" s="38">
        <v>15.657999999999999</v>
      </c>
      <c r="P1729" s="38">
        <v>5.2709999999999999</v>
      </c>
      <c r="Q1729" s="38">
        <v>1.899</v>
      </c>
      <c r="R1729" s="38">
        <v>2.7726600000000001</v>
      </c>
      <c r="S1729" s="38">
        <f t="shared" si="204"/>
        <v>3</v>
      </c>
      <c r="T1729" s="38">
        <v>32.93</v>
      </c>
      <c r="U1729" s="38">
        <v>12.09</v>
      </c>
      <c r="V1729" s="38">
        <v>2.86</v>
      </c>
      <c r="W1729" s="38">
        <v>0.08</v>
      </c>
      <c r="X1729" s="147">
        <v>6.7703499999999996</v>
      </c>
      <c r="Y1729" s="38">
        <f t="shared" si="205"/>
        <v>7</v>
      </c>
      <c r="Z1729" s="38">
        <v>0</v>
      </c>
      <c r="AA1729" s="38">
        <v>0</v>
      </c>
      <c r="AB1729" s="38">
        <v>47.86</v>
      </c>
      <c r="AC1729" s="38">
        <v>1.2809200000000001</v>
      </c>
      <c r="AD1729" s="39">
        <v>1</v>
      </c>
      <c r="AE1729" s="38">
        <v>55</v>
      </c>
      <c r="AF1729" s="38">
        <f t="shared" si="216"/>
        <v>1.7179023508137433E-2</v>
      </c>
      <c r="AG1729" s="38">
        <f t="shared" si="206"/>
        <v>0</v>
      </c>
      <c r="AH1729" s="38">
        <v>306</v>
      </c>
      <c r="AI1729" s="38">
        <f t="shared" si="217"/>
        <v>0.18444846292947559</v>
      </c>
      <c r="AJ1729" s="38">
        <v>0</v>
      </c>
      <c r="AK1729" s="38">
        <f>AJ1729/(3.5*I1729*1000)*100</f>
        <v>0</v>
      </c>
      <c r="AL1729" s="38">
        <v>3</v>
      </c>
      <c r="AM1729" s="38">
        <f t="shared" si="218"/>
        <v>1.8083182640144667E-3</v>
      </c>
      <c r="AN1729" s="25"/>
      <c r="AO1729" s="25">
        <f>AE1729*0.5</f>
        <v>27.5</v>
      </c>
      <c r="AP1729" s="25">
        <f>(AD1729+AH1729+AJ1729+AL1729+AO1729)*I1729</f>
        <v>15997.5</v>
      </c>
      <c r="AQ1729" s="25"/>
      <c r="AR1729" s="25"/>
      <c r="AS1729" s="268"/>
      <c r="AT1729" s="41"/>
      <c r="AU1729" s="41">
        <f>SUM(N1729:Q1729)</f>
        <v>47.4</v>
      </c>
      <c r="AV1729" s="41">
        <f>SUM(T1729:W1729)</f>
        <v>47.959999999999994</v>
      </c>
      <c r="AW1729" s="41">
        <f>SUM(Z1729:AB1729)</f>
        <v>47.86</v>
      </c>
      <c r="AX1729" s="22"/>
      <c r="AY1729" s="22">
        <f>I1729/AU1729</f>
        <v>1</v>
      </c>
      <c r="AZ1729" s="22">
        <f>I1729/AV1729</f>
        <v>0.98832360300250222</v>
      </c>
      <c r="BA1729" s="22">
        <f>I1729/AW1729</f>
        <v>0.99038863351441708</v>
      </c>
      <c r="BB1729" s="22"/>
      <c r="BC1729" s="22"/>
      <c r="BD1729" s="22"/>
      <c r="BE1729" s="22"/>
      <c r="BF1729" s="22"/>
      <c r="BG1729" s="22"/>
      <c r="BH1729" s="22"/>
      <c r="BI1729" s="22"/>
      <c r="BJ1729" s="22"/>
      <c r="BK1729" s="22"/>
      <c r="BL1729" s="22"/>
      <c r="BM1729" s="22"/>
      <c r="BN1729" s="22"/>
      <c r="BO1729" s="22"/>
      <c r="BP1729" s="22"/>
      <c r="BQ1729" s="22"/>
      <c r="BR1729" s="22"/>
      <c r="BS1729" s="22"/>
      <c r="BT1729" s="22"/>
      <c r="BU1729" s="22"/>
      <c r="BV1729" s="22"/>
      <c r="BW1729" s="22"/>
      <c r="BX1729" s="22"/>
      <c r="BY1729" s="22"/>
      <c r="BZ1729" s="22"/>
      <c r="CA1729" s="22"/>
      <c r="CB1729" s="22"/>
      <c r="CC1729" s="22"/>
      <c r="CD1729" s="22"/>
      <c r="CE1729" s="22"/>
      <c r="CF1729" s="22"/>
      <c r="CG1729" s="22"/>
      <c r="CH1729" s="22"/>
      <c r="CI1729" s="22"/>
      <c r="CJ1729" s="22"/>
    </row>
    <row r="1730" spans="1:88">
      <c r="A1730" s="1">
        <v>1881</v>
      </c>
      <c r="B1730" s="34" t="s">
        <v>2495</v>
      </c>
      <c r="C1730" s="34">
        <v>335</v>
      </c>
      <c r="D1730" s="75">
        <v>3291</v>
      </c>
      <c r="E1730" s="8">
        <v>103</v>
      </c>
      <c r="F1730" s="9" t="s">
        <v>2515</v>
      </c>
      <c r="G1730" s="20" t="s">
        <v>2516</v>
      </c>
      <c r="H1730" s="20" t="s">
        <v>2517</v>
      </c>
      <c r="I1730" s="21">
        <v>20.573</v>
      </c>
      <c r="J1730" s="34">
        <v>2</v>
      </c>
      <c r="K1730" s="34" t="s">
        <v>12</v>
      </c>
      <c r="L1730" s="18">
        <v>42093</v>
      </c>
      <c r="M1730" s="247" t="s">
        <v>191</v>
      </c>
      <c r="N1730" s="38">
        <v>12.25</v>
      </c>
      <c r="O1730" s="38">
        <v>5.0999999999999996</v>
      </c>
      <c r="P1730" s="38">
        <v>2.13</v>
      </c>
      <c r="Q1730" s="38">
        <v>1.0900000000000001</v>
      </c>
      <c r="R1730" s="38">
        <v>2.66073</v>
      </c>
      <c r="S1730" s="38">
        <f t="shared" si="204"/>
        <v>2.5</v>
      </c>
      <c r="T1730" s="38">
        <v>19.850000000000001</v>
      </c>
      <c r="U1730" s="38">
        <v>0.56000000000000005</v>
      </c>
      <c r="V1730" s="38">
        <v>0.16</v>
      </c>
      <c r="W1730" s="38">
        <v>0</v>
      </c>
      <c r="X1730" s="38">
        <v>3.7154199999999999</v>
      </c>
      <c r="Y1730" s="38">
        <f t="shared" si="205"/>
        <v>3.5</v>
      </c>
      <c r="Z1730" s="38">
        <v>0</v>
      </c>
      <c r="AA1730" s="38">
        <v>0</v>
      </c>
      <c r="AB1730" s="38">
        <v>20.57</v>
      </c>
      <c r="AC1730" s="38">
        <v>1.33782</v>
      </c>
      <c r="AD1730" s="39">
        <v>12.366</v>
      </c>
      <c r="AE1730" s="38">
        <v>0</v>
      </c>
      <c r="AF1730" s="38">
        <f t="shared" si="216"/>
        <v>1.7173688121046308E-2</v>
      </c>
      <c r="AG1730" s="38">
        <f t="shared" si="206"/>
        <v>0</v>
      </c>
      <c r="AH1730" s="38">
        <v>18.989999999999998</v>
      </c>
      <c r="AI1730" s="38">
        <f t="shared" si="217"/>
        <v>2.6372985396948843E-2</v>
      </c>
      <c r="AJ1730" s="38">
        <v>0</v>
      </c>
      <c r="AK1730" s="38">
        <f>AJ1730/(3.5*I1730*1000)*100</f>
        <v>0</v>
      </c>
      <c r="AL1730" s="38">
        <v>0</v>
      </c>
      <c r="AM1730" s="38">
        <f t="shared" si="218"/>
        <v>0</v>
      </c>
      <c r="AN1730" s="73"/>
      <c r="AO1730" s="73"/>
      <c r="AP1730" s="73"/>
      <c r="AQ1730" s="41">
        <f>SUM(N1730:Q1730)</f>
        <v>20.57</v>
      </c>
      <c r="AR1730" s="41">
        <f>SUM(T1730:W1730)</f>
        <v>20.57</v>
      </c>
      <c r="AS1730" s="12">
        <f>SUM(Z1730:AB1730)</f>
        <v>20.57</v>
      </c>
      <c r="AU1730" s="1">
        <f>I1730/AQ1730</f>
        <v>1.0001458434613515</v>
      </c>
      <c r="AV1730" s="1">
        <f>I1730/AR1730</f>
        <v>1.0001458434613515</v>
      </c>
      <c r="AW1730" s="1">
        <f>I1730/AS1730</f>
        <v>1.0001458434613515</v>
      </c>
    </row>
    <row r="1731" spans="1:88">
      <c r="A1731" s="1">
        <v>2196</v>
      </c>
      <c r="B1731" s="34" t="s">
        <v>2827</v>
      </c>
      <c r="C1731" s="34">
        <v>314</v>
      </c>
      <c r="D1731" s="75">
        <v>4122</v>
      </c>
      <c r="E1731" s="8">
        <v>101</v>
      </c>
      <c r="F1731" s="9" t="s">
        <v>2840</v>
      </c>
      <c r="G1731" s="20">
        <v>0</v>
      </c>
      <c r="H1731" s="20">
        <v>32323</v>
      </c>
      <c r="I1731" s="21">
        <v>32.323</v>
      </c>
      <c r="J1731" s="8">
        <v>2</v>
      </c>
      <c r="K1731" s="8" t="s">
        <v>12</v>
      </c>
      <c r="L1731" s="18">
        <v>42145</v>
      </c>
      <c r="M1731" s="37" t="s">
        <v>191</v>
      </c>
      <c r="N1731" s="38">
        <v>20.2</v>
      </c>
      <c r="O1731" s="38">
        <v>7.2750000000000004</v>
      </c>
      <c r="P1731" s="38">
        <v>3.15</v>
      </c>
      <c r="Q1731" s="38">
        <v>1.65</v>
      </c>
      <c r="R1731" s="38">
        <v>2.5486900000000001</v>
      </c>
      <c r="S1731" s="38">
        <f t="shared" ref="S1731:S1794" si="219">ROUND(R1731/5,1)*5</f>
        <v>2.5</v>
      </c>
      <c r="T1731" s="38">
        <v>31.85</v>
      </c>
      <c r="U1731" s="38">
        <v>0.4</v>
      </c>
      <c r="V1731" s="38">
        <v>2.5000000000000001E-2</v>
      </c>
      <c r="W1731" s="38">
        <v>0</v>
      </c>
      <c r="X1731" s="38">
        <v>3.0063499999999999</v>
      </c>
      <c r="Y1731" s="38">
        <f t="shared" ref="Y1731:Y1794" si="220">ROUND(X1731/5,1)*5</f>
        <v>3</v>
      </c>
      <c r="Z1731" s="38">
        <v>0</v>
      </c>
      <c r="AA1731" s="38">
        <v>0</v>
      </c>
      <c r="AB1731" s="38">
        <v>32.274999999999999</v>
      </c>
      <c r="AC1731" s="38">
        <v>1.4236200000000001</v>
      </c>
      <c r="AD1731" s="39">
        <v>6.17</v>
      </c>
      <c r="AE1731" s="38">
        <v>26.38</v>
      </c>
      <c r="AF1731" s="38">
        <f t="shared" si="216"/>
        <v>1.7112980142401917E-2</v>
      </c>
      <c r="AG1731" s="38">
        <f t="shared" ref="AG1731:AG1794" si="221">ROUND(AF1731,1)</f>
        <v>0</v>
      </c>
      <c r="AH1731" s="38">
        <v>1.91</v>
      </c>
      <c r="AI1731" s="38">
        <f t="shared" si="217"/>
        <v>1.6883157061977096E-3</v>
      </c>
      <c r="AJ1731" s="38">
        <v>0</v>
      </c>
      <c r="AK1731" s="38">
        <v>0</v>
      </c>
      <c r="AL1731" s="38">
        <v>0</v>
      </c>
      <c r="AM1731" s="38">
        <f t="shared" si="218"/>
        <v>0</v>
      </c>
      <c r="AN1731" s="72"/>
      <c r="AO1731" s="41"/>
      <c r="AP1731" s="41"/>
      <c r="AQ1731" s="73"/>
      <c r="AR1731" s="73"/>
      <c r="AS1731" s="73"/>
      <c r="AT1731" s="73"/>
    </row>
    <row r="1732" spans="1:88">
      <c r="A1732" s="1">
        <v>549</v>
      </c>
      <c r="B1732" s="34" t="s">
        <v>948</v>
      </c>
      <c r="C1732" s="34">
        <v>551</v>
      </c>
      <c r="D1732" s="34">
        <v>234</v>
      </c>
      <c r="E1732" s="34">
        <v>100</v>
      </c>
      <c r="F1732" s="9" t="s">
        <v>950</v>
      </c>
      <c r="G1732" s="20">
        <v>0</v>
      </c>
      <c r="H1732" s="20">
        <v>18367</v>
      </c>
      <c r="I1732" s="35">
        <v>18.367000000000001</v>
      </c>
      <c r="J1732" s="71">
        <v>4</v>
      </c>
      <c r="K1732" s="34" t="s">
        <v>237</v>
      </c>
      <c r="L1732" s="10">
        <v>42192</v>
      </c>
      <c r="M1732" s="37" t="s">
        <v>191</v>
      </c>
      <c r="N1732" s="38">
        <v>13.99</v>
      </c>
      <c r="O1732" s="38">
        <v>2.2999999999999998</v>
      </c>
      <c r="P1732" s="38">
        <v>1.18</v>
      </c>
      <c r="Q1732" s="38">
        <v>0.9</v>
      </c>
      <c r="R1732" s="38">
        <v>2.1603300000000001</v>
      </c>
      <c r="S1732" s="38">
        <f t="shared" si="219"/>
        <v>2</v>
      </c>
      <c r="T1732" s="38">
        <v>17.170000000000002</v>
      </c>
      <c r="U1732" s="38">
        <v>1</v>
      </c>
      <c r="V1732" s="38">
        <v>0.18</v>
      </c>
      <c r="W1732" s="38">
        <v>0.03</v>
      </c>
      <c r="X1732" s="38">
        <v>5.9043900000000002</v>
      </c>
      <c r="Y1732" s="38">
        <f t="shared" si="220"/>
        <v>6</v>
      </c>
      <c r="Z1732" s="38">
        <v>0</v>
      </c>
      <c r="AA1732" s="38">
        <v>0</v>
      </c>
      <c r="AB1732" s="38">
        <f>T1732+U1732+V1732+W1732</f>
        <v>18.380000000000003</v>
      </c>
      <c r="AC1732" s="38">
        <v>1.2371700000000001</v>
      </c>
      <c r="AD1732" s="39">
        <v>11</v>
      </c>
      <c r="AE1732" s="38">
        <v>0</v>
      </c>
      <c r="AF1732" s="38">
        <f t="shared" si="216"/>
        <v>1.7111434327092844E-2</v>
      </c>
      <c r="AG1732" s="38">
        <f t="shared" si="221"/>
        <v>0</v>
      </c>
      <c r="AH1732" s="38">
        <v>0</v>
      </c>
      <c r="AI1732" s="38">
        <f t="shared" si="217"/>
        <v>0</v>
      </c>
      <c r="AJ1732" s="38">
        <v>19</v>
      </c>
      <c r="AK1732" s="38">
        <f>AJ1732/(3.5*I1732*1000)*100</f>
        <v>2.955611383770582E-2</v>
      </c>
      <c r="AL1732" s="38">
        <v>0</v>
      </c>
      <c r="AM1732" s="38">
        <f t="shared" si="218"/>
        <v>0</v>
      </c>
      <c r="AN1732" s="25"/>
      <c r="AO1732" s="25">
        <f>AE1732*0.5</f>
        <v>0</v>
      </c>
      <c r="AP1732" s="25">
        <f>(AD1732+AH1732+AJ1732+AL1732+AO1732)*I1732</f>
        <v>551.01</v>
      </c>
      <c r="AQ1732" s="25">
        <f>SUM(N1732:Q1732)</f>
        <v>18.369999999999997</v>
      </c>
      <c r="AR1732" s="25">
        <f>SUM(T1732:W1732)</f>
        <v>18.380000000000003</v>
      </c>
      <c r="AS1732" s="268">
        <v>18.367000000000001</v>
      </c>
      <c r="AT1732" s="41"/>
      <c r="AU1732" s="41">
        <f>SUM(N1732:Q1732)</f>
        <v>18.369999999999997</v>
      </c>
      <c r="AV1732" s="41">
        <f>SUM(T1732:W1732)</f>
        <v>18.380000000000003</v>
      </c>
      <c r="AW1732" s="41">
        <f>SUM(Z1732:AB1732)</f>
        <v>18.380000000000003</v>
      </c>
      <c r="AX1732" s="22"/>
      <c r="AY1732" s="22">
        <f>I1732/AU1732</f>
        <v>0.99983669025585209</v>
      </c>
      <c r="AZ1732" s="22">
        <f>I1732/AV1732</f>
        <v>0.9992927094668117</v>
      </c>
      <c r="BA1732" s="22">
        <f>I1732/AW1732</f>
        <v>0.9992927094668117</v>
      </c>
      <c r="BB1732" s="22"/>
      <c r="BC1732" s="22"/>
      <c r="BD1732" s="22"/>
      <c r="BE1732" s="22"/>
      <c r="BF1732" s="22"/>
      <c r="BG1732" s="22"/>
      <c r="BH1732" s="22"/>
      <c r="BI1732" s="22"/>
      <c r="BJ1732" s="22"/>
      <c r="BK1732" s="22"/>
      <c r="BL1732" s="22"/>
      <c r="BM1732" s="22"/>
      <c r="BN1732" s="22"/>
      <c r="BO1732" s="22"/>
      <c r="BP1732" s="22"/>
      <c r="BQ1732" s="22"/>
      <c r="BR1732" s="22"/>
      <c r="BS1732" s="22"/>
      <c r="BT1732" s="22"/>
      <c r="BU1732" s="22"/>
      <c r="BV1732" s="22"/>
      <c r="BW1732" s="22"/>
      <c r="BX1732" s="22"/>
      <c r="BY1732" s="22"/>
      <c r="BZ1732" s="22"/>
      <c r="CA1732" s="22"/>
      <c r="CB1732" s="22"/>
      <c r="CC1732" s="22"/>
      <c r="CD1732" s="22"/>
      <c r="CE1732" s="22"/>
      <c r="CF1732" s="22"/>
      <c r="CG1732" s="22"/>
      <c r="CH1732" s="22"/>
      <c r="CI1732" s="22"/>
      <c r="CJ1732" s="22"/>
    </row>
    <row r="1733" spans="1:88">
      <c r="A1733" s="1">
        <v>219</v>
      </c>
      <c r="B1733" s="34" t="s">
        <v>413</v>
      </c>
      <c r="C1733" s="34">
        <v>536</v>
      </c>
      <c r="D1733" s="34">
        <v>1168</v>
      </c>
      <c r="E1733" s="34">
        <v>101</v>
      </c>
      <c r="F1733" s="34" t="s">
        <v>425</v>
      </c>
      <c r="G1733" s="20">
        <v>0</v>
      </c>
      <c r="H1733" s="20">
        <v>14000</v>
      </c>
      <c r="I1733" s="35">
        <v>14</v>
      </c>
      <c r="J1733" s="36">
        <v>2</v>
      </c>
      <c r="K1733" s="34" t="s">
        <v>238</v>
      </c>
      <c r="L1733" s="10">
        <v>42220</v>
      </c>
      <c r="M1733" s="37" t="s">
        <v>191</v>
      </c>
      <c r="N1733" s="38">
        <v>10.17</v>
      </c>
      <c r="O1733" s="38">
        <v>2.82</v>
      </c>
      <c r="P1733" s="38">
        <v>0.71</v>
      </c>
      <c r="Q1733" s="38">
        <v>0.3</v>
      </c>
      <c r="R1733" s="38">
        <v>2.2168700000000001</v>
      </c>
      <c r="S1733" s="38">
        <f t="shared" si="219"/>
        <v>2</v>
      </c>
      <c r="T1733" s="38">
        <v>8.99</v>
      </c>
      <c r="U1733" s="38">
        <v>2.4500000000000002</v>
      </c>
      <c r="V1733" s="38">
        <v>0.89</v>
      </c>
      <c r="W1733" s="38">
        <v>1.69</v>
      </c>
      <c r="X1733" s="38">
        <v>12.369</v>
      </c>
      <c r="Y1733" s="38">
        <f t="shared" si="220"/>
        <v>12.5</v>
      </c>
      <c r="Z1733" s="38">
        <v>0</v>
      </c>
      <c r="AA1733" s="38">
        <v>0</v>
      </c>
      <c r="AB1733" s="38">
        <v>14</v>
      </c>
      <c r="AC1733" s="38">
        <v>1.0424899999999999</v>
      </c>
      <c r="AD1733" s="39">
        <v>3</v>
      </c>
      <c r="AE1733" s="38">
        <v>10.76</v>
      </c>
      <c r="AF1733" s="38">
        <f t="shared" si="216"/>
        <v>1.710204081632653E-2</v>
      </c>
      <c r="AG1733" s="38">
        <f t="shared" si="221"/>
        <v>0</v>
      </c>
      <c r="AH1733" s="38">
        <v>0</v>
      </c>
      <c r="AI1733" s="38">
        <f t="shared" si="217"/>
        <v>0</v>
      </c>
      <c r="AJ1733" s="38">
        <v>0</v>
      </c>
      <c r="AK1733" s="38">
        <f>AJ1733/(3.5*I1733*1000)*100</f>
        <v>0</v>
      </c>
      <c r="AL1733" s="38">
        <v>0</v>
      </c>
      <c r="AM1733" s="38">
        <f t="shared" si="218"/>
        <v>0</v>
      </c>
      <c r="AN1733" s="25"/>
      <c r="AO1733" s="25">
        <f>AE1733*0.5</f>
        <v>5.38</v>
      </c>
      <c r="AP1733" s="25">
        <f>(AD1733+AH1733+AJ1733+AL1733+AO1733)*I1733</f>
        <v>117.32</v>
      </c>
      <c r="AQ1733" s="25">
        <f>SUM(N1733:Q1733)</f>
        <v>14</v>
      </c>
      <c r="AR1733" s="25">
        <f>SUM(T1733:W1733)</f>
        <v>14.020000000000001</v>
      </c>
      <c r="AS1733" s="22"/>
      <c r="AT1733" s="41"/>
      <c r="AU1733" s="41">
        <f>SUM(N1733:Q1733)</f>
        <v>14</v>
      </c>
      <c r="AV1733" s="41">
        <f>SUM(T1733:W1733)</f>
        <v>14.020000000000001</v>
      </c>
      <c r="AW1733" s="41">
        <f>SUM(Z1733:AB1733)</f>
        <v>14</v>
      </c>
      <c r="AX1733" s="22"/>
      <c r="AY1733" s="22">
        <f>I1733/AU1733</f>
        <v>1</v>
      </c>
      <c r="AZ1733" s="22">
        <f>I1733/AV1733</f>
        <v>0.99857346647646206</v>
      </c>
      <c r="BA1733" s="22">
        <f>I1733/AW1733</f>
        <v>1</v>
      </c>
      <c r="BB1733" s="22"/>
      <c r="BC1733" s="22"/>
      <c r="BD1733" s="22"/>
      <c r="BE1733" s="22"/>
      <c r="BF1733" s="22"/>
      <c r="BG1733" s="22"/>
      <c r="BH1733" s="22"/>
      <c r="BI1733" s="22"/>
      <c r="BJ1733" s="22"/>
      <c r="BK1733" s="22"/>
      <c r="BL1733" s="22"/>
      <c r="BM1733" s="22"/>
      <c r="BN1733" s="22"/>
      <c r="BO1733" s="22"/>
      <c r="BP1733" s="22"/>
      <c r="BQ1733" s="22"/>
      <c r="BR1733" s="22"/>
      <c r="BS1733" s="22"/>
      <c r="BT1733" s="22"/>
      <c r="BU1733" s="22"/>
      <c r="BV1733" s="22"/>
      <c r="BW1733" s="22"/>
      <c r="BX1733" s="22"/>
      <c r="BY1733" s="22"/>
      <c r="BZ1733" s="22"/>
      <c r="CA1733" s="22"/>
      <c r="CB1733" s="22"/>
      <c r="CC1733" s="22"/>
      <c r="CD1733" s="22"/>
      <c r="CE1733" s="22"/>
      <c r="CF1733" s="22"/>
      <c r="CG1733" s="22"/>
      <c r="CH1733" s="22"/>
      <c r="CI1733" s="22"/>
      <c r="CJ1733" s="22"/>
    </row>
    <row r="1734" spans="1:88">
      <c r="A1734" s="1">
        <v>1981</v>
      </c>
      <c r="B1734" s="34" t="s">
        <v>2615</v>
      </c>
      <c r="C1734" s="34">
        <v>322</v>
      </c>
      <c r="D1734" s="75">
        <v>4045</v>
      </c>
      <c r="E1734" s="8">
        <v>100</v>
      </c>
      <c r="F1734" s="34" t="s">
        <v>2621</v>
      </c>
      <c r="G1734" s="58">
        <v>5294</v>
      </c>
      <c r="H1734" s="58">
        <v>0</v>
      </c>
      <c r="I1734" s="21">
        <v>5.2939999999999996</v>
      </c>
      <c r="J1734" s="8">
        <v>4</v>
      </c>
      <c r="K1734" s="8" t="s">
        <v>672</v>
      </c>
      <c r="L1734" s="18">
        <v>42131</v>
      </c>
      <c r="M1734" s="37" t="s">
        <v>191</v>
      </c>
      <c r="N1734" s="38">
        <v>2.8</v>
      </c>
      <c r="O1734" s="38">
        <v>1.2</v>
      </c>
      <c r="P1734" s="38">
        <v>0.77500000000000002</v>
      </c>
      <c r="Q1734" s="38">
        <v>0.5</v>
      </c>
      <c r="R1734" s="38">
        <v>2.9853999999999998</v>
      </c>
      <c r="S1734" s="38">
        <f t="shared" si="219"/>
        <v>3</v>
      </c>
      <c r="T1734" s="38">
        <v>5.0250000000000004</v>
      </c>
      <c r="U1734" s="38">
        <v>0.22500000000000001</v>
      </c>
      <c r="V1734" s="38">
        <v>2.5000000000000001E-2</v>
      </c>
      <c r="W1734" s="38">
        <v>0</v>
      </c>
      <c r="X1734" s="38">
        <v>3.8998200000000001</v>
      </c>
      <c r="Y1734" s="38">
        <f t="shared" si="220"/>
        <v>4</v>
      </c>
      <c r="Z1734" s="38">
        <v>0</v>
      </c>
      <c r="AA1734" s="38">
        <v>0</v>
      </c>
      <c r="AB1734" s="38">
        <v>5.2750000000000004</v>
      </c>
      <c r="AC1734" s="38">
        <v>1.19428</v>
      </c>
      <c r="AD1734" s="39">
        <v>0</v>
      </c>
      <c r="AE1734" s="38">
        <v>6.3</v>
      </c>
      <c r="AF1734" s="38">
        <v>1.7000377786173023E-2</v>
      </c>
      <c r="AG1734" s="38">
        <f t="shared" si="221"/>
        <v>0</v>
      </c>
      <c r="AH1734" s="38">
        <v>0</v>
      </c>
      <c r="AI1734" s="38">
        <v>0</v>
      </c>
      <c r="AJ1734" s="38">
        <v>0</v>
      </c>
      <c r="AK1734" s="38">
        <v>0</v>
      </c>
      <c r="AL1734" s="38">
        <v>0</v>
      </c>
      <c r="AM1734" s="38">
        <f t="shared" si="218"/>
        <v>0</v>
      </c>
      <c r="AN1734" s="72"/>
      <c r="AO1734" s="41"/>
      <c r="AP1734" s="41"/>
      <c r="AQ1734" s="73"/>
      <c r="AR1734" s="73"/>
      <c r="AS1734" s="73"/>
      <c r="AT1734" s="73"/>
    </row>
    <row r="1735" spans="1:88">
      <c r="A1735" s="1">
        <v>21</v>
      </c>
      <c r="B1735" s="4" t="s">
        <v>8</v>
      </c>
      <c r="C1735" s="14">
        <v>521</v>
      </c>
      <c r="D1735" s="19">
        <v>1263</v>
      </c>
      <c r="E1735" s="16">
        <v>200</v>
      </c>
      <c r="F1735" s="14" t="s">
        <v>19</v>
      </c>
      <c r="G1735" s="23">
        <v>35000</v>
      </c>
      <c r="H1735" s="20">
        <v>66725</v>
      </c>
      <c r="I1735" s="21">
        <v>31.725000000000001</v>
      </c>
      <c r="J1735" s="8">
        <v>2</v>
      </c>
      <c r="K1735" s="9" t="s">
        <v>12</v>
      </c>
      <c r="L1735" s="18">
        <v>42229</v>
      </c>
      <c r="M1735" s="37" t="s">
        <v>191</v>
      </c>
      <c r="N1735" s="11">
        <v>5.9</v>
      </c>
      <c r="O1735" s="11">
        <v>12.5</v>
      </c>
      <c r="P1735" s="11">
        <v>7.9249999999999998</v>
      </c>
      <c r="Q1735" s="11">
        <v>5.4</v>
      </c>
      <c r="R1735" s="11">
        <v>3.8351899999999999</v>
      </c>
      <c r="S1735" s="38">
        <f t="shared" si="219"/>
        <v>4</v>
      </c>
      <c r="T1735" s="11">
        <v>13.475</v>
      </c>
      <c r="U1735" s="11">
        <v>0.85</v>
      </c>
      <c r="V1735" s="11">
        <v>1.925</v>
      </c>
      <c r="W1735" s="11">
        <v>15.475</v>
      </c>
      <c r="X1735" s="11">
        <v>21.949300000000001</v>
      </c>
      <c r="Y1735" s="38">
        <f t="shared" si="220"/>
        <v>22</v>
      </c>
      <c r="Z1735" s="11">
        <v>0</v>
      </c>
      <c r="AA1735" s="11">
        <v>0</v>
      </c>
      <c r="AB1735" s="11">
        <v>31.725000000000001</v>
      </c>
      <c r="AC1735" s="11">
        <v>2.0469400000000002</v>
      </c>
      <c r="AD1735" s="164">
        <v>18.72</v>
      </c>
      <c r="AE1735" s="11">
        <v>0</v>
      </c>
      <c r="AF1735" s="11">
        <f>(AD1735+AE1735*0.5)/(3.5*I1735*1000)*100</f>
        <v>1.6859169199594726E-2</v>
      </c>
      <c r="AG1735" s="38">
        <f t="shared" si="221"/>
        <v>0</v>
      </c>
      <c r="AH1735" s="11">
        <v>40.89</v>
      </c>
      <c r="AI1735" s="11">
        <f>AH1735/(3.5*I1735*1000)*100</f>
        <v>3.6825396825396817E-2</v>
      </c>
      <c r="AJ1735" s="11">
        <v>0</v>
      </c>
      <c r="AK1735" s="11">
        <f>AJ1735/(3.5*I1735*1000)*100</f>
        <v>0</v>
      </c>
      <c r="AL1735" s="11">
        <v>0.59</v>
      </c>
      <c r="AM1735" s="11">
        <f t="shared" si="218"/>
        <v>5.3135202071372275E-4</v>
      </c>
      <c r="AN1735" s="22"/>
      <c r="AO1735" s="22"/>
      <c r="AP1735" s="22"/>
      <c r="AQ1735" s="12">
        <f>N1735+O1735+P1735+Q1735</f>
        <v>31.725000000000001</v>
      </c>
      <c r="AR1735" s="12">
        <f>T1735+U1735+V1735+W1735</f>
        <v>31.725000000000001</v>
      </c>
      <c r="AS1735" s="12">
        <f>Z1735+AA1735+AB1735</f>
        <v>31.725000000000001</v>
      </c>
      <c r="AT1735" s="22"/>
      <c r="AU1735" s="22">
        <v>1</v>
      </c>
      <c r="AV1735" s="22">
        <v>1</v>
      </c>
      <c r="AW1735" s="22">
        <v>1</v>
      </c>
      <c r="AX1735" s="22"/>
      <c r="AY1735" s="22"/>
      <c r="AZ1735" s="22"/>
      <c r="BA1735" s="22"/>
      <c r="BB1735" s="22"/>
      <c r="BC1735" s="22"/>
      <c r="BD1735" s="22"/>
      <c r="BE1735" s="22"/>
      <c r="BF1735" s="22"/>
      <c r="BG1735" s="22"/>
      <c r="BH1735" s="22"/>
      <c r="BI1735" s="22"/>
      <c r="BJ1735" s="22"/>
      <c r="BK1735" s="22"/>
      <c r="BL1735" s="22"/>
      <c r="BM1735" s="22"/>
      <c r="BN1735" s="22"/>
      <c r="BO1735" s="22"/>
      <c r="BP1735" s="22"/>
      <c r="BQ1735" s="22"/>
      <c r="BR1735" s="22"/>
      <c r="BS1735" s="22"/>
      <c r="BT1735" s="22"/>
      <c r="BU1735" s="22"/>
      <c r="BV1735" s="22"/>
      <c r="BW1735" s="22"/>
      <c r="BX1735" s="22"/>
      <c r="BY1735" s="22"/>
      <c r="BZ1735" s="22"/>
      <c r="CA1735" s="22"/>
      <c r="CB1735" s="22"/>
      <c r="CC1735" s="22"/>
      <c r="CD1735" s="22"/>
      <c r="CE1735" s="22"/>
      <c r="CF1735" s="22"/>
      <c r="CG1735" s="22"/>
      <c r="CH1735" s="22"/>
      <c r="CI1735" s="22"/>
      <c r="CJ1735" s="22"/>
    </row>
    <row r="1736" spans="1:88">
      <c r="A1736" s="1">
        <v>1710</v>
      </c>
      <c r="B1736" s="34" t="s">
        <v>2308</v>
      </c>
      <c r="C1736" s="34">
        <v>422</v>
      </c>
      <c r="D1736" s="8">
        <v>315</v>
      </c>
      <c r="E1736" s="34">
        <v>200</v>
      </c>
      <c r="F1736" s="34" t="s">
        <v>2309</v>
      </c>
      <c r="G1736" s="58" t="s">
        <v>2310</v>
      </c>
      <c r="H1736" s="58">
        <v>44551</v>
      </c>
      <c r="I1736" s="21">
        <v>20.437999999999999</v>
      </c>
      <c r="J1736" s="9">
        <v>4</v>
      </c>
      <c r="K1736" s="34" t="s">
        <v>237</v>
      </c>
      <c r="L1736" s="10">
        <v>42229</v>
      </c>
      <c r="M1736" s="37" t="s">
        <v>191</v>
      </c>
      <c r="N1736" s="38">
        <v>1.23</v>
      </c>
      <c r="O1736" s="38">
        <v>4.1399999999999997</v>
      </c>
      <c r="P1736" s="38">
        <v>11.28</v>
      </c>
      <c r="Q1736" s="38">
        <v>3.79</v>
      </c>
      <c r="R1736" s="38">
        <v>3.2909299999999999</v>
      </c>
      <c r="S1736" s="38">
        <f t="shared" si="219"/>
        <v>3.5</v>
      </c>
      <c r="T1736" s="38">
        <v>18.71</v>
      </c>
      <c r="U1736" s="38">
        <v>1.41</v>
      </c>
      <c r="V1736" s="38">
        <v>0.2</v>
      </c>
      <c r="W1736" s="38">
        <v>0.13</v>
      </c>
      <c r="X1736" s="38">
        <v>7.9422600000000001</v>
      </c>
      <c r="Y1736" s="38">
        <f t="shared" si="220"/>
        <v>8</v>
      </c>
      <c r="Z1736" s="38">
        <v>0</v>
      </c>
      <c r="AA1736" s="38">
        <v>0</v>
      </c>
      <c r="AB1736" s="21">
        <v>20.437999999999999</v>
      </c>
      <c r="AC1736" s="38">
        <v>1.1484399999999999</v>
      </c>
      <c r="AD1736" s="39">
        <v>10.02</v>
      </c>
      <c r="AE1736" s="38">
        <v>3.7210000000000001</v>
      </c>
      <c r="AF1736" s="38">
        <f>(AD1736+AE1736*0.5)/(3.5*I1736*1000)*100</f>
        <v>1.6608418492164455E-2</v>
      </c>
      <c r="AG1736" s="38">
        <f t="shared" si="221"/>
        <v>0</v>
      </c>
      <c r="AH1736" s="38">
        <v>0</v>
      </c>
      <c r="AI1736" s="38">
        <f>AH1736/(3.5*I1736*1000)*100</f>
        <v>0</v>
      </c>
      <c r="AJ1736" s="38">
        <v>78.94</v>
      </c>
      <c r="AK1736" s="38">
        <f>AJ1736/(3.5*I1736*1000)*100</f>
        <v>0.11035466148490906</v>
      </c>
      <c r="AL1736" s="38">
        <v>0</v>
      </c>
      <c r="AM1736" s="55">
        <v>0</v>
      </c>
      <c r="AN1736" s="22"/>
      <c r="AO1736" s="22">
        <f>AE1736*0.5</f>
        <v>1.8605</v>
      </c>
      <c r="AP1736" s="41">
        <f>(AD1736+AH1736+AJ1736+AL1736+AO1736)*I1736</f>
        <v>1856.1893789999999</v>
      </c>
      <c r="AQ1736" s="25">
        <f>SUM(N1736:Q1736)</f>
        <v>20.439999999999998</v>
      </c>
      <c r="AR1736" s="25">
        <f>SUM(T1736:W1736)</f>
        <v>20.45</v>
      </c>
      <c r="AS1736" s="271">
        <v>20.437999999999999</v>
      </c>
      <c r="AT1736" s="22"/>
      <c r="AU1736" s="25">
        <f>AS1736-AQ1736</f>
        <v>-1.9999999999988916E-3</v>
      </c>
      <c r="AV1736" s="41">
        <f>SUM(N1736:Q1736)</f>
        <v>20.439999999999998</v>
      </c>
      <c r="AW1736" s="41">
        <f>SUM(T1736:W1736)</f>
        <v>20.45</v>
      </c>
      <c r="AX1736" s="41">
        <f>SUM(Z1736:AB1736)</f>
        <v>20.437999999999999</v>
      </c>
      <c r="AY1736" s="22"/>
      <c r="AZ1736" s="22">
        <f>I1736/AV1736</f>
        <v>0.99990215264187876</v>
      </c>
      <c r="BA1736" s="22">
        <f>I1736/AW1736</f>
        <v>0.99941320293398528</v>
      </c>
      <c r="BB1736" s="22">
        <f>I1736/AX1736</f>
        <v>1</v>
      </c>
      <c r="BC1736" s="22"/>
      <c r="BD1736" s="22"/>
      <c r="BE1736" s="22"/>
      <c r="BF1736" s="22"/>
      <c r="BG1736" s="22"/>
      <c r="BH1736" s="22"/>
      <c r="BI1736" s="22"/>
      <c r="BJ1736" s="22"/>
      <c r="BK1736" s="22"/>
      <c r="BL1736" s="22"/>
      <c r="BM1736" s="22"/>
      <c r="BN1736" s="22"/>
      <c r="BO1736" s="22"/>
      <c r="BP1736" s="22"/>
      <c r="BQ1736" s="22"/>
      <c r="BR1736" s="22"/>
      <c r="BS1736" s="22"/>
      <c r="BT1736" s="22"/>
      <c r="BU1736" s="22"/>
      <c r="BV1736" s="22"/>
      <c r="BW1736" s="22"/>
      <c r="BX1736" s="22"/>
      <c r="BY1736" s="22"/>
      <c r="BZ1736" s="22"/>
      <c r="CA1736" s="22"/>
      <c r="CB1736" s="22"/>
      <c r="CC1736" s="22"/>
      <c r="CD1736" s="22"/>
      <c r="CE1736" s="22"/>
      <c r="CF1736" s="22"/>
      <c r="CG1736" s="22"/>
      <c r="CH1736" s="22"/>
      <c r="CI1736" s="22"/>
      <c r="CJ1736" s="22"/>
    </row>
    <row r="1737" spans="1:88">
      <c r="A1737" s="1">
        <v>1821</v>
      </c>
      <c r="B1737" s="34" t="s">
        <v>2382</v>
      </c>
      <c r="C1737" s="34">
        <v>428</v>
      </c>
      <c r="D1737" s="8">
        <v>3702</v>
      </c>
      <c r="E1737" s="34">
        <v>500</v>
      </c>
      <c r="F1737" s="34" t="s">
        <v>2406</v>
      </c>
      <c r="G1737" s="58" t="s">
        <v>2410</v>
      </c>
      <c r="H1737" s="58" t="s">
        <v>2409</v>
      </c>
      <c r="I1737" s="35">
        <v>1.1499999999999999</v>
      </c>
      <c r="J1737" s="9">
        <v>2</v>
      </c>
      <c r="K1737" s="34" t="s">
        <v>12</v>
      </c>
      <c r="L1737" s="10">
        <v>42232</v>
      </c>
      <c r="M1737" s="37" t="s">
        <v>191</v>
      </c>
      <c r="N1737" s="38">
        <v>0.65</v>
      </c>
      <c r="O1737" s="38">
        <v>0.3</v>
      </c>
      <c r="P1737" s="38">
        <v>0.17499999999999999</v>
      </c>
      <c r="Q1737" s="38">
        <v>0</v>
      </c>
      <c r="R1737" s="38">
        <v>2.3940000000000001</v>
      </c>
      <c r="S1737" s="38">
        <f t="shared" si="219"/>
        <v>2.5</v>
      </c>
      <c r="T1737" s="38">
        <v>1.075</v>
      </c>
      <c r="U1737" s="38">
        <v>0.05</v>
      </c>
      <c r="V1737" s="38">
        <v>0</v>
      </c>
      <c r="W1737" s="38">
        <v>0</v>
      </c>
      <c r="X1737" s="38">
        <v>5.1970000000000001</v>
      </c>
      <c r="Y1737" s="38">
        <f t="shared" si="220"/>
        <v>5</v>
      </c>
      <c r="Z1737" s="38">
        <v>0</v>
      </c>
      <c r="AA1737" s="38">
        <v>0</v>
      </c>
      <c r="AB1737" s="38">
        <f>SUM(N1737:Q1737)</f>
        <v>1.125</v>
      </c>
      <c r="AC1737" s="38">
        <v>1.163</v>
      </c>
      <c r="AD1737" s="39">
        <v>0</v>
      </c>
      <c r="AE1737" s="38">
        <v>1.32</v>
      </c>
      <c r="AF1737" s="38">
        <f>(AD1737+AE1737*0.5)/(3.5*I1737*1000)*100</f>
        <v>1.6397515527950313E-2</v>
      </c>
      <c r="AG1737" s="38">
        <f t="shared" si="221"/>
        <v>0</v>
      </c>
      <c r="AH1737" s="38">
        <v>0</v>
      </c>
      <c r="AI1737" s="38">
        <f>AH1737/(3.5*I1737*1000)*100</f>
        <v>0</v>
      </c>
      <c r="AJ1737" s="38">
        <v>0</v>
      </c>
      <c r="AK1737" s="38">
        <f>AJ1737/(3.5*I1737*1000)*100</f>
        <v>0</v>
      </c>
      <c r="AL1737" s="38">
        <v>0</v>
      </c>
      <c r="AM1737" s="38">
        <f>AL1737/(3.5*I1737*1000)*100</f>
        <v>0</v>
      </c>
      <c r="AN1737" s="25"/>
      <c r="AO1737" s="25">
        <f>AE1737*0.5</f>
        <v>0.66</v>
      </c>
      <c r="AP1737" s="25">
        <f>(AD1737+AH1737+AJ1737+AL1737+AO1737)*I1737</f>
        <v>0.75900000000000001</v>
      </c>
      <c r="AQ1737" s="25"/>
      <c r="AR1737" s="25"/>
      <c r="AS1737" s="22"/>
      <c r="AT1737" s="41"/>
      <c r="AU1737" s="41"/>
      <c r="AV1737" s="41"/>
      <c r="AW1737" s="41"/>
      <c r="AX1737" s="22"/>
      <c r="AY1737" s="22"/>
      <c r="AZ1737" s="22"/>
      <c r="BA1737" s="22"/>
      <c r="BB1737" s="22"/>
      <c r="BC1737" s="22"/>
      <c r="BD1737" s="22"/>
      <c r="BE1737" s="22"/>
      <c r="BF1737" s="22"/>
      <c r="BG1737" s="22"/>
      <c r="BH1737" s="22"/>
      <c r="BI1737" s="22"/>
      <c r="BJ1737" s="22"/>
      <c r="BK1737" s="22"/>
      <c r="BL1737" s="22"/>
      <c r="BM1737" s="22"/>
      <c r="BN1737" s="22"/>
      <c r="BO1737" s="22"/>
      <c r="BP1737" s="22"/>
      <c r="BQ1737" s="22"/>
      <c r="BR1737" s="22"/>
      <c r="BS1737" s="22"/>
      <c r="BT1737" s="22"/>
      <c r="BU1737" s="22"/>
      <c r="BV1737" s="22"/>
      <c r="BW1737" s="22"/>
      <c r="BX1737" s="22"/>
      <c r="BY1737" s="22"/>
      <c r="BZ1737" s="22"/>
      <c r="CA1737" s="22"/>
      <c r="CB1737" s="22"/>
      <c r="CC1737" s="22"/>
      <c r="CD1737" s="22"/>
      <c r="CE1737" s="22"/>
      <c r="CF1737" s="22"/>
      <c r="CG1737" s="22"/>
      <c r="CH1737" s="22"/>
      <c r="CI1737" s="22"/>
      <c r="CJ1737" s="22"/>
    </row>
    <row r="1738" spans="1:88">
      <c r="A1738" s="1">
        <v>1718</v>
      </c>
      <c r="B1738" s="34" t="s">
        <v>2308</v>
      </c>
      <c r="C1738" s="34">
        <v>422</v>
      </c>
      <c r="D1738" s="8">
        <v>3246</v>
      </c>
      <c r="E1738" s="34">
        <v>100</v>
      </c>
      <c r="F1738" s="34" t="s">
        <v>2316</v>
      </c>
      <c r="G1738" s="58">
        <v>0</v>
      </c>
      <c r="H1738" s="58">
        <v>12135</v>
      </c>
      <c r="I1738" s="206">
        <v>12.135</v>
      </c>
      <c r="J1738" s="9">
        <v>2</v>
      </c>
      <c r="K1738" s="34" t="s">
        <v>238</v>
      </c>
      <c r="L1738" s="10">
        <v>42229</v>
      </c>
      <c r="M1738" s="37" t="s">
        <v>191</v>
      </c>
      <c r="N1738" s="38">
        <v>5.19</v>
      </c>
      <c r="O1738" s="38">
        <v>3.6</v>
      </c>
      <c r="P1738" s="38">
        <v>1.99</v>
      </c>
      <c r="Q1738" s="38">
        <v>1.36</v>
      </c>
      <c r="R1738" s="38">
        <v>2.7050700000000001</v>
      </c>
      <c r="S1738" s="38">
        <f t="shared" si="219"/>
        <v>2.5</v>
      </c>
      <c r="T1738" s="38">
        <v>11.69</v>
      </c>
      <c r="U1738" s="38">
        <v>0.43</v>
      </c>
      <c r="V1738" s="38">
        <v>0.03</v>
      </c>
      <c r="W1738" s="38">
        <v>0</v>
      </c>
      <c r="X1738" s="38">
        <v>5.2687099999999996</v>
      </c>
      <c r="Y1738" s="38">
        <f t="shared" si="220"/>
        <v>5.5</v>
      </c>
      <c r="Z1738" s="38">
        <v>0</v>
      </c>
      <c r="AA1738" s="38">
        <v>0</v>
      </c>
      <c r="AB1738" s="206">
        <v>12.135</v>
      </c>
      <c r="AC1738" s="38">
        <v>1.3705400000000001</v>
      </c>
      <c r="AD1738" s="39">
        <v>6.78</v>
      </c>
      <c r="AE1738" s="38">
        <v>0</v>
      </c>
      <c r="AF1738" s="38">
        <v>1.5959999999999998E-2</v>
      </c>
      <c r="AG1738" s="38">
        <f t="shared" si="221"/>
        <v>0</v>
      </c>
      <c r="AH1738" s="38">
        <v>0</v>
      </c>
      <c r="AI1738" s="38">
        <v>0</v>
      </c>
      <c r="AJ1738" s="38">
        <v>0</v>
      </c>
      <c r="AK1738" s="38">
        <v>0</v>
      </c>
      <c r="AL1738" s="38">
        <v>0</v>
      </c>
      <c r="AM1738" s="55">
        <v>0</v>
      </c>
      <c r="AN1738" s="22"/>
      <c r="AO1738" s="22">
        <f>AE1738*0.5</f>
        <v>0</v>
      </c>
      <c r="AP1738" s="41">
        <f>(AD1738+AH1738+AJ1738+AL1738+AO1738)*I1738</f>
        <v>82.275300000000001</v>
      </c>
      <c r="AQ1738" s="25">
        <f>SUM(N1738:Q1738)</f>
        <v>12.14</v>
      </c>
      <c r="AR1738" s="25">
        <f>SUM(T1738:W1738)</f>
        <v>12.149999999999999</v>
      </c>
      <c r="AS1738" s="268">
        <v>12.135</v>
      </c>
      <c r="AT1738" s="22"/>
      <c r="AU1738" s="25">
        <f>AS1738-AQ1738</f>
        <v>-5.0000000000007816E-3</v>
      </c>
      <c r="AV1738" s="41">
        <f>SUM(N1738:Q1738)</f>
        <v>12.14</v>
      </c>
      <c r="AW1738" s="41">
        <f>SUM(T1738:W1738)</f>
        <v>12.149999999999999</v>
      </c>
      <c r="AX1738" s="41">
        <f>SUM(Z1738:AB1738)</f>
        <v>12.135</v>
      </c>
      <c r="AY1738" s="22"/>
      <c r="AZ1738" s="22">
        <f>I1738/AV1738</f>
        <v>0.99958813838550242</v>
      </c>
      <c r="BA1738" s="22">
        <f>I1738/AW1738</f>
        <v>0.99876543209876556</v>
      </c>
      <c r="BB1738" s="22">
        <f>I1738/AX1738</f>
        <v>1</v>
      </c>
      <c r="BC1738" s="22"/>
      <c r="BD1738" s="22"/>
      <c r="BE1738" s="22"/>
      <c r="BF1738" s="22"/>
      <c r="BG1738" s="22"/>
      <c r="BH1738" s="22"/>
      <c r="BI1738" s="22"/>
      <c r="BJ1738" s="22"/>
      <c r="BK1738" s="22"/>
      <c r="BL1738" s="22"/>
      <c r="BM1738" s="22"/>
      <c r="BN1738" s="22"/>
      <c r="BO1738" s="22"/>
      <c r="BP1738" s="22"/>
      <c r="BQ1738" s="22"/>
      <c r="BR1738" s="22"/>
      <c r="BS1738" s="22"/>
      <c r="BT1738" s="22"/>
      <c r="BU1738" s="22"/>
      <c r="BV1738" s="22"/>
      <c r="BW1738" s="22"/>
      <c r="BX1738" s="22"/>
      <c r="BY1738" s="22"/>
      <c r="BZ1738" s="22"/>
      <c r="CA1738" s="22"/>
      <c r="CB1738" s="22"/>
      <c r="CC1738" s="22"/>
      <c r="CD1738" s="22"/>
      <c r="CE1738" s="22"/>
      <c r="CF1738" s="22"/>
      <c r="CG1738" s="22"/>
      <c r="CH1738" s="22"/>
      <c r="CI1738" s="22"/>
      <c r="CJ1738" s="22"/>
    </row>
    <row r="1739" spans="1:88">
      <c r="A1739" s="1">
        <v>921</v>
      </c>
      <c r="B1739" s="34" t="s">
        <v>1309</v>
      </c>
      <c r="C1739" s="34">
        <v>638</v>
      </c>
      <c r="D1739" s="8">
        <v>2083</v>
      </c>
      <c r="E1739" s="34">
        <v>102</v>
      </c>
      <c r="F1739" s="34" t="s">
        <v>1315</v>
      </c>
      <c r="G1739" s="58">
        <v>9782</v>
      </c>
      <c r="H1739" s="58">
        <v>33699</v>
      </c>
      <c r="I1739" s="35">
        <v>23.917000000000002</v>
      </c>
      <c r="J1739" s="9">
        <v>2</v>
      </c>
      <c r="K1739" s="34" t="s">
        <v>238</v>
      </c>
      <c r="L1739" s="10">
        <v>42138</v>
      </c>
      <c r="M1739" s="37" t="s">
        <v>191</v>
      </c>
      <c r="N1739" s="38">
        <v>17.225000000000001</v>
      </c>
      <c r="O1739" s="38">
        <v>5.25</v>
      </c>
      <c r="P1739" s="38">
        <v>0.82499999999999996</v>
      </c>
      <c r="Q1739" s="38">
        <v>0.52500000000000002</v>
      </c>
      <c r="R1739" s="38">
        <v>2.2932399999999999</v>
      </c>
      <c r="S1739" s="38">
        <f t="shared" si="219"/>
        <v>2.5</v>
      </c>
      <c r="T1739" s="38">
        <v>23.574999999999999</v>
      </c>
      <c r="U1739" s="38">
        <v>0.25</v>
      </c>
      <c r="V1739" s="38">
        <v>0</v>
      </c>
      <c r="W1739" s="38">
        <v>0</v>
      </c>
      <c r="X1739" s="38">
        <v>4.1877300000000002</v>
      </c>
      <c r="Y1739" s="38">
        <f t="shared" si="220"/>
        <v>4</v>
      </c>
      <c r="Z1739" s="38">
        <v>0</v>
      </c>
      <c r="AA1739" s="38">
        <v>0</v>
      </c>
      <c r="AB1739" s="38">
        <f>N1739+O1739+P1739+Q1739</f>
        <v>23.824999999999999</v>
      </c>
      <c r="AC1739" s="38">
        <v>1.2423599999999999</v>
      </c>
      <c r="AD1739" s="39">
        <v>13.31</v>
      </c>
      <c r="AE1739" s="38">
        <v>0</v>
      </c>
      <c r="AF1739" s="38">
        <v>1.5900000000000001E-2</v>
      </c>
      <c r="AG1739" s="38">
        <f t="shared" si="221"/>
        <v>0</v>
      </c>
      <c r="AH1739" s="38">
        <v>0</v>
      </c>
      <c r="AI1739" s="38">
        <v>0</v>
      </c>
      <c r="AJ1739" s="38">
        <v>30.71</v>
      </c>
      <c r="AK1739" s="38">
        <v>3.6686000000000003E-2</v>
      </c>
      <c r="AL1739" s="38">
        <v>0</v>
      </c>
      <c r="AM1739" s="38">
        <v>0</v>
      </c>
      <c r="AN1739" s="40"/>
      <c r="AO1739" s="40"/>
      <c r="AP1739" s="40">
        <f>AE1739*0.5</f>
        <v>0</v>
      </c>
      <c r="AQ1739" s="25">
        <f>(AD1739+AH1739+AJ1739+AL1739+AP1739)*I1739</f>
        <v>1052.8263400000001</v>
      </c>
      <c r="AR1739" s="25"/>
      <c r="AS1739" s="25"/>
      <c r="AT1739" s="25">
        <f>SUM(N1739:Q1739)</f>
        <v>23.824999999999999</v>
      </c>
      <c r="AU1739" s="25">
        <f>SUM(T1739:W1739)</f>
        <v>23.824999999999999</v>
      </c>
      <c r="AV1739" s="22"/>
      <c r="AW1739" s="41"/>
      <c r="AX1739" s="41"/>
      <c r="AY1739" s="41"/>
      <c r="AZ1739" s="41"/>
      <c r="BA1739" s="22"/>
      <c r="BB1739" s="22"/>
      <c r="BC1739" s="22"/>
      <c r="BD1739" s="22"/>
      <c r="BE1739" s="22"/>
      <c r="BF1739" s="22"/>
      <c r="BG1739" s="22"/>
      <c r="BH1739" s="22"/>
      <c r="BI1739" s="22"/>
      <c r="BJ1739" s="22"/>
      <c r="BK1739" s="22"/>
      <c r="BL1739" s="22"/>
      <c r="BM1739" s="22"/>
      <c r="BN1739" s="22"/>
      <c r="BO1739" s="22"/>
      <c r="BP1739" s="22"/>
      <c r="BQ1739" s="22"/>
      <c r="BR1739" s="22"/>
      <c r="BS1739" s="22"/>
      <c r="BT1739" s="22"/>
      <c r="BU1739" s="22"/>
      <c r="BV1739" s="22"/>
      <c r="BW1739" s="22"/>
      <c r="BX1739" s="22"/>
      <c r="BY1739" s="22"/>
      <c r="BZ1739" s="22"/>
      <c r="CA1739" s="22"/>
      <c r="CB1739" s="22"/>
      <c r="CC1739" s="22"/>
      <c r="CD1739" s="22"/>
      <c r="CE1739" s="22"/>
      <c r="CF1739" s="22"/>
      <c r="CG1739" s="22"/>
      <c r="CH1739" s="22"/>
      <c r="CI1739" s="22"/>
      <c r="CJ1739" s="22"/>
    </row>
    <row r="1740" spans="1:88">
      <c r="A1740" s="1">
        <v>1945</v>
      </c>
      <c r="B1740" s="34" t="s">
        <v>2586</v>
      </c>
      <c r="C1740" s="34">
        <v>321</v>
      </c>
      <c r="D1740" s="75">
        <v>408</v>
      </c>
      <c r="E1740" s="8">
        <v>101</v>
      </c>
      <c r="F1740" s="34" t="s">
        <v>2590</v>
      </c>
      <c r="G1740" s="58">
        <v>284</v>
      </c>
      <c r="H1740" s="58">
        <v>28721</v>
      </c>
      <c r="I1740" s="21">
        <v>28.437000000000001</v>
      </c>
      <c r="J1740" s="8">
        <v>4</v>
      </c>
      <c r="K1740" s="8" t="s">
        <v>237</v>
      </c>
      <c r="L1740" s="18">
        <v>42123</v>
      </c>
      <c r="M1740" s="37" t="s">
        <v>191</v>
      </c>
      <c r="N1740" s="38">
        <v>23.225000000000001</v>
      </c>
      <c r="O1740" s="38">
        <v>3.8</v>
      </c>
      <c r="P1740" s="38">
        <v>1.05</v>
      </c>
      <c r="Q1740" s="38">
        <v>0.27500000000000002</v>
      </c>
      <c r="R1740" s="38">
        <v>1.99004</v>
      </c>
      <c r="S1740" s="38">
        <f t="shared" si="219"/>
        <v>2</v>
      </c>
      <c r="T1740" s="38">
        <v>28.3</v>
      </c>
      <c r="U1740" s="38">
        <v>0.05</v>
      </c>
      <c r="V1740" s="38">
        <v>0</v>
      </c>
      <c r="W1740" s="38">
        <v>0</v>
      </c>
      <c r="X1740" s="38">
        <v>2.63429</v>
      </c>
      <c r="Y1740" s="38">
        <f t="shared" si="220"/>
        <v>2.5</v>
      </c>
      <c r="Z1740" s="38">
        <v>0</v>
      </c>
      <c r="AA1740" s="38">
        <v>0</v>
      </c>
      <c r="AB1740" s="38">
        <v>28.35</v>
      </c>
      <c r="AC1740" s="38">
        <v>1.0689</v>
      </c>
      <c r="AD1740" s="39">
        <v>15.12</v>
      </c>
      <c r="AE1740" s="38">
        <v>1.1000000000000001</v>
      </c>
      <c r="AF1740" s="38">
        <v>1.5744075877001291E-2</v>
      </c>
      <c r="AG1740" s="38">
        <f t="shared" si="221"/>
        <v>0</v>
      </c>
      <c r="AH1740" s="38">
        <v>0</v>
      </c>
      <c r="AI1740" s="38">
        <f>AH1740/(3.5*I1740*1000)*100</f>
        <v>0</v>
      </c>
      <c r="AJ1740" s="38">
        <v>0</v>
      </c>
      <c r="AK1740" s="38">
        <v>0</v>
      </c>
      <c r="AL1740" s="38">
        <v>0</v>
      </c>
      <c r="AM1740" s="38">
        <f>AL1740/(3.5*I1740*1000)*100</f>
        <v>0</v>
      </c>
      <c r="AN1740" s="73"/>
      <c r="AO1740" s="72"/>
      <c r="AP1740" s="41"/>
      <c r="AQ1740" s="41"/>
      <c r="AR1740" s="73"/>
      <c r="AS1740" s="73"/>
      <c r="AT1740" s="73"/>
      <c r="AU1740" s="73"/>
      <c r="AV1740" s="73"/>
      <c r="AW1740" s="73"/>
      <c r="AX1740" s="73"/>
      <c r="AY1740" s="73"/>
    </row>
    <row r="1741" spans="1:88" s="22" customFormat="1">
      <c r="A1741" s="1">
        <v>639</v>
      </c>
      <c r="B1741" s="78" t="s">
        <v>1040</v>
      </c>
      <c r="C1741" s="78">
        <v>629</v>
      </c>
      <c r="D1741" s="78">
        <v>2352</v>
      </c>
      <c r="E1741" s="78">
        <v>100</v>
      </c>
      <c r="F1741" s="71" t="s">
        <v>1047</v>
      </c>
      <c r="G1741" s="120">
        <v>0</v>
      </c>
      <c r="H1741" s="120">
        <v>19700</v>
      </c>
      <c r="I1741" s="121">
        <v>19.7</v>
      </c>
      <c r="J1741" s="71">
        <v>2</v>
      </c>
      <c r="K1741" s="78" t="s">
        <v>238</v>
      </c>
      <c r="L1741" s="122">
        <v>42180</v>
      </c>
      <c r="M1741" s="123" t="s">
        <v>191</v>
      </c>
      <c r="N1741" s="83">
        <v>7.0250000000000004</v>
      </c>
      <c r="O1741" s="83">
        <v>7.25</v>
      </c>
      <c r="P1741" s="83">
        <v>4.5999999999999996</v>
      </c>
      <c r="Q1741" s="83">
        <v>0.77500000000000002</v>
      </c>
      <c r="R1741" s="83">
        <v>3.0122</v>
      </c>
      <c r="S1741" s="38">
        <f t="shared" si="219"/>
        <v>3</v>
      </c>
      <c r="T1741" s="83">
        <v>19.074999999999999</v>
      </c>
      <c r="U1741" s="83">
        <v>0.55000000000000004</v>
      </c>
      <c r="V1741" s="83">
        <v>2.5000000000000001E-2</v>
      </c>
      <c r="W1741" s="83">
        <v>0</v>
      </c>
      <c r="X1741" s="83">
        <v>3.1013099999999998</v>
      </c>
      <c r="Y1741" s="38">
        <f t="shared" si="220"/>
        <v>3</v>
      </c>
      <c r="Z1741" s="124">
        <v>0</v>
      </c>
      <c r="AA1741" s="124">
        <v>0</v>
      </c>
      <c r="AB1741" s="124">
        <f>T1741+U1741+V1741+W1741</f>
        <v>19.649999999999999</v>
      </c>
      <c r="AC1741" s="83">
        <v>1.1236699999999999</v>
      </c>
      <c r="AD1741" s="125">
        <v>7.0250000000000004</v>
      </c>
      <c r="AE1741" s="83">
        <v>7.25</v>
      </c>
      <c r="AF1741" s="83">
        <v>1.5445975344452502E-2</v>
      </c>
      <c r="AG1741" s="38">
        <f t="shared" si="221"/>
        <v>0</v>
      </c>
      <c r="AH1741" s="83">
        <v>0.77500000000000002</v>
      </c>
      <c r="AI1741" s="83">
        <v>1.1240029006526469E-3</v>
      </c>
      <c r="AJ1741" s="83">
        <v>19.074999999999999</v>
      </c>
      <c r="AK1741" s="83">
        <v>2.766497461928934E-2</v>
      </c>
      <c r="AL1741" s="83">
        <v>2.5000000000000001E-2</v>
      </c>
      <c r="AM1741" s="83">
        <f>AL1741/(3.5*I1741*1000)*100</f>
        <v>3.6258158085569257E-5</v>
      </c>
      <c r="AN1741" s="25"/>
      <c r="AO1741" s="25">
        <f>AE1741*0.5</f>
        <v>3.625</v>
      </c>
      <c r="AP1741" s="25">
        <f>(AD1741+AH1741+AJ1741+AL1741+AO1741)*I1741</f>
        <v>601.34249999999997</v>
      </c>
      <c r="AQ1741" s="25">
        <f>SUM(N1741:Q1741)</f>
        <v>19.649999999999999</v>
      </c>
      <c r="AR1741" s="25">
        <f>SUM(T1741:W1741)</f>
        <v>19.649999999999999</v>
      </c>
      <c r="AT1741" s="41"/>
      <c r="AU1741" s="41"/>
      <c r="AV1741" s="41"/>
      <c r="AW1741" s="41"/>
    </row>
    <row r="1742" spans="1:88" s="22" customFormat="1">
      <c r="A1742" s="1">
        <v>386</v>
      </c>
      <c r="B1742" s="67" t="s">
        <v>626</v>
      </c>
      <c r="C1742" s="34">
        <v>517</v>
      </c>
      <c r="D1742" s="68">
        <v>1109</v>
      </c>
      <c r="E1742" s="69">
        <v>100</v>
      </c>
      <c r="F1742" s="88" t="s">
        <v>641</v>
      </c>
      <c r="G1742" s="6" t="s">
        <v>642</v>
      </c>
      <c r="H1742" s="6" t="s">
        <v>92</v>
      </c>
      <c r="I1742" s="7">
        <v>27.5</v>
      </c>
      <c r="J1742" s="89">
        <v>2</v>
      </c>
      <c r="K1742" s="34" t="s">
        <v>12</v>
      </c>
      <c r="L1742" s="18">
        <v>42261</v>
      </c>
      <c r="M1742" s="123" t="s">
        <v>191</v>
      </c>
      <c r="N1742" s="38">
        <v>14.09</v>
      </c>
      <c r="O1742" s="38">
        <v>8</v>
      </c>
      <c r="P1742" s="38">
        <v>4.04</v>
      </c>
      <c r="Q1742" s="38">
        <v>1.38</v>
      </c>
      <c r="R1742" s="38">
        <v>2.78349</v>
      </c>
      <c r="S1742" s="38">
        <f t="shared" si="219"/>
        <v>3</v>
      </c>
      <c r="T1742" s="38">
        <v>26.47</v>
      </c>
      <c r="U1742" s="38">
        <v>0.93</v>
      </c>
      <c r="V1742" s="38">
        <v>0.1</v>
      </c>
      <c r="W1742" s="38">
        <v>0</v>
      </c>
      <c r="X1742" s="38">
        <v>3.3127800000000001</v>
      </c>
      <c r="Y1742" s="38">
        <f t="shared" si="220"/>
        <v>3.5</v>
      </c>
      <c r="Z1742" s="38">
        <v>0</v>
      </c>
      <c r="AA1742" s="38">
        <v>0</v>
      </c>
      <c r="AB1742" s="38">
        <v>27.5</v>
      </c>
      <c r="AC1742" s="38">
        <v>1.30837</v>
      </c>
      <c r="AD1742" s="39">
        <v>0</v>
      </c>
      <c r="AE1742" s="38">
        <v>29.58</v>
      </c>
      <c r="AF1742" s="38">
        <f>(AD1742+AE1742*0.5)/(3.5*I1742*1000)*100</f>
        <v>1.5366233766233764E-2</v>
      </c>
      <c r="AG1742" s="38">
        <f t="shared" si="221"/>
        <v>0</v>
      </c>
      <c r="AH1742" s="38">
        <v>65.97</v>
      </c>
      <c r="AI1742" s="38">
        <f>AH1742/(3.5*I1742*1000)*100</f>
        <v>6.8540259740259749E-2</v>
      </c>
      <c r="AJ1742" s="38">
        <v>0</v>
      </c>
      <c r="AK1742" s="38">
        <f>AJ1742/(3.5*I1742*1000)*100</f>
        <v>0</v>
      </c>
      <c r="AL1742" s="38">
        <v>0</v>
      </c>
      <c r="AM1742" s="38">
        <f>AL1742/(3.5*I1742*1000)*100</f>
        <v>0</v>
      </c>
      <c r="AQ1742" s="25">
        <f>SUM(N1742:Q1742)</f>
        <v>27.509999999999998</v>
      </c>
      <c r="AR1742" s="25">
        <f>SUM(T1742:W1742)</f>
        <v>27.5</v>
      </c>
      <c r="AS1742" s="25">
        <f>SUM(Z1742:AB1742)</f>
        <v>27.5</v>
      </c>
      <c r="AU1742" s="1">
        <f>I1742/AQ1742</f>
        <v>0.99963649581970204</v>
      </c>
      <c r="AV1742" s="1">
        <f>I1742/AR1742</f>
        <v>1</v>
      </c>
      <c r="AW1742" s="1">
        <f>I1742/AS1742</f>
        <v>1</v>
      </c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</row>
    <row r="1743" spans="1:88" s="22" customFormat="1">
      <c r="A1743" s="1">
        <v>84</v>
      </c>
      <c r="B1743" s="4" t="s">
        <v>61</v>
      </c>
      <c r="C1743" s="14">
        <v>526</v>
      </c>
      <c r="D1743" s="19">
        <v>105</v>
      </c>
      <c r="E1743" s="16">
        <v>200</v>
      </c>
      <c r="F1743" s="14" t="s">
        <v>62</v>
      </c>
      <c r="G1743" s="27" t="s">
        <v>147</v>
      </c>
      <c r="H1743" s="27" t="s">
        <v>148</v>
      </c>
      <c r="I1743" s="28">
        <v>40.179000000000002</v>
      </c>
      <c r="J1743" s="16">
        <v>2</v>
      </c>
      <c r="K1743" s="14" t="s">
        <v>12</v>
      </c>
      <c r="L1743" s="29">
        <v>42245</v>
      </c>
      <c r="M1743" s="246" t="s">
        <v>191</v>
      </c>
      <c r="N1743" s="30">
        <v>6.88</v>
      </c>
      <c r="O1743" s="30">
        <v>12.64</v>
      </c>
      <c r="P1743" s="30">
        <v>11.34</v>
      </c>
      <c r="Q1743" s="30">
        <v>9.32</v>
      </c>
      <c r="R1743" s="30">
        <v>4.0300200000000004</v>
      </c>
      <c r="S1743" s="38">
        <f t="shared" si="219"/>
        <v>4</v>
      </c>
      <c r="T1743" s="30">
        <v>36.44</v>
      </c>
      <c r="U1743" s="30">
        <v>2.84</v>
      </c>
      <c r="V1743" s="30">
        <v>0.52</v>
      </c>
      <c r="W1743" s="30">
        <v>0.37</v>
      </c>
      <c r="X1743" s="30">
        <v>4.8903400000000001</v>
      </c>
      <c r="Y1743" s="38">
        <f t="shared" si="220"/>
        <v>5</v>
      </c>
      <c r="Z1743" s="30">
        <v>0</v>
      </c>
      <c r="AA1743" s="30">
        <v>0</v>
      </c>
      <c r="AB1743" s="30">
        <v>40.18</v>
      </c>
      <c r="AC1743" s="30">
        <v>1.2547299999999999</v>
      </c>
      <c r="AD1743" s="256">
        <v>21.3</v>
      </c>
      <c r="AE1743" s="30">
        <v>0</v>
      </c>
      <c r="AF1743" s="30">
        <f>(AD1743+AE1743*0.5)/(3.5*I1743*1000)*100</f>
        <v>1.5146505103945555E-2</v>
      </c>
      <c r="AG1743" s="38">
        <f t="shared" si="221"/>
        <v>0</v>
      </c>
      <c r="AH1743" s="30">
        <v>22.36</v>
      </c>
      <c r="AI1743" s="30">
        <f>AH1743/(3.5*I1743*1000)*100</f>
        <v>1.5900274841512799E-2</v>
      </c>
      <c r="AJ1743" s="30">
        <v>3.6</v>
      </c>
      <c r="AK1743" s="30">
        <f>AJ1743/(3.5*I1743*1000)*100</f>
        <v>2.5599726936246007E-3</v>
      </c>
      <c r="AL1743" s="30">
        <v>0</v>
      </c>
      <c r="AM1743" s="30">
        <f>AL1743/(3.5*I1743*1000)*100</f>
        <v>0</v>
      </c>
      <c r="AO1743" s="25"/>
      <c r="AP1743" s="25">
        <f>N1743+O1743+P1743+Q1743</f>
        <v>40.18</v>
      </c>
      <c r="AQ1743" s="25">
        <f>T1743+U1743+V1743+W1743</f>
        <v>40.17</v>
      </c>
      <c r="AR1743" s="25">
        <f>Z1743+AA1743+AB1743</f>
        <v>40.18</v>
      </c>
      <c r="AT1743" s="22">
        <f>I1743/AP1743</f>
        <v>0.99997511199601796</v>
      </c>
      <c r="AU1743" s="22">
        <f>I1743/AQ1743</f>
        <v>1.0002240477968634</v>
      </c>
      <c r="AV1743" s="22">
        <f>I1743/AR1743</f>
        <v>0.99997511199601796</v>
      </c>
    </row>
    <row r="1744" spans="1:88" s="22" customFormat="1">
      <c r="A1744" s="1">
        <v>900</v>
      </c>
      <c r="B1744" s="34" t="s">
        <v>1285</v>
      </c>
      <c r="C1744" s="34">
        <v>634</v>
      </c>
      <c r="D1744" s="162">
        <v>2135</v>
      </c>
      <c r="E1744" s="34">
        <v>100</v>
      </c>
      <c r="F1744" s="34" t="s">
        <v>1294</v>
      </c>
      <c r="G1744" s="58">
        <v>37491</v>
      </c>
      <c r="H1744" s="58">
        <v>0</v>
      </c>
      <c r="I1744" s="35">
        <v>37.491</v>
      </c>
      <c r="J1744" s="9">
        <v>2</v>
      </c>
      <c r="K1744" s="34" t="s">
        <v>12</v>
      </c>
      <c r="L1744" s="10">
        <v>42145</v>
      </c>
      <c r="M1744" s="37" t="s">
        <v>191</v>
      </c>
      <c r="N1744" s="38">
        <v>25.8</v>
      </c>
      <c r="O1744" s="38">
        <v>6.7</v>
      </c>
      <c r="P1744" s="38">
        <v>2.4</v>
      </c>
      <c r="Q1744" s="38">
        <v>2.4750000000000001</v>
      </c>
      <c r="R1744" s="38">
        <v>3.835</v>
      </c>
      <c r="S1744" s="38">
        <f t="shared" si="219"/>
        <v>4</v>
      </c>
      <c r="T1744" s="38">
        <v>36.35</v>
      </c>
      <c r="U1744" s="38">
        <v>0.82499999999999996</v>
      </c>
      <c r="V1744" s="38">
        <v>0.17499999999999999</v>
      </c>
      <c r="W1744" s="38">
        <v>2.5000000000000001E-2</v>
      </c>
      <c r="X1744" s="38">
        <v>5.3650000000000002</v>
      </c>
      <c r="Y1744" s="38">
        <f t="shared" si="220"/>
        <v>5.5</v>
      </c>
      <c r="Z1744" s="38">
        <v>0</v>
      </c>
      <c r="AA1744" s="38">
        <v>0</v>
      </c>
      <c r="AB1744" s="38">
        <f>N1744+O1744+P1744+Q1744</f>
        <v>37.375</v>
      </c>
      <c r="AC1744" s="38">
        <v>1.4490000000000001</v>
      </c>
      <c r="AD1744" s="39">
        <v>0</v>
      </c>
      <c r="AE1744" s="38">
        <v>39.479999999999997</v>
      </c>
      <c r="AF1744" s="38">
        <v>1.5049999999999999E-2</v>
      </c>
      <c r="AG1744" s="38">
        <f t="shared" si="221"/>
        <v>0</v>
      </c>
      <c r="AH1744" s="38">
        <v>0.23</v>
      </c>
      <c r="AI1744" s="38">
        <v>1.8000000000000001E-4</v>
      </c>
      <c r="AJ1744" s="38">
        <v>692.51</v>
      </c>
      <c r="AK1744" s="38">
        <v>0.52802099999999996</v>
      </c>
      <c r="AL1744" s="38">
        <v>0.51</v>
      </c>
      <c r="AM1744" s="38">
        <v>3.8999999999999999E-4</v>
      </c>
      <c r="AN1744" s="25"/>
      <c r="AO1744" s="25">
        <f>AE1744*0.5</f>
        <v>19.739999999999998</v>
      </c>
      <c r="AP1744" s="25">
        <f>(AD1744+AH1744+AJ1744+AL1744+AO1744)*I1744</f>
        <v>26730.70809</v>
      </c>
      <c r="AQ1744" s="25">
        <f>SUM(N1744:Q1744)</f>
        <v>37.375</v>
      </c>
      <c r="AR1744" s="25">
        <f>SUM(T1744:W1744)</f>
        <v>37.375</v>
      </c>
      <c r="AT1744" s="41"/>
      <c r="AU1744" s="41"/>
      <c r="AV1744" s="41"/>
      <c r="AW1744" s="41"/>
    </row>
    <row r="1745" spans="1:88" s="22" customFormat="1">
      <c r="A1745" s="1">
        <v>2132</v>
      </c>
      <c r="B1745" s="34" t="s">
        <v>2754</v>
      </c>
      <c r="C1745" s="34">
        <v>324</v>
      </c>
      <c r="D1745" s="75">
        <v>4147</v>
      </c>
      <c r="E1745" s="8">
        <v>100</v>
      </c>
      <c r="F1745" s="9" t="s">
        <v>2773</v>
      </c>
      <c r="G1745" s="20">
        <v>0</v>
      </c>
      <c r="H1745" s="20">
        <v>4570</v>
      </c>
      <c r="I1745" s="21">
        <v>4.57</v>
      </c>
      <c r="J1745" s="9">
        <v>2</v>
      </c>
      <c r="K1745" s="34" t="s">
        <v>238</v>
      </c>
      <c r="L1745" s="18">
        <v>42136</v>
      </c>
      <c r="M1745" s="37" t="s">
        <v>191</v>
      </c>
      <c r="N1745" s="38">
        <v>1.9750000000000001</v>
      </c>
      <c r="O1745" s="38">
        <v>1.5249999999999999</v>
      </c>
      <c r="P1745" s="38">
        <v>0.875</v>
      </c>
      <c r="Q1745" s="38">
        <v>0.125</v>
      </c>
      <c r="R1745" s="38">
        <v>2.83372</v>
      </c>
      <c r="S1745" s="38">
        <f t="shared" si="219"/>
        <v>3</v>
      </c>
      <c r="T1745" s="38">
        <v>4.4749999999999996</v>
      </c>
      <c r="U1745" s="38">
        <v>0</v>
      </c>
      <c r="V1745" s="38">
        <v>0</v>
      </c>
      <c r="W1745" s="38">
        <v>2.5000000000000001E-2</v>
      </c>
      <c r="X1745" s="38">
        <v>1.7545200000000001</v>
      </c>
      <c r="Y1745" s="38">
        <f t="shared" si="220"/>
        <v>2</v>
      </c>
      <c r="Z1745" s="38">
        <v>0</v>
      </c>
      <c r="AA1745" s="38">
        <v>0</v>
      </c>
      <c r="AB1745" s="38">
        <v>4.5</v>
      </c>
      <c r="AC1745" s="38">
        <v>1.20129</v>
      </c>
      <c r="AD1745" s="39">
        <v>2.4</v>
      </c>
      <c r="AE1745" s="38">
        <v>0</v>
      </c>
      <c r="AF1745" s="38">
        <v>1.5004688965301655E-2</v>
      </c>
      <c r="AG1745" s="38">
        <f t="shared" si="221"/>
        <v>0</v>
      </c>
      <c r="AH1745" s="38">
        <v>17.95</v>
      </c>
      <c r="AI1745" s="38">
        <v>0.11222256955298528</v>
      </c>
      <c r="AJ1745" s="38">
        <v>0</v>
      </c>
      <c r="AK1745" s="38">
        <v>0</v>
      </c>
      <c r="AL1745" s="38">
        <v>0</v>
      </c>
      <c r="AM1745" s="38">
        <v>0</v>
      </c>
      <c r="AN1745" s="41"/>
      <c r="AO1745" s="41"/>
      <c r="AP1745" s="73"/>
      <c r="AQ1745" s="73"/>
      <c r="AR1745" s="73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</row>
    <row r="1746" spans="1:88" s="22" customFormat="1">
      <c r="A1746" s="1">
        <v>1535</v>
      </c>
      <c r="B1746" s="34" t="s">
        <v>2104</v>
      </c>
      <c r="C1746" s="34">
        <v>414</v>
      </c>
      <c r="D1746" s="69">
        <v>3222</v>
      </c>
      <c r="E1746" s="34">
        <v>200</v>
      </c>
      <c r="F1746" s="34" t="s">
        <v>2112</v>
      </c>
      <c r="G1746" s="58">
        <v>26219</v>
      </c>
      <c r="H1746" s="58">
        <v>38947</v>
      </c>
      <c r="I1746" s="35">
        <v>12.613</v>
      </c>
      <c r="J1746" s="34">
        <v>2</v>
      </c>
      <c r="K1746" s="34" t="s">
        <v>12</v>
      </c>
      <c r="L1746" s="10">
        <v>42266</v>
      </c>
      <c r="M1746" s="37" t="s">
        <v>191</v>
      </c>
      <c r="N1746" s="38">
        <v>9.4250000000000007</v>
      </c>
      <c r="O1746" s="38">
        <v>2.1749999999999998</v>
      </c>
      <c r="P1746" s="38">
        <v>0.77500000000000002</v>
      </c>
      <c r="Q1746" s="38">
        <v>0.375</v>
      </c>
      <c r="R1746" s="38">
        <v>2.5934200000000001</v>
      </c>
      <c r="S1746" s="38">
        <f t="shared" si="219"/>
        <v>2.5</v>
      </c>
      <c r="T1746" s="38">
        <v>12.175000000000001</v>
      </c>
      <c r="U1746" s="38">
        <v>0.5</v>
      </c>
      <c r="V1746" s="38">
        <v>7.4999999999999997E-2</v>
      </c>
      <c r="W1746" s="38">
        <v>0</v>
      </c>
      <c r="X1746" s="38">
        <v>6.15</v>
      </c>
      <c r="Y1746" s="38">
        <f t="shared" si="220"/>
        <v>6</v>
      </c>
      <c r="Z1746" s="38">
        <v>0</v>
      </c>
      <c r="AA1746" s="38">
        <v>0</v>
      </c>
      <c r="AB1746" s="38">
        <v>12.613</v>
      </c>
      <c r="AC1746" s="38">
        <v>1.1949399999999999</v>
      </c>
      <c r="AD1746" s="39">
        <v>5</v>
      </c>
      <c r="AE1746" s="38">
        <v>3.16</v>
      </c>
      <c r="AF1746" s="38">
        <f>(AD1746+AE1746*0.5)/(3.5*I1746*1000)*100</f>
        <v>1.490525648140807E-2</v>
      </c>
      <c r="AG1746" s="38">
        <f t="shared" si="221"/>
        <v>0</v>
      </c>
      <c r="AH1746" s="38">
        <v>42</v>
      </c>
      <c r="AI1746" s="38">
        <f>AH1746/(3.5*I1746*1000)*100</f>
        <v>9.5139934987711089E-2</v>
      </c>
      <c r="AJ1746" s="38">
        <v>323.17</v>
      </c>
      <c r="AK1746" s="38">
        <f>AJ1746/(3.5*I1746*1000)*100</f>
        <v>0.73205649499949033</v>
      </c>
      <c r="AL1746" s="38">
        <v>89</v>
      </c>
      <c r="AM1746" s="38">
        <f>AL1746/(3.5*I1746*1000)*100</f>
        <v>0.20160605271205448</v>
      </c>
      <c r="AN1746" s="25"/>
      <c r="AO1746" s="25">
        <f>AE1746*0.5</f>
        <v>1.58</v>
      </c>
      <c r="AP1746" s="25">
        <f>(AD1746+AH1746+AJ1746+AL1746+AO1746)*I1746</f>
        <v>5811.4397499999995</v>
      </c>
      <c r="AQ1746" s="25"/>
      <c r="AR1746" s="25">
        <f>SUM(N1746:Q1746)</f>
        <v>12.750000000000002</v>
      </c>
      <c r="AS1746" s="25">
        <f>SUM(T1746:W1746)</f>
        <v>12.75</v>
      </c>
      <c r="AT1746" s="25"/>
      <c r="AV1746" s="41"/>
      <c r="AW1746" s="41"/>
      <c r="AX1746" s="41"/>
      <c r="AY1746" s="41"/>
    </row>
    <row r="1747" spans="1:88" s="22" customFormat="1">
      <c r="A1747" s="1">
        <v>260</v>
      </c>
      <c r="B1747" s="34" t="s">
        <v>265</v>
      </c>
      <c r="C1747" s="34">
        <v>539</v>
      </c>
      <c r="D1747" s="34">
        <v>1148</v>
      </c>
      <c r="E1747" s="34">
        <v>102</v>
      </c>
      <c r="F1747" s="34" t="s">
        <v>283</v>
      </c>
      <c r="G1747" s="20" t="s">
        <v>282</v>
      </c>
      <c r="H1747" s="20" t="s">
        <v>284</v>
      </c>
      <c r="I1747" s="35">
        <v>33.317999999999998</v>
      </c>
      <c r="J1747" s="36">
        <v>2</v>
      </c>
      <c r="K1747" s="34" t="s">
        <v>269</v>
      </c>
      <c r="L1747" s="10">
        <v>42212</v>
      </c>
      <c r="M1747" s="37" t="s">
        <v>191</v>
      </c>
      <c r="N1747" s="38">
        <v>24.05</v>
      </c>
      <c r="O1747" s="38">
        <v>6.19</v>
      </c>
      <c r="P1747" s="38">
        <v>2.0099999999999998</v>
      </c>
      <c r="Q1747" s="38">
        <v>1.06</v>
      </c>
      <c r="R1747" s="38">
        <v>2.2561499999999999</v>
      </c>
      <c r="S1747" s="38">
        <f t="shared" si="219"/>
        <v>2.5</v>
      </c>
      <c r="T1747" s="38">
        <v>31.83</v>
      </c>
      <c r="U1747" s="38">
        <v>1.1100000000000001</v>
      </c>
      <c r="V1747" s="38">
        <v>0.25</v>
      </c>
      <c r="W1747" s="38">
        <v>0.13</v>
      </c>
      <c r="X1747" s="38">
        <v>5.3023800000000003</v>
      </c>
      <c r="Y1747" s="38">
        <f t="shared" si="220"/>
        <v>5.5</v>
      </c>
      <c r="Z1747" s="38">
        <v>0.13</v>
      </c>
      <c r="AA1747" s="38">
        <v>0.2</v>
      </c>
      <c r="AB1747" s="38">
        <v>33</v>
      </c>
      <c r="AC1747" s="38">
        <v>1.4937499999999999</v>
      </c>
      <c r="AD1747" s="39">
        <v>13</v>
      </c>
      <c r="AE1747" s="38">
        <v>8.42</v>
      </c>
      <c r="AF1747" s="38">
        <v>1.4758217351410219E-2</v>
      </c>
      <c r="AG1747" s="38">
        <f t="shared" si="221"/>
        <v>0</v>
      </c>
      <c r="AH1747" s="38">
        <v>2</v>
      </c>
      <c r="AI1747" s="38">
        <v>1.7150746486240813E-3</v>
      </c>
      <c r="AJ1747" s="38">
        <v>56</v>
      </c>
      <c r="AK1747" s="38">
        <v>4.8022090161474275E-2</v>
      </c>
      <c r="AL1747" s="38">
        <v>0</v>
      </c>
      <c r="AM1747" s="38">
        <v>0</v>
      </c>
      <c r="AN1747" s="56"/>
      <c r="AO1747" s="56"/>
      <c r="AP1747" s="25">
        <f>SUM(N1747:Q1747)</f>
        <v>33.31</v>
      </c>
      <c r="AQ1747" s="25">
        <f>SUM(T1747:W1747)</f>
        <v>33.32</v>
      </c>
      <c r="AS1747" s="41"/>
      <c r="AT1747" s="41"/>
      <c r="AU1747" s="41"/>
      <c r="AV1747" s="41">
        <f>SUM(N1747:Q1747)</f>
        <v>33.31</v>
      </c>
      <c r="AW1747" s="41">
        <f>SUM(T1747:W1747)</f>
        <v>33.32</v>
      </c>
      <c r="AX1747" s="41">
        <f>SUM(Z1747:AB1747)</f>
        <v>33.33</v>
      </c>
      <c r="AZ1747" s="22">
        <f>I1747/AV1747</f>
        <v>1.0002401681176822</v>
      </c>
      <c r="BA1747" s="22">
        <f>I1747/AW1747</f>
        <v>0.99993997599039608</v>
      </c>
      <c r="BB1747" s="22">
        <f>I1747/AX1747</f>
        <v>0.99963996399639965</v>
      </c>
    </row>
    <row r="1748" spans="1:88" s="22" customFormat="1">
      <c r="A1748" s="1">
        <v>669</v>
      </c>
      <c r="B1748" s="34" t="s">
        <v>1062</v>
      </c>
      <c r="C1748" s="34">
        <v>623</v>
      </c>
      <c r="D1748" s="34">
        <v>2316</v>
      </c>
      <c r="E1748" s="34">
        <v>102</v>
      </c>
      <c r="F1748" s="9" t="s">
        <v>1078</v>
      </c>
      <c r="G1748" s="20">
        <v>58405</v>
      </c>
      <c r="H1748" s="20">
        <v>18025</v>
      </c>
      <c r="I1748" s="35">
        <v>40.380000000000003</v>
      </c>
      <c r="J1748" s="34">
        <v>2</v>
      </c>
      <c r="K1748" s="34" t="s">
        <v>12</v>
      </c>
      <c r="L1748" s="10">
        <v>42135</v>
      </c>
      <c r="M1748" s="37" t="s">
        <v>191</v>
      </c>
      <c r="N1748" s="38">
        <v>23.12</v>
      </c>
      <c r="O1748" s="38">
        <v>12.67</v>
      </c>
      <c r="P1748" s="38">
        <v>3.79</v>
      </c>
      <c r="Q1748" s="38">
        <v>0.81</v>
      </c>
      <c r="R1748" s="38">
        <v>2.54644</v>
      </c>
      <c r="S1748" s="38">
        <f t="shared" si="219"/>
        <v>2.5</v>
      </c>
      <c r="T1748" s="38">
        <v>40.159999999999997</v>
      </c>
      <c r="U1748" s="38">
        <v>0.23</v>
      </c>
      <c r="V1748" s="38">
        <v>0</v>
      </c>
      <c r="W1748" s="38">
        <v>0</v>
      </c>
      <c r="X1748" s="38">
        <v>3.0459399999999999</v>
      </c>
      <c r="Y1748" s="38">
        <f t="shared" si="220"/>
        <v>3</v>
      </c>
      <c r="Z1748" s="38">
        <v>0</v>
      </c>
      <c r="AA1748" s="38">
        <v>0</v>
      </c>
      <c r="AB1748" s="38">
        <v>40.380000000000003</v>
      </c>
      <c r="AC1748" s="38">
        <v>1.2658199999999999</v>
      </c>
      <c r="AD1748" s="39">
        <v>0</v>
      </c>
      <c r="AE1748" s="38">
        <v>41.685000000000002</v>
      </c>
      <c r="AF1748" s="38">
        <v>1.4749999999999999E-2</v>
      </c>
      <c r="AG1748" s="38">
        <f t="shared" si="221"/>
        <v>0</v>
      </c>
      <c r="AH1748" s="38">
        <v>0</v>
      </c>
      <c r="AI1748" s="38">
        <v>0</v>
      </c>
      <c r="AJ1748" s="38">
        <v>44.555</v>
      </c>
      <c r="AK1748" s="38">
        <v>3.1530000000000002E-2</v>
      </c>
      <c r="AL1748" s="38">
        <v>0</v>
      </c>
      <c r="AM1748" s="38">
        <v>0</v>
      </c>
      <c r="AN1748" s="25"/>
      <c r="AO1748" s="1">
        <f>AE1748*0.5</f>
        <v>20.842500000000001</v>
      </c>
      <c r="AP1748" s="25">
        <f>(AD1748+AH1748+AJ1748+AL1748+AO1748)*I1748</f>
        <v>2640.7510500000003</v>
      </c>
      <c r="AQ1748" s="25">
        <f>SUM(N1748:Q1748)</f>
        <v>40.39</v>
      </c>
      <c r="AR1748" s="25">
        <f>SUM(T1748:W1748)</f>
        <v>40.389999999999993</v>
      </c>
      <c r="AT1748" s="41"/>
      <c r="AU1748" s="41">
        <f>SUM(N1748:Q1748)</f>
        <v>40.39</v>
      </c>
      <c r="AV1748" s="41">
        <f>SUM(T1748:W1748)</f>
        <v>40.389999999999993</v>
      </c>
      <c r="AW1748" s="41">
        <f>SUM(Z1748:AB1748)</f>
        <v>40.380000000000003</v>
      </c>
      <c r="AY1748" s="22">
        <f>I1748/AU1748</f>
        <v>0.9997524139638525</v>
      </c>
      <c r="AZ1748" s="22">
        <f>I1748/AV1748</f>
        <v>0.99975241396385262</v>
      </c>
      <c r="BA1748" s="22">
        <f>I1748/AW1748</f>
        <v>1</v>
      </c>
    </row>
    <row r="1749" spans="1:88" s="22" customFormat="1">
      <c r="A1749" s="1">
        <v>1182</v>
      </c>
      <c r="B1749" s="34" t="s">
        <v>1639</v>
      </c>
      <c r="C1749" s="34">
        <v>433</v>
      </c>
      <c r="D1749" s="34">
        <v>3028</v>
      </c>
      <c r="E1749" s="34">
        <v>100</v>
      </c>
      <c r="F1749" s="34" t="s">
        <v>1657</v>
      </c>
      <c r="G1749" s="58" t="s">
        <v>92</v>
      </c>
      <c r="H1749" s="58" t="s">
        <v>1658</v>
      </c>
      <c r="I1749" s="55">
        <v>24.806000000000001</v>
      </c>
      <c r="J1749" s="34">
        <v>2</v>
      </c>
      <c r="K1749" s="181" t="s">
        <v>238</v>
      </c>
      <c r="L1749" s="10">
        <v>42282</v>
      </c>
      <c r="M1749" s="37" t="s">
        <v>191</v>
      </c>
      <c r="N1749" s="38">
        <v>16.75</v>
      </c>
      <c r="O1749" s="38">
        <v>4.8499999999999996</v>
      </c>
      <c r="P1749" s="38">
        <v>2.25</v>
      </c>
      <c r="Q1749" s="38">
        <v>1.2250000000000001</v>
      </c>
      <c r="R1749" s="38">
        <v>2.4453499999999999</v>
      </c>
      <c r="S1749" s="38">
        <f t="shared" si="219"/>
        <v>2.5</v>
      </c>
      <c r="T1749" s="38">
        <v>24.475000000000001</v>
      </c>
      <c r="U1749" s="38">
        <v>0.55000000000000004</v>
      </c>
      <c r="V1749" s="38">
        <v>0.05</v>
      </c>
      <c r="W1749" s="38">
        <v>0</v>
      </c>
      <c r="X1749" s="38">
        <v>3.3302100000000001</v>
      </c>
      <c r="Y1749" s="38">
        <f t="shared" si="220"/>
        <v>3.5</v>
      </c>
      <c r="Z1749" s="38">
        <v>0</v>
      </c>
      <c r="AA1749" s="38">
        <v>0</v>
      </c>
      <c r="AB1749" s="38">
        <v>24.806000000000001</v>
      </c>
      <c r="AC1749" s="38">
        <v>1.3492999999999999</v>
      </c>
      <c r="AD1749" s="39">
        <v>2.1059999999999999</v>
      </c>
      <c r="AE1749" s="38">
        <v>21.36</v>
      </c>
      <c r="AF1749" s="38">
        <f>(AD1749+AE1749*0.5)/(3.5*I1749*1000)*100</f>
        <v>1.4726851798528007E-2</v>
      </c>
      <c r="AG1749" s="38">
        <f t="shared" si="221"/>
        <v>0</v>
      </c>
      <c r="AH1749" s="38">
        <v>0.23</v>
      </c>
      <c r="AI1749" s="38">
        <f>AH1749/(3.5*I1749*1000)*100</f>
        <v>2.6491286670275624E-4</v>
      </c>
      <c r="AJ1749" s="38">
        <v>0</v>
      </c>
      <c r="AK1749" s="38">
        <f>AJ1749/(3.5*I1749*1000)*100</f>
        <v>0</v>
      </c>
      <c r="AL1749" s="38">
        <v>1.47</v>
      </c>
      <c r="AM1749" s="38">
        <f>AJ1749/(3.5*I1749*1000)*100</f>
        <v>0</v>
      </c>
      <c r="AN1749" s="25"/>
      <c r="BH1749" s="182"/>
      <c r="BI1749" s="182"/>
      <c r="BJ1749" s="182"/>
      <c r="BK1749" s="182"/>
      <c r="BL1749" s="182"/>
      <c r="BM1749" s="182"/>
      <c r="BN1749" s="182"/>
      <c r="BO1749" s="182"/>
      <c r="BP1749" s="182"/>
      <c r="BQ1749" s="182"/>
      <c r="BR1749" s="182"/>
      <c r="BS1749" s="182"/>
      <c r="BT1749" s="182"/>
      <c r="BU1749" s="182"/>
      <c r="BV1749" s="182"/>
      <c r="BW1749" s="182"/>
      <c r="BX1749" s="182"/>
      <c r="BY1749" s="182"/>
      <c r="BZ1749" s="182"/>
      <c r="CA1749" s="182"/>
      <c r="CB1749" s="182"/>
      <c r="CC1749" s="182"/>
      <c r="CD1749" s="182"/>
      <c r="CE1749" s="182"/>
      <c r="CF1749" s="182"/>
      <c r="CG1749" s="182"/>
      <c r="CH1749" s="182"/>
      <c r="CI1749" s="182"/>
      <c r="CJ1749" s="182"/>
    </row>
    <row r="1750" spans="1:88" s="22" customFormat="1">
      <c r="A1750" s="1">
        <v>1753</v>
      </c>
      <c r="B1750" s="34" t="s">
        <v>2348</v>
      </c>
      <c r="C1750" s="34">
        <v>425</v>
      </c>
      <c r="D1750" s="8">
        <v>3156</v>
      </c>
      <c r="E1750" s="34">
        <v>100</v>
      </c>
      <c r="F1750" s="34" t="s">
        <v>2350</v>
      </c>
      <c r="G1750" s="58">
        <v>0</v>
      </c>
      <c r="H1750" s="58">
        <v>35257</v>
      </c>
      <c r="I1750" s="35">
        <v>35.256999999999998</v>
      </c>
      <c r="J1750" s="9">
        <v>2</v>
      </c>
      <c r="K1750" s="34" t="s">
        <v>12</v>
      </c>
      <c r="L1750" s="10">
        <v>42236</v>
      </c>
      <c r="M1750" s="37" t="s">
        <v>191</v>
      </c>
      <c r="N1750" s="38">
        <v>24.73</v>
      </c>
      <c r="O1750" s="38">
        <v>8</v>
      </c>
      <c r="P1750" s="38">
        <v>1.875</v>
      </c>
      <c r="Q1750" s="38">
        <v>0.72499999999999998</v>
      </c>
      <c r="R1750" s="38">
        <v>2.5904199999999999</v>
      </c>
      <c r="S1750" s="38">
        <f t="shared" si="219"/>
        <v>2.5</v>
      </c>
      <c r="T1750" s="38">
        <v>30.2</v>
      </c>
      <c r="U1750" s="38">
        <v>4</v>
      </c>
      <c r="V1750" s="38">
        <v>1</v>
      </c>
      <c r="W1750" s="38">
        <v>0.125</v>
      </c>
      <c r="X1750" s="38">
        <v>7.7058999999999997</v>
      </c>
      <c r="Y1750" s="38">
        <f t="shared" si="220"/>
        <v>7.5</v>
      </c>
      <c r="Z1750" s="38">
        <v>0</v>
      </c>
      <c r="AA1750" s="38">
        <v>0</v>
      </c>
      <c r="AB1750" s="38">
        <f>SUM(T1750:W1750)</f>
        <v>35.325000000000003</v>
      </c>
      <c r="AC1750" s="38">
        <v>1.1963299999999999</v>
      </c>
      <c r="AD1750" s="39">
        <v>0</v>
      </c>
      <c r="AE1750" s="38">
        <v>36.04</v>
      </c>
      <c r="AF1750" s="38">
        <f>(AD1750+AE1750*0.5)/(3.5*I1750*1000)*100</f>
        <v>1.4602976511250048E-2</v>
      </c>
      <c r="AG1750" s="38">
        <f t="shared" si="221"/>
        <v>0</v>
      </c>
      <c r="AH1750" s="38">
        <v>0</v>
      </c>
      <c r="AI1750" s="38">
        <f>AH1750/(3.5*I1750*1000)*100</f>
        <v>0</v>
      </c>
      <c r="AJ1750" s="38">
        <v>0</v>
      </c>
      <c r="AK1750" s="38">
        <f>AJ1750/(3.5*I1750*1000)*100</f>
        <v>0</v>
      </c>
      <c r="AL1750" s="38">
        <v>0</v>
      </c>
      <c r="AM1750" s="55">
        <f>AL1750/(3.5*I1750*1000)*100</f>
        <v>0</v>
      </c>
      <c r="AN1750" s="25"/>
      <c r="AO1750" s="25">
        <f>AE1750*0.5</f>
        <v>18.02</v>
      </c>
      <c r="AP1750" s="25">
        <f>(AD1750+AH1750+AJ1750+AL1750+AO1750)*I1750</f>
        <v>635.33113999999989</v>
      </c>
      <c r="AQ1750" s="136">
        <f>SUM(N1750:Q1750)</f>
        <v>35.330000000000005</v>
      </c>
      <c r="AR1750" s="12">
        <f>SUM(T1750:W1750)</f>
        <v>35.325000000000003</v>
      </c>
      <c r="AT1750" s="41"/>
      <c r="AU1750" s="41"/>
      <c r="AV1750" s="41"/>
      <c r="AW1750" s="4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</row>
    <row r="1751" spans="1:88" s="22" customFormat="1">
      <c r="A1751" s="1">
        <v>75</v>
      </c>
      <c r="B1751" s="4" t="s">
        <v>44</v>
      </c>
      <c r="C1751" s="14">
        <v>524</v>
      </c>
      <c r="D1751" s="19">
        <v>1087</v>
      </c>
      <c r="E1751" s="16">
        <v>100</v>
      </c>
      <c r="F1751" s="14" t="s">
        <v>53</v>
      </c>
      <c r="G1751" s="20" t="s">
        <v>92</v>
      </c>
      <c r="H1751" s="20" t="s">
        <v>138</v>
      </c>
      <c r="I1751" s="21">
        <v>37.1</v>
      </c>
      <c r="J1751" s="8">
        <v>2</v>
      </c>
      <c r="K1751" s="9" t="s">
        <v>238</v>
      </c>
      <c r="L1751" s="18">
        <v>42226</v>
      </c>
      <c r="M1751" s="37" t="s">
        <v>191</v>
      </c>
      <c r="N1751" s="11">
        <v>8.7249999999999996</v>
      </c>
      <c r="O1751" s="11">
        <v>12.9</v>
      </c>
      <c r="P1751" s="11">
        <v>10.45</v>
      </c>
      <c r="Q1751" s="11">
        <v>5.0750000000000002</v>
      </c>
      <c r="R1751" s="11">
        <v>3.5487099999999998</v>
      </c>
      <c r="S1751" s="38">
        <f t="shared" si="219"/>
        <v>3.5</v>
      </c>
      <c r="T1751" s="11">
        <v>35.1</v>
      </c>
      <c r="U1751" s="11">
        <v>1.7250000000000001</v>
      </c>
      <c r="V1751" s="11">
        <v>0.25</v>
      </c>
      <c r="W1751" s="11">
        <v>7.4999999999999997E-2</v>
      </c>
      <c r="X1751" s="11">
        <v>4.4442500000000003</v>
      </c>
      <c r="Y1751" s="38">
        <f t="shared" si="220"/>
        <v>4.5</v>
      </c>
      <c r="Z1751" s="11">
        <v>0</v>
      </c>
      <c r="AA1751" s="11">
        <v>0</v>
      </c>
      <c r="AB1751" s="11">
        <v>37.150000000000006</v>
      </c>
      <c r="AC1751" s="11">
        <v>1.4936</v>
      </c>
      <c r="AD1751" s="164">
        <v>18.95</v>
      </c>
      <c r="AE1751" s="11">
        <v>0</v>
      </c>
      <c r="AF1751" s="11">
        <f>(AD1751+AE1751*0.5)/(3.5*I1751*1000)*100</f>
        <v>1.4593762033115132E-2</v>
      </c>
      <c r="AG1751" s="38">
        <f t="shared" si="221"/>
        <v>0</v>
      </c>
      <c r="AH1751" s="11">
        <v>63.125</v>
      </c>
      <c r="AI1751" s="11">
        <f>AH1751/(3.5*I1751*1000)*100</f>
        <v>4.8613785136696189E-2</v>
      </c>
      <c r="AJ1751" s="11">
        <v>0</v>
      </c>
      <c r="AK1751" s="11">
        <f>AJ1751/(3.5*I1751*1000)*100</f>
        <v>0</v>
      </c>
      <c r="AL1751" s="11">
        <v>0</v>
      </c>
      <c r="AM1751" s="11">
        <f>AL1751/(3.5*I1751*1000)*100</f>
        <v>0</v>
      </c>
      <c r="AN1751" s="25"/>
      <c r="AO1751" s="25"/>
    </row>
    <row r="1752" spans="1:88" s="22" customFormat="1">
      <c r="A1752" s="1">
        <v>1667</v>
      </c>
      <c r="B1752" s="34" t="s">
        <v>2272</v>
      </c>
      <c r="C1752" s="34">
        <v>419</v>
      </c>
      <c r="D1752" s="69">
        <v>9</v>
      </c>
      <c r="E1752" s="34">
        <v>101</v>
      </c>
      <c r="F1752" s="34" t="s">
        <v>2273</v>
      </c>
      <c r="G1752" s="58" t="s">
        <v>2274</v>
      </c>
      <c r="H1752" s="58" t="s">
        <v>92</v>
      </c>
      <c r="I1752" s="35">
        <v>19.972000000000001</v>
      </c>
      <c r="J1752" s="34">
        <v>8</v>
      </c>
      <c r="K1752" s="34" t="s">
        <v>96</v>
      </c>
      <c r="L1752" s="10">
        <v>42243</v>
      </c>
      <c r="M1752" s="37" t="s">
        <v>191</v>
      </c>
      <c r="N1752" s="55">
        <v>5.125</v>
      </c>
      <c r="O1752" s="55">
        <v>11.3</v>
      </c>
      <c r="P1752" s="55">
        <v>1.95</v>
      </c>
      <c r="Q1752" s="55">
        <v>1.675</v>
      </c>
      <c r="R1752" s="55">
        <v>3.1623100000000002</v>
      </c>
      <c r="S1752" s="38">
        <f t="shared" si="219"/>
        <v>3</v>
      </c>
      <c r="T1752" s="38">
        <v>19.225000000000001</v>
      </c>
      <c r="U1752" s="38">
        <v>0.7</v>
      </c>
      <c r="V1752" s="38">
        <v>0.1</v>
      </c>
      <c r="W1752" s="38">
        <v>2.5000000000000001E-2</v>
      </c>
      <c r="X1752" s="38">
        <v>5.2274900000000004</v>
      </c>
      <c r="Y1752" s="38">
        <f t="shared" si="220"/>
        <v>5</v>
      </c>
      <c r="Z1752" s="38">
        <v>0</v>
      </c>
      <c r="AA1752" s="38">
        <v>0</v>
      </c>
      <c r="AB1752" s="38">
        <f>SUM(N1752:Q1752)</f>
        <v>20.05</v>
      </c>
      <c r="AC1752" s="38">
        <v>1.2269099999999999</v>
      </c>
      <c r="AD1752" s="39">
        <v>2</v>
      </c>
      <c r="AE1752" s="38">
        <v>16.27</v>
      </c>
      <c r="AF1752" s="38">
        <f>(AD1752+AE1752*0.5)/(3.5*I1752*1000)*100</f>
        <v>1.4498869846356328E-2</v>
      </c>
      <c r="AG1752" s="38">
        <f t="shared" si="221"/>
        <v>0</v>
      </c>
      <c r="AH1752" s="38">
        <v>0</v>
      </c>
      <c r="AI1752" s="38">
        <f>AH1752/(3.5*I1752*1000)*100</f>
        <v>0</v>
      </c>
      <c r="AJ1752" s="38">
        <v>18.23</v>
      </c>
      <c r="AK1752" s="38">
        <f>AJ1752/(3.5*I1752*1000)*100</f>
        <v>2.6079368258418931E-2</v>
      </c>
      <c r="AL1752" s="38">
        <v>0</v>
      </c>
      <c r="AM1752" s="38">
        <f>AL1752/(3.5*I1752*1000)*100</f>
        <v>0</v>
      </c>
      <c r="AN1752" s="25"/>
      <c r="AO1752" s="25">
        <f>AE1752*0.5</f>
        <v>8.1349999999999998</v>
      </c>
      <c r="AP1752" s="25">
        <f>(AD1752+AH1752+AJ1752+AL1752+AO1752)*I1752</f>
        <v>566.50578000000007</v>
      </c>
      <c r="AQ1752" s="25">
        <f>(AD1752+AH1752+AJ1752+AL1752)*I1752</f>
        <v>404.03356000000002</v>
      </c>
      <c r="AR1752" s="25">
        <f>SUM(N1752:Q1752)</f>
        <v>20.05</v>
      </c>
      <c r="AS1752" s="25">
        <f>SUM(T1752:W1752)</f>
        <v>20.05</v>
      </c>
      <c r="AU1752" s="41"/>
      <c r="AV1752" s="41"/>
      <c r="AW1752" s="41"/>
      <c r="AX1752" s="41"/>
    </row>
    <row r="1753" spans="1:88">
      <c r="A1753" s="1">
        <v>800</v>
      </c>
      <c r="B1753" s="34" t="s">
        <v>1186</v>
      </c>
      <c r="C1753" s="34">
        <v>635</v>
      </c>
      <c r="D1753" s="149">
        <v>2044</v>
      </c>
      <c r="E1753" s="34">
        <v>101</v>
      </c>
      <c r="F1753" s="34" t="s">
        <v>1192</v>
      </c>
      <c r="G1753" s="58">
        <v>184</v>
      </c>
      <c r="H1753" s="58">
        <v>31800</v>
      </c>
      <c r="I1753" s="35">
        <v>31.616</v>
      </c>
      <c r="J1753" s="9">
        <v>4</v>
      </c>
      <c r="K1753" s="34" t="s">
        <v>96</v>
      </c>
      <c r="L1753" s="10">
        <v>42150</v>
      </c>
      <c r="M1753" s="37" t="s">
        <v>191</v>
      </c>
      <c r="N1753" s="38">
        <v>19.899999999999999</v>
      </c>
      <c r="O1753" s="38">
        <v>7.85</v>
      </c>
      <c r="P1753" s="38">
        <v>2.8</v>
      </c>
      <c r="Q1753" s="38">
        <v>1.1000000000000001</v>
      </c>
      <c r="R1753" s="38">
        <v>2.8002799999999999</v>
      </c>
      <c r="S1753" s="38">
        <f t="shared" si="219"/>
        <v>3</v>
      </c>
      <c r="T1753" s="38">
        <v>25.75</v>
      </c>
      <c r="U1753" s="38">
        <v>3.75</v>
      </c>
      <c r="V1753" s="38">
        <v>1.35</v>
      </c>
      <c r="W1753" s="38">
        <v>0.8</v>
      </c>
      <c r="X1753" s="38">
        <v>5.3555000000000001</v>
      </c>
      <c r="Y1753" s="38">
        <f t="shared" si="220"/>
        <v>5.5</v>
      </c>
      <c r="Z1753" s="38">
        <v>0</v>
      </c>
      <c r="AA1753" s="38">
        <v>0</v>
      </c>
      <c r="AB1753" s="35">
        <v>31.616</v>
      </c>
      <c r="AC1753" s="38">
        <v>1.1419999999999999</v>
      </c>
      <c r="AD1753" s="39">
        <v>16</v>
      </c>
      <c r="AE1753" s="38">
        <v>0</v>
      </c>
      <c r="AF1753" s="38">
        <v>1.447E-2</v>
      </c>
      <c r="AG1753" s="38">
        <f t="shared" si="221"/>
        <v>0</v>
      </c>
      <c r="AH1753" s="38">
        <v>0</v>
      </c>
      <c r="AI1753" s="38">
        <v>0</v>
      </c>
      <c r="AJ1753" s="38">
        <v>27</v>
      </c>
      <c r="AK1753" s="38">
        <v>2.4417999999999999E-2</v>
      </c>
      <c r="AL1753" s="38">
        <v>0</v>
      </c>
      <c r="AM1753" s="38">
        <v>0</v>
      </c>
      <c r="AN1753" s="25"/>
      <c r="AO1753" s="25">
        <f>AE1753*0.5</f>
        <v>0</v>
      </c>
      <c r="AP1753" s="25">
        <f>(AD1753+AH1753+AJ1753+AL1753+AO1753)*I1753</f>
        <v>1359.4880000000001</v>
      </c>
      <c r="AQ1753" s="136">
        <f>SUM(N1753:Q1753)</f>
        <v>31.650000000000002</v>
      </c>
      <c r="AR1753" s="136">
        <f>SUM(T1753:W1753)</f>
        <v>31.650000000000002</v>
      </c>
      <c r="AS1753" s="22"/>
      <c r="AT1753" s="41"/>
      <c r="AU1753" s="41"/>
      <c r="AV1753" s="41"/>
      <c r="AW1753" s="41"/>
      <c r="AX1753" s="22"/>
      <c r="AY1753" s="22"/>
      <c r="AZ1753" s="22"/>
      <c r="BA1753" s="22"/>
      <c r="BB1753" s="22"/>
      <c r="BC1753" s="22"/>
      <c r="BD1753" s="22"/>
      <c r="BE1753" s="22"/>
      <c r="BF1753" s="22"/>
      <c r="BG1753" s="22"/>
      <c r="BH1753" s="22"/>
      <c r="BI1753" s="22"/>
      <c r="BJ1753" s="22"/>
      <c r="BK1753" s="22"/>
      <c r="BL1753" s="22"/>
      <c r="BM1753" s="22"/>
      <c r="BN1753" s="22"/>
      <c r="BO1753" s="22"/>
      <c r="BP1753" s="22"/>
      <c r="BQ1753" s="22"/>
      <c r="BR1753" s="22"/>
      <c r="BS1753" s="22"/>
      <c r="BT1753" s="22"/>
      <c r="BU1753" s="22"/>
      <c r="BV1753" s="22"/>
      <c r="BW1753" s="22"/>
      <c r="BX1753" s="22"/>
      <c r="BY1753" s="22"/>
      <c r="BZ1753" s="22"/>
      <c r="CA1753" s="22"/>
      <c r="CB1753" s="22"/>
      <c r="CC1753" s="22"/>
      <c r="CD1753" s="22"/>
      <c r="CE1753" s="22"/>
      <c r="CF1753" s="22"/>
      <c r="CG1753" s="22"/>
      <c r="CH1753" s="22"/>
      <c r="CI1753" s="22"/>
      <c r="CJ1753" s="22"/>
    </row>
    <row r="1754" spans="1:88">
      <c r="A1754" s="1">
        <v>1740</v>
      </c>
      <c r="B1754" s="34" t="s">
        <v>2324</v>
      </c>
      <c r="C1754" s="34">
        <v>423</v>
      </c>
      <c r="D1754" s="8">
        <v>3322</v>
      </c>
      <c r="E1754" s="34">
        <v>101</v>
      </c>
      <c r="F1754" s="34" t="s">
        <v>2335</v>
      </c>
      <c r="G1754" s="58">
        <v>15000</v>
      </c>
      <c r="H1754" s="58">
        <v>0</v>
      </c>
      <c r="I1754" s="35">
        <v>15</v>
      </c>
      <c r="J1754" s="9">
        <v>2</v>
      </c>
      <c r="K1754" s="34" t="s">
        <v>12</v>
      </c>
      <c r="L1754" s="10">
        <v>42235</v>
      </c>
      <c r="M1754" s="37" t="s">
        <v>191</v>
      </c>
      <c r="N1754" s="38">
        <v>10.85</v>
      </c>
      <c r="O1754" s="38">
        <v>3.25</v>
      </c>
      <c r="P1754" s="38">
        <v>0.47499999999999998</v>
      </c>
      <c r="Q1754" s="38">
        <v>0.42499999999999999</v>
      </c>
      <c r="R1754" s="38">
        <v>2.29677</v>
      </c>
      <c r="S1754" s="38">
        <f t="shared" si="219"/>
        <v>2.5</v>
      </c>
      <c r="T1754" s="38">
        <v>14.725</v>
      </c>
      <c r="U1754" s="38">
        <v>0.22500000000000001</v>
      </c>
      <c r="V1754" s="38">
        <v>2.5000000000000001E-2</v>
      </c>
      <c r="W1754" s="38">
        <v>2.5000000000000001E-2</v>
      </c>
      <c r="X1754" s="38">
        <v>3.6086499999999999</v>
      </c>
      <c r="Y1754" s="38">
        <f t="shared" si="220"/>
        <v>3.5</v>
      </c>
      <c r="Z1754" s="38">
        <v>0</v>
      </c>
      <c r="AA1754" s="117">
        <v>0</v>
      </c>
      <c r="AB1754" s="35">
        <v>15</v>
      </c>
      <c r="AC1754" s="38">
        <v>1.19702</v>
      </c>
      <c r="AD1754" s="39">
        <v>4.0599999999999996</v>
      </c>
      <c r="AE1754" s="38">
        <v>6.81</v>
      </c>
      <c r="AF1754" s="38">
        <v>1.422E-2</v>
      </c>
      <c r="AG1754" s="38">
        <f t="shared" si="221"/>
        <v>0</v>
      </c>
      <c r="AH1754" s="38">
        <v>0</v>
      </c>
      <c r="AI1754" s="38">
        <v>0</v>
      </c>
      <c r="AJ1754" s="38">
        <v>0</v>
      </c>
      <c r="AK1754" s="38">
        <f t="shared" ref="AK1754:AK1760" si="222">AJ1754/(3.5*I1754*1000)*100</f>
        <v>0</v>
      </c>
      <c r="AL1754" s="38">
        <v>0</v>
      </c>
      <c r="AM1754" s="38">
        <v>0</v>
      </c>
      <c r="AN1754" s="25"/>
      <c r="AO1754" s="12">
        <f>AE1754*0.5</f>
        <v>3.4049999999999998</v>
      </c>
      <c r="AP1754" s="12">
        <f>(AD1754+AH1754+AJ1754+AL1754+AO1754)*I1754</f>
        <v>111.97499999999999</v>
      </c>
      <c r="AQ1754" s="25">
        <f>SUM(N1754:Q1754)</f>
        <v>15</v>
      </c>
      <c r="AR1754" s="25">
        <f>SUM(T1754:W1754)</f>
        <v>15</v>
      </c>
      <c r="AS1754" s="22"/>
      <c r="AT1754" s="41"/>
      <c r="AU1754" s="41"/>
      <c r="AV1754" s="41"/>
      <c r="AW1754" s="41"/>
      <c r="AX1754" s="22"/>
      <c r="AY1754" s="22"/>
      <c r="AZ1754" s="22"/>
      <c r="BA1754" s="22"/>
      <c r="BB1754" s="22"/>
      <c r="BC1754" s="22"/>
      <c r="BD1754" s="22"/>
      <c r="BE1754" s="22"/>
      <c r="BF1754" s="22"/>
      <c r="BG1754" s="22"/>
      <c r="BH1754" s="22"/>
      <c r="BI1754" s="22"/>
      <c r="BJ1754" s="22"/>
      <c r="BK1754" s="22"/>
      <c r="BL1754" s="22"/>
      <c r="BM1754" s="22"/>
      <c r="BN1754" s="22"/>
      <c r="BO1754" s="22"/>
      <c r="BP1754" s="22"/>
      <c r="BQ1754" s="22"/>
      <c r="BR1754" s="22"/>
      <c r="BS1754" s="22"/>
      <c r="BT1754" s="22"/>
      <c r="BU1754" s="22"/>
      <c r="BV1754" s="22"/>
      <c r="BW1754" s="22"/>
      <c r="BX1754" s="22"/>
      <c r="BY1754" s="22"/>
      <c r="BZ1754" s="22"/>
      <c r="CA1754" s="22"/>
      <c r="CB1754" s="22"/>
      <c r="CC1754" s="22"/>
      <c r="CD1754" s="22"/>
      <c r="CE1754" s="22"/>
      <c r="CF1754" s="22"/>
      <c r="CG1754" s="22"/>
      <c r="CH1754" s="22"/>
      <c r="CI1754" s="22"/>
      <c r="CJ1754" s="22"/>
    </row>
    <row r="1755" spans="1:88" s="22" customFormat="1">
      <c r="A1755" s="1">
        <v>1023</v>
      </c>
      <c r="B1755" s="9" t="s">
        <v>1394</v>
      </c>
      <c r="C1755" s="9">
        <v>617</v>
      </c>
      <c r="D1755" s="8">
        <v>2074</v>
      </c>
      <c r="E1755" s="9">
        <v>101</v>
      </c>
      <c r="F1755" s="9" t="s">
        <v>1422</v>
      </c>
      <c r="G1755" s="20">
        <v>35580</v>
      </c>
      <c r="H1755" s="20">
        <v>282</v>
      </c>
      <c r="I1755" s="35">
        <v>35.298000000000002</v>
      </c>
      <c r="J1755" s="9">
        <v>4</v>
      </c>
      <c r="K1755" s="9" t="s">
        <v>12</v>
      </c>
      <c r="L1755" s="18">
        <v>42128</v>
      </c>
      <c r="M1755" s="37" t="s">
        <v>191</v>
      </c>
      <c r="N1755" s="11">
        <v>19.88</v>
      </c>
      <c r="O1755" s="11">
        <v>10.63</v>
      </c>
      <c r="P1755" s="11">
        <v>3.6</v>
      </c>
      <c r="Q1755" s="11">
        <v>1.05</v>
      </c>
      <c r="R1755" s="11">
        <v>2.8667899999999999</v>
      </c>
      <c r="S1755" s="38">
        <f t="shared" si="219"/>
        <v>3</v>
      </c>
      <c r="T1755" s="11">
        <v>30.05</v>
      </c>
      <c r="U1755" s="11">
        <v>3.1</v>
      </c>
      <c r="V1755" s="11">
        <v>1.1000000000000001</v>
      </c>
      <c r="W1755" s="11">
        <v>0.9</v>
      </c>
      <c r="X1755" s="11">
        <v>6.9776499999999997</v>
      </c>
      <c r="Y1755" s="38">
        <f t="shared" si="220"/>
        <v>7</v>
      </c>
      <c r="Z1755" s="11">
        <v>0</v>
      </c>
      <c r="AA1755" s="11">
        <v>0</v>
      </c>
      <c r="AB1755" s="11">
        <f>SUM(N1755:Q1755)</f>
        <v>35.159999999999997</v>
      </c>
      <c r="AC1755" s="11">
        <v>1.13157</v>
      </c>
      <c r="AD1755" s="164">
        <v>9.9600000000000009</v>
      </c>
      <c r="AE1755" s="11">
        <v>15.21</v>
      </c>
      <c r="AF1755" s="11">
        <f>(AD1755+AE1755*0.5)/(3.5*I1755*1000)*100</f>
        <v>1.4217721764891576E-2</v>
      </c>
      <c r="AG1755" s="38">
        <f t="shared" si="221"/>
        <v>0</v>
      </c>
      <c r="AH1755" s="11">
        <v>27.22</v>
      </c>
      <c r="AI1755" s="38">
        <f t="shared" ref="AI1755:AI1760" si="223">AH1755/(3.5*I1755*1000)*100</f>
        <v>2.2032814485644675E-2</v>
      </c>
      <c r="AJ1755" s="11">
        <v>5.85</v>
      </c>
      <c r="AK1755" s="38">
        <f t="shared" si="222"/>
        <v>4.7351934144386973E-3</v>
      </c>
      <c r="AL1755" s="11">
        <v>0</v>
      </c>
      <c r="AM1755" s="38">
        <f>AL1755/(3.5*I1755*1000)*100</f>
        <v>0</v>
      </c>
      <c r="AN1755" s="25"/>
      <c r="AO1755" s="25">
        <f>AE1755*0.5</f>
        <v>7.6050000000000004</v>
      </c>
      <c r="AP1755" s="25">
        <f>(AD1755+AH1755+AJ1755+AL1755+AO1755)*I1755</f>
        <v>1787.3142300000002</v>
      </c>
      <c r="AQ1755" s="25"/>
      <c r="AR1755" s="25"/>
      <c r="AS1755" s="25">
        <f>SUM(N1755:Q1755)</f>
        <v>35.159999999999997</v>
      </c>
      <c r="AT1755" s="25">
        <f>SUM(T1755:W1755)</f>
        <v>35.15</v>
      </c>
      <c r="AU1755" s="41"/>
      <c r="AV1755" s="41"/>
      <c r="AW1755" s="41"/>
    </row>
    <row r="1756" spans="1:88" s="22" customFormat="1">
      <c r="A1756" s="1">
        <v>32</v>
      </c>
      <c r="B1756" s="4" t="s">
        <v>21</v>
      </c>
      <c r="C1756" s="14">
        <v>522</v>
      </c>
      <c r="D1756" s="19">
        <v>1014</v>
      </c>
      <c r="E1756" s="16">
        <v>100</v>
      </c>
      <c r="F1756" s="16" t="s">
        <v>27</v>
      </c>
      <c r="G1756" s="20">
        <v>16208</v>
      </c>
      <c r="H1756" s="20">
        <v>0</v>
      </c>
      <c r="I1756" s="21">
        <v>16.207999999999998</v>
      </c>
      <c r="J1756" s="8">
        <v>2</v>
      </c>
      <c r="K1756" s="9" t="s">
        <v>12</v>
      </c>
      <c r="L1756" s="24">
        <v>42237</v>
      </c>
      <c r="M1756" s="37" t="s">
        <v>191</v>
      </c>
      <c r="N1756" s="11">
        <v>11.75</v>
      </c>
      <c r="O1756" s="11">
        <v>3.05</v>
      </c>
      <c r="P1756" s="11">
        <v>1.2</v>
      </c>
      <c r="Q1756" s="11">
        <v>0.32500000000000001</v>
      </c>
      <c r="R1756" s="11">
        <v>2.2218399999999998</v>
      </c>
      <c r="S1756" s="38">
        <f t="shared" si="219"/>
        <v>2</v>
      </c>
      <c r="T1756" s="11">
        <v>16.3</v>
      </c>
      <c r="U1756" s="11">
        <v>2.5000000000000001E-2</v>
      </c>
      <c r="V1756" s="11">
        <v>0</v>
      </c>
      <c r="W1756" s="11">
        <v>0</v>
      </c>
      <c r="X1756" s="11">
        <v>2.3443100000000001</v>
      </c>
      <c r="Y1756" s="38">
        <f t="shared" si="220"/>
        <v>2.5</v>
      </c>
      <c r="Z1756" s="11">
        <v>0</v>
      </c>
      <c r="AA1756" s="11">
        <v>0</v>
      </c>
      <c r="AB1756" s="11">
        <f>SUM(N1756:Q1756)</f>
        <v>16.324999999999999</v>
      </c>
      <c r="AC1756" s="11">
        <v>0.98237099999999999</v>
      </c>
      <c r="AD1756" s="164">
        <v>4.3</v>
      </c>
      <c r="AE1756" s="11">
        <v>7.43</v>
      </c>
      <c r="AF1756" s="11">
        <f>(AD1756+AE1756*0.5)/(3.5*I1756*1000)*100</f>
        <v>1.4128825271470883E-2</v>
      </c>
      <c r="AG1756" s="38">
        <f t="shared" si="221"/>
        <v>0</v>
      </c>
      <c r="AH1756" s="11">
        <v>3.08</v>
      </c>
      <c r="AI1756" s="11">
        <f t="shared" si="223"/>
        <v>5.4294175715695961E-3</v>
      </c>
      <c r="AJ1756" s="11">
        <v>81</v>
      </c>
      <c r="AK1756" s="11">
        <f t="shared" si="222"/>
        <v>0.14278663094062899</v>
      </c>
      <c r="AL1756" s="11">
        <v>0</v>
      </c>
      <c r="AM1756" s="11">
        <f>AL1756/(3.5*I1756*1000)*100</f>
        <v>0</v>
      </c>
      <c r="AO1756" s="25"/>
      <c r="AP1756" s="25"/>
    </row>
    <row r="1757" spans="1:88" s="22" customFormat="1">
      <c r="A1757" s="1">
        <v>1024</v>
      </c>
      <c r="B1757" s="9" t="s">
        <v>1394</v>
      </c>
      <c r="C1757" s="9">
        <v>617</v>
      </c>
      <c r="D1757" s="8">
        <v>2074</v>
      </c>
      <c r="E1757" s="9">
        <v>102</v>
      </c>
      <c r="F1757" s="9" t="s">
        <v>1424</v>
      </c>
      <c r="G1757" s="20">
        <v>35580</v>
      </c>
      <c r="H1757" s="20">
        <v>52000</v>
      </c>
      <c r="I1757" s="35">
        <v>16.420000000000002</v>
      </c>
      <c r="J1757" s="9">
        <v>4</v>
      </c>
      <c r="K1757" s="9" t="s">
        <v>238</v>
      </c>
      <c r="L1757" s="18">
        <v>42128</v>
      </c>
      <c r="M1757" s="37" t="s">
        <v>191</v>
      </c>
      <c r="N1757" s="11">
        <v>10.106249999999999</v>
      </c>
      <c r="O1757" s="11">
        <v>4.2787499999999996</v>
      </c>
      <c r="P1757" s="11">
        <v>1.9950000000000001</v>
      </c>
      <c r="Q1757" s="11">
        <v>0.78749999999999998</v>
      </c>
      <c r="R1757" s="11">
        <v>2.5099999999999998</v>
      </c>
      <c r="S1757" s="38">
        <f t="shared" si="219"/>
        <v>2.5</v>
      </c>
      <c r="T1757" s="11">
        <v>14.62125</v>
      </c>
      <c r="U1757" s="11">
        <v>2.0212500000000002</v>
      </c>
      <c r="V1757" s="11">
        <v>0.44624999999999998</v>
      </c>
      <c r="W1757" s="11">
        <v>7.8750000000000001E-2</v>
      </c>
      <c r="X1757" s="11">
        <v>7.1246700000000001</v>
      </c>
      <c r="Y1757" s="38">
        <f t="shared" si="220"/>
        <v>7</v>
      </c>
      <c r="Z1757" s="11">
        <v>0</v>
      </c>
      <c r="AA1757" s="11">
        <v>0</v>
      </c>
      <c r="AB1757" s="11">
        <f>SUM(N1757:Q1757)</f>
        <v>17.1675</v>
      </c>
      <c r="AC1757" s="11">
        <v>1.29464</v>
      </c>
      <c r="AD1757" s="164">
        <v>0</v>
      </c>
      <c r="AE1757" s="11">
        <v>15.61</v>
      </c>
      <c r="AF1757" s="11">
        <f>(AD1757+AE1757*0.5)/(3.5*I1757*1000)*100</f>
        <v>1.3580998781973202E-2</v>
      </c>
      <c r="AG1757" s="38">
        <f t="shared" si="221"/>
        <v>0</v>
      </c>
      <c r="AH1757" s="11">
        <v>96.44</v>
      </c>
      <c r="AI1757" s="38">
        <f t="shared" si="223"/>
        <v>0.16780929180441967</v>
      </c>
      <c r="AJ1757" s="11">
        <v>30.66</v>
      </c>
      <c r="AK1757" s="38">
        <f t="shared" si="222"/>
        <v>5.334957369062119E-2</v>
      </c>
      <c r="AL1757" s="11">
        <v>0</v>
      </c>
      <c r="AM1757" s="38">
        <f>AL1757/(3.5*I1757*1000)*100</f>
        <v>0</v>
      </c>
      <c r="AN1757" s="25"/>
      <c r="AO1757" s="25">
        <f>AE1757*0.5</f>
        <v>7.8049999999999997</v>
      </c>
      <c r="AP1757" s="25">
        <f>(AD1757+AH1757+AJ1757+AL1757+AO1757)*I1757</f>
        <v>2215.1401000000001</v>
      </c>
      <c r="AQ1757" s="25"/>
      <c r="AR1757" s="25"/>
      <c r="AS1757" s="25">
        <f>SUM(N1757:Q1757)</f>
        <v>17.1675</v>
      </c>
      <c r="AT1757" s="25">
        <f>SUM(T1757:W1757)</f>
        <v>17.167499999999997</v>
      </c>
      <c r="AU1757" s="41"/>
      <c r="AV1757" s="41"/>
      <c r="AW1757" s="41"/>
    </row>
    <row r="1758" spans="1:88" s="22" customFormat="1">
      <c r="A1758" s="1">
        <v>1711</v>
      </c>
      <c r="B1758" s="34" t="s">
        <v>2308</v>
      </c>
      <c r="C1758" s="34">
        <v>422</v>
      </c>
      <c r="D1758" s="8">
        <v>315</v>
      </c>
      <c r="E1758" s="34">
        <v>200</v>
      </c>
      <c r="F1758" s="34" t="s">
        <v>2309</v>
      </c>
      <c r="G1758" s="58">
        <v>44551</v>
      </c>
      <c r="H1758" s="58" t="s">
        <v>2310</v>
      </c>
      <c r="I1758" s="21">
        <v>20.437999999999999</v>
      </c>
      <c r="J1758" s="9">
        <v>4</v>
      </c>
      <c r="K1758" s="34" t="s">
        <v>96</v>
      </c>
      <c r="L1758" s="10">
        <v>42229</v>
      </c>
      <c r="M1758" s="37" t="s">
        <v>191</v>
      </c>
      <c r="N1758" s="38">
        <v>10.7</v>
      </c>
      <c r="O1758" s="38">
        <v>5.46</v>
      </c>
      <c r="P1758" s="38">
        <v>3.01</v>
      </c>
      <c r="Q1758" s="38">
        <v>1.27</v>
      </c>
      <c r="R1758" s="38">
        <v>3.7509999999999999</v>
      </c>
      <c r="S1758" s="38">
        <f t="shared" si="219"/>
        <v>4</v>
      </c>
      <c r="T1758" s="38">
        <v>18.95</v>
      </c>
      <c r="U1758" s="38">
        <v>1.1000000000000001</v>
      </c>
      <c r="V1758" s="38">
        <v>0.38</v>
      </c>
      <c r="W1758" s="38">
        <v>0.03</v>
      </c>
      <c r="X1758" s="38">
        <v>6.2069999999999999</v>
      </c>
      <c r="Y1758" s="38">
        <f t="shared" si="220"/>
        <v>6</v>
      </c>
      <c r="Z1758" s="38">
        <v>0</v>
      </c>
      <c r="AA1758" s="38">
        <v>0</v>
      </c>
      <c r="AB1758" s="21">
        <v>20.437999999999999</v>
      </c>
      <c r="AC1758" s="38">
        <v>1.1639999999999999</v>
      </c>
      <c r="AD1758" s="39">
        <v>8.14</v>
      </c>
      <c r="AE1758" s="38">
        <v>2.8460000000000001</v>
      </c>
      <c r="AF1758" s="38">
        <f>(AD1758+AE1758*0.5)/(3.5*I1758*1000)*100</f>
        <v>1.3368655026351477E-2</v>
      </c>
      <c r="AG1758" s="38">
        <f t="shared" si="221"/>
        <v>0</v>
      </c>
      <c r="AH1758" s="38">
        <v>0</v>
      </c>
      <c r="AI1758" s="38">
        <f t="shared" si="223"/>
        <v>0</v>
      </c>
      <c r="AJ1758" s="38">
        <v>80.265000000000001</v>
      </c>
      <c r="AK1758" s="38">
        <f t="shared" si="222"/>
        <v>0.11220695343407937</v>
      </c>
      <c r="AL1758" s="38">
        <v>0</v>
      </c>
      <c r="AM1758" s="55">
        <v>0</v>
      </c>
      <c r="AO1758" s="22">
        <f>AE1758*0.5</f>
        <v>1.423</v>
      </c>
      <c r="AP1758" s="41">
        <f>(AD1758+AH1758+AJ1758+AL1758+AO1758)*I1758</f>
        <v>1835.9046639999999</v>
      </c>
      <c r="AQ1758" s="25">
        <f>SUM(N1758:Q1758)</f>
        <v>20.440000000000001</v>
      </c>
      <c r="AR1758" s="25">
        <f>SUM(T1758:W1758)</f>
        <v>20.46</v>
      </c>
      <c r="AS1758" s="271">
        <v>20.437999999999999</v>
      </c>
      <c r="AU1758" s="25">
        <f>AS1758-AQ1758</f>
        <v>-2.0000000000024443E-3</v>
      </c>
      <c r="AV1758" s="41">
        <f>SUM(N1758:Q1758)</f>
        <v>20.440000000000001</v>
      </c>
      <c r="AW1758" s="41">
        <f>SUM(T1758:W1758)</f>
        <v>20.46</v>
      </c>
      <c r="AX1758" s="41">
        <f>SUM(Z1758:AB1758)</f>
        <v>20.437999999999999</v>
      </c>
      <c r="AZ1758" s="22">
        <f>I1758/AV1758</f>
        <v>0.99990215264187854</v>
      </c>
      <c r="BA1758" s="22">
        <f>I1758/AW1758</f>
        <v>0.99892473118279557</v>
      </c>
      <c r="BB1758" s="22">
        <f>I1758/AX1758</f>
        <v>1</v>
      </c>
    </row>
    <row r="1759" spans="1:88" s="22" customFormat="1">
      <c r="A1759" s="1">
        <v>1419</v>
      </c>
      <c r="B1759" s="34" t="s">
        <v>1957</v>
      </c>
      <c r="C1759" s="34">
        <v>447</v>
      </c>
      <c r="D1759" s="75">
        <v>3265</v>
      </c>
      <c r="E1759" s="69">
        <v>100</v>
      </c>
      <c r="F1759" s="184" t="s">
        <v>1971</v>
      </c>
      <c r="G1759" s="20">
        <v>11812</v>
      </c>
      <c r="H1759" s="77">
        <v>0</v>
      </c>
      <c r="I1759" s="21">
        <v>11.811999999999999</v>
      </c>
      <c r="J1759" s="8">
        <v>2</v>
      </c>
      <c r="K1759" s="34" t="s">
        <v>12</v>
      </c>
      <c r="L1759" s="10">
        <v>42216</v>
      </c>
      <c r="M1759" s="37" t="s">
        <v>191</v>
      </c>
      <c r="N1759" s="38">
        <v>8.6999999999999993</v>
      </c>
      <c r="O1759" s="38">
        <v>1.9</v>
      </c>
      <c r="P1759" s="38">
        <v>0.72499999999999998</v>
      </c>
      <c r="Q1759" s="38">
        <v>0.47499999999999998</v>
      </c>
      <c r="R1759" s="38">
        <v>2.6614200000000001</v>
      </c>
      <c r="S1759" s="38">
        <f t="shared" si="219"/>
        <v>2.5</v>
      </c>
      <c r="T1759" s="38">
        <v>11.5</v>
      </c>
      <c r="U1759" s="38">
        <v>0.3</v>
      </c>
      <c r="V1759" s="38">
        <v>0</v>
      </c>
      <c r="W1759" s="38">
        <v>0</v>
      </c>
      <c r="X1759" s="38">
        <v>2.9265599999999998</v>
      </c>
      <c r="Y1759" s="38">
        <f t="shared" si="220"/>
        <v>3</v>
      </c>
      <c r="Z1759" s="38">
        <v>0</v>
      </c>
      <c r="AA1759" s="38">
        <v>0</v>
      </c>
      <c r="AB1759" s="38">
        <v>11.799999999999999</v>
      </c>
      <c r="AC1759" s="38">
        <v>1.27254</v>
      </c>
      <c r="AD1759" s="39">
        <v>0</v>
      </c>
      <c r="AE1759" s="38">
        <v>11</v>
      </c>
      <c r="AF1759" s="38">
        <v>1.3303662135358716E-2</v>
      </c>
      <c r="AG1759" s="38">
        <f t="shared" si="221"/>
        <v>0</v>
      </c>
      <c r="AH1759" s="38">
        <v>0</v>
      </c>
      <c r="AI1759" s="38">
        <f t="shared" si="223"/>
        <v>0</v>
      </c>
      <c r="AJ1759" s="38">
        <v>0</v>
      </c>
      <c r="AK1759" s="38">
        <f t="shared" si="222"/>
        <v>0</v>
      </c>
      <c r="AL1759" s="38">
        <v>0</v>
      </c>
      <c r="AM1759" s="38">
        <f>AL1759/(3.5*I1759*1000)*100</f>
        <v>0</v>
      </c>
      <c r="AN1759" s="41"/>
    </row>
    <row r="1760" spans="1:88" s="22" customFormat="1">
      <c r="A1760" s="1">
        <v>94</v>
      </c>
      <c r="B1760" s="4" t="s">
        <v>61</v>
      </c>
      <c r="C1760" s="14">
        <v>526</v>
      </c>
      <c r="D1760" s="19">
        <v>1095</v>
      </c>
      <c r="E1760" s="16">
        <v>203</v>
      </c>
      <c r="F1760" s="14" t="s">
        <v>69</v>
      </c>
      <c r="G1760" s="27" t="s">
        <v>157</v>
      </c>
      <c r="H1760" s="27" t="s">
        <v>158</v>
      </c>
      <c r="I1760" s="28">
        <v>55.15</v>
      </c>
      <c r="J1760" s="16">
        <v>2</v>
      </c>
      <c r="K1760" s="14" t="s">
        <v>238</v>
      </c>
      <c r="L1760" s="29">
        <v>42243</v>
      </c>
      <c r="M1760" s="246" t="s">
        <v>191</v>
      </c>
      <c r="N1760" s="30">
        <v>12.03</v>
      </c>
      <c r="O1760" s="30">
        <v>17.11</v>
      </c>
      <c r="P1760" s="30">
        <v>15.09</v>
      </c>
      <c r="Q1760" s="30">
        <v>10.92</v>
      </c>
      <c r="R1760" s="30">
        <v>3.8606500000000001</v>
      </c>
      <c r="S1760" s="38">
        <f t="shared" si="219"/>
        <v>4</v>
      </c>
      <c r="T1760" s="30">
        <v>49.49</v>
      </c>
      <c r="U1760" s="30">
        <v>3.97</v>
      </c>
      <c r="V1760" s="30">
        <v>1.1100000000000001</v>
      </c>
      <c r="W1760" s="30">
        <v>0.57999999999999996</v>
      </c>
      <c r="X1760" s="30">
        <v>4.5766799999999996</v>
      </c>
      <c r="Y1760" s="38">
        <f t="shared" si="220"/>
        <v>4.5</v>
      </c>
      <c r="Z1760" s="30">
        <v>0</v>
      </c>
      <c r="AA1760" s="30">
        <v>0</v>
      </c>
      <c r="AB1760" s="30">
        <v>55.15</v>
      </c>
      <c r="AC1760" s="30">
        <v>1.41753</v>
      </c>
      <c r="AD1760" s="256">
        <v>25.62</v>
      </c>
      <c r="AE1760" s="30">
        <v>0</v>
      </c>
      <c r="AF1760" s="30">
        <f>(AD1760+AE1760*0.5)/(3.5*I1760*1000)*100</f>
        <v>1.327289211242067E-2</v>
      </c>
      <c r="AG1760" s="38">
        <f t="shared" si="221"/>
        <v>0</v>
      </c>
      <c r="AH1760" s="30">
        <v>16.32</v>
      </c>
      <c r="AI1760" s="30">
        <f t="shared" si="223"/>
        <v>8.4548633596684374E-3</v>
      </c>
      <c r="AJ1760" s="30">
        <v>0</v>
      </c>
      <c r="AK1760" s="30">
        <f t="shared" si="222"/>
        <v>0</v>
      </c>
      <c r="AL1760" s="30">
        <v>0</v>
      </c>
      <c r="AM1760" s="30">
        <f>AL1760/(3.5*I1760*1000)*100</f>
        <v>0</v>
      </c>
      <c r="AO1760" s="25"/>
      <c r="AP1760" s="25">
        <f>N1760+O1760+P1760+Q1760</f>
        <v>55.150000000000006</v>
      </c>
      <c r="AQ1760" s="25">
        <f>T1760+U1760+V1760+W1760</f>
        <v>55.15</v>
      </c>
      <c r="AR1760" s="25">
        <f>Z1760+AA1760+AB1760</f>
        <v>55.15</v>
      </c>
      <c r="AT1760" s="22">
        <f>I1760/AP1760</f>
        <v>0.99999999999999989</v>
      </c>
      <c r="AU1760" s="22">
        <f>I1760/AQ1760</f>
        <v>1</v>
      </c>
      <c r="AV1760" s="22">
        <f>I1760/AR1760</f>
        <v>1</v>
      </c>
    </row>
    <row r="1761" spans="1:88" s="22" customFormat="1">
      <c r="A1761" s="1">
        <v>840</v>
      </c>
      <c r="B1761" s="34" t="s">
        <v>1231</v>
      </c>
      <c r="C1761" s="34">
        <v>615</v>
      </c>
      <c r="D1761" s="34">
        <v>24</v>
      </c>
      <c r="E1761" s="34">
        <v>403</v>
      </c>
      <c r="F1761" s="34" t="s">
        <v>1234</v>
      </c>
      <c r="G1761" s="58">
        <v>262609</v>
      </c>
      <c r="H1761" s="58">
        <v>240719</v>
      </c>
      <c r="I1761" s="35">
        <v>21.89</v>
      </c>
      <c r="J1761" s="9">
        <v>4</v>
      </c>
      <c r="K1761" s="34" t="s">
        <v>12</v>
      </c>
      <c r="L1761" s="10">
        <v>42134</v>
      </c>
      <c r="M1761" s="37" t="s">
        <v>191</v>
      </c>
      <c r="N1761" s="38">
        <v>15.225</v>
      </c>
      <c r="O1761" s="38">
        <v>2.9</v>
      </c>
      <c r="P1761" s="38">
        <v>2.4249999999999998</v>
      </c>
      <c r="Q1761" s="38">
        <v>1.2749999999999999</v>
      </c>
      <c r="R1761" s="38">
        <v>2.2186900000000001</v>
      </c>
      <c r="S1761" s="38">
        <f t="shared" si="219"/>
        <v>2</v>
      </c>
      <c r="T1761" s="38">
        <v>20.024999999999999</v>
      </c>
      <c r="U1761" s="38">
        <v>1.4</v>
      </c>
      <c r="V1761" s="38">
        <v>0.27500000000000002</v>
      </c>
      <c r="W1761" s="38">
        <v>0.125</v>
      </c>
      <c r="X1761" s="38">
        <v>4.5000200000000001</v>
      </c>
      <c r="Y1761" s="38">
        <f t="shared" si="220"/>
        <v>4.5</v>
      </c>
      <c r="Z1761" s="38">
        <v>0</v>
      </c>
      <c r="AA1761" s="38">
        <v>0</v>
      </c>
      <c r="AB1761" s="38">
        <f>N1761+O1761+P1761+Q1761</f>
        <v>21.824999999999999</v>
      </c>
      <c r="AC1761" s="38">
        <v>1.13839</v>
      </c>
      <c r="AD1761" s="39">
        <v>9.74</v>
      </c>
      <c r="AE1761" s="38">
        <v>0.82</v>
      </c>
      <c r="AF1761" s="38">
        <v>1.325E-2</v>
      </c>
      <c r="AG1761" s="38">
        <f t="shared" si="221"/>
        <v>0</v>
      </c>
      <c r="AH1761" s="38">
        <v>34.69</v>
      </c>
      <c r="AI1761" s="38">
        <v>4.5280000000000001E-2</v>
      </c>
      <c r="AJ1761" s="38">
        <v>0</v>
      </c>
      <c r="AK1761" s="38">
        <v>0</v>
      </c>
      <c r="AL1761" s="38">
        <v>0</v>
      </c>
      <c r="AM1761" s="38">
        <v>0</v>
      </c>
      <c r="AN1761" s="25"/>
      <c r="AO1761" s="25">
        <f>AE1761*0.5</f>
        <v>0.41</v>
      </c>
      <c r="AP1761" s="25">
        <f>(AD1761+AH1761+AJ1761+AL1761+AO1761)*I1761</f>
        <v>981.54759999999999</v>
      </c>
      <c r="AQ1761" s="25">
        <f>SUM(N1761:Q1761)</f>
        <v>21.824999999999999</v>
      </c>
      <c r="AR1761" s="25">
        <f>SUM(T1761:W1761)</f>
        <v>21.824999999999996</v>
      </c>
      <c r="AS1761" s="268">
        <v>21.89</v>
      </c>
      <c r="AT1761" s="41"/>
      <c r="AU1761" s="41"/>
      <c r="AV1761" s="41"/>
      <c r="AW1761" s="41"/>
    </row>
    <row r="1762" spans="1:88" s="22" customFormat="1">
      <c r="A1762" s="1">
        <v>1957</v>
      </c>
      <c r="B1762" s="34" t="s">
        <v>2586</v>
      </c>
      <c r="C1762" s="34">
        <v>321</v>
      </c>
      <c r="D1762" s="75">
        <v>4103</v>
      </c>
      <c r="E1762" s="8">
        <v>101</v>
      </c>
      <c r="F1762" s="34" t="s">
        <v>2601</v>
      </c>
      <c r="G1762" s="58">
        <v>13699</v>
      </c>
      <c r="H1762" s="58">
        <v>0</v>
      </c>
      <c r="I1762" s="21">
        <v>13.699</v>
      </c>
      <c r="J1762" s="8">
        <v>4</v>
      </c>
      <c r="K1762" s="8" t="s">
        <v>12</v>
      </c>
      <c r="L1762" s="18">
        <v>42124</v>
      </c>
      <c r="M1762" s="37" t="s">
        <v>191</v>
      </c>
      <c r="N1762" s="38">
        <v>8.6750000000000007</v>
      </c>
      <c r="O1762" s="38">
        <v>3.375</v>
      </c>
      <c r="P1762" s="38">
        <v>1.4</v>
      </c>
      <c r="Q1762" s="38">
        <v>0.15</v>
      </c>
      <c r="R1762" s="38">
        <v>2.3628100000000001</v>
      </c>
      <c r="S1762" s="38">
        <f t="shared" si="219"/>
        <v>2.5</v>
      </c>
      <c r="T1762" s="38">
        <v>13.2</v>
      </c>
      <c r="U1762" s="38">
        <v>0.35</v>
      </c>
      <c r="V1762" s="38">
        <v>0.05</v>
      </c>
      <c r="W1762" s="38">
        <v>0</v>
      </c>
      <c r="X1762" s="38">
        <v>3.3313799999999998</v>
      </c>
      <c r="Y1762" s="38">
        <f t="shared" si="220"/>
        <v>3.5</v>
      </c>
      <c r="Z1762" s="38">
        <v>0</v>
      </c>
      <c r="AA1762" s="38">
        <v>0</v>
      </c>
      <c r="AB1762" s="38">
        <v>13.6</v>
      </c>
      <c r="AC1762" s="38">
        <v>1.0727199999999999</v>
      </c>
      <c r="AD1762" s="39">
        <v>6.35</v>
      </c>
      <c r="AE1762" s="38">
        <v>0</v>
      </c>
      <c r="AF1762" s="38">
        <f>(AD1762+AE1762*0.5)/(3.5*I1762*1000)*100</f>
        <v>1.3243928128226253E-2</v>
      </c>
      <c r="AG1762" s="38">
        <f t="shared" si="221"/>
        <v>0</v>
      </c>
      <c r="AH1762" s="38">
        <v>23.98</v>
      </c>
      <c r="AI1762" s="38">
        <f>AH1762/(3.5*I1762*1000)*100</f>
        <v>5.001407819131741E-2</v>
      </c>
      <c r="AJ1762" s="38">
        <v>2.37</v>
      </c>
      <c r="AK1762" s="38">
        <v>4.9430093958891686E-3</v>
      </c>
      <c r="AL1762" s="38">
        <v>0</v>
      </c>
      <c r="AM1762" s="38">
        <f>AL1762/(3.5*I1762*1000)*100</f>
        <v>0</v>
      </c>
      <c r="AN1762" s="73"/>
      <c r="AO1762" s="72"/>
      <c r="AP1762" s="41"/>
      <c r="AQ1762" s="41"/>
      <c r="AR1762" s="73"/>
      <c r="AS1762" s="73"/>
      <c r="AT1762" s="73"/>
      <c r="AU1762" s="73"/>
      <c r="AV1762" s="73"/>
      <c r="AW1762" s="73"/>
      <c r="AX1762" s="73"/>
      <c r="AY1762" s="73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</row>
    <row r="1763" spans="1:88" s="22" customFormat="1">
      <c r="A1763" s="1">
        <v>1888</v>
      </c>
      <c r="B1763" s="34" t="s">
        <v>2495</v>
      </c>
      <c r="C1763" s="34">
        <v>335</v>
      </c>
      <c r="D1763" s="75">
        <v>3526</v>
      </c>
      <c r="E1763" s="8">
        <v>100</v>
      </c>
      <c r="F1763" s="9" t="s">
        <v>2523</v>
      </c>
      <c r="G1763" s="20">
        <v>0</v>
      </c>
      <c r="H1763" s="20">
        <v>3245</v>
      </c>
      <c r="I1763" s="21">
        <v>3.2450000000000001</v>
      </c>
      <c r="J1763" s="34">
        <v>2</v>
      </c>
      <c r="K1763" s="34" t="s">
        <v>238</v>
      </c>
      <c r="L1763" s="18">
        <v>42093</v>
      </c>
      <c r="M1763" s="247" t="s">
        <v>191</v>
      </c>
      <c r="N1763" s="38">
        <v>3.01</v>
      </c>
      <c r="O1763" s="38">
        <v>0.21</v>
      </c>
      <c r="P1763" s="38">
        <v>0.02</v>
      </c>
      <c r="Q1763" s="38">
        <v>0</v>
      </c>
      <c r="R1763" s="38">
        <v>1.81647</v>
      </c>
      <c r="S1763" s="38">
        <f t="shared" si="219"/>
        <v>2</v>
      </c>
      <c r="T1763" s="38">
        <v>3.24</v>
      </c>
      <c r="U1763" s="38">
        <v>0</v>
      </c>
      <c r="V1763" s="38">
        <v>0</v>
      </c>
      <c r="W1763" s="38">
        <v>0</v>
      </c>
      <c r="X1763" s="38">
        <v>0.90361499999999995</v>
      </c>
      <c r="Y1763" s="38">
        <f t="shared" si="220"/>
        <v>1</v>
      </c>
      <c r="Z1763" s="38">
        <v>0</v>
      </c>
      <c r="AA1763" s="38">
        <v>0</v>
      </c>
      <c r="AB1763" s="38">
        <v>3.25</v>
      </c>
      <c r="AC1763" s="38">
        <v>1.0708800000000001</v>
      </c>
      <c r="AD1763" s="39">
        <v>0.35</v>
      </c>
      <c r="AE1763" s="38">
        <v>2.2999999999999998</v>
      </c>
      <c r="AF1763" s="38">
        <f>(AD1763+AE1763*0.5)/(3.5*I1763*1000)*100</f>
        <v>1.3207131851199648E-2</v>
      </c>
      <c r="AG1763" s="38">
        <f t="shared" si="221"/>
        <v>0</v>
      </c>
      <c r="AH1763" s="38">
        <v>0</v>
      </c>
      <c r="AI1763" s="38">
        <f>AH1763/(3.5*I1763*1000)*100</f>
        <v>0</v>
      </c>
      <c r="AJ1763" s="38">
        <v>0</v>
      </c>
      <c r="AK1763" s="38">
        <f>AJ1763/(3.5*I1763*1000)*100</f>
        <v>0</v>
      </c>
      <c r="AL1763" s="38">
        <v>0</v>
      </c>
      <c r="AM1763" s="38">
        <f>AL1763/(3.5*I1763*1000)*100</f>
        <v>0</v>
      </c>
      <c r="AN1763" s="73"/>
      <c r="AO1763" s="73"/>
      <c r="AP1763" s="73"/>
      <c r="AQ1763" s="41">
        <f>SUM(N1763:Q1763)</f>
        <v>3.2399999999999998</v>
      </c>
      <c r="AR1763" s="41">
        <f>SUM(T1763:W1763)</f>
        <v>3.24</v>
      </c>
      <c r="AS1763" s="12">
        <f>SUM(Z1763:AB1763)</f>
        <v>3.25</v>
      </c>
      <c r="AT1763" s="1"/>
      <c r="AU1763" s="1">
        <f>I1763/AQ1763</f>
        <v>1.0015432098765433</v>
      </c>
      <c r="AV1763" s="1">
        <f>I1763/AR1763</f>
        <v>1.0015432098765431</v>
      </c>
      <c r="AW1763" s="1">
        <f>I1763/AS1763</f>
        <v>0.99846153846153851</v>
      </c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</row>
    <row r="1764" spans="1:88" s="22" customFormat="1">
      <c r="A1764" s="1">
        <v>1435</v>
      </c>
      <c r="B1764" s="34" t="s">
        <v>1987</v>
      </c>
      <c r="C1764" s="34">
        <v>448</v>
      </c>
      <c r="D1764" s="75">
        <v>32</v>
      </c>
      <c r="E1764" s="69">
        <v>201</v>
      </c>
      <c r="F1764" s="34" t="s">
        <v>1988</v>
      </c>
      <c r="G1764" s="20">
        <v>49087</v>
      </c>
      <c r="H1764" s="20">
        <v>26000</v>
      </c>
      <c r="I1764" s="21">
        <v>23.087</v>
      </c>
      <c r="J1764" s="8">
        <v>8</v>
      </c>
      <c r="K1764" s="34" t="s">
        <v>672</v>
      </c>
      <c r="L1764" s="10">
        <v>42182</v>
      </c>
      <c r="M1764" s="37" t="s">
        <v>191</v>
      </c>
      <c r="N1764" s="38">
        <v>19.375</v>
      </c>
      <c r="O1764" s="38">
        <v>3.15</v>
      </c>
      <c r="P1764" s="38">
        <v>0.92500000000000004</v>
      </c>
      <c r="Q1764" s="38">
        <v>0.27500000000000002</v>
      </c>
      <c r="R1764" s="38">
        <v>2.0150000000000001</v>
      </c>
      <c r="S1764" s="38">
        <f t="shared" si="219"/>
        <v>2</v>
      </c>
      <c r="T1764" s="38">
        <v>21.024999999999999</v>
      </c>
      <c r="U1764" s="38">
        <v>1.7749999999999999</v>
      </c>
      <c r="V1764" s="38">
        <v>0.92500000000000004</v>
      </c>
      <c r="W1764" s="38">
        <v>0</v>
      </c>
      <c r="X1764" s="38">
        <v>5.1829999999999998</v>
      </c>
      <c r="Y1764" s="38">
        <f t="shared" si="220"/>
        <v>5</v>
      </c>
      <c r="Z1764" s="38">
        <v>0</v>
      </c>
      <c r="AA1764" s="38">
        <v>0</v>
      </c>
      <c r="AB1764" s="38">
        <v>23.724999999999998</v>
      </c>
      <c r="AC1764" s="38">
        <v>1.169</v>
      </c>
      <c r="AD1764" s="39">
        <v>0</v>
      </c>
      <c r="AE1764" s="38">
        <v>21.32</v>
      </c>
      <c r="AF1764" s="38">
        <f>(AD1764+AE1764*0.5)/(3.5*I1764*1000)*100</f>
        <v>1.3192334585326312E-2</v>
      </c>
      <c r="AG1764" s="38">
        <f t="shared" si="221"/>
        <v>0</v>
      </c>
      <c r="AH1764" s="38">
        <v>36.32</v>
      </c>
      <c r="AI1764" s="38">
        <f>AH1764/(3.5*I1764*1000)*100</f>
        <v>4.4947991757884775E-2</v>
      </c>
      <c r="AJ1764" s="38">
        <v>15.6</v>
      </c>
      <c r="AK1764" s="38">
        <f>AJ1764/(3.5*I1764*1000)*100</f>
        <v>1.9305855490721432E-2</v>
      </c>
      <c r="AL1764" s="38">
        <v>0</v>
      </c>
      <c r="AM1764" s="38">
        <f>AL1764/(3.5*I1764*1000)*100</f>
        <v>0</v>
      </c>
      <c r="AN1764" s="72"/>
      <c r="AO1764" s="41"/>
      <c r="AP1764" s="41"/>
      <c r="AQ1764" s="73"/>
      <c r="AR1764" s="73"/>
      <c r="AS1764" s="73"/>
      <c r="AT1764" s="73"/>
      <c r="AU1764" s="73"/>
      <c r="AV1764" s="73"/>
    </row>
    <row r="1765" spans="1:88" s="22" customFormat="1">
      <c r="A1765" s="1">
        <v>1330</v>
      </c>
      <c r="B1765" s="74" t="s">
        <v>1851</v>
      </c>
      <c r="C1765" s="34">
        <v>444</v>
      </c>
      <c r="D1765" s="75">
        <v>3229</v>
      </c>
      <c r="E1765" s="69">
        <v>102</v>
      </c>
      <c r="F1765" s="34" t="s">
        <v>1876</v>
      </c>
      <c r="G1765" s="20">
        <v>18572</v>
      </c>
      <c r="H1765" s="20">
        <v>52388</v>
      </c>
      <c r="I1765" s="21">
        <v>33.816000000000003</v>
      </c>
      <c r="J1765" s="8">
        <v>2</v>
      </c>
      <c r="K1765" s="34" t="s">
        <v>238</v>
      </c>
      <c r="L1765" s="10">
        <v>42213</v>
      </c>
      <c r="M1765" s="37" t="s">
        <v>191</v>
      </c>
      <c r="N1765" s="38">
        <v>23.65</v>
      </c>
      <c r="O1765" s="38">
        <v>6.2249999999999996</v>
      </c>
      <c r="P1765" s="38">
        <v>1.7749999999999999</v>
      </c>
      <c r="Q1765" s="38">
        <v>2.2250000000000001</v>
      </c>
      <c r="R1765" s="38">
        <v>2.89838</v>
      </c>
      <c r="S1765" s="38">
        <f t="shared" si="219"/>
        <v>3</v>
      </c>
      <c r="T1765" s="38">
        <v>33.4</v>
      </c>
      <c r="U1765" s="38">
        <v>0.375</v>
      </c>
      <c r="V1765" s="38">
        <v>0.1</v>
      </c>
      <c r="W1765" s="38">
        <v>0</v>
      </c>
      <c r="X1765" s="38">
        <v>2.2758099999999999</v>
      </c>
      <c r="Y1765" s="38">
        <f t="shared" si="220"/>
        <v>2.5</v>
      </c>
      <c r="Z1765" s="38">
        <v>0</v>
      </c>
      <c r="AA1765" s="38">
        <v>0</v>
      </c>
      <c r="AB1765" s="38">
        <v>33.875</v>
      </c>
      <c r="AC1765" s="38">
        <v>1.24821</v>
      </c>
      <c r="AD1765" s="39">
        <v>13</v>
      </c>
      <c r="AE1765" s="38">
        <v>5</v>
      </c>
      <c r="AF1765" s="38">
        <v>1.3096083003818985E-2</v>
      </c>
      <c r="AG1765" s="38">
        <f t="shared" si="221"/>
        <v>0</v>
      </c>
      <c r="AH1765" s="38">
        <v>0</v>
      </c>
      <c r="AI1765" s="38">
        <v>0</v>
      </c>
      <c r="AJ1765" s="38">
        <v>0</v>
      </c>
      <c r="AK1765" s="38">
        <v>0</v>
      </c>
      <c r="AL1765" s="38">
        <v>0</v>
      </c>
      <c r="AM1765" s="38">
        <v>0</v>
      </c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</row>
    <row r="1766" spans="1:88" s="22" customFormat="1">
      <c r="A1766" s="1">
        <v>1495</v>
      </c>
      <c r="B1766" s="34" t="s">
        <v>2016</v>
      </c>
      <c r="C1766" s="34">
        <v>411</v>
      </c>
      <c r="D1766" s="69">
        <v>3902</v>
      </c>
      <c r="E1766" s="34">
        <v>602</v>
      </c>
      <c r="F1766" s="34" t="s">
        <v>2057</v>
      </c>
      <c r="G1766" s="58" t="s">
        <v>2061</v>
      </c>
      <c r="H1766" s="58" t="s">
        <v>2062</v>
      </c>
      <c r="I1766" s="35">
        <v>3.6179999999999999</v>
      </c>
      <c r="J1766" s="34">
        <v>2</v>
      </c>
      <c r="K1766" s="34" t="s">
        <v>12</v>
      </c>
      <c r="L1766" s="10">
        <v>42248</v>
      </c>
      <c r="M1766" s="37" t="s">
        <v>191</v>
      </c>
      <c r="N1766" s="38">
        <v>1.325</v>
      </c>
      <c r="O1766" s="38">
        <v>1.05</v>
      </c>
      <c r="P1766" s="38">
        <v>1.0249999999999999</v>
      </c>
      <c r="Q1766" s="38">
        <v>0.45</v>
      </c>
      <c r="R1766" s="38">
        <v>3.2829999999999999</v>
      </c>
      <c r="S1766" s="38">
        <f t="shared" si="219"/>
        <v>3.5</v>
      </c>
      <c r="T1766" s="38">
        <v>3.7</v>
      </c>
      <c r="U1766" s="38">
        <v>0.15</v>
      </c>
      <c r="V1766" s="38">
        <v>0</v>
      </c>
      <c r="W1766" s="38">
        <v>0</v>
      </c>
      <c r="X1766" s="38">
        <v>5.22</v>
      </c>
      <c r="Y1766" s="38">
        <f t="shared" si="220"/>
        <v>5</v>
      </c>
      <c r="Z1766" s="38">
        <v>0</v>
      </c>
      <c r="AA1766" s="38">
        <v>0</v>
      </c>
      <c r="AB1766" s="38">
        <f>SUM(T1766:W1766)</f>
        <v>3.85</v>
      </c>
      <c r="AC1766" s="38">
        <v>1.1359999999999999</v>
      </c>
      <c r="AD1766" s="39">
        <v>0</v>
      </c>
      <c r="AE1766" s="38">
        <v>3.3</v>
      </c>
      <c r="AF1766" s="38">
        <f t="shared" ref="AF1766:AF1771" si="224">(AD1766+AE1766*0.5)/(3.5*I1766*1000)*100</f>
        <v>1.303008765695333E-2</v>
      </c>
      <c r="AG1766" s="38">
        <f t="shared" si="221"/>
        <v>0</v>
      </c>
      <c r="AH1766" s="38">
        <v>125</v>
      </c>
      <c r="AI1766" s="38">
        <f t="shared" ref="AI1766:AI1771" si="225">AH1766/(3.5*I1766*1000)*100</f>
        <v>0.98712785279949455</v>
      </c>
      <c r="AJ1766" s="38">
        <v>167.58</v>
      </c>
      <c r="AK1766" s="38">
        <f t="shared" ref="AK1766:AK1771" si="226">AJ1766/(3.5*I1766*1000)*100</f>
        <v>1.3233830845771146</v>
      </c>
      <c r="AL1766" s="38">
        <v>6</v>
      </c>
      <c r="AM1766" s="38">
        <f t="shared" ref="AM1766:AM1771" si="227">AL1766/(3.5*I1766*1000)*100</f>
        <v>4.7382136934375742E-2</v>
      </c>
      <c r="AN1766" s="60"/>
      <c r="AO1766" s="60">
        <f>AE1766*0.5</f>
        <v>1.65</v>
      </c>
      <c r="AP1766" s="60">
        <f>(AD1766+AH1766+AJ1766+AL1766+AO1766)*I1766</f>
        <v>1086.2321400000001</v>
      </c>
      <c r="AQ1766" s="60"/>
      <c r="AR1766" s="60">
        <f>SUM(N1766:Q1766)</f>
        <v>3.85</v>
      </c>
      <c r="AS1766" s="60">
        <f>SUM(T1766:W1766)</f>
        <v>3.85</v>
      </c>
      <c r="AT1766" s="60"/>
      <c r="AU1766" s="61"/>
      <c r="AV1766" s="40"/>
      <c r="AW1766" s="40"/>
      <c r="AX1766" s="40"/>
      <c r="AY1766" s="40"/>
      <c r="AZ1766" s="61"/>
      <c r="BA1766" s="61"/>
      <c r="BB1766" s="61"/>
      <c r="BC1766" s="61"/>
      <c r="BD1766" s="61"/>
      <c r="BE1766" s="61"/>
      <c r="BF1766" s="61"/>
      <c r="BG1766" s="61"/>
      <c r="BH1766" s="61"/>
      <c r="BI1766" s="61"/>
      <c r="BJ1766" s="61"/>
      <c r="BK1766" s="61"/>
      <c r="BL1766" s="61"/>
      <c r="BM1766" s="61"/>
      <c r="BN1766" s="61"/>
      <c r="BO1766" s="61"/>
      <c r="BP1766" s="61"/>
      <c r="BQ1766" s="61"/>
      <c r="BR1766" s="61"/>
      <c r="BS1766" s="61"/>
      <c r="BT1766" s="61"/>
      <c r="BU1766" s="61"/>
      <c r="BV1766" s="61"/>
      <c r="BW1766" s="61"/>
      <c r="BX1766" s="61"/>
      <c r="BY1766" s="61"/>
      <c r="BZ1766" s="61"/>
      <c r="CA1766" s="61"/>
      <c r="CB1766" s="61"/>
      <c r="CC1766" s="61"/>
      <c r="CD1766" s="61"/>
      <c r="CE1766" s="61"/>
      <c r="CF1766" s="61"/>
      <c r="CG1766" s="61"/>
      <c r="CH1766" s="61"/>
      <c r="CI1766" s="61"/>
      <c r="CJ1766" s="61"/>
    </row>
    <row r="1767" spans="1:88" s="22" customFormat="1">
      <c r="A1767" s="1">
        <v>1671</v>
      </c>
      <c r="B1767" s="34" t="s">
        <v>2272</v>
      </c>
      <c r="C1767" s="34">
        <v>419</v>
      </c>
      <c r="D1767" s="69">
        <v>338</v>
      </c>
      <c r="E1767" s="34">
        <v>101</v>
      </c>
      <c r="F1767" s="34" t="s">
        <v>2276</v>
      </c>
      <c r="G1767" s="58">
        <v>0</v>
      </c>
      <c r="H1767" s="58">
        <v>15111</v>
      </c>
      <c r="I1767" s="35">
        <v>15.111000000000001</v>
      </c>
      <c r="J1767" s="34">
        <v>10</v>
      </c>
      <c r="K1767" s="34" t="s">
        <v>237</v>
      </c>
      <c r="L1767" s="10">
        <v>42243</v>
      </c>
      <c r="M1767" s="37" t="s">
        <v>191</v>
      </c>
      <c r="N1767" s="55">
        <v>4.5250000000000004</v>
      </c>
      <c r="O1767" s="55">
        <v>6.6</v>
      </c>
      <c r="P1767" s="55">
        <v>3.1</v>
      </c>
      <c r="Q1767" s="55">
        <v>0.875</v>
      </c>
      <c r="R1767" s="55">
        <v>3.02</v>
      </c>
      <c r="S1767" s="38">
        <f t="shared" si="219"/>
        <v>3</v>
      </c>
      <c r="T1767" s="38">
        <v>14.574999999999999</v>
      </c>
      <c r="U1767" s="38">
        <v>0.47499999999999998</v>
      </c>
      <c r="V1767" s="38">
        <v>0.05</v>
      </c>
      <c r="W1767" s="38">
        <v>0</v>
      </c>
      <c r="X1767" s="38">
        <v>4.7880000000000003</v>
      </c>
      <c r="Y1767" s="38">
        <f t="shared" si="220"/>
        <v>5</v>
      </c>
      <c r="Z1767" s="38">
        <v>0</v>
      </c>
      <c r="AA1767" s="38">
        <v>0</v>
      </c>
      <c r="AB1767" s="38">
        <f>SUM(N1767:Q1767)</f>
        <v>15.1</v>
      </c>
      <c r="AC1767" s="38">
        <v>1.1890000000000001</v>
      </c>
      <c r="AD1767" s="39">
        <v>0</v>
      </c>
      <c r="AE1767" s="38">
        <v>13.7</v>
      </c>
      <c r="AF1767" s="38">
        <f t="shared" si="224"/>
        <v>1.2951775905915274E-2</v>
      </c>
      <c r="AG1767" s="38">
        <f t="shared" si="221"/>
        <v>0</v>
      </c>
      <c r="AH1767" s="38">
        <v>0</v>
      </c>
      <c r="AI1767" s="38">
        <f t="shared" si="225"/>
        <v>0</v>
      </c>
      <c r="AJ1767" s="38">
        <v>3.41</v>
      </c>
      <c r="AK1767" s="38">
        <f t="shared" si="226"/>
        <v>6.4475263998789905E-3</v>
      </c>
      <c r="AL1767" s="38">
        <v>0</v>
      </c>
      <c r="AM1767" s="38">
        <f t="shared" si="227"/>
        <v>0</v>
      </c>
      <c r="AN1767" s="25"/>
      <c r="AO1767" s="25">
        <f>AE1767*0.5</f>
        <v>6.85</v>
      </c>
      <c r="AP1767" s="25">
        <f>(AD1767+AH1767+AJ1767+AL1767+AO1767)*I1767</f>
        <v>155.03886</v>
      </c>
      <c r="AQ1767" s="25">
        <f>(AD1767+AH1767+AJ1767+AL1767)*I1767</f>
        <v>51.528510000000004</v>
      </c>
      <c r="AR1767" s="25">
        <f>SUM(N1767:Q1767)</f>
        <v>15.1</v>
      </c>
      <c r="AS1767" s="25">
        <f>SUM(T1767:W1767)</f>
        <v>15.1</v>
      </c>
      <c r="AU1767" s="41"/>
      <c r="AV1767" s="41"/>
      <c r="AW1767" s="41"/>
      <c r="AX1767" s="41"/>
    </row>
    <row r="1768" spans="1:88" s="22" customFormat="1">
      <c r="A1768" s="1">
        <v>1688</v>
      </c>
      <c r="B1768" s="34" t="s">
        <v>2279</v>
      </c>
      <c r="C1768" s="34">
        <v>421</v>
      </c>
      <c r="D1768" s="8">
        <v>3076</v>
      </c>
      <c r="E1768" s="34">
        <v>302</v>
      </c>
      <c r="F1768" s="34" t="s">
        <v>2288</v>
      </c>
      <c r="G1768" s="58" t="s">
        <v>2289</v>
      </c>
      <c r="H1768" s="58" t="s">
        <v>1477</v>
      </c>
      <c r="I1768" s="35">
        <v>94.760999999999996</v>
      </c>
      <c r="J1768" s="9">
        <v>2</v>
      </c>
      <c r="K1768" s="34" t="s">
        <v>238</v>
      </c>
      <c r="L1768" s="10">
        <v>42226</v>
      </c>
      <c r="M1768" s="37" t="s">
        <v>191</v>
      </c>
      <c r="N1768" s="38">
        <v>49.774999999999999</v>
      </c>
      <c r="O1768" s="38">
        <v>24.4</v>
      </c>
      <c r="P1768" s="38">
        <v>12.6</v>
      </c>
      <c r="Q1768" s="38">
        <v>7.75</v>
      </c>
      <c r="R1768" s="38">
        <v>2.6779999999999999</v>
      </c>
      <c r="S1768" s="38">
        <f t="shared" si="219"/>
        <v>2.5</v>
      </c>
      <c r="T1768" s="38">
        <v>74.825000000000003</v>
      </c>
      <c r="U1768" s="38">
        <v>8.5749999999999993</v>
      </c>
      <c r="V1768" s="38">
        <v>2.8250000000000002</v>
      </c>
      <c r="W1768" s="38">
        <v>8.3000000000000007</v>
      </c>
      <c r="X1768" s="38">
        <v>25.817</v>
      </c>
      <c r="Y1768" s="38">
        <f t="shared" si="220"/>
        <v>26</v>
      </c>
      <c r="Z1768" s="38">
        <v>0</v>
      </c>
      <c r="AA1768" s="38">
        <v>0</v>
      </c>
      <c r="AB1768" s="38">
        <v>94.760999999999996</v>
      </c>
      <c r="AC1768" s="38">
        <v>1.0820000000000001</v>
      </c>
      <c r="AD1768" s="38">
        <v>41.84</v>
      </c>
      <c r="AE1768" s="38">
        <v>1.1100000000000001</v>
      </c>
      <c r="AF1768" s="38">
        <f t="shared" si="224"/>
        <v>1.2782534104596979E-2</v>
      </c>
      <c r="AG1768" s="38">
        <f t="shared" si="221"/>
        <v>0</v>
      </c>
      <c r="AH1768" s="38">
        <v>0</v>
      </c>
      <c r="AI1768" s="38">
        <f t="shared" si="225"/>
        <v>0</v>
      </c>
      <c r="AJ1768" s="38">
        <v>389</v>
      </c>
      <c r="AK1768" s="38">
        <f t="shared" si="226"/>
        <v>0.11728755199170242</v>
      </c>
      <c r="AL1768" s="38">
        <v>0</v>
      </c>
      <c r="AM1768" s="38">
        <f t="shared" si="227"/>
        <v>0</v>
      </c>
      <c r="AN1768" s="25"/>
      <c r="AO1768" s="25">
        <f>AE1768*0.5</f>
        <v>0.55500000000000005</v>
      </c>
      <c r="AP1768" s="25">
        <f>(AD1768+AH1768+AJ1768+AL1768+AO1768)*I1768</f>
        <v>40879.421595</v>
      </c>
      <c r="AQ1768" s="25">
        <f>SUM(N1768:Q1768)</f>
        <v>94.524999999999991</v>
      </c>
      <c r="AR1768" s="25">
        <f>SUM(T1768:W1768)</f>
        <v>94.525000000000006</v>
      </c>
      <c r="AT1768" s="41"/>
      <c r="AU1768" s="41"/>
      <c r="AV1768" s="41"/>
      <c r="AW1768" s="41"/>
    </row>
    <row r="1769" spans="1:88" s="22" customFormat="1">
      <c r="A1769" s="1">
        <v>1886</v>
      </c>
      <c r="B1769" s="34" t="s">
        <v>2495</v>
      </c>
      <c r="C1769" s="34">
        <v>335</v>
      </c>
      <c r="D1769" s="75">
        <v>3525</v>
      </c>
      <c r="E1769" s="8">
        <v>100</v>
      </c>
      <c r="F1769" s="9" t="s">
        <v>2522</v>
      </c>
      <c r="G1769" s="20">
        <v>6519</v>
      </c>
      <c r="H1769" s="20">
        <v>0</v>
      </c>
      <c r="I1769" s="21">
        <v>6.5190000000000001</v>
      </c>
      <c r="J1769" s="34">
        <v>4</v>
      </c>
      <c r="K1769" s="34" t="s">
        <v>96</v>
      </c>
      <c r="L1769" s="18">
        <v>42093</v>
      </c>
      <c r="M1769" s="247" t="s">
        <v>191</v>
      </c>
      <c r="N1769" s="38">
        <v>6.44</v>
      </c>
      <c r="O1769" s="38">
        <v>0.08</v>
      </c>
      <c r="P1769" s="38">
        <v>0</v>
      </c>
      <c r="Q1769" s="38">
        <v>0</v>
      </c>
      <c r="R1769" s="38">
        <v>1.6248800000000001</v>
      </c>
      <c r="S1769" s="38">
        <f t="shared" si="219"/>
        <v>1.5</v>
      </c>
      <c r="T1769" s="38">
        <v>6.47</v>
      </c>
      <c r="U1769" s="38">
        <v>0.05</v>
      </c>
      <c r="V1769" s="38">
        <v>0</v>
      </c>
      <c r="W1769" s="38">
        <v>0</v>
      </c>
      <c r="X1769" s="38">
        <v>2.9319999999999999</v>
      </c>
      <c r="Y1769" s="38">
        <f t="shared" si="220"/>
        <v>3</v>
      </c>
      <c r="Z1769" s="38">
        <v>0</v>
      </c>
      <c r="AA1769" s="38">
        <v>0</v>
      </c>
      <c r="AB1769" s="38">
        <v>6.52</v>
      </c>
      <c r="AC1769" s="38">
        <v>1.1156299999999999</v>
      </c>
      <c r="AD1769" s="38">
        <v>2.36</v>
      </c>
      <c r="AE1769" s="38">
        <v>1.06</v>
      </c>
      <c r="AF1769" s="38">
        <f t="shared" si="224"/>
        <v>1.2666272215282798E-2</v>
      </c>
      <c r="AG1769" s="38">
        <f t="shared" si="221"/>
        <v>0</v>
      </c>
      <c r="AH1769" s="38">
        <v>3.87</v>
      </c>
      <c r="AI1769" s="38">
        <f t="shared" si="225"/>
        <v>1.6961409506278353E-2</v>
      </c>
      <c r="AJ1769" s="38">
        <v>0</v>
      </c>
      <c r="AK1769" s="38">
        <f t="shared" si="226"/>
        <v>0</v>
      </c>
      <c r="AL1769" s="38">
        <v>1.0900000000000001</v>
      </c>
      <c r="AM1769" s="38">
        <f t="shared" si="227"/>
        <v>4.7772445379440321E-3</v>
      </c>
      <c r="AN1769" s="73"/>
      <c r="AO1769" s="73"/>
      <c r="AP1769" s="73"/>
      <c r="AQ1769" s="41">
        <f>SUM(N1769:Q1769)</f>
        <v>6.5200000000000005</v>
      </c>
      <c r="AR1769" s="41">
        <f>SUM(T1769:W1769)</f>
        <v>6.52</v>
      </c>
      <c r="AS1769" s="12">
        <f>SUM(Z1769:AB1769)</f>
        <v>6.52</v>
      </c>
      <c r="AT1769" s="1"/>
      <c r="AU1769" s="1">
        <f>I1769/AQ1769</f>
        <v>0.99984662576687111</v>
      </c>
      <c r="AV1769" s="1">
        <f>I1769/AR1769</f>
        <v>0.99984662576687122</v>
      </c>
      <c r="AW1769" s="1">
        <f>I1769/AS1769</f>
        <v>0.99984662576687122</v>
      </c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</row>
    <row r="1770" spans="1:88" s="22" customFormat="1">
      <c r="A1770" s="1">
        <v>127</v>
      </c>
      <c r="B1770" s="4" t="s">
        <v>38</v>
      </c>
      <c r="C1770" s="14">
        <v>528</v>
      </c>
      <c r="D1770" s="19">
        <v>120</v>
      </c>
      <c r="E1770" s="16">
        <v>200</v>
      </c>
      <c r="F1770" s="14" t="s">
        <v>171</v>
      </c>
      <c r="G1770" s="20" t="s">
        <v>177</v>
      </c>
      <c r="H1770" s="20" t="s">
        <v>178</v>
      </c>
      <c r="I1770" s="21">
        <v>35.75</v>
      </c>
      <c r="J1770" s="8">
        <v>2</v>
      </c>
      <c r="K1770" s="33" t="s">
        <v>238</v>
      </c>
      <c r="L1770" s="18">
        <v>42224</v>
      </c>
      <c r="M1770" s="37" t="s">
        <v>191</v>
      </c>
      <c r="N1770" s="11">
        <v>22.324999999999999</v>
      </c>
      <c r="O1770" s="11">
        <v>9.3249999999999993</v>
      </c>
      <c r="P1770" s="11">
        <v>3.0249999999999999</v>
      </c>
      <c r="Q1770" s="11">
        <v>1.2749999999999999</v>
      </c>
      <c r="R1770" s="11">
        <v>2.50969</v>
      </c>
      <c r="S1770" s="38">
        <f t="shared" si="219"/>
        <v>2.5</v>
      </c>
      <c r="T1770" s="11">
        <v>35.274999999999999</v>
      </c>
      <c r="U1770" s="11">
        <v>0.52500000000000002</v>
      </c>
      <c r="V1770" s="11">
        <v>0.15</v>
      </c>
      <c r="W1770" s="11">
        <v>0</v>
      </c>
      <c r="X1770" s="11">
        <v>2.9803199999999999</v>
      </c>
      <c r="Y1770" s="38">
        <f t="shared" si="220"/>
        <v>3</v>
      </c>
      <c r="Z1770" s="11">
        <v>0</v>
      </c>
      <c r="AA1770" s="11">
        <v>0</v>
      </c>
      <c r="AB1770" s="11">
        <v>35.949999999999996</v>
      </c>
      <c r="AC1770" s="11">
        <v>1.35727</v>
      </c>
      <c r="AD1770" s="11">
        <v>15.63</v>
      </c>
      <c r="AE1770" s="11">
        <v>0</v>
      </c>
      <c r="AF1770" s="11">
        <f t="shared" si="224"/>
        <v>1.2491508491508492E-2</v>
      </c>
      <c r="AG1770" s="38">
        <f t="shared" si="221"/>
        <v>0</v>
      </c>
      <c r="AH1770" s="11">
        <v>3.6890000000000001</v>
      </c>
      <c r="AI1770" s="11">
        <f t="shared" si="225"/>
        <v>2.9482517482517481E-3</v>
      </c>
      <c r="AJ1770" s="11">
        <v>0</v>
      </c>
      <c r="AK1770" s="11">
        <f t="shared" si="226"/>
        <v>0</v>
      </c>
      <c r="AL1770" s="11">
        <v>0</v>
      </c>
      <c r="AM1770" s="11">
        <f t="shared" si="227"/>
        <v>0</v>
      </c>
    </row>
    <row r="1771" spans="1:88" s="22" customFormat="1">
      <c r="A1771" s="1">
        <v>1697</v>
      </c>
      <c r="B1771" s="34" t="s">
        <v>2279</v>
      </c>
      <c r="C1771" s="34">
        <v>421</v>
      </c>
      <c r="D1771" s="8">
        <v>3551</v>
      </c>
      <c r="E1771" s="34">
        <v>100</v>
      </c>
      <c r="F1771" s="34" t="s">
        <v>2296</v>
      </c>
      <c r="G1771" s="58">
        <v>10947</v>
      </c>
      <c r="H1771" s="58">
        <v>0</v>
      </c>
      <c r="I1771" s="35">
        <v>10.946999999999999</v>
      </c>
      <c r="J1771" s="9">
        <v>4</v>
      </c>
      <c r="K1771" s="34" t="s">
        <v>12</v>
      </c>
      <c r="L1771" s="10">
        <v>42226</v>
      </c>
      <c r="M1771" s="37" t="s">
        <v>191</v>
      </c>
      <c r="N1771" s="38">
        <v>7.1749999999999998</v>
      </c>
      <c r="O1771" s="38">
        <v>2.15</v>
      </c>
      <c r="P1771" s="38">
        <v>1.4</v>
      </c>
      <c r="Q1771" s="38">
        <v>0.15</v>
      </c>
      <c r="R1771" s="38">
        <v>2.5140099999999999</v>
      </c>
      <c r="S1771" s="38">
        <f t="shared" si="219"/>
        <v>2.5</v>
      </c>
      <c r="T1771" s="38">
        <v>3.1</v>
      </c>
      <c r="U1771" s="38">
        <v>1.625</v>
      </c>
      <c r="V1771" s="38">
        <v>1.3</v>
      </c>
      <c r="W1771" s="38">
        <v>4.8499999999999996</v>
      </c>
      <c r="X1771" s="38">
        <v>19.591899999999999</v>
      </c>
      <c r="Y1771" s="38">
        <f t="shared" si="220"/>
        <v>19.5</v>
      </c>
      <c r="Z1771" s="38">
        <v>0</v>
      </c>
      <c r="AA1771" s="38">
        <v>0</v>
      </c>
      <c r="AB1771" s="38">
        <v>10.946999999999999</v>
      </c>
      <c r="AC1771" s="38">
        <v>1.2772399999999999</v>
      </c>
      <c r="AD1771" s="38">
        <v>0</v>
      </c>
      <c r="AE1771" s="38">
        <v>9.57</v>
      </c>
      <c r="AF1771" s="38">
        <f t="shared" si="224"/>
        <v>1.2488744470109232E-2</v>
      </c>
      <c r="AG1771" s="38">
        <f t="shared" si="221"/>
        <v>0</v>
      </c>
      <c r="AH1771" s="38">
        <v>0</v>
      </c>
      <c r="AI1771" s="38">
        <f t="shared" si="225"/>
        <v>0</v>
      </c>
      <c r="AJ1771" s="38">
        <v>0</v>
      </c>
      <c r="AK1771" s="38">
        <f t="shared" si="226"/>
        <v>0</v>
      </c>
      <c r="AL1771" s="38">
        <v>0</v>
      </c>
      <c r="AM1771" s="38">
        <f t="shared" si="227"/>
        <v>0</v>
      </c>
      <c r="AN1771" s="25"/>
      <c r="AO1771" s="25">
        <f>AE1771*0.5</f>
        <v>4.7850000000000001</v>
      </c>
      <c r="AP1771" s="25">
        <f>(AD1771+AH1771+AJ1771+AL1771+AO1771)*I1771</f>
        <v>52.381394999999998</v>
      </c>
      <c r="AQ1771" s="25">
        <f>SUM(N1771:Q1771)</f>
        <v>10.875</v>
      </c>
      <c r="AR1771" s="25">
        <f>SUM(T1771:W1771)</f>
        <v>10.875</v>
      </c>
      <c r="AT1771" s="41"/>
      <c r="AU1771" s="41"/>
      <c r="AV1771" s="41"/>
      <c r="AW1771" s="41"/>
    </row>
    <row r="1772" spans="1:88" s="22" customFormat="1">
      <c r="A1772" s="1">
        <v>879</v>
      </c>
      <c r="B1772" s="34" t="s">
        <v>1271</v>
      </c>
      <c r="C1772" s="34">
        <v>632</v>
      </c>
      <c r="D1772" s="8">
        <v>2112</v>
      </c>
      <c r="E1772" s="34">
        <v>200</v>
      </c>
      <c r="F1772" s="34" t="s">
        <v>1272</v>
      </c>
      <c r="G1772" s="58">
        <v>76174</v>
      </c>
      <c r="H1772" s="58">
        <v>110040</v>
      </c>
      <c r="I1772" s="35">
        <v>33.866</v>
      </c>
      <c r="J1772" s="9">
        <v>2</v>
      </c>
      <c r="K1772" s="34" t="s">
        <v>238</v>
      </c>
      <c r="L1772" s="10">
        <v>42143</v>
      </c>
      <c r="M1772" s="37" t="s">
        <v>191</v>
      </c>
      <c r="N1772" s="38">
        <v>19.175000000000001</v>
      </c>
      <c r="O1772" s="38">
        <v>8.4749999999999996</v>
      </c>
      <c r="P1772" s="38">
        <v>3.6</v>
      </c>
      <c r="Q1772" s="38">
        <v>2.5</v>
      </c>
      <c r="R1772" s="38">
        <v>3.3211200000000001</v>
      </c>
      <c r="S1772" s="38">
        <f t="shared" si="219"/>
        <v>3.5</v>
      </c>
      <c r="T1772" s="38">
        <v>33.5</v>
      </c>
      <c r="U1772" s="38">
        <v>0.22500000000000001</v>
      </c>
      <c r="V1772" s="38">
        <v>2.5000000000000001E-2</v>
      </c>
      <c r="W1772" s="38">
        <v>0</v>
      </c>
      <c r="X1772" s="38">
        <v>3.5794800000000002</v>
      </c>
      <c r="Y1772" s="38">
        <f t="shared" si="220"/>
        <v>3.5</v>
      </c>
      <c r="Z1772" s="38">
        <v>0</v>
      </c>
      <c r="AA1772" s="38">
        <v>0</v>
      </c>
      <c r="AB1772" s="38">
        <f>N1772+O1772+P1772+Q1772</f>
        <v>33.75</v>
      </c>
      <c r="AC1772" s="38">
        <v>1.8952599999999999</v>
      </c>
      <c r="AD1772" s="38">
        <v>0</v>
      </c>
      <c r="AE1772" s="38">
        <v>29.36</v>
      </c>
      <c r="AF1772" s="38">
        <v>1.2385E-2</v>
      </c>
      <c r="AG1772" s="38">
        <f t="shared" si="221"/>
        <v>0</v>
      </c>
      <c r="AH1772" s="38">
        <v>6939.63</v>
      </c>
      <c r="AI1772" s="38">
        <v>5.8546959999999997</v>
      </c>
      <c r="AJ1772" s="38">
        <v>0</v>
      </c>
      <c r="AK1772" s="38">
        <v>0</v>
      </c>
      <c r="AL1772" s="38">
        <v>9.2100000000000009</v>
      </c>
      <c r="AM1772" s="38">
        <v>7.77E-3</v>
      </c>
      <c r="AN1772" s="25"/>
      <c r="AO1772" s="25">
        <f>AE1772*0.5</f>
        <v>14.68</v>
      </c>
      <c r="AP1772" s="25">
        <f>(AD1772+AH1772+AJ1772+AL1772+AO1772)*I1772</f>
        <v>235826.56832000002</v>
      </c>
      <c r="AQ1772" s="25">
        <f>SUM(N1772:Q1772)</f>
        <v>33.75</v>
      </c>
      <c r="AR1772" s="25">
        <f>SUM(T1772:W1772)</f>
        <v>33.75</v>
      </c>
      <c r="AT1772" s="41"/>
      <c r="AU1772" s="41"/>
      <c r="AV1772" s="41"/>
      <c r="AW1772" s="41"/>
    </row>
    <row r="1773" spans="1:88" s="22" customFormat="1">
      <c r="A1773" s="1">
        <v>1977</v>
      </c>
      <c r="B1773" s="34" t="s">
        <v>2615</v>
      </c>
      <c r="C1773" s="34">
        <v>322</v>
      </c>
      <c r="D1773" s="75">
        <v>404</v>
      </c>
      <c r="E1773" s="8">
        <v>100</v>
      </c>
      <c r="F1773" s="34" t="s">
        <v>2619</v>
      </c>
      <c r="G1773" s="58">
        <v>30000</v>
      </c>
      <c r="H1773" s="58">
        <v>0</v>
      </c>
      <c r="I1773" s="21">
        <v>30</v>
      </c>
      <c r="J1773" s="8">
        <v>2</v>
      </c>
      <c r="K1773" s="8" t="s">
        <v>96</v>
      </c>
      <c r="L1773" s="18">
        <v>42131</v>
      </c>
      <c r="M1773" s="37" t="s">
        <v>191</v>
      </c>
      <c r="N1773" s="38">
        <v>19.399999999999999</v>
      </c>
      <c r="O1773" s="38">
        <v>7.5</v>
      </c>
      <c r="P1773" s="38">
        <v>2.2999999999999998</v>
      </c>
      <c r="Q1773" s="38">
        <v>0.7</v>
      </c>
      <c r="R1773" s="38">
        <v>2.3904899999999998</v>
      </c>
      <c r="S1773" s="38">
        <f t="shared" si="219"/>
        <v>2.5</v>
      </c>
      <c r="T1773" s="38">
        <v>28.95</v>
      </c>
      <c r="U1773" s="38">
        <v>0.77500000000000002</v>
      </c>
      <c r="V1773" s="38">
        <v>0.1</v>
      </c>
      <c r="W1773" s="38">
        <v>0</v>
      </c>
      <c r="X1773" s="38">
        <v>4.1183899999999998</v>
      </c>
      <c r="Y1773" s="38">
        <f t="shared" si="220"/>
        <v>4</v>
      </c>
      <c r="Z1773" s="38">
        <v>0</v>
      </c>
      <c r="AA1773" s="38">
        <v>0</v>
      </c>
      <c r="AB1773" s="38">
        <v>30</v>
      </c>
      <c r="AC1773" s="38">
        <v>1.2072000000000001</v>
      </c>
      <c r="AD1773" s="38">
        <v>0</v>
      </c>
      <c r="AE1773" s="38">
        <v>26</v>
      </c>
      <c r="AF1773" s="38">
        <v>1.2380952380952381E-2</v>
      </c>
      <c r="AG1773" s="38">
        <f t="shared" si="221"/>
        <v>0</v>
      </c>
      <c r="AH1773" s="38">
        <v>0</v>
      </c>
      <c r="AI1773" s="38">
        <v>0</v>
      </c>
      <c r="AJ1773" s="38">
        <v>0</v>
      </c>
      <c r="AK1773" s="38">
        <v>0</v>
      </c>
      <c r="AL1773" s="38">
        <v>0</v>
      </c>
      <c r="AM1773" s="38">
        <f t="shared" ref="AM1773:AM1778" si="228">AL1773/(3.5*I1773*1000)*100</f>
        <v>0</v>
      </c>
      <c r="AN1773" s="72"/>
      <c r="AO1773" s="41"/>
      <c r="AP1773" s="41"/>
      <c r="AQ1773" s="73"/>
      <c r="AR1773" s="73"/>
      <c r="AS1773" s="73"/>
      <c r="AT1773" s="73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</row>
    <row r="1774" spans="1:88" s="22" customFormat="1">
      <c r="A1774" s="1">
        <v>2054</v>
      </c>
      <c r="B1774" s="34" t="s">
        <v>2697</v>
      </c>
      <c r="C1774" s="34">
        <v>328</v>
      </c>
      <c r="D1774" s="75">
        <v>4142</v>
      </c>
      <c r="E1774" s="8">
        <v>100</v>
      </c>
      <c r="F1774" s="34" t="s">
        <v>2702</v>
      </c>
      <c r="G1774" s="58">
        <v>0</v>
      </c>
      <c r="H1774" s="58">
        <v>34825</v>
      </c>
      <c r="I1774" s="21">
        <v>34.825000000000003</v>
      </c>
      <c r="J1774" s="8">
        <v>4</v>
      </c>
      <c r="K1774" s="8" t="s">
        <v>237</v>
      </c>
      <c r="L1774" s="18">
        <v>42119</v>
      </c>
      <c r="M1774" s="37" t="s">
        <v>191</v>
      </c>
      <c r="N1774" s="38">
        <v>32.9</v>
      </c>
      <c r="O1774" s="38">
        <v>1.425</v>
      </c>
      <c r="P1774" s="38">
        <v>0.27500000000000002</v>
      </c>
      <c r="Q1774" s="38">
        <v>7.4999999999999997E-2</v>
      </c>
      <c r="R1774" s="38">
        <v>1.48081</v>
      </c>
      <c r="S1774" s="38">
        <f t="shared" si="219"/>
        <v>1.5</v>
      </c>
      <c r="T1774" s="38">
        <v>34.35</v>
      </c>
      <c r="U1774" s="38">
        <v>0.3</v>
      </c>
      <c r="V1774" s="38">
        <v>2.5000000000000001E-2</v>
      </c>
      <c r="W1774" s="38">
        <v>0</v>
      </c>
      <c r="X1774" s="38">
        <v>3.1249199999999999</v>
      </c>
      <c r="Y1774" s="38">
        <f t="shared" si="220"/>
        <v>3</v>
      </c>
      <c r="Z1774" s="38">
        <v>0</v>
      </c>
      <c r="AA1774" s="38">
        <v>0</v>
      </c>
      <c r="AB1774" s="38">
        <v>34.674999999999997</v>
      </c>
      <c r="AC1774" s="38">
        <v>1.2327600000000001</v>
      </c>
      <c r="AD1774" s="38">
        <v>0</v>
      </c>
      <c r="AE1774" s="38">
        <v>29.35</v>
      </c>
      <c r="AF1774" s="38">
        <v>1.2039790790688135E-2</v>
      </c>
      <c r="AG1774" s="38">
        <f t="shared" si="221"/>
        <v>0</v>
      </c>
      <c r="AH1774" s="38">
        <v>0</v>
      </c>
      <c r="AI1774" s="38">
        <v>0</v>
      </c>
      <c r="AJ1774" s="38">
        <v>0</v>
      </c>
      <c r="AK1774" s="38">
        <v>0</v>
      </c>
      <c r="AL1774" s="38">
        <v>0</v>
      </c>
      <c r="AM1774" s="38">
        <f t="shared" si="228"/>
        <v>0</v>
      </c>
      <c r="AN1774" s="72"/>
      <c r="AO1774" s="41"/>
      <c r="AP1774" s="41"/>
      <c r="AQ1774" s="73"/>
      <c r="AR1774" s="73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</row>
    <row r="1775" spans="1:88" s="22" customFormat="1">
      <c r="A1775" s="1">
        <v>1943</v>
      </c>
      <c r="B1775" s="34" t="s">
        <v>2586</v>
      </c>
      <c r="C1775" s="34">
        <v>321</v>
      </c>
      <c r="D1775" s="75">
        <v>403</v>
      </c>
      <c r="E1775" s="8">
        <v>100</v>
      </c>
      <c r="F1775" s="34" t="s">
        <v>2589</v>
      </c>
      <c r="G1775" s="58">
        <v>250</v>
      </c>
      <c r="H1775" s="58">
        <v>14276</v>
      </c>
      <c r="I1775" s="21">
        <v>14.026</v>
      </c>
      <c r="J1775" s="8">
        <v>4</v>
      </c>
      <c r="K1775" s="8" t="s">
        <v>237</v>
      </c>
      <c r="L1775" s="18">
        <v>42124</v>
      </c>
      <c r="M1775" s="37" t="s">
        <v>191</v>
      </c>
      <c r="N1775" s="38">
        <v>10.725</v>
      </c>
      <c r="O1775" s="38">
        <v>1.825</v>
      </c>
      <c r="P1775" s="38">
        <v>1</v>
      </c>
      <c r="Q1775" s="38">
        <v>0.625</v>
      </c>
      <c r="R1775" s="38">
        <v>2.1788500000000002</v>
      </c>
      <c r="S1775" s="38">
        <f t="shared" si="219"/>
        <v>2</v>
      </c>
      <c r="T1775" s="38">
        <v>13.75</v>
      </c>
      <c r="U1775" s="38">
        <v>0.35</v>
      </c>
      <c r="V1775" s="38">
        <v>7.4999999999999997E-2</v>
      </c>
      <c r="W1775" s="38">
        <v>0</v>
      </c>
      <c r="X1775" s="38">
        <v>4.1316300000000004</v>
      </c>
      <c r="Y1775" s="38">
        <f t="shared" si="220"/>
        <v>4</v>
      </c>
      <c r="Z1775" s="38">
        <v>0</v>
      </c>
      <c r="AA1775" s="38">
        <v>0</v>
      </c>
      <c r="AB1775" s="38">
        <v>14.174999999999999</v>
      </c>
      <c r="AC1775" s="38">
        <v>1.1170199999999999</v>
      </c>
      <c r="AD1775" s="38">
        <v>3</v>
      </c>
      <c r="AE1775" s="38">
        <v>5.59</v>
      </c>
      <c r="AF1775" s="38">
        <v>1.1804607769244873E-2</v>
      </c>
      <c r="AG1775" s="38">
        <f t="shared" si="221"/>
        <v>0</v>
      </c>
      <c r="AH1775" s="38">
        <v>283.23</v>
      </c>
      <c r="AI1775" s="38">
        <f>AH1775/(3.5*I1775*1000)*100</f>
        <v>0.57694893157605276</v>
      </c>
      <c r="AJ1775" s="38">
        <v>43.35</v>
      </c>
      <c r="AK1775" s="38">
        <v>8.8305392027051802E-2</v>
      </c>
      <c r="AL1775" s="38">
        <v>0</v>
      </c>
      <c r="AM1775" s="38">
        <f t="shared" si="228"/>
        <v>0</v>
      </c>
      <c r="AN1775" s="73"/>
      <c r="AO1775" s="72"/>
      <c r="AP1775" s="41"/>
      <c r="AQ1775" s="41"/>
      <c r="AR1775" s="73"/>
      <c r="AS1775" s="73"/>
      <c r="AT1775" s="73"/>
      <c r="AU1775" s="73"/>
      <c r="AV1775" s="73"/>
      <c r="AW1775" s="73"/>
      <c r="AX1775" s="73"/>
      <c r="AY1775" s="73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</row>
    <row r="1776" spans="1:88" s="22" customFormat="1">
      <c r="A1776" s="1">
        <v>1708</v>
      </c>
      <c r="B1776" s="34" t="s">
        <v>2308</v>
      </c>
      <c r="C1776" s="34">
        <v>422</v>
      </c>
      <c r="D1776" s="8">
        <v>315</v>
      </c>
      <c r="E1776" s="34">
        <v>200</v>
      </c>
      <c r="F1776" s="34" t="s">
        <v>2309</v>
      </c>
      <c r="G1776" s="58">
        <v>19440</v>
      </c>
      <c r="H1776" s="58" t="s">
        <v>2310</v>
      </c>
      <c r="I1776" s="21">
        <v>3.75</v>
      </c>
      <c r="J1776" s="9">
        <v>4</v>
      </c>
      <c r="K1776" s="34" t="s">
        <v>238</v>
      </c>
      <c r="L1776" s="10">
        <v>42229</v>
      </c>
      <c r="M1776" s="37" t="s">
        <v>191</v>
      </c>
      <c r="N1776" s="38">
        <v>1.8340000000000001</v>
      </c>
      <c r="O1776" s="38">
        <v>1.024</v>
      </c>
      <c r="P1776" s="38">
        <v>0.5</v>
      </c>
      <c r="Q1776" s="38">
        <v>0.39300000000000002</v>
      </c>
      <c r="R1776" s="38">
        <v>2.98</v>
      </c>
      <c r="S1776" s="38">
        <f t="shared" si="219"/>
        <v>3</v>
      </c>
      <c r="T1776" s="38">
        <v>3.2170000000000001</v>
      </c>
      <c r="U1776" s="38">
        <v>0.432</v>
      </c>
      <c r="V1776" s="38">
        <v>6.0999999999999999E-2</v>
      </c>
      <c r="W1776" s="38">
        <v>0.04</v>
      </c>
      <c r="X1776" s="38">
        <v>7.0579999999999998</v>
      </c>
      <c r="Y1776" s="38">
        <f t="shared" si="220"/>
        <v>7</v>
      </c>
      <c r="Z1776" s="38">
        <v>0</v>
      </c>
      <c r="AA1776" s="38">
        <v>0</v>
      </c>
      <c r="AB1776" s="21">
        <v>3.75</v>
      </c>
      <c r="AC1776" s="38">
        <v>1.173</v>
      </c>
      <c r="AD1776" s="38">
        <v>0.65</v>
      </c>
      <c r="AE1776" s="38">
        <v>1.76</v>
      </c>
      <c r="AF1776" s="38">
        <f>(AD1776+AE1776*0.5)/(3.5*I1776*1000)*100</f>
        <v>1.1657142857142857E-2</v>
      </c>
      <c r="AG1776" s="38">
        <f t="shared" si="221"/>
        <v>0</v>
      </c>
      <c r="AH1776" s="38">
        <v>34.26</v>
      </c>
      <c r="AI1776" s="38">
        <f>AH1776/(3.5*I1776*1000)*100</f>
        <v>0.26102857142857144</v>
      </c>
      <c r="AJ1776" s="38">
        <v>87.96</v>
      </c>
      <c r="AK1776" s="38">
        <f>AJ1776/(3.5*I1776*1000)*100</f>
        <v>0.67017142857142853</v>
      </c>
      <c r="AL1776" s="38">
        <v>0</v>
      </c>
      <c r="AM1776" s="55">
        <f t="shared" si="228"/>
        <v>0</v>
      </c>
      <c r="AO1776" s="22">
        <f>AE1776*0.5</f>
        <v>0.88</v>
      </c>
      <c r="AP1776" s="41">
        <f>(AD1776+AH1776+AJ1776+AL1776+AO1776)*I1776</f>
        <v>464.06249999999994</v>
      </c>
      <c r="AQ1776" s="25">
        <f t="shared" ref="AQ1776:AQ1782" si="229">SUM(N1776:Q1776)</f>
        <v>3.7510000000000003</v>
      </c>
      <c r="AR1776" s="25">
        <f t="shared" ref="AR1776:AR1782" si="230">SUM(T1776:W1776)</f>
        <v>3.75</v>
      </c>
      <c r="AS1776" s="271">
        <v>12.31</v>
      </c>
      <c r="AU1776" s="25">
        <f>AS1776-AQ1776</f>
        <v>8.5590000000000011</v>
      </c>
      <c r="AV1776" s="41">
        <f>SUM(N1776:Q1776)</f>
        <v>3.7510000000000003</v>
      </c>
      <c r="AW1776" s="41">
        <f>SUM(T1776:W1776)</f>
        <v>3.75</v>
      </c>
      <c r="AX1776" s="41">
        <f>SUM(Z1776:AB1776)</f>
        <v>3.75</v>
      </c>
      <c r="AZ1776" s="22">
        <f>I1776/AV1776</f>
        <v>0.99973340442548642</v>
      </c>
      <c r="BA1776" s="22">
        <f>I1776/AW1776</f>
        <v>1</v>
      </c>
      <c r="BB1776" s="22">
        <f>I1776/AX1776</f>
        <v>1</v>
      </c>
    </row>
    <row r="1777" spans="1:88" s="22" customFormat="1">
      <c r="A1777" s="1">
        <v>2159</v>
      </c>
      <c r="B1777" s="34" t="s">
        <v>2798</v>
      </c>
      <c r="C1777" s="34">
        <v>311</v>
      </c>
      <c r="D1777" s="75">
        <v>407</v>
      </c>
      <c r="E1777" s="8">
        <v>102</v>
      </c>
      <c r="F1777" s="9" t="s">
        <v>2799</v>
      </c>
      <c r="G1777" s="20">
        <v>17266</v>
      </c>
      <c r="H1777" s="20">
        <v>28230</v>
      </c>
      <c r="I1777" s="21">
        <v>10.964</v>
      </c>
      <c r="J1777" s="8">
        <v>4</v>
      </c>
      <c r="K1777" s="8" t="s">
        <v>237</v>
      </c>
      <c r="L1777" s="18">
        <v>42146</v>
      </c>
      <c r="M1777" s="37" t="s">
        <v>191</v>
      </c>
      <c r="N1777" s="38">
        <v>6.0250000000000004</v>
      </c>
      <c r="O1777" s="38">
        <v>3.3</v>
      </c>
      <c r="P1777" s="38">
        <v>1.075</v>
      </c>
      <c r="Q1777" s="38">
        <v>0.625</v>
      </c>
      <c r="R1777" s="38">
        <v>2.7350300000000001</v>
      </c>
      <c r="S1777" s="38">
        <f t="shared" si="219"/>
        <v>2.5</v>
      </c>
      <c r="T1777" s="38">
        <v>10.775</v>
      </c>
      <c r="U1777" s="38">
        <v>0.25</v>
      </c>
      <c r="V1777" s="38">
        <v>0</v>
      </c>
      <c r="W1777" s="38">
        <v>0</v>
      </c>
      <c r="X1777" s="38">
        <v>3.6804100000000002</v>
      </c>
      <c r="Y1777" s="38">
        <f t="shared" si="220"/>
        <v>3.5</v>
      </c>
      <c r="Z1777" s="38">
        <v>0</v>
      </c>
      <c r="AA1777" s="38">
        <v>0</v>
      </c>
      <c r="AB1777" s="38">
        <v>11.024999999999999</v>
      </c>
      <c r="AC1777" s="38">
        <v>1.1684399999999999</v>
      </c>
      <c r="AD1777" s="38">
        <v>0</v>
      </c>
      <c r="AE1777" s="38">
        <v>8.84</v>
      </c>
      <c r="AF1777" s="38">
        <f>(AD1777+AE1777*0.5)/(3.5*I1777*1000)*100</f>
        <v>1.1518215458383281E-2</v>
      </c>
      <c r="AG1777" s="38">
        <f t="shared" si="221"/>
        <v>0</v>
      </c>
      <c r="AH1777" s="38">
        <v>0</v>
      </c>
      <c r="AI1777" s="38">
        <f>AH1777/(3.5*I1777*1000)*100</f>
        <v>0</v>
      </c>
      <c r="AJ1777" s="38">
        <v>0</v>
      </c>
      <c r="AK1777" s="38">
        <f>AJ1777/(3.5*I1777*1000)*100</f>
        <v>0</v>
      </c>
      <c r="AL1777" s="38">
        <v>0</v>
      </c>
      <c r="AM1777" s="38">
        <f t="shared" si="228"/>
        <v>0</v>
      </c>
      <c r="AN1777" s="72"/>
      <c r="AO1777" s="41"/>
      <c r="AP1777" s="41"/>
      <c r="AQ1777" s="41">
        <f t="shared" si="229"/>
        <v>11.024999999999999</v>
      </c>
      <c r="AR1777" s="41">
        <f t="shared" si="230"/>
        <v>11.025</v>
      </c>
      <c r="AS1777" s="12">
        <f>SUM(Z1777:AB1777)</f>
        <v>11.024999999999999</v>
      </c>
      <c r="AT1777" s="1"/>
      <c r="AU1777" s="1">
        <f>I1777/AQ1777</f>
        <v>0.99446712018140604</v>
      </c>
      <c r="AV1777" s="1">
        <f>I1777/AR1777</f>
        <v>0.99446712018140593</v>
      </c>
      <c r="AW1777" s="1">
        <f>I1777/AS1777</f>
        <v>0.99446712018140604</v>
      </c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</row>
    <row r="1778" spans="1:88" s="22" customFormat="1">
      <c r="A1778" s="1">
        <v>554</v>
      </c>
      <c r="B1778" s="34" t="s">
        <v>948</v>
      </c>
      <c r="C1778" s="34">
        <v>551</v>
      </c>
      <c r="D1778" s="34">
        <v>2196</v>
      </c>
      <c r="E1778" s="34">
        <v>101</v>
      </c>
      <c r="F1778" s="9" t="s">
        <v>954</v>
      </c>
      <c r="G1778" s="20" t="s">
        <v>92</v>
      </c>
      <c r="H1778" s="20" t="s">
        <v>955</v>
      </c>
      <c r="I1778" s="35">
        <v>37.707000000000001</v>
      </c>
      <c r="J1778" s="71">
        <v>2</v>
      </c>
      <c r="K1778" s="34" t="s">
        <v>238</v>
      </c>
      <c r="L1778" s="10">
        <v>42192</v>
      </c>
      <c r="M1778" s="37" t="s">
        <v>191</v>
      </c>
      <c r="N1778" s="38">
        <v>25.43</v>
      </c>
      <c r="O1778" s="38">
        <v>8.61</v>
      </c>
      <c r="P1778" s="38">
        <v>3.91</v>
      </c>
      <c r="Q1778" s="38">
        <v>1.76</v>
      </c>
      <c r="R1778" s="38">
        <v>2.7202500000000001</v>
      </c>
      <c r="S1778" s="38">
        <f t="shared" si="219"/>
        <v>2.5</v>
      </c>
      <c r="T1778" s="38">
        <v>38.14</v>
      </c>
      <c r="U1778" s="38">
        <v>1.3</v>
      </c>
      <c r="V1778" s="38">
        <v>0.2</v>
      </c>
      <c r="W1778" s="38">
        <v>0.08</v>
      </c>
      <c r="X1778" s="38">
        <v>4.1108700000000002</v>
      </c>
      <c r="Y1778" s="38">
        <f t="shared" si="220"/>
        <v>4</v>
      </c>
      <c r="Z1778" s="38">
        <v>0.05</v>
      </c>
      <c r="AA1778" s="38">
        <v>7.4999999999999997E-2</v>
      </c>
      <c r="AB1778" s="38">
        <v>37.69</v>
      </c>
      <c r="AC1778" s="38">
        <v>1.1823600000000001</v>
      </c>
      <c r="AD1778" s="38">
        <v>15</v>
      </c>
      <c r="AE1778" s="38">
        <v>0</v>
      </c>
      <c r="AF1778" s="38">
        <f>(AD1778+AE1778*0.5)/(3.5*I1778*1000)*100</f>
        <v>1.1365832035734175E-2</v>
      </c>
      <c r="AG1778" s="38">
        <f t="shared" si="221"/>
        <v>0</v>
      </c>
      <c r="AH1778" s="38">
        <v>0</v>
      </c>
      <c r="AI1778" s="38">
        <f>AH1778/(3.5*I1778*1000)*100</f>
        <v>0</v>
      </c>
      <c r="AJ1778" s="38">
        <v>0</v>
      </c>
      <c r="AK1778" s="38">
        <f>AJ1778/(3.5*I1778*1000)*100</f>
        <v>0</v>
      </c>
      <c r="AL1778" s="38">
        <v>0</v>
      </c>
      <c r="AM1778" s="38">
        <f t="shared" si="228"/>
        <v>0</v>
      </c>
      <c r="AN1778" s="25"/>
      <c r="AO1778" s="25">
        <f>AE1778*0.5</f>
        <v>0</v>
      </c>
      <c r="AP1778" s="25">
        <f>(AD1778+AH1778+AJ1778+AL1778+AO1778)*I1778</f>
        <v>565.60500000000002</v>
      </c>
      <c r="AQ1778" s="25">
        <f t="shared" si="229"/>
        <v>39.71</v>
      </c>
      <c r="AR1778" s="25">
        <f t="shared" si="230"/>
        <v>39.72</v>
      </c>
      <c r="AS1778" s="268">
        <v>40.46</v>
      </c>
      <c r="AT1778" s="41"/>
      <c r="AU1778" s="41">
        <f>SUM(N1778:Q1778)</f>
        <v>39.71</v>
      </c>
      <c r="AV1778" s="41">
        <f>SUM(T1778:W1778)</f>
        <v>39.72</v>
      </c>
      <c r="AW1778" s="41">
        <f>SUM(Z1778:AB1778)</f>
        <v>37.814999999999998</v>
      </c>
      <c r="AY1778" s="22">
        <f>I1778/AU1778</f>
        <v>0.94955930496096697</v>
      </c>
      <c r="AZ1778" s="22">
        <f>I1778/AV1778</f>
        <v>0.94932024169184293</v>
      </c>
      <c r="BA1778" s="22">
        <f>I1778/AW1778</f>
        <v>0.99714399047996838</v>
      </c>
    </row>
    <row r="1779" spans="1:88" s="22" customFormat="1">
      <c r="A1779" s="1">
        <v>1545</v>
      </c>
      <c r="B1779" s="88" t="s">
        <v>2121</v>
      </c>
      <c r="C1779" s="88">
        <v>415</v>
      </c>
      <c r="D1779" s="199">
        <v>338</v>
      </c>
      <c r="E1779" s="88">
        <v>201</v>
      </c>
      <c r="F1779" s="88" t="s">
        <v>2122</v>
      </c>
      <c r="G1779" s="200" t="s">
        <v>2124</v>
      </c>
      <c r="H1779" s="200" t="s">
        <v>2123</v>
      </c>
      <c r="I1779" s="51">
        <v>16.308</v>
      </c>
      <c r="J1779" s="88">
        <v>12</v>
      </c>
      <c r="K1779" s="88" t="s">
        <v>96</v>
      </c>
      <c r="L1779" s="116">
        <v>42242</v>
      </c>
      <c r="M1779" s="37" t="s">
        <v>191</v>
      </c>
      <c r="N1779" s="117">
        <v>10.7</v>
      </c>
      <c r="O1779" s="117">
        <v>3.6</v>
      </c>
      <c r="P1779" s="117">
        <v>1.375</v>
      </c>
      <c r="Q1779" s="117">
        <v>0.875</v>
      </c>
      <c r="R1779" s="117">
        <v>2.74627</v>
      </c>
      <c r="S1779" s="38">
        <f t="shared" si="219"/>
        <v>2.5</v>
      </c>
      <c r="T1779" s="117">
        <v>15.475</v>
      </c>
      <c r="U1779" s="117">
        <v>0.9</v>
      </c>
      <c r="V1779" s="117">
        <v>0.125</v>
      </c>
      <c r="W1779" s="117">
        <v>0.05</v>
      </c>
      <c r="X1779" s="117">
        <v>5.3677099999999998</v>
      </c>
      <c r="Y1779" s="38">
        <f t="shared" si="220"/>
        <v>5.5</v>
      </c>
      <c r="Z1779" s="117">
        <v>0</v>
      </c>
      <c r="AA1779" s="117">
        <v>0</v>
      </c>
      <c r="AB1779" s="117">
        <f>SUM(N1779:Q1779)</f>
        <v>16.549999999999997</v>
      </c>
      <c r="AC1779" s="117">
        <v>1.20573</v>
      </c>
      <c r="AD1779" s="38">
        <v>0</v>
      </c>
      <c r="AE1779" s="38">
        <v>12.69</v>
      </c>
      <c r="AF1779" s="38">
        <v>1.112E-2</v>
      </c>
      <c r="AG1779" s="38">
        <f t="shared" si="221"/>
        <v>0</v>
      </c>
      <c r="AH1779" s="38">
        <v>0</v>
      </c>
      <c r="AI1779" s="38">
        <v>0</v>
      </c>
      <c r="AJ1779" s="38">
        <v>18.79</v>
      </c>
      <c r="AK1779" s="38">
        <v>3.2919999999999998E-2</v>
      </c>
      <c r="AL1779" s="38">
        <v>0</v>
      </c>
      <c r="AM1779" s="38">
        <v>0</v>
      </c>
      <c r="AN1779" s="12"/>
      <c r="AO1779" s="12">
        <f>AE1779*0.5</f>
        <v>6.3449999999999998</v>
      </c>
      <c r="AP1779" s="12">
        <f>(AD1779+AH1779+AJ1779+AL1779+AO1779)*I1779</f>
        <v>409.90157999999997</v>
      </c>
      <c r="AQ1779" s="12">
        <f t="shared" si="229"/>
        <v>16.549999999999997</v>
      </c>
      <c r="AR1779" s="12">
        <f t="shared" si="230"/>
        <v>16.55</v>
      </c>
      <c r="AS1779" s="12"/>
      <c r="AT1779" s="1"/>
      <c r="AU1779" s="41">
        <v>0</v>
      </c>
      <c r="AV1779" s="41">
        <v>0</v>
      </c>
      <c r="AW1779" s="41">
        <v>0</v>
      </c>
      <c r="AX1779" s="41">
        <v>0</v>
      </c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</row>
    <row r="1780" spans="1:88" s="22" customFormat="1">
      <c r="A1780" s="1">
        <v>2098</v>
      </c>
      <c r="B1780" s="34" t="s">
        <v>2732</v>
      </c>
      <c r="C1780" s="34">
        <v>323</v>
      </c>
      <c r="D1780" s="75">
        <v>4206</v>
      </c>
      <c r="E1780" s="8">
        <v>100</v>
      </c>
      <c r="F1780" s="9" t="s">
        <v>2747</v>
      </c>
      <c r="G1780" s="20">
        <v>0</v>
      </c>
      <c r="H1780" s="20">
        <v>27094</v>
      </c>
      <c r="I1780" s="21">
        <v>27.094000000000001</v>
      </c>
      <c r="J1780" s="9">
        <v>2</v>
      </c>
      <c r="K1780" s="34" t="s">
        <v>238</v>
      </c>
      <c r="L1780" s="18">
        <v>42133</v>
      </c>
      <c r="M1780" s="37" t="s">
        <v>191</v>
      </c>
      <c r="N1780" s="38">
        <v>21.36</v>
      </c>
      <c r="O1780" s="38">
        <v>4.2300000000000004</v>
      </c>
      <c r="P1780" s="38">
        <v>1.26</v>
      </c>
      <c r="Q1780" s="38">
        <v>0.25</v>
      </c>
      <c r="R1780" s="38">
        <v>2.13436</v>
      </c>
      <c r="S1780" s="38">
        <f t="shared" si="219"/>
        <v>2</v>
      </c>
      <c r="T1780" s="38">
        <v>26.39</v>
      </c>
      <c r="U1780" s="38">
        <v>0.53</v>
      </c>
      <c r="V1780" s="38">
        <v>0.13</v>
      </c>
      <c r="W1780" s="38">
        <v>0.05</v>
      </c>
      <c r="X1780" s="38">
        <v>3.5419299999999998</v>
      </c>
      <c r="Y1780" s="38">
        <f t="shared" si="220"/>
        <v>3.5</v>
      </c>
      <c r="Z1780" s="38">
        <v>0</v>
      </c>
      <c r="AA1780" s="38">
        <v>0</v>
      </c>
      <c r="AB1780" s="38">
        <v>27.09</v>
      </c>
      <c r="AC1780" s="38">
        <v>1.3003899999999999</v>
      </c>
      <c r="AD1780" s="38">
        <v>8</v>
      </c>
      <c r="AE1780" s="38">
        <v>5</v>
      </c>
      <c r="AF1780" s="38">
        <f>(AD1780+AE1780*0.5)/(3.5*I1780*1000)*100</f>
        <v>1.1072562190890971E-2</v>
      </c>
      <c r="AG1780" s="38">
        <f t="shared" si="221"/>
        <v>0</v>
      </c>
      <c r="AH1780" s="38">
        <v>0</v>
      </c>
      <c r="AI1780" s="38">
        <f>AH1780/(3.5*I1780*1000)*100</f>
        <v>0</v>
      </c>
      <c r="AJ1780" s="38">
        <v>0</v>
      </c>
      <c r="AK1780" s="38">
        <v>0</v>
      </c>
      <c r="AL1780" s="38">
        <v>0</v>
      </c>
      <c r="AM1780" s="38">
        <f>AL1780/(3.5*I1780*1000)*100</f>
        <v>0</v>
      </c>
      <c r="AN1780" s="25"/>
      <c r="AO1780" s="25"/>
      <c r="AQ1780" s="41">
        <f t="shared" si="229"/>
        <v>27.1</v>
      </c>
      <c r="AR1780" s="41">
        <f t="shared" si="230"/>
        <v>27.1</v>
      </c>
      <c r="AS1780" s="12">
        <f>SUM(Z1780:AB1780)</f>
        <v>27.09</v>
      </c>
      <c r="AT1780" s="1"/>
      <c r="AU1780" s="1">
        <f>I1780/AQ1780</f>
        <v>0.99977859778597788</v>
      </c>
      <c r="AV1780" s="1">
        <f>I1780/AR1780</f>
        <v>0.99977859778597788</v>
      </c>
      <c r="AW1780" s="1">
        <f>I1780/AS1780</f>
        <v>1.0001476559616096</v>
      </c>
    </row>
    <row r="1781" spans="1:88" s="22" customFormat="1">
      <c r="A1781" s="1">
        <v>743</v>
      </c>
      <c r="B1781" s="34" t="s">
        <v>1138</v>
      </c>
      <c r="C1781" s="34">
        <v>628</v>
      </c>
      <c r="D1781" s="34">
        <v>2440</v>
      </c>
      <c r="E1781" s="34">
        <v>202</v>
      </c>
      <c r="F1781" s="34" t="s">
        <v>1148</v>
      </c>
      <c r="G1781" s="58">
        <v>21500</v>
      </c>
      <c r="H1781" s="58">
        <v>43700</v>
      </c>
      <c r="I1781" s="51">
        <v>22.2</v>
      </c>
      <c r="J1781" s="127">
        <v>2</v>
      </c>
      <c r="K1781" s="34" t="s">
        <v>238</v>
      </c>
      <c r="L1781" s="10">
        <v>42173</v>
      </c>
      <c r="M1781" s="37" t="s">
        <v>191</v>
      </c>
      <c r="N1781" s="38">
        <v>14.7</v>
      </c>
      <c r="O1781" s="38">
        <v>4.55</v>
      </c>
      <c r="P1781" s="38">
        <v>1.45</v>
      </c>
      <c r="Q1781" s="38">
        <v>0.52500000000000002</v>
      </c>
      <c r="R1781" s="38">
        <v>2.37534</v>
      </c>
      <c r="S1781" s="38">
        <f t="shared" si="219"/>
        <v>2.5</v>
      </c>
      <c r="T1781" s="38">
        <v>19.899999999999999</v>
      </c>
      <c r="U1781" s="38">
        <v>1.175</v>
      </c>
      <c r="V1781" s="38">
        <v>0.125</v>
      </c>
      <c r="W1781" s="38">
        <v>2.5000000000000001E-2</v>
      </c>
      <c r="X1781" s="38">
        <v>5.8251299999999997</v>
      </c>
      <c r="Y1781" s="38">
        <f t="shared" si="220"/>
        <v>6</v>
      </c>
      <c r="Z1781" s="38">
        <v>0</v>
      </c>
      <c r="AA1781" s="38">
        <v>0</v>
      </c>
      <c r="AB1781" s="38">
        <f>N1781+O1781+P1781+Q1781</f>
        <v>21.224999999999998</v>
      </c>
      <c r="AC1781" s="38">
        <v>1.2562800000000001</v>
      </c>
      <c r="AD1781" s="38">
        <v>8.58</v>
      </c>
      <c r="AE1781" s="38">
        <v>0</v>
      </c>
      <c r="AF1781" s="38">
        <v>1.1039999999999999E-2</v>
      </c>
      <c r="AG1781" s="38">
        <f t="shared" si="221"/>
        <v>0</v>
      </c>
      <c r="AH1781" s="38">
        <v>0</v>
      </c>
      <c r="AI1781" s="38">
        <v>0</v>
      </c>
      <c r="AJ1781" s="38">
        <v>10.19</v>
      </c>
      <c r="AK1781" s="38">
        <v>1.311E-2</v>
      </c>
      <c r="AL1781" s="38">
        <v>0</v>
      </c>
      <c r="AM1781" s="38">
        <v>0</v>
      </c>
      <c r="AN1781" s="25"/>
      <c r="AO1781" s="25">
        <f>AE1781*0.5</f>
        <v>0</v>
      </c>
      <c r="AP1781" s="25">
        <f>(AD1781+AH1781+AJ1781+AL1781+AO1781)*I1781</f>
        <v>416.69399999999996</v>
      </c>
      <c r="AQ1781" s="25">
        <f t="shared" si="229"/>
        <v>21.224999999999998</v>
      </c>
      <c r="AR1781" s="25">
        <f t="shared" si="230"/>
        <v>21.224999999999998</v>
      </c>
      <c r="AT1781" s="41"/>
      <c r="AU1781" s="41"/>
      <c r="AV1781" s="41"/>
      <c r="AW1781" s="41"/>
    </row>
    <row r="1782" spans="1:88" s="22" customFormat="1">
      <c r="A1782" s="1">
        <v>725</v>
      </c>
      <c r="B1782" s="34" t="s">
        <v>1123</v>
      </c>
      <c r="C1782" s="34">
        <v>627</v>
      </c>
      <c r="D1782" s="34">
        <v>2055</v>
      </c>
      <c r="E1782" s="34">
        <v>100</v>
      </c>
      <c r="F1782" s="34" t="s">
        <v>1131</v>
      </c>
      <c r="G1782" s="58">
        <v>14086</v>
      </c>
      <c r="H1782" s="58">
        <v>0</v>
      </c>
      <c r="I1782" s="51">
        <v>14.086</v>
      </c>
      <c r="J1782" s="127">
        <v>2</v>
      </c>
      <c r="K1782" s="34" t="s">
        <v>12</v>
      </c>
      <c r="L1782" s="10">
        <v>42177</v>
      </c>
      <c r="M1782" s="37" t="s">
        <v>191</v>
      </c>
      <c r="N1782" s="38">
        <v>5.25</v>
      </c>
      <c r="O1782" s="38">
        <v>5.2249999999999996</v>
      </c>
      <c r="P1782" s="38">
        <v>2.4500000000000002</v>
      </c>
      <c r="Q1782" s="38">
        <v>1.125</v>
      </c>
      <c r="R1782" s="38">
        <v>3.1509299999999998</v>
      </c>
      <c r="S1782" s="38">
        <f t="shared" si="219"/>
        <v>3</v>
      </c>
      <c r="T1782" s="38">
        <v>13.275</v>
      </c>
      <c r="U1782" s="38">
        <v>0.72499999999999998</v>
      </c>
      <c r="V1782" s="38">
        <v>0.05</v>
      </c>
      <c r="W1782" s="38">
        <v>0</v>
      </c>
      <c r="X1782" s="38">
        <v>4.5120699999999996</v>
      </c>
      <c r="Y1782" s="38">
        <f t="shared" si="220"/>
        <v>4.5</v>
      </c>
      <c r="Z1782" s="38">
        <v>0</v>
      </c>
      <c r="AA1782" s="38">
        <v>0</v>
      </c>
      <c r="AB1782" s="38">
        <v>14.086</v>
      </c>
      <c r="AC1782" s="38">
        <v>1.0806100000000001</v>
      </c>
      <c r="AD1782" s="39">
        <v>5.41</v>
      </c>
      <c r="AE1782" s="38">
        <v>0</v>
      </c>
      <c r="AF1782" s="38">
        <v>1.0973408247297216E-2</v>
      </c>
      <c r="AG1782" s="38">
        <f t="shared" si="221"/>
        <v>0</v>
      </c>
      <c r="AH1782" s="38">
        <v>0</v>
      </c>
      <c r="AI1782" s="38">
        <v>0</v>
      </c>
      <c r="AJ1782" s="38">
        <v>0</v>
      </c>
      <c r="AK1782" s="38">
        <v>0</v>
      </c>
      <c r="AL1782" s="38">
        <v>0</v>
      </c>
      <c r="AM1782" s="147">
        <f>AL1782/(3.5*I1782*1000)*100</f>
        <v>0</v>
      </c>
      <c r="AN1782" s="25"/>
      <c r="AO1782" s="25">
        <f>AE1782*0.5</f>
        <v>0</v>
      </c>
      <c r="AP1782" s="25">
        <f>(AD1782+AH1782+AJ1782+AL1782+AO1782)*I1782</f>
        <v>76.20526000000001</v>
      </c>
      <c r="AQ1782" s="25">
        <f t="shared" si="229"/>
        <v>14.05</v>
      </c>
      <c r="AR1782" s="25">
        <f t="shared" si="230"/>
        <v>14.05</v>
      </c>
      <c r="AS1782" s="268">
        <v>14.086</v>
      </c>
      <c r="AT1782" s="41"/>
      <c r="AU1782" s="41"/>
      <c r="AV1782" s="41"/>
      <c r="AW1782" s="41"/>
    </row>
    <row r="1783" spans="1:88" s="22" customFormat="1">
      <c r="A1783" s="1">
        <v>346</v>
      </c>
      <c r="B1783" s="34" t="s">
        <v>470</v>
      </c>
      <c r="C1783" s="34">
        <v>639</v>
      </c>
      <c r="D1783" s="34">
        <v>2370</v>
      </c>
      <c r="E1783" s="34">
        <v>100</v>
      </c>
      <c r="F1783" s="34" t="s">
        <v>483</v>
      </c>
      <c r="G1783" s="58">
        <v>0</v>
      </c>
      <c r="H1783" s="58">
        <v>35870</v>
      </c>
      <c r="I1783" s="35">
        <v>35.869999999999997</v>
      </c>
      <c r="J1783" s="62">
        <v>2</v>
      </c>
      <c r="K1783" s="34" t="s">
        <v>238</v>
      </c>
      <c r="L1783" s="10">
        <v>42157</v>
      </c>
      <c r="M1783" s="37" t="s">
        <v>191</v>
      </c>
      <c r="N1783" s="38">
        <v>19.05</v>
      </c>
      <c r="O1783" s="38">
        <v>9.5</v>
      </c>
      <c r="P1783" s="38">
        <v>4.45</v>
      </c>
      <c r="Q1783" s="38">
        <v>2.7</v>
      </c>
      <c r="R1783" s="38">
        <v>2.5409999999999999</v>
      </c>
      <c r="S1783" s="38">
        <f t="shared" si="219"/>
        <v>2.5</v>
      </c>
      <c r="T1783" s="38">
        <v>34.975000000000001</v>
      </c>
      <c r="U1783" s="38">
        <v>0.67500000000000004</v>
      </c>
      <c r="V1783" s="38">
        <v>0.05</v>
      </c>
      <c r="W1783" s="38">
        <v>0</v>
      </c>
      <c r="X1783" s="38">
        <v>4.0380000000000003</v>
      </c>
      <c r="Y1783" s="38">
        <f t="shared" si="220"/>
        <v>4</v>
      </c>
      <c r="Z1783" s="38">
        <v>0</v>
      </c>
      <c r="AA1783" s="38">
        <v>0</v>
      </c>
      <c r="AB1783" s="38">
        <f>N1783+O1783+P1783+Q1783</f>
        <v>35.700000000000003</v>
      </c>
      <c r="AC1783" s="38">
        <v>1.3089999999999999</v>
      </c>
      <c r="AD1783" s="39">
        <v>0</v>
      </c>
      <c r="AE1783" s="38">
        <v>27.49</v>
      </c>
      <c r="AF1783" s="38">
        <f>(AD1783+AE1783*0.5)/(3.5*I1783*1000)*100</f>
        <v>1.0948265562149031E-2</v>
      </c>
      <c r="AG1783" s="38">
        <f t="shared" si="221"/>
        <v>0</v>
      </c>
      <c r="AH1783" s="38">
        <v>21.43</v>
      </c>
      <c r="AI1783" s="38">
        <f>AH1783/(3.5*I1783*1000)*100</f>
        <v>1.706957664582421E-2</v>
      </c>
      <c r="AJ1783" s="38">
        <v>0.75</v>
      </c>
      <c r="AK1783" s="38">
        <v>0</v>
      </c>
      <c r="AL1783" s="38">
        <v>0</v>
      </c>
      <c r="AM1783" s="38">
        <v>0</v>
      </c>
      <c r="AN1783" s="25"/>
      <c r="AO1783" s="25">
        <f>AE1783*0.5</f>
        <v>13.744999999999999</v>
      </c>
      <c r="AP1783" s="25">
        <f>(AD1783+AH1783+AJ1783+AL1783+AO1783)*I1783</f>
        <v>1288.6297499999998</v>
      </c>
      <c r="AQ1783" s="25"/>
      <c r="AR1783" s="25"/>
      <c r="AS1783" s="25">
        <f>SUM(N1783:Q1783)</f>
        <v>35.700000000000003</v>
      </c>
      <c r="AT1783" s="25"/>
      <c r="AU1783" s="41">
        <f>SUM(N1783:Q1783)</f>
        <v>35.700000000000003</v>
      </c>
      <c r="AV1783" s="41">
        <f>SUM(T1783:W1783)</f>
        <v>35.699999999999996</v>
      </c>
      <c r="AW1783" s="41">
        <f>SUM(Z1783:AB1783)</f>
        <v>35.700000000000003</v>
      </c>
      <c r="AY1783" s="22">
        <f>I1783/AU1783</f>
        <v>1.0047619047619045</v>
      </c>
      <c r="AZ1783" s="22">
        <f>I1783/AV1783</f>
        <v>1.0047619047619047</v>
      </c>
      <c r="BA1783" s="22">
        <f>I1783/AW1783</f>
        <v>1.0047619047619045</v>
      </c>
    </row>
    <row r="1784" spans="1:88" s="22" customFormat="1">
      <c r="A1784" s="1">
        <v>1672</v>
      </c>
      <c r="B1784" s="34" t="s">
        <v>2272</v>
      </c>
      <c r="C1784" s="34">
        <v>419</v>
      </c>
      <c r="D1784" s="69">
        <v>338</v>
      </c>
      <c r="E1784" s="34">
        <v>102</v>
      </c>
      <c r="F1784" s="34" t="s">
        <v>2277</v>
      </c>
      <c r="G1784" s="58" t="s">
        <v>92</v>
      </c>
      <c r="H1784" s="58" t="s">
        <v>2278</v>
      </c>
      <c r="I1784" s="35">
        <v>8.9440000000000008</v>
      </c>
      <c r="J1784" s="34">
        <v>4</v>
      </c>
      <c r="K1784" s="34" t="s">
        <v>237</v>
      </c>
      <c r="L1784" s="10">
        <v>42243</v>
      </c>
      <c r="M1784" s="37" t="s">
        <v>191</v>
      </c>
      <c r="N1784" s="55">
        <v>4.55</v>
      </c>
      <c r="O1784" s="55">
        <v>3.9</v>
      </c>
      <c r="P1784" s="55">
        <v>0.47499999999999998</v>
      </c>
      <c r="Q1784" s="55">
        <v>2.5000000000000001E-2</v>
      </c>
      <c r="R1784" s="55">
        <v>2.5631300000000001</v>
      </c>
      <c r="S1784" s="38">
        <f t="shared" si="219"/>
        <v>2.5</v>
      </c>
      <c r="T1784" s="38">
        <v>8.9499999999999993</v>
      </c>
      <c r="U1784" s="38">
        <v>0</v>
      </c>
      <c r="V1784" s="38">
        <v>0</v>
      </c>
      <c r="W1784" s="38">
        <v>0</v>
      </c>
      <c r="X1784" s="38">
        <v>4.5901300000000003</v>
      </c>
      <c r="Y1784" s="38">
        <f t="shared" si="220"/>
        <v>4.5</v>
      </c>
      <c r="Z1784" s="38">
        <v>0</v>
      </c>
      <c r="AA1784" s="38">
        <v>0</v>
      </c>
      <c r="AB1784" s="38">
        <f>SUM(N1784:Q1784)</f>
        <v>8.9499999999999993</v>
      </c>
      <c r="AC1784" s="38">
        <v>1.37039</v>
      </c>
      <c r="AD1784" s="39">
        <v>0</v>
      </c>
      <c r="AE1784" s="38">
        <v>6.75</v>
      </c>
      <c r="AF1784" s="38">
        <f>(AD1784+AE1784*0.5)/(3.5*I1784*1000)*100</f>
        <v>1.0781369792997699E-2</v>
      </c>
      <c r="AG1784" s="38">
        <f t="shared" si="221"/>
        <v>0</v>
      </c>
      <c r="AH1784" s="38">
        <v>0</v>
      </c>
      <c r="AI1784" s="38">
        <f>AH1784/(3.5*I1784*1000)*100</f>
        <v>0</v>
      </c>
      <c r="AJ1784" s="38">
        <v>0</v>
      </c>
      <c r="AK1784" s="38">
        <f>AJ1784/(3.5*I1784*1000)*100</f>
        <v>0</v>
      </c>
      <c r="AL1784" s="38">
        <v>0</v>
      </c>
      <c r="AM1784" s="38">
        <f>AL1784/(3.5*I1784*1000)*100</f>
        <v>0</v>
      </c>
      <c r="AN1784" s="25"/>
      <c r="AO1784" s="25">
        <f>AE1784*0.5</f>
        <v>3.375</v>
      </c>
      <c r="AP1784" s="25">
        <f>(AD1784+AH1784+AJ1784+AL1784+AO1784)*I1784</f>
        <v>30.186000000000003</v>
      </c>
      <c r="AQ1784" s="25">
        <f>(AD1784+AH1784+AJ1784+AL1784)*I1784</f>
        <v>0</v>
      </c>
      <c r="AR1784" s="25">
        <f>SUM(N1784:Q1784)</f>
        <v>8.9499999999999993</v>
      </c>
      <c r="AS1784" s="25">
        <f>SUM(T1784:W1784)</f>
        <v>8.9499999999999993</v>
      </c>
      <c r="AU1784" s="41"/>
      <c r="AV1784" s="41"/>
      <c r="AW1784" s="41"/>
      <c r="AX1784" s="41"/>
    </row>
    <row r="1785" spans="1:88" s="22" customFormat="1">
      <c r="A1785" s="1">
        <v>720</v>
      </c>
      <c r="B1785" s="34" t="s">
        <v>1123</v>
      </c>
      <c r="C1785" s="34">
        <v>627</v>
      </c>
      <c r="D1785" s="34">
        <v>228</v>
      </c>
      <c r="E1785" s="34">
        <v>100</v>
      </c>
      <c r="F1785" s="34" t="s">
        <v>1127</v>
      </c>
      <c r="G1785" s="58">
        <v>0</v>
      </c>
      <c r="H1785" s="58">
        <v>37729</v>
      </c>
      <c r="I1785" s="51">
        <v>37.728999999999999</v>
      </c>
      <c r="J1785" s="127">
        <v>2</v>
      </c>
      <c r="K1785" s="34" t="s">
        <v>238</v>
      </c>
      <c r="L1785" s="10">
        <v>42179</v>
      </c>
      <c r="M1785" s="37" t="s">
        <v>191</v>
      </c>
      <c r="N1785" s="38">
        <v>14.95</v>
      </c>
      <c r="O1785" s="38">
        <v>14.3</v>
      </c>
      <c r="P1785" s="38">
        <v>6.3250000000000002</v>
      </c>
      <c r="Q1785" s="38">
        <v>1.5</v>
      </c>
      <c r="R1785" s="38">
        <v>2.9756900000000002</v>
      </c>
      <c r="S1785" s="38">
        <f t="shared" si="219"/>
        <v>3</v>
      </c>
      <c r="T1785" s="38">
        <v>33.924999999999997</v>
      </c>
      <c r="U1785" s="38">
        <v>2.375</v>
      </c>
      <c r="V1785" s="38">
        <v>0.7</v>
      </c>
      <c r="W1785" s="38">
        <v>7.4999999999999997E-2</v>
      </c>
      <c r="X1785" s="38">
        <v>4.1824399999999997</v>
      </c>
      <c r="Y1785" s="38">
        <f t="shared" si="220"/>
        <v>4</v>
      </c>
      <c r="Z1785" s="38">
        <v>0</v>
      </c>
      <c r="AA1785" s="38">
        <v>0</v>
      </c>
      <c r="AB1785" s="38">
        <v>37.728999999999999</v>
      </c>
      <c r="AC1785" s="38">
        <v>1.07612</v>
      </c>
      <c r="AD1785" s="39">
        <v>11.01</v>
      </c>
      <c r="AE1785" s="38">
        <v>7.14</v>
      </c>
      <c r="AF1785" s="38">
        <v>1.0756059505058964E-2</v>
      </c>
      <c r="AG1785" s="38">
        <f t="shared" si="221"/>
        <v>0</v>
      </c>
      <c r="AH1785" s="38">
        <v>0</v>
      </c>
      <c r="AI1785" s="38">
        <v>0</v>
      </c>
      <c r="AJ1785" s="38">
        <v>48.66</v>
      </c>
      <c r="AK1785" s="38">
        <v>3.5897795302892256E-2</v>
      </c>
      <c r="AL1785" s="38">
        <v>2.73</v>
      </c>
      <c r="AM1785" s="147">
        <f>AL1785/(3.5*I1785*1000)*100</f>
        <v>2.0673752286039918E-3</v>
      </c>
      <c r="AN1785" s="25"/>
      <c r="AO1785" s="25">
        <f>AE1785*0.5</f>
        <v>3.57</v>
      </c>
      <c r="AP1785" s="25">
        <f>(AD1785+AH1785+AJ1785+AL1785+AO1785)*I1785</f>
        <v>2488.9821299999994</v>
      </c>
      <c r="AQ1785" s="25">
        <f>SUM(N1785:Q1785)</f>
        <v>37.075000000000003</v>
      </c>
      <c r="AR1785" s="25">
        <f>SUM(T1785:W1785)</f>
        <v>37.075000000000003</v>
      </c>
      <c r="AS1785" s="268">
        <v>38.728999999999999</v>
      </c>
      <c r="AT1785" s="41"/>
      <c r="AU1785" s="41"/>
      <c r="AV1785" s="41"/>
      <c r="AW1785" s="41"/>
    </row>
    <row r="1786" spans="1:88" s="22" customFormat="1">
      <c r="A1786" s="1">
        <v>1961</v>
      </c>
      <c r="B1786" s="34" t="s">
        <v>2586</v>
      </c>
      <c r="C1786" s="34">
        <v>321</v>
      </c>
      <c r="D1786" s="75">
        <v>4151</v>
      </c>
      <c r="E1786" s="8">
        <v>100</v>
      </c>
      <c r="F1786" s="34" t="s">
        <v>2606</v>
      </c>
      <c r="G1786" s="58">
        <v>0</v>
      </c>
      <c r="H1786" s="58">
        <v>9880</v>
      </c>
      <c r="I1786" s="21">
        <v>9.8800000000000008</v>
      </c>
      <c r="J1786" s="8">
        <v>2</v>
      </c>
      <c r="K1786" s="8" t="s">
        <v>237</v>
      </c>
      <c r="L1786" s="18">
        <v>42123</v>
      </c>
      <c r="M1786" s="37" t="s">
        <v>191</v>
      </c>
      <c r="N1786" s="38">
        <v>6.0250000000000004</v>
      </c>
      <c r="O1786" s="38">
        <v>2.85</v>
      </c>
      <c r="P1786" s="38">
        <v>0.72499999999999998</v>
      </c>
      <c r="Q1786" s="38">
        <v>0.27500000000000002</v>
      </c>
      <c r="R1786" s="38">
        <v>2.5059999999999998</v>
      </c>
      <c r="S1786" s="38">
        <f t="shared" si="219"/>
        <v>2.5</v>
      </c>
      <c r="T1786" s="38">
        <v>9.8249999999999993</v>
      </c>
      <c r="U1786" s="38">
        <v>0.05</v>
      </c>
      <c r="V1786" s="38">
        <v>0</v>
      </c>
      <c r="W1786" s="38">
        <v>0</v>
      </c>
      <c r="X1786" s="38">
        <v>3.117</v>
      </c>
      <c r="Y1786" s="38">
        <f t="shared" si="220"/>
        <v>3</v>
      </c>
      <c r="Z1786" s="38">
        <v>0</v>
      </c>
      <c r="AA1786" s="38">
        <v>0</v>
      </c>
      <c r="AB1786" s="38">
        <v>9.875</v>
      </c>
      <c r="AC1786" s="38">
        <v>1.1910000000000001</v>
      </c>
      <c r="AD1786" s="39">
        <v>3.1166499999999999</v>
      </c>
      <c r="AE1786" s="38">
        <v>1.1908700000000001</v>
      </c>
      <c r="AF1786" s="38">
        <f>(AD1786+AE1786*0.5)/(3.5*I1786*1000)*100</f>
        <v>1.0734774436090224E-2</v>
      </c>
      <c r="AG1786" s="38">
        <f t="shared" si="221"/>
        <v>0</v>
      </c>
      <c r="AH1786" s="38">
        <v>539</v>
      </c>
      <c r="AI1786" s="38">
        <f>AH1786/(3.5*I1786*1000)*100</f>
        <v>1.5587044534412953</v>
      </c>
      <c r="AJ1786" s="38">
        <v>0</v>
      </c>
      <c r="AK1786" s="38">
        <v>0</v>
      </c>
      <c r="AL1786" s="38">
        <v>0</v>
      </c>
      <c r="AM1786" s="38">
        <f>AL1786/(3.5*I1786*1000)*100</f>
        <v>0</v>
      </c>
      <c r="AN1786" s="73"/>
      <c r="AO1786" s="72"/>
      <c r="AP1786" s="41"/>
      <c r="AQ1786" s="41"/>
      <c r="AR1786" s="73"/>
      <c r="AS1786" s="73"/>
      <c r="AT1786" s="73"/>
      <c r="AU1786" s="73"/>
      <c r="AV1786" s="73"/>
      <c r="AW1786" s="73"/>
      <c r="AX1786" s="73"/>
      <c r="AY1786" s="73"/>
    </row>
    <row r="1787" spans="1:88" s="22" customFormat="1">
      <c r="A1787" s="1">
        <v>132</v>
      </c>
      <c r="B1787" s="4" t="s">
        <v>38</v>
      </c>
      <c r="C1787" s="14">
        <v>528</v>
      </c>
      <c r="D1787" s="19">
        <v>1252</v>
      </c>
      <c r="E1787" s="16">
        <v>200</v>
      </c>
      <c r="F1787" s="14" t="s">
        <v>174</v>
      </c>
      <c r="G1787" s="20" t="s">
        <v>184</v>
      </c>
      <c r="H1787" s="20" t="s">
        <v>185</v>
      </c>
      <c r="I1787" s="21">
        <v>38.168999999999997</v>
      </c>
      <c r="J1787" s="8">
        <v>2</v>
      </c>
      <c r="K1787" s="33" t="s">
        <v>12</v>
      </c>
      <c r="L1787" s="18">
        <v>42224</v>
      </c>
      <c r="M1787" s="37" t="s">
        <v>191</v>
      </c>
      <c r="N1787" s="11">
        <v>6.3</v>
      </c>
      <c r="O1787" s="11">
        <v>11.55</v>
      </c>
      <c r="P1787" s="11">
        <v>12.9</v>
      </c>
      <c r="Q1787" s="11">
        <v>7.8</v>
      </c>
      <c r="R1787" s="11">
        <v>3.94719</v>
      </c>
      <c r="S1787" s="38">
        <f t="shared" si="219"/>
        <v>4</v>
      </c>
      <c r="T1787" s="11">
        <v>32.924999999999997</v>
      </c>
      <c r="U1787" s="11">
        <v>2.9249999999999998</v>
      </c>
      <c r="V1787" s="11">
        <v>1.0249999999999999</v>
      </c>
      <c r="W1787" s="11">
        <v>1.675</v>
      </c>
      <c r="X1787" s="11">
        <v>6.4666300000000003</v>
      </c>
      <c r="Y1787" s="38">
        <f t="shared" si="220"/>
        <v>6.5</v>
      </c>
      <c r="Z1787" s="11">
        <v>0</v>
      </c>
      <c r="AA1787" s="11">
        <v>0</v>
      </c>
      <c r="AB1787" s="11">
        <v>38.549999999999997</v>
      </c>
      <c r="AC1787" s="11">
        <v>1.6404099999999999</v>
      </c>
      <c r="AD1787" s="164">
        <v>14.225</v>
      </c>
      <c r="AE1787" s="11">
        <v>0</v>
      </c>
      <c r="AF1787" s="11">
        <f>(AD1787+AE1787*0.5)/(3.5*I1787*1000)*100</f>
        <v>1.0648132553343589E-2</v>
      </c>
      <c r="AG1787" s="38">
        <f t="shared" si="221"/>
        <v>0</v>
      </c>
      <c r="AH1787" s="11">
        <v>0</v>
      </c>
      <c r="AI1787" s="11">
        <f>AH1787/(3.5*I1787*1000)*100</f>
        <v>0</v>
      </c>
      <c r="AJ1787" s="11">
        <v>0</v>
      </c>
      <c r="AK1787" s="11">
        <f>AJ1787/(3.5*I1787*1000)*100</f>
        <v>0</v>
      </c>
      <c r="AL1787" s="11">
        <v>0</v>
      </c>
      <c r="AM1787" s="11">
        <f>AL1787/(3.5*I1787*1000)*100</f>
        <v>0</v>
      </c>
    </row>
    <row r="1788" spans="1:88" s="22" customFormat="1">
      <c r="A1788" s="1">
        <v>348</v>
      </c>
      <c r="B1788" s="74" t="s">
        <v>571</v>
      </c>
      <c r="C1788" s="34">
        <v>512</v>
      </c>
      <c r="D1788" s="75">
        <v>104</v>
      </c>
      <c r="E1788" s="69">
        <v>100</v>
      </c>
      <c r="F1788" s="34" t="s">
        <v>575</v>
      </c>
      <c r="G1788" s="20" t="s">
        <v>92</v>
      </c>
      <c r="H1788" s="20" t="s">
        <v>576</v>
      </c>
      <c r="I1788" s="21">
        <v>26.015000000000001</v>
      </c>
      <c r="J1788" s="8">
        <v>2</v>
      </c>
      <c r="K1788" s="34" t="s">
        <v>238</v>
      </c>
      <c r="L1788" s="18">
        <v>42257</v>
      </c>
      <c r="M1788" s="123" t="s">
        <v>191</v>
      </c>
      <c r="N1788" s="38">
        <v>17.399999999999999</v>
      </c>
      <c r="O1788" s="38">
        <v>6.65</v>
      </c>
      <c r="P1788" s="38">
        <v>1.6</v>
      </c>
      <c r="Q1788" s="38">
        <v>0.55000000000000004</v>
      </c>
      <c r="R1788" s="38">
        <v>2.4083999999999999</v>
      </c>
      <c r="S1788" s="38">
        <f t="shared" si="219"/>
        <v>2.5</v>
      </c>
      <c r="T1788" s="38">
        <v>26.125</v>
      </c>
      <c r="U1788" s="38">
        <v>7.4999999999999997E-2</v>
      </c>
      <c r="V1788" s="38">
        <v>0</v>
      </c>
      <c r="W1788" s="38">
        <v>0</v>
      </c>
      <c r="X1788" s="38">
        <v>3.1505000000000001</v>
      </c>
      <c r="Y1788" s="38">
        <f t="shared" si="220"/>
        <v>3</v>
      </c>
      <c r="Z1788" s="38">
        <v>0</v>
      </c>
      <c r="AA1788" s="38">
        <v>0</v>
      </c>
      <c r="AB1788" s="38">
        <v>26.2</v>
      </c>
      <c r="AC1788" s="38">
        <v>1.1938800000000001</v>
      </c>
      <c r="AD1788" s="39">
        <v>0</v>
      </c>
      <c r="AE1788" s="38">
        <v>19.245000000000001</v>
      </c>
      <c r="AF1788" s="38">
        <f>(AD1788+AE1788*0.5)/(3.5*I1788*1000)*100</f>
        <v>1.0568078855605281E-2</v>
      </c>
      <c r="AG1788" s="38">
        <f t="shared" si="221"/>
        <v>0</v>
      </c>
      <c r="AH1788" s="38">
        <v>64.653999999999996</v>
      </c>
      <c r="AI1788" s="38">
        <f>AH1788/(3.5*I1788*1000)*100</f>
        <v>7.1007385848823462E-2</v>
      </c>
      <c r="AJ1788" s="38">
        <v>0</v>
      </c>
      <c r="AK1788" s="38">
        <f>AJ1788/(3.5*I1788*1000)*100</f>
        <v>0</v>
      </c>
      <c r="AL1788" s="38">
        <v>0</v>
      </c>
      <c r="AM1788" s="38">
        <f>AL1788/(3.5*I1788*1000)*100</f>
        <v>0</v>
      </c>
      <c r="AN1788" s="72"/>
      <c r="AO1788" s="41"/>
      <c r="AP1788" s="41"/>
      <c r="AQ1788" s="73"/>
      <c r="AR1788" s="73"/>
      <c r="AS1788" s="73"/>
      <c r="AT1788" s="73"/>
    </row>
    <row r="1789" spans="1:88" s="22" customFormat="1">
      <c r="A1789" s="1">
        <v>796</v>
      </c>
      <c r="B1789" s="34" t="s">
        <v>1186</v>
      </c>
      <c r="C1789" s="34">
        <v>635</v>
      </c>
      <c r="D1789" s="8">
        <v>214</v>
      </c>
      <c r="E1789" s="34">
        <v>203</v>
      </c>
      <c r="F1789" s="34" t="s">
        <v>1189</v>
      </c>
      <c r="G1789" s="58">
        <v>96379</v>
      </c>
      <c r="H1789" s="58">
        <v>119391</v>
      </c>
      <c r="I1789" s="35">
        <v>23.012</v>
      </c>
      <c r="J1789" s="9">
        <v>2</v>
      </c>
      <c r="K1789" s="34" t="s">
        <v>238</v>
      </c>
      <c r="L1789" s="10">
        <v>42150</v>
      </c>
      <c r="M1789" s="37" t="s">
        <v>191</v>
      </c>
      <c r="N1789" s="38">
        <v>17.774999999999999</v>
      </c>
      <c r="O1789" s="38">
        <v>3.7</v>
      </c>
      <c r="P1789" s="38">
        <v>1.075</v>
      </c>
      <c r="Q1789" s="38">
        <v>0.5</v>
      </c>
      <c r="R1789" s="38">
        <v>2.2467199999999998</v>
      </c>
      <c r="S1789" s="38">
        <f t="shared" si="219"/>
        <v>2</v>
      </c>
      <c r="T1789" s="38">
        <v>22.55</v>
      </c>
      <c r="U1789" s="38">
        <v>0.5</v>
      </c>
      <c r="V1789" s="38">
        <v>0</v>
      </c>
      <c r="W1789" s="38">
        <v>0</v>
      </c>
      <c r="X1789" s="38">
        <v>3.3983500000000002</v>
      </c>
      <c r="Y1789" s="38">
        <f t="shared" si="220"/>
        <v>3.5</v>
      </c>
      <c r="Z1789" s="38">
        <v>0</v>
      </c>
      <c r="AA1789" s="38">
        <v>0</v>
      </c>
      <c r="AB1789" s="35">
        <v>23.012</v>
      </c>
      <c r="AC1789" s="38">
        <v>1.2313499999999999</v>
      </c>
      <c r="AD1789" s="39">
        <v>0</v>
      </c>
      <c r="AE1789" s="38">
        <v>17</v>
      </c>
      <c r="AF1789" s="38">
        <v>1.055E-2</v>
      </c>
      <c r="AG1789" s="38">
        <f t="shared" si="221"/>
        <v>0</v>
      </c>
      <c r="AH1789" s="38">
        <v>0</v>
      </c>
      <c r="AI1789" s="38">
        <v>0</v>
      </c>
      <c r="AJ1789" s="38">
        <v>96</v>
      </c>
      <c r="AK1789" s="38">
        <v>0.11919200000000001</v>
      </c>
      <c r="AL1789" s="38">
        <v>0</v>
      </c>
      <c r="AM1789" s="38">
        <v>0</v>
      </c>
      <c r="AN1789" s="25"/>
      <c r="AO1789" s="25">
        <f>AE1789*0.5</f>
        <v>8.5</v>
      </c>
      <c r="AP1789" s="25">
        <f>(AD1789+AH1789+AJ1789+AL1789+AO1789)*I1789</f>
        <v>2404.7539999999999</v>
      </c>
      <c r="AQ1789" s="25">
        <f>SUM(N1789:Q1789)</f>
        <v>23.049999999999997</v>
      </c>
      <c r="AR1789" s="25">
        <f>SUM(T1789:W1789)</f>
        <v>23.05</v>
      </c>
      <c r="AT1789" s="41"/>
      <c r="AU1789" s="41"/>
      <c r="AV1789" s="41"/>
      <c r="AW1789" s="41"/>
    </row>
    <row r="1790" spans="1:88" s="22" customFormat="1">
      <c r="A1790" s="1">
        <v>369</v>
      </c>
      <c r="B1790" s="71" t="s">
        <v>602</v>
      </c>
      <c r="C1790" s="78">
        <v>514</v>
      </c>
      <c r="D1790" s="79">
        <v>1167</v>
      </c>
      <c r="E1790" s="80">
        <v>100</v>
      </c>
      <c r="F1790" s="78" t="s">
        <v>612</v>
      </c>
      <c r="G1790" s="81">
        <v>0</v>
      </c>
      <c r="H1790" s="81">
        <v>17625</v>
      </c>
      <c r="I1790" s="78">
        <v>17.625</v>
      </c>
      <c r="J1790" s="78">
        <v>2</v>
      </c>
      <c r="K1790" s="78" t="s">
        <v>238</v>
      </c>
      <c r="L1790" s="82">
        <v>42255</v>
      </c>
      <c r="M1790" s="123" t="s">
        <v>191</v>
      </c>
      <c r="N1790" s="83">
        <v>5.2750000000000004</v>
      </c>
      <c r="O1790" s="83">
        <v>6.45</v>
      </c>
      <c r="P1790" s="83">
        <v>3.7749999999999999</v>
      </c>
      <c r="Q1790" s="83">
        <v>2.08</v>
      </c>
      <c r="R1790" s="83">
        <v>3.5349400000000002</v>
      </c>
      <c r="S1790" s="38">
        <f t="shared" si="219"/>
        <v>3.5</v>
      </c>
      <c r="T1790" s="83">
        <v>15.7</v>
      </c>
      <c r="U1790" s="83">
        <v>1.425</v>
      </c>
      <c r="V1790" s="83">
        <v>0.3</v>
      </c>
      <c r="W1790" s="83">
        <v>0.15</v>
      </c>
      <c r="X1790" s="83">
        <v>4.9683599999999997</v>
      </c>
      <c r="Y1790" s="38">
        <f t="shared" si="220"/>
        <v>5</v>
      </c>
      <c r="Z1790" s="83">
        <v>0</v>
      </c>
      <c r="AA1790" s="83">
        <v>0</v>
      </c>
      <c r="AB1790" s="83">
        <v>17.580000000000002</v>
      </c>
      <c r="AC1790" s="83">
        <v>1.35825</v>
      </c>
      <c r="AD1790" s="125">
        <v>0</v>
      </c>
      <c r="AE1790" s="83">
        <v>12.987</v>
      </c>
      <c r="AF1790" s="83">
        <f>(AD1790+AE1790*0.5)/(3.5*I1790*1000)*100</f>
        <v>1.0526443768996962E-2</v>
      </c>
      <c r="AG1790" s="38">
        <f t="shared" si="221"/>
        <v>0</v>
      </c>
      <c r="AH1790" s="83">
        <v>113.54</v>
      </c>
      <c r="AI1790" s="83">
        <f>AH1790/(3.5*I1790*1000)*100</f>
        <v>0.18405673758865251</v>
      </c>
      <c r="AJ1790" s="83">
        <v>0</v>
      </c>
      <c r="AK1790" s="83">
        <f>AJ1790/(3.5*I1790*1000)*100</f>
        <v>0</v>
      </c>
      <c r="AL1790" s="83">
        <v>0</v>
      </c>
      <c r="AM1790" s="83">
        <f>AL1790/(3.5*I1790*1000)*100</f>
        <v>0</v>
      </c>
      <c r="AN1790" s="84"/>
      <c r="AO1790" s="41"/>
      <c r="AP1790" s="41"/>
      <c r="AQ1790" s="85"/>
      <c r="AR1790" s="86"/>
      <c r="AS1790" s="86"/>
      <c r="AT1790" s="86"/>
      <c r="AU1790" s="86"/>
      <c r="AV1790" s="86"/>
      <c r="AW1790" s="86"/>
      <c r="AX1790" s="86"/>
      <c r="AY1790" s="86"/>
      <c r="AZ1790" s="86"/>
      <c r="BA1790" s="86"/>
      <c r="BB1790" s="86"/>
      <c r="BC1790" s="86"/>
      <c r="BD1790" s="86"/>
      <c r="BE1790" s="86"/>
      <c r="BF1790" s="86"/>
      <c r="BG1790" s="86"/>
      <c r="BH1790" s="86"/>
      <c r="BI1790" s="86"/>
      <c r="BJ1790" s="86"/>
      <c r="BK1790" s="86"/>
      <c r="BL1790" s="86"/>
      <c r="BM1790" s="86"/>
      <c r="BN1790" s="86"/>
      <c r="BO1790" s="86"/>
      <c r="BP1790" s="86"/>
      <c r="BQ1790" s="86"/>
      <c r="BR1790" s="86"/>
      <c r="BS1790" s="86"/>
      <c r="BT1790" s="86"/>
      <c r="BU1790" s="86"/>
      <c r="BV1790" s="86"/>
      <c r="BW1790" s="86"/>
      <c r="BX1790" s="86"/>
      <c r="BY1790" s="86"/>
      <c r="BZ1790" s="86"/>
      <c r="CA1790" s="86"/>
      <c r="CB1790" s="86"/>
      <c r="CC1790" s="86"/>
      <c r="CD1790" s="86"/>
      <c r="CE1790" s="86"/>
      <c r="CF1790" s="86"/>
      <c r="CG1790" s="86"/>
      <c r="CH1790" s="86"/>
      <c r="CI1790" s="86"/>
      <c r="CJ1790" s="86"/>
    </row>
    <row r="1791" spans="1:88" s="22" customFormat="1">
      <c r="A1791" s="1">
        <v>1292</v>
      </c>
      <c r="B1791" s="74" t="s">
        <v>1820</v>
      </c>
      <c r="C1791" s="34">
        <v>441</v>
      </c>
      <c r="D1791" s="75">
        <v>3460</v>
      </c>
      <c r="E1791" s="69">
        <v>100</v>
      </c>
      <c r="F1791" s="34" t="s">
        <v>1838</v>
      </c>
      <c r="G1791" s="58">
        <v>0</v>
      </c>
      <c r="H1791" s="58">
        <v>12776</v>
      </c>
      <c r="I1791" s="55">
        <v>12.776</v>
      </c>
      <c r="J1791" s="34">
        <v>2</v>
      </c>
      <c r="K1791" s="34" t="s">
        <v>238</v>
      </c>
      <c r="L1791" s="10">
        <v>42186</v>
      </c>
      <c r="M1791" s="37" t="s">
        <v>191</v>
      </c>
      <c r="N1791" s="38">
        <v>10.725</v>
      </c>
      <c r="O1791" s="38">
        <v>1.5</v>
      </c>
      <c r="P1791" s="38">
        <v>0.42499999999999999</v>
      </c>
      <c r="Q1791" s="38">
        <v>0.05</v>
      </c>
      <c r="R1791" s="38">
        <v>1.87134</v>
      </c>
      <c r="S1791" s="38">
        <f t="shared" si="219"/>
        <v>2</v>
      </c>
      <c r="T1791" s="38">
        <v>12.625</v>
      </c>
      <c r="U1791" s="38">
        <v>0.05</v>
      </c>
      <c r="V1791" s="38">
        <v>2.5000000000000001E-2</v>
      </c>
      <c r="W1791" s="38">
        <v>0</v>
      </c>
      <c r="X1791" s="38">
        <v>2.9172699999999998</v>
      </c>
      <c r="Y1791" s="38">
        <f t="shared" si="220"/>
        <v>3</v>
      </c>
      <c r="Z1791" s="38">
        <v>0</v>
      </c>
      <c r="AA1791" s="38">
        <v>0</v>
      </c>
      <c r="AB1791" s="38">
        <v>12.700000000000001</v>
      </c>
      <c r="AC1791" s="38">
        <v>1.03287</v>
      </c>
      <c r="AD1791" s="39">
        <v>3</v>
      </c>
      <c r="AE1791" s="38">
        <v>3</v>
      </c>
      <c r="AF1791" s="38">
        <v>1.0063511942034172E-2</v>
      </c>
      <c r="AG1791" s="38">
        <f t="shared" si="221"/>
        <v>0</v>
      </c>
      <c r="AH1791" s="38">
        <v>0</v>
      </c>
      <c r="AI1791" s="38">
        <v>0</v>
      </c>
      <c r="AJ1791" s="38">
        <v>0</v>
      </c>
      <c r="AK1791" s="38">
        <v>0</v>
      </c>
      <c r="AL1791" s="38">
        <v>0</v>
      </c>
      <c r="AM1791" s="38">
        <v>0</v>
      </c>
      <c r="AN1791" s="40"/>
      <c r="AO1791" s="12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</row>
    <row r="1792" spans="1:88" s="22" customFormat="1">
      <c r="A1792" s="1">
        <v>804</v>
      </c>
      <c r="B1792" s="34" t="s">
        <v>1186</v>
      </c>
      <c r="C1792" s="34">
        <v>635</v>
      </c>
      <c r="D1792" s="8">
        <v>2046</v>
      </c>
      <c r="E1792" s="34">
        <v>102</v>
      </c>
      <c r="F1792" s="34" t="s">
        <v>1196</v>
      </c>
      <c r="G1792" s="58">
        <v>16100</v>
      </c>
      <c r="H1792" s="58">
        <v>47299</v>
      </c>
      <c r="I1792" s="35">
        <v>31.199000000000002</v>
      </c>
      <c r="J1792" s="9">
        <v>2</v>
      </c>
      <c r="K1792" s="34" t="s">
        <v>238</v>
      </c>
      <c r="L1792" s="10">
        <v>42151</v>
      </c>
      <c r="M1792" s="37" t="s">
        <v>191</v>
      </c>
      <c r="N1792" s="38">
        <v>21.65</v>
      </c>
      <c r="O1792" s="38">
        <v>6.25</v>
      </c>
      <c r="P1792" s="38">
        <v>2.15</v>
      </c>
      <c r="Q1792" s="38">
        <v>1.05</v>
      </c>
      <c r="R1792" s="38">
        <v>3.16628</v>
      </c>
      <c r="S1792" s="38">
        <f t="shared" si="219"/>
        <v>3</v>
      </c>
      <c r="T1792" s="38">
        <v>28.6</v>
      </c>
      <c r="U1792" s="38">
        <v>1.625</v>
      </c>
      <c r="V1792" s="38">
        <v>0.6</v>
      </c>
      <c r="W1792" s="38">
        <v>0.27500000000000002</v>
      </c>
      <c r="X1792" s="38">
        <v>5.9240000000000004</v>
      </c>
      <c r="Y1792" s="38">
        <f t="shared" si="220"/>
        <v>6</v>
      </c>
      <c r="Z1792" s="38">
        <v>0</v>
      </c>
      <c r="AA1792" s="38">
        <v>0</v>
      </c>
      <c r="AB1792" s="35">
        <v>31.199000000000002</v>
      </c>
      <c r="AC1792" s="38">
        <v>1.2829999999999999</v>
      </c>
      <c r="AD1792" s="39">
        <v>2.35</v>
      </c>
      <c r="AE1792" s="38">
        <v>17.14</v>
      </c>
      <c r="AF1792" s="38">
        <v>0.01</v>
      </c>
      <c r="AG1792" s="38">
        <f t="shared" si="221"/>
        <v>0</v>
      </c>
      <c r="AH1792" s="38">
        <v>0</v>
      </c>
      <c r="AI1792" s="38">
        <v>0</v>
      </c>
      <c r="AJ1792" s="38">
        <v>43.67</v>
      </c>
      <c r="AK1792" s="38">
        <v>3.9989999999999998E-2</v>
      </c>
      <c r="AL1792" s="38">
        <v>0</v>
      </c>
      <c r="AM1792" s="38">
        <v>0</v>
      </c>
      <c r="AN1792" s="25"/>
      <c r="AO1792" s="25">
        <f>AE1792*0.5</f>
        <v>8.57</v>
      </c>
      <c r="AP1792" s="25">
        <f>(AD1792+AH1792+AJ1792+AL1792+AO1792)*I1792</f>
        <v>1703.1534100000001</v>
      </c>
      <c r="AQ1792" s="25">
        <f>SUM(N1792:Q1792)</f>
        <v>31.099999999999998</v>
      </c>
      <c r="AR1792" s="25">
        <f>SUM(T1792:W1792)</f>
        <v>31.1</v>
      </c>
      <c r="AT1792" s="41"/>
      <c r="AU1792" s="41"/>
      <c r="AV1792" s="41"/>
      <c r="AW1792" s="41"/>
    </row>
    <row r="1793" spans="1:88" s="22" customFormat="1">
      <c r="A1793" s="1">
        <v>314</v>
      </c>
      <c r="B1793" s="34" t="s">
        <v>542</v>
      </c>
      <c r="C1793" s="34">
        <v>644</v>
      </c>
      <c r="D1793" s="34">
        <v>2031</v>
      </c>
      <c r="E1793" s="34">
        <v>100</v>
      </c>
      <c r="F1793" s="34" t="s">
        <v>546</v>
      </c>
      <c r="G1793" s="58">
        <v>0</v>
      </c>
      <c r="H1793" s="58">
        <v>22959</v>
      </c>
      <c r="I1793" s="35">
        <v>22.959</v>
      </c>
      <c r="J1793" s="62">
        <v>2</v>
      </c>
      <c r="K1793" s="34" t="s">
        <v>238</v>
      </c>
      <c r="L1793" s="10">
        <v>42158</v>
      </c>
      <c r="M1793" s="37" t="s">
        <v>191</v>
      </c>
      <c r="N1793" s="38">
        <v>19.98</v>
      </c>
      <c r="O1793" s="38">
        <v>1.99</v>
      </c>
      <c r="P1793" s="38">
        <v>0.8</v>
      </c>
      <c r="Q1793" s="38">
        <v>0.2</v>
      </c>
      <c r="R1793" s="38">
        <v>1.8736999999999999</v>
      </c>
      <c r="S1793" s="38">
        <f t="shared" si="219"/>
        <v>2</v>
      </c>
      <c r="T1793" s="38">
        <v>22.79</v>
      </c>
      <c r="U1793" s="38">
        <v>0.1</v>
      </c>
      <c r="V1793" s="38">
        <v>0.08</v>
      </c>
      <c r="W1793" s="38">
        <v>0</v>
      </c>
      <c r="X1793" s="38">
        <v>2.8279999999999998</v>
      </c>
      <c r="Y1793" s="38">
        <f t="shared" si="220"/>
        <v>3</v>
      </c>
      <c r="Z1793" s="38">
        <v>0</v>
      </c>
      <c r="AA1793" s="38">
        <v>0</v>
      </c>
      <c r="AB1793" s="38">
        <v>22.96</v>
      </c>
      <c r="AC1793" s="38">
        <v>1.1698999999999999</v>
      </c>
      <c r="AD1793" s="39">
        <v>0</v>
      </c>
      <c r="AE1793" s="38">
        <v>16</v>
      </c>
      <c r="AF1793" s="38">
        <v>9.9600000000000001E-3</v>
      </c>
      <c r="AG1793" s="38">
        <f t="shared" si="221"/>
        <v>0</v>
      </c>
      <c r="AH1793" s="38">
        <v>0</v>
      </c>
      <c r="AI1793" s="38">
        <v>0</v>
      </c>
      <c r="AJ1793" s="38">
        <v>0</v>
      </c>
      <c r="AK1793" s="38">
        <v>0</v>
      </c>
      <c r="AL1793" s="38">
        <v>0</v>
      </c>
      <c r="AM1793" s="38">
        <v>0</v>
      </c>
      <c r="AN1793" s="60"/>
      <c r="AO1793" s="60">
        <f>AE1793*0.5</f>
        <v>8</v>
      </c>
      <c r="AP1793" s="60">
        <f>(AD1793+AH1793+AJ1793+AL1793+AO1793)*I1793</f>
        <v>183.672</v>
      </c>
      <c r="AQ1793" s="25">
        <f>SUM(N1793:Q1793)</f>
        <v>22.97</v>
      </c>
      <c r="AR1793" s="25">
        <f>SUM(T1793:W1793)</f>
        <v>22.97</v>
      </c>
      <c r="AS1793" s="268">
        <v>22.959</v>
      </c>
      <c r="AT1793" s="40"/>
      <c r="AU1793" s="41">
        <f>SUM(N1793:Q1793)</f>
        <v>22.97</v>
      </c>
      <c r="AV1793" s="41">
        <f>SUM(T1793:W1793)</f>
        <v>22.97</v>
      </c>
      <c r="AW1793" s="41">
        <f>SUM(Z1793:AB1793)</f>
        <v>22.96</v>
      </c>
      <c r="AY1793" s="22">
        <f>I1793/AU1793</f>
        <v>0.99952111449717029</v>
      </c>
      <c r="AZ1793" s="22">
        <f>I1793/AV1793</f>
        <v>0.99952111449717029</v>
      </c>
      <c r="BA1793" s="22">
        <f>I1793/AW1793</f>
        <v>0.99995644599303135</v>
      </c>
      <c r="BB1793" s="61"/>
      <c r="BC1793" s="61"/>
      <c r="BD1793" s="61"/>
      <c r="BE1793" s="61"/>
      <c r="BF1793" s="61"/>
      <c r="BG1793" s="61"/>
      <c r="BH1793" s="61"/>
      <c r="BI1793" s="61"/>
      <c r="BJ1793" s="61"/>
      <c r="BK1793" s="61"/>
      <c r="BL1793" s="61"/>
      <c r="BM1793" s="61"/>
      <c r="BN1793" s="61"/>
      <c r="BO1793" s="61"/>
      <c r="BP1793" s="61"/>
      <c r="BQ1793" s="61"/>
      <c r="BR1793" s="61"/>
      <c r="BS1793" s="61"/>
      <c r="BT1793" s="61"/>
      <c r="BU1793" s="61"/>
      <c r="BV1793" s="61"/>
      <c r="BW1793" s="61"/>
      <c r="BX1793" s="61"/>
      <c r="BY1793" s="61"/>
      <c r="BZ1793" s="61"/>
      <c r="CA1793" s="61"/>
      <c r="CB1793" s="61"/>
      <c r="CC1793" s="61"/>
      <c r="CD1793" s="61"/>
      <c r="CE1793" s="61"/>
      <c r="CF1793" s="61"/>
      <c r="CG1793" s="61"/>
      <c r="CH1793" s="61"/>
      <c r="CI1793" s="61"/>
      <c r="CJ1793" s="61"/>
    </row>
    <row r="1794" spans="1:88" s="22" customFormat="1">
      <c r="A1794" s="1">
        <v>932</v>
      </c>
      <c r="B1794" s="34" t="s">
        <v>1309</v>
      </c>
      <c r="C1794" s="34">
        <v>638</v>
      </c>
      <c r="D1794" s="8">
        <v>2373</v>
      </c>
      <c r="E1794" s="34">
        <v>100</v>
      </c>
      <c r="F1794" s="34" t="s">
        <v>1326</v>
      </c>
      <c r="G1794" s="58">
        <v>0</v>
      </c>
      <c r="H1794" s="58">
        <v>20396</v>
      </c>
      <c r="I1794" s="35">
        <v>20.396000000000001</v>
      </c>
      <c r="J1794" s="9">
        <v>2</v>
      </c>
      <c r="K1794" s="34" t="s">
        <v>238</v>
      </c>
      <c r="L1794" s="10">
        <v>42136</v>
      </c>
      <c r="M1794" s="37" t="s">
        <v>191</v>
      </c>
      <c r="N1794" s="38">
        <v>5.7</v>
      </c>
      <c r="O1794" s="38">
        <v>6.65</v>
      </c>
      <c r="P1794" s="38">
        <v>4.7</v>
      </c>
      <c r="Q1794" s="38">
        <v>3.3250000000000002</v>
      </c>
      <c r="R1794" s="38">
        <v>3.726</v>
      </c>
      <c r="S1794" s="38">
        <f t="shared" si="219"/>
        <v>3.5</v>
      </c>
      <c r="T1794" s="38">
        <v>18.7</v>
      </c>
      <c r="U1794" s="38">
        <v>1.35</v>
      </c>
      <c r="V1794" s="38">
        <v>0.3</v>
      </c>
      <c r="W1794" s="38">
        <v>2.5000000000000001E-2</v>
      </c>
      <c r="X1794" s="38">
        <v>4.7859999999999996</v>
      </c>
      <c r="Y1794" s="38">
        <f t="shared" si="220"/>
        <v>5</v>
      </c>
      <c r="Z1794" s="38">
        <v>0</v>
      </c>
      <c r="AA1794" s="38">
        <v>0</v>
      </c>
      <c r="AB1794" s="38">
        <f>N1794+O1794+P1794+Q1794</f>
        <v>20.375</v>
      </c>
      <c r="AC1794" s="38">
        <v>1.246</v>
      </c>
      <c r="AD1794" s="39">
        <v>6.93</v>
      </c>
      <c r="AE1794" s="38">
        <v>0</v>
      </c>
      <c r="AF1794" s="38">
        <v>9.7099999999999999E-3</v>
      </c>
      <c r="AG1794" s="38">
        <f t="shared" si="221"/>
        <v>0</v>
      </c>
      <c r="AH1794" s="38">
        <v>0</v>
      </c>
      <c r="AI1794" s="38">
        <v>0</v>
      </c>
      <c r="AJ1794" s="38">
        <v>1462.61</v>
      </c>
      <c r="AK1794" s="38">
        <v>2.0488749999999998</v>
      </c>
      <c r="AL1794" s="38">
        <v>0</v>
      </c>
      <c r="AM1794" s="38">
        <v>0</v>
      </c>
      <c r="AN1794" s="40"/>
      <c r="AO1794" s="40"/>
      <c r="AP1794" s="40">
        <f>AE1794*0.5</f>
        <v>0</v>
      </c>
      <c r="AQ1794" s="25">
        <f>(AD1794+AH1794+AJ1794+AL1794+AP1794)*I1794</f>
        <v>29972.737840000002</v>
      </c>
      <c r="AR1794" s="25"/>
      <c r="AS1794" s="25"/>
      <c r="AT1794" s="25">
        <f>SUM(N1794:Q1794)</f>
        <v>20.375</v>
      </c>
      <c r="AU1794" s="25">
        <f>SUM(T1794:W1794)</f>
        <v>20.375</v>
      </c>
      <c r="AW1794" s="41"/>
      <c r="AX1794" s="41"/>
      <c r="AY1794" s="41"/>
      <c r="AZ1794" s="41"/>
    </row>
    <row r="1795" spans="1:88" s="22" customFormat="1">
      <c r="A1795" s="1">
        <v>340</v>
      </c>
      <c r="B1795" s="34" t="s">
        <v>470</v>
      </c>
      <c r="C1795" s="34">
        <v>639</v>
      </c>
      <c r="D1795" s="34">
        <v>2116</v>
      </c>
      <c r="E1795" s="34">
        <v>401</v>
      </c>
      <c r="F1795" s="34" t="s">
        <v>473</v>
      </c>
      <c r="G1795" s="58" t="s">
        <v>474</v>
      </c>
      <c r="H1795" s="58" t="s">
        <v>475</v>
      </c>
      <c r="I1795" s="35">
        <v>26.8</v>
      </c>
      <c r="J1795" s="62">
        <v>2</v>
      </c>
      <c r="K1795" s="34" t="s">
        <v>12</v>
      </c>
      <c r="L1795" s="10">
        <v>42157</v>
      </c>
      <c r="M1795" s="37" t="s">
        <v>191</v>
      </c>
      <c r="N1795" s="38">
        <v>16.425000000000001</v>
      </c>
      <c r="O1795" s="38">
        <v>6.7249999999999996</v>
      </c>
      <c r="P1795" s="38">
        <v>2.5499999999999998</v>
      </c>
      <c r="Q1795" s="38">
        <v>1.0249999999999999</v>
      </c>
      <c r="R1795" s="38">
        <v>2.6688200000000002</v>
      </c>
      <c r="S1795" s="38">
        <f t="shared" ref="S1795:S1858" si="231">ROUND(R1795/5,1)*5</f>
        <v>2.5</v>
      </c>
      <c r="T1795" s="38">
        <v>25.25</v>
      </c>
      <c r="U1795" s="38">
        <v>0.67500000000000004</v>
      </c>
      <c r="V1795" s="38">
        <v>0.15</v>
      </c>
      <c r="W1795" s="38">
        <v>0.65</v>
      </c>
      <c r="X1795" s="38">
        <v>7.4077799999999998</v>
      </c>
      <c r="Y1795" s="38">
        <f t="shared" ref="Y1795:Y1858" si="232">ROUND(X1795/5,1)*5</f>
        <v>7.5</v>
      </c>
      <c r="Z1795" s="38">
        <v>0</v>
      </c>
      <c r="AA1795" s="38">
        <v>0</v>
      </c>
      <c r="AB1795" s="38">
        <f>N1795+O1795+P1795+Q1795</f>
        <v>26.724999999999998</v>
      </c>
      <c r="AC1795" s="38">
        <v>1.22149</v>
      </c>
      <c r="AD1795" s="39">
        <v>5</v>
      </c>
      <c r="AE1795" s="38">
        <v>8</v>
      </c>
      <c r="AF1795" s="38">
        <f>(AD1795+AE1795*0.5)/(3.5*I1795*1000)*100</f>
        <v>9.5948827292110864E-3</v>
      </c>
      <c r="AG1795" s="38">
        <f t="shared" ref="AG1795:AG1858" si="233">ROUND(AF1795,1)</f>
        <v>0</v>
      </c>
      <c r="AH1795" s="38">
        <v>19.420000000000002</v>
      </c>
      <c r="AI1795" s="38">
        <f>AH1795/(3.5*I1795*1000)*100</f>
        <v>2.0703624733475482E-2</v>
      </c>
      <c r="AJ1795" s="38">
        <v>0</v>
      </c>
      <c r="AK1795" s="38">
        <v>0</v>
      </c>
      <c r="AL1795" s="38">
        <v>0</v>
      </c>
      <c r="AM1795" s="38">
        <v>0</v>
      </c>
      <c r="AN1795" s="25"/>
      <c r="AO1795" s="25">
        <f>AE1795*0.5</f>
        <v>4</v>
      </c>
      <c r="AP1795" s="25">
        <f>(AD1795+AH1795+AJ1795+AL1795+AO1795)*I1795</f>
        <v>761.65600000000006</v>
      </c>
      <c r="AQ1795" s="25"/>
      <c r="AR1795" s="25"/>
      <c r="AS1795" s="25">
        <f>SUM(N1795:Q1795)</f>
        <v>26.724999999999998</v>
      </c>
      <c r="AT1795" s="25"/>
      <c r="AU1795" s="41">
        <f>SUM(N1795:Q1795)</f>
        <v>26.724999999999998</v>
      </c>
      <c r="AV1795" s="41">
        <f>SUM(T1795:W1795)</f>
        <v>26.724999999999998</v>
      </c>
      <c r="AW1795" s="41">
        <f>SUM(Z1795:AB1795)</f>
        <v>26.724999999999998</v>
      </c>
      <c r="AY1795" s="22">
        <f>I1795/AU1795</f>
        <v>1.0028063610851263</v>
      </c>
      <c r="AZ1795" s="22">
        <f>I1795/AV1795</f>
        <v>1.0028063610851263</v>
      </c>
      <c r="BA1795" s="22">
        <f>I1795/AW1795</f>
        <v>1.0028063610851263</v>
      </c>
    </row>
    <row r="1796" spans="1:88" s="22" customFormat="1">
      <c r="A1796" s="1">
        <v>1997</v>
      </c>
      <c r="B1796" s="34" t="s">
        <v>2615</v>
      </c>
      <c r="C1796" s="34">
        <v>322</v>
      </c>
      <c r="D1796" s="75">
        <v>4269</v>
      </c>
      <c r="E1796" s="8">
        <v>101</v>
      </c>
      <c r="F1796" s="34" t="s">
        <v>2640</v>
      </c>
      <c r="G1796" s="58">
        <v>9720</v>
      </c>
      <c r="H1796" s="58">
        <v>0</v>
      </c>
      <c r="I1796" s="21">
        <v>9.7200000000000006</v>
      </c>
      <c r="J1796" s="8">
        <v>2</v>
      </c>
      <c r="K1796" s="8" t="s">
        <v>96</v>
      </c>
      <c r="L1796" s="18">
        <v>42126</v>
      </c>
      <c r="M1796" s="37" t="s">
        <v>191</v>
      </c>
      <c r="N1796" s="38">
        <v>7</v>
      </c>
      <c r="O1796" s="38">
        <v>2.1</v>
      </c>
      <c r="P1796" s="38">
        <v>0.67500000000000004</v>
      </c>
      <c r="Q1796" s="38">
        <v>0.52500000000000002</v>
      </c>
      <c r="R1796" s="38">
        <v>2.43723</v>
      </c>
      <c r="S1796" s="38">
        <f t="shared" si="231"/>
        <v>2.5</v>
      </c>
      <c r="T1796" s="38">
        <v>10.25</v>
      </c>
      <c r="U1796" s="38">
        <v>0</v>
      </c>
      <c r="V1796" s="38">
        <v>0</v>
      </c>
      <c r="W1796" s="38">
        <v>0.05</v>
      </c>
      <c r="X1796" s="38">
        <v>2.6071599999999999</v>
      </c>
      <c r="Y1796" s="38">
        <f t="shared" si="232"/>
        <v>2.5</v>
      </c>
      <c r="Z1796" s="38">
        <v>0</v>
      </c>
      <c r="AA1796" s="38">
        <v>0</v>
      </c>
      <c r="AB1796" s="38">
        <v>10.3</v>
      </c>
      <c r="AC1796" s="38">
        <v>1.0622199999999999</v>
      </c>
      <c r="AD1796" s="39">
        <v>3.26</v>
      </c>
      <c r="AE1796" s="38">
        <v>0</v>
      </c>
      <c r="AF1796" s="38">
        <v>9.582598471487359E-3</v>
      </c>
      <c r="AG1796" s="38">
        <f t="shared" si="233"/>
        <v>0</v>
      </c>
      <c r="AH1796" s="38">
        <v>0.35</v>
      </c>
      <c r="AI1796" s="38">
        <v>1.0288065843621398E-3</v>
      </c>
      <c r="AJ1796" s="38">
        <v>0</v>
      </c>
      <c r="AK1796" s="38">
        <v>0</v>
      </c>
      <c r="AL1796" s="38">
        <v>0</v>
      </c>
      <c r="AM1796" s="38">
        <f>AL1796/(3.5*I1796*1000)*100</f>
        <v>0</v>
      </c>
      <c r="AN1796" s="72"/>
      <c r="AO1796" s="41"/>
      <c r="AP1796" s="41"/>
      <c r="AQ1796" s="73"/>
      <c r="AR1796" s="73"/>
      <c r="AS1796" s="73"/>
      <c r="AT1796" s="73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</row>
    <row r="1797" spans="1:88" s="22" customFormat="1">
      <c r="A1797" s="1">
        <v>36</v>
      </c>
      <c r="B1797" s="4" t="s">
        <v>21</v>
      </c>
      <c r="C1797" s="14">
        <v>522</v>
      </c>
      <c r="D1797" s="19">
        <v>1229</v>
      </c>
      <c r="E1797" s="16">
        <v>100</v>
      </c>
      <c r="F1797" s="16" t="s">
        <v>31</v>
      </c>
      <c r="G1797" s="20" t="s">
        <v>92</v>
      </c>
      <c r="H1797" s="20" t="s">
        <v>198</v>
      </c>
      <c r="I1797" s="21">
        <v>11</v>
      </c>
      <c r="J1797" s="8">
        <v>2</v>
      </c>
      <c r="K1797" s="9" t="s">
        <v>238</v>
      </c>
      <c r="L1797" s="24">
        <v>42238</v>
      </c>
      <c r="M1797" s="37" t="s">
        <v>191</v>
      </c>
      <c r="N1797" s="11">
        <v>5.0750000000000002</v>
      </c>
      <c r="O1797" s="11">
        <v>3.7</v>
      </c>
      <c r="P1797" s="11">
        <v>1.4</v>
      </c>
      <c r="Q1797" s="11">
        <v>0.47499999999999998</v>
      </c>
      <c r="R1797" s="11">
        <v>2.798</v>
      </c>
      <c r="S1797" s="38">
        <f t="shared" si="231"/>
        <v>3</v>
      </c>
      <c r="T1797" s="11">
        <v>10.45</v>
      </c>
      <c r="U1797" s="11">
        <v>7.4999999999999997E-2</v>
      </c>
      <c r="V1797" s="11">
        <v>0</v>
      </c>
      <c r="W1797" s="11">
        <v>0.125</v>
      </c>
      <c r="X1797" s="11">
        <v>2.67083</v>
      </c>
      <c r="Y1797" s="38">
        <f t="shared" si="232"/>
        <v>2.5</v>
      </c>
      <c r="Z1797" s="11">
        <v>0</v>
      </c>
      <c r="AA1797" s="11">
        <v>0</v>
      </c>
      <c r="AB1797" s="11">
        <f>SUM(N1797:Q1797)</f>
        <v>10.65</v>
      </c>
      <c r="AC1797" s="11">
        <v>1.2706900000000001</v>
      </c>
      <c r="AD1797" s="164">
        <v>0</v>
      </c>
      <c r="AE1797" s="11">
        <v>7.26</v>
      </c>
      <c r="AF1797" s="11">
        <f>(AD1797+AE1797*0.5)/(3.5*I1797*1000)*100</f>
        <v>9.4285714285714285E-3</v>
      </c>
      <c r="AG1797" s="38">
        <f t="shared" si="233"/>
        <v>0</v>
      </c>
      <c r="AH1797" s="11">
        <v>0</v>
      </c>
      <c r="AI1797" s="11">
        <f>AH1797/(3.5*I1797*1000)*100</f>
        <v>0</v>
      </c>
      <c r="AJ1797" s="11">
        <v>28</v>
      </c>
      <c r="AK1797" s="11">
        <f>AJ1797/(3.5*I1797*1000)*100</f>
        <v>7.2727272727272724E-2</v>
      </c>
      <c r="AL1797" s="11">
        <v>0</v>
      </c>
      <c r="AM1797" s="11">
        <f>AL1797/(3.5*I1797*1000)*100</f>
        <v>0</v>
      </c>
      <c r="AO1797" s="25"/>
      <c r="AP1797" s="25"/>
    </row>
    <row r="1798" spans="1:88" s="22" customFormat="1">
      <c r="A1798" s="1">
        <v>1969</v>
      </c>
      <c r="B1798" s="34" t="s">
        <v>2586</v>
      </c>
      <c r="C1798" s="34">
        <v>321</v>
      </c>
      <c r="D1798" s="75">
        <v>4317</v>
      </c>
      <c r="E1798" s="8">
        <v>100</v>
      </c>
      <c r="F1798" s="34" t="s">
        <v>2614</v>
      </c>
      <c r="G1798" s="58">
        <v>3123</v>
      </c>
      <c r="H1798" s="58">
        <v>0</v>
      </c>
      <c r="I1798" s="21">
        <v>3.1230000000000002</v>
      </c>
      <c r="J1798" s="8">
        <v>2</v>
      </c>
      <c r="K1798" s="8" t="s">
        <v>12</v>
      </c>
      <c r="L1798" s="18">
        <v>42123</v>
      </c>
      <c r="M1798" s="37" t="s">
        <v>191</v>
      </c>
      <c r="N1798" s="38">
        <v>2.9750000000000001</v>
      </c>
      <c r="O1798" s="38">
        <v>2.5000000000000001E-2</v>
      </c>
      <c r="P1798" s="38">
        <v>0</v>
      </c>
      <c r="Q1798" s="38">
        <v>0.05</v>
      </c>
      <c r="R1798" s="38">
        <v>1.3063899999999999</v>
      </c>
      <c r="S1798" s="38">
        <f t="shared" si="231"/>
        <v>1.5</v>
      </c>
      <c r="T1798" s="38">
        <v>3.05</v>
      </c>
      <c r="U1798" s="38">
        <v>0</v>
      </c>
      <c r="V1798" s="38">
        <v>0</v>
      </c>
      <c r="W1798" s="38">
        <v>0</v>
      </c>
      <c r="X1798" s="38">
        <v>3.3219500000000002</v>
      </c>
      <c r="Y1798" s="38">
        <f t="shared" si="232"/>
        <v>3.5</v>
      </c>
      <c r="Z1798" s="38">
        <v>0</v>
      </c>
      <c r="AA1798" s="38">
        <v>0</v>
      </c>
      <c r="AB1798" s="38">
        <v>3.05</v>
      </c>
      <c r="AC1798" s="38">
        <v>1.26597</v>
      </c>
      <c r="AD1798" s="39">
        <v>0</v>
      </c>
      <c r="AE1798" s="38">
        <v>2</v>
      </c>
      <c r="AF1798" s="38">
        <f>(AD1798+AE1798*0.5)/(3.5*I1798*1000)*100</f>
        <v>9.1487123187411375E-3</v>
      </c>
      <c r="AG1798" s="38">
        <f t="shared" si="233"/>
        <v>0</v>
      </c>
      <c r="AH1798" s="38">
        <v>0</v>
      </c>
      <c r="AI1798" s="38">
        <f>AH1798/(3.5*I1798*1000)*100</f>
        <v>0</v>
      </c>
      <c r="AJ1798" s="38">
        <v>0</v>
      </c>
      <c r="AK1798" s="38">
        <f>AH1798/(3.5*L1798*1000)*100</f>
        <v>0</v>
      </c>
      <c r="AL1798" s="38">
        <v>0</v>
      </c>
      <c r="AM1798" s="38">
        <f>AL1798/(3.5*I1798*1000)*100</f>
        <v>0</v>
      </c>
      <c r="AN1798" s="73"/>
      <c r="AO1798" s="72"/>
      <c r="AP1798" s="41"/>
      <c r="AQ1798" s="41"/>
      <c r="AR1798" s="73"/>
      <c r="AS1798" s="73"/>
      <c r="AT1798" s="73"/>
      <c r="AU1798" s="73"/>
      <c r="AV1798" s="73"/>
      <c r="AW1798" s="73"/>
      <c r="AX1798" s="73"/>
      <c r="AY1798" s="73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</row>
    <row r="1799" spans="1:88" s="22" customFormat="1">
      <c r="A1799" s="1">
        <v>211</v>
      </c>
      <c r="B1799" s="34" t="s">
        <v>383</v>
      </c>
      <c r="C1799" s="34">
        <v>535</v>
      </c>
      <c r="D1799" s="34">
        <v>1292</v>
      </c>
      <c r="E1799" s="34">
        <v>100</v>
      </c>
      <c r="F1799" s="34" t="s">
        <v>405</v>
      </c>
      <c r="G1799" s="20" t="s">
        <v>406</v>
      </c>
      <c r="H1799" s="20" t="s">
        <v>407</v>
      </c>
      <c r="I1799" s="35">
        <v>12.791</v>
      </c>
      <c r="J1799" s="36">
        <v>2</v>
      </c>
      <c r="K1799" s="34" t="s">
        <v>238</v>
      </c>
      <c r="L1799" s="18">
        <v>42209</v>
      </c>
      <c r="M1799" s="37" t="s">
        <v>191</v>
      </c>
      <c r="N1799" s="38">
        <v>6.21</v>
      </c>
      <c r="O1799" s="38">
        <v>3.4</v>
      </c>
      <c r="P1799" s="38">
        <v>1.65</v>
      </c>
      <c r="Q1799" s="38">
        <v>1.53</v>
      </c>
      <c r="R1799" s="38">
        <v>3.177</v>
      </c>
      <c r="S1799" s="38">
        <f t="shared" si="231"/>
        <v>3</v>
      </c>
      <c r="T1799" s="38">
        <v>11.81</v>
      </c>
      <c r="U1799" s="38">
        <v>0.73</v>
      </c>
      <c r="V1799" s="38">
        <v>0.23</v>
      </c>
      <c r="W1799" s="38">
        <v>0.02</v>
      </c>
      <c r="X1799" s="38">
        <v>5.5350000000000001</v>
      </c>
      <c r="Y1799" s="38">
        <f t="shared" si="232"/>
        <v>5.5</v>
      </c>
      <c r="Z1799" s="38">
        <v>0</v>
      </c>
      <c r="AA1799" s="38">
        <v>0</v>
      </c>
      <c r="AB1799" s="38">
        <v>12.79</v>
      </c>
      <c r="AC1799" s="38">
        <v>1.3260000000000001</v>
      </c>
      <c r="AD1799" s="39">
        <v>0.83</v>
      </c>
      <c r="AE1799" s="38">
        <v>6.44</v>
      </c>
      <c r="AF1799" s="38">
        <f>(AD1799+AE1799*0.5)/(3.5*I1799*1000)*100</f>
        <v>9.0465394194578774E-3</v>
      </c>
      <c r="AG1799" s="38">
        <f t="shared" si="233"/>
        <v>0</v>
      </c>
      <c r="AH1799" s="38">
        <v>701.01</v>
      </c>
      <c r="AI1799" s="38">
        <f>AH1799/(3.5*I1799*1000)*100</f>
        <v>1.5658554564034981</v>
      </c>
      <c r="AJ1799" s="38">
        <v>0</v>
      </c>
      <c r="AK1799" s="38">
        <f>AJ1799/(3.5*I1799*1000)*100</f>
        <v>0</v>
      </c>
      <c r="AL1799" s="38">
        <v>1733.2</v>
      </c>
      <c r="AM1799" s="38">
        <f>AL1799/(3.5*I1799*1000)*100</f>
        <v>3.8714721288405909</v>
      </c>
      <c r="AN1799" s="25"/>
      <c r="AO1799" s="25"/>
      <c r="AP1799" s="25">
        <f>AE1799*0.5</f>
        <v>3.22</v>
      </c>
      <c r="AQ1799" s="25">
        <f>(AD1799+AH1799+AJ1799+AL1799+AP1799)*I1799</f>
        <v>31187.783659999997</v>
      </c>
      <c r="AR1799" s="25"/>
      <c r="AS1799" s="25"/>
      <c r="AT1799" s="25"/>
      <c r="AU1799" s="41">
        <f>SUM(N1799:Q1799)</f>
        <v>12.79</v>
      </c>
      <c r="AV1799" s="41">
        <f>SUM(T1799:W1799)</f>
        <v>12.790000000000001</v>
      </c>
      <c r="AW1799" s="41">
        <f>SUM(Z1799:AB1799)</f>
        <v>12.79</v>
      </c>
      <c r="AX1799" s="41"/>
      <c r="AY1799" s="22">
        <f>I1799/AU1799</f>
        <v>1.0000781860828774</v>
      </c>
      <c r="AZ1799" s="22">
        <f>I1799/AV1799</f>
        <v>1.0000781860828771</v>
      </c>
      <c r="BA1799" s="22">
        <f>I1799/AW1799</f>
        <v>1.0000781860828774</v>
      </c>
    </row>
    <row r="1800" spans="1:88" s="22" customFormat="1">
      <c r="A1800" s="1">
        <v>297</v>
      </c>
      <c r="B1800" s="34" t="s">
        <v>509</v>
      </c>
      <c r="C1800" s="34">
        <v>642</v>
      </c>
      <c r="D1800" s="34">
        <v>2308</v>
      </c>
      <c r="E1800" s="34">
        <v>100</v>
      </c>
      <c r="F1800" s="34" t="s">
        <v>525</v>
      </c>
      <c r="G1800" s="58">
        <v>18962</v>
      </c>
      <c r="H1800" s="58">
        <v>0</v>
      </c>
      <c r="I1800" s="35">
        <v>18.962</v>
      </c>
      <c r="J1800" s="62">
        <v>2</v>
      </c>
      <c r="K1800" s="34" t="s">
        <v>12</v>
      </c>
      <c r="L1800" s="10">
        <v>42161</v>
      </c>
      <c r="M1800" s="37" t="s">
        <v>191</v>
      </c>
      <c r="N1800" s="38">
        <v>13.324999999999999</v>
      </c>
      <c r="O1800" s="38">
        <v>3.65</v>
      </c>
      <c r="P1800" s="38">
        <v>1.375</v>
      </c>
      <c r="Q1800" s="38">
        <v>0.55000000000000004</v>
      </c>
      <c r="R1800" s="38">
        <v>2.7049500000000002</v>
      </c>
      <c r="S1800" s="38">
        <f t="shared" si="231"/>
        <v>2.5</v>
      </c>
      <c r="T1800" s="38">
        <v>18.774999999999999</v>
      </c>
      <c r="U1800" s="38">
        <v>0.1</v>
      </c>
      <c r="V1800" s="38">
        <v>2.5000000000000001E-2</v>
      </c>
      <c r="W1800" s="38">
        <v>0</v>
      </c>
      <c r="X1800" s="38">
        <v>3.6936300000000002</v>
      </c>
      <c r="Y1800" s="38">
        <f t="shared" si="232"/>
        <v>3.5</v>
      </c>
      <c r="Z1800" s="38">
        <v>0</v>
      </c>
      <c r="AA1800" s="38">
        <v>0</v>
      </c>
      <c r="AB1800" s="38">
        <f>T1800+U1800+V1800+W1800</f>
        <v>18.899999999999999</v>
      </c>
      <c r="AC1800" s="38">
        <v>1.26183</v>
      </c>
      <c r="AD1800" s="39">
        <v>0</v>
      </c>
      <c r="AE1800" s="38">
        <v>12</v>
      </c>
      <c r="AF1800" s="38">
        <v>9.0406376663100634E-3</v>
      </c>
      <c r="AG1800" s="38">
        <f t="shared" si="233"/>
        <v>0</v>
      </c>
      <c r="AH1800" s="38">
        <v>0</v>
      </c>
      <c r="AI1800" s="38">
        <v>0</v>
      </c>
      <c r="AJ1800" s="38">
        <v>0</v>
      </c>
      <c r="AK1800" s="38">
        <v>0</v>
      </c>
      <c r="AL1800" s="38">
        <v>0</v>
      </c>
      <c r="AM1800" s="38">
        <v>0</v>
      </c>
      <c r="AN1800" s="60"/>
      <c r="AO1800" s="60"/>
      <c r="AP1800" s="60">
        <f>AE1800*0.5</f>
        <v>6</v>
      </c>
      <c r="AQ1800" s="64">
        <f>(AD1800+AH1800+AJ1800+AL1800+AP1800)*I1800</f>
        <v>113.77199999999999</v>
      </c>
      <c r="AR1800" s="60"/>
      <c r="AS1800" s="25">
        <f>SUM(N1800:Q1800)</f>
        <v>18.899999999999999</v>
      </c>
      <c r="AT1800" s="25"/>
      <c r="AU1800" s="41">
        <f>SUM(N1800:Q1800)</f>
        <v>18.899999999999999</v>
      </c>
      <c r="AV1800" s="41">
        <f>SUM(T1800:W1800)</f>
        <v>18.899999999999999</v>
      </c>
      <c r="AW1800" s="41">
        <f>SUM(Z1800:AB1800)</f>
        <v>18.899999999999999</v>
      </c>
      <c r="AY1800" s="22">
        <f>I1800/AU1800</f>
        <v>1.0032804232804233</v>
      </c>
      <c r="AZ1800" s="22">
        <f>I1800/AV1800</f>
        <v>1.0032804232804233</v>
      </c>
      <c r="BA1800" s="22">
        <f>I1800/AW1800</f>
        <v>1.0032804232804233</v>
      </c>
      <c r="BB1800" s="61"/>
      <c r="BC1800" s="61"/>
      <c r="BD1800" s="61"/>
      <c r="BE1800" s="61"/>
      <c r="BF1800" s="61"/>
      <c r="BG1800" s="61"/>
      <c r="BH1800" s="61"/>
      <c r="BI1800" s="61"/>
      <c r="BJ1800" s="61"/>
      <c r="BK1800" s="61"/>
      <c r="BL1800" s="61"/>
      <c r="BM1800" s="61"/>
      <c r="BN1800" s="61"/>
      <c r="BO1800" s="61"/>
      <c r="BP1800" s="61"/>
      <c r="BQ1800" s="61"/>
      <c r="BR1800" s="61"/>
      <c r="BS1800" s="61"/>
      <c r="BT1800" s="61"/>
      <c r="BU1800" s="61"/>
      <c r="BV1800" s="61"/>
      <c r="BW1800" s="61"/>
      <c r="BX1800" s="61"/>
      <c r="BY1800" s="61"/>
      <c r="BZ1800" s="61"/>
      <c r="CA1800" s="61"/>
      <c r="CB1800" s="61"/>
      <c r="CC1800" s="61"/>
      <c r="CD1800" s="61"/>
      <c r="CE1800" s="61"/>
      <c r="CF1800" s="61"/>
      <c r="CG1800" s="61"/>
      <c r="CH1800" s="61"/>
      <c r="CI1800" s="61"/>
      <c r="CJ1800" s="61"/>
    </row>
    <row r="1801" spans="1:88" s="22" customFormat="1">
      <c r="A1801" s="1">
        <v>727</v>
      </c>
      <c r="B1801" s="34" t="s">
        <v>1123</v>
      </c>
      <c r="C1801" s="34">
        <v>627</v>
      </c>
      <c r="D1801" s="34">
        <v>2159</v>
      </c>
      <c r="E1801" s="34">
        <v>202</v>
      </c>
      <c r="F1801" s="34" t="s">
        <v>1133</v>
      </c>
      <c r="G1801" s="58">
        <v>77516</v>
      </c>
      <c r="H1801" s="58">
        <v>118985</v>
      </c>
      <c r="I1801" s="51">
        <v>41.469000000000001</v>
      </c>
      <c r="J1801" s="127">
        <v>2</v>
      </c>
      <c r="K1801" s="34" t="s">
        <v>238</v>
      </c>
      <c r="L1801" s="10">
        <v>42179</v>
      </c>
      <c r="M1801" s="37" t="s">
        <v>191</v>
      </c>
      <c r="N1801" s="38">
        <v>26.98</v>
      </c>
      <c r="O1801" s="38">
        <v>10.039999999999999</v>
      </c>
      <c r="P1801" s="38">
        <v>3.875</v>
      </c>
      <c r="Q1801" s="38">
        <v>1.95</v>
      </c>
      <c r="R1801" s="38">
        <v>2.5542899999999999</v>
      </c>
      <c r="S1801" s="38">
        <f t="shared" si="231"/>
        <v>2.5</v>
      </c>
      <c r="T1801" s="38">
        <v>39.380000000000003</v>
      </c>
      <c r="U1801" s="38">
        <v>2.2000000000000002</v>
      </c>
      <c r="V1801" s="38">
        <v>0.6</v>
      </c>
      <c r="W1801" s="38">
        <v>0.42499999999999999</v>
      </c>
      <c r="X1801" s="38">
        <v>4.7218600000000004</v>
      </c>
      <c r="Y1801" s="38">
        <f t="shared" si="232"/>
        <v>4.5</v>
      </c>
      <c r="Z1801" s="38">
        <v>0</v>
      </c>
      <c r="AA1801" s="38">
        <v>0</v>
      </c>
      <c r="AB1801" s="38">
        <v>42.469000000000001</v>
      </c>
      <c r="AC1801" s="38">
        <v>1.1934800000000001</v>
      </c>
      <c r="AD1801" s="39">
        <v>10.75</v>
      </c>
      <c r="AE1801" s="38">
        <v>5.37</v>
      </c>
      <c r="AF1801" s="38">
        <v>9.0385255800028933E-3</v>
      </c>
      <c r="AG1801" s="38">
        <f t="shared" si="233"/>
        <v>0</v>
      </c>
      <c r="AH1801" s="38">
        <v>0</v>
      </c>
      <c r="AI1801" s="38">
        <v>0</v>
      </c>
      <c r="AJ1801" s="38">
        <v>0</v>
      </c>
      <c r="AK1801" s="38">
        <v>0</v>
      </c>
      <c r="AL1801" s="38">
        <v>13.72</v>
      </c>
      <c r="AM1801" s="147">
        <f t="shared" ref="AM1801:AM1813" si="234">AL1801/(3.5*I1801*1000)*100</f>
        <v>9.4528442933275465E-3</v>
      </c>
      <c r="AN1801" s="25"/>
      <c r="AO1801" s="25">
        <f>AE1801*0.5</f>
        <v>2.6850000000000001</v>
      </c>
      <c r="AP1801" s="25">
        <f>(AD1801+AH1801+AJ1801+AL1801+AO1801)*I1801</f>
        <v>1126.0906949999999</v>
      </c>
      <c r="AQ1801" s="25">
        <f>SUM(N1801:Q1801)</f>
        <v>42.844999999999999</v>
      </c>
      <c r="AR1801" s="25">
        <f>SUM(T1801:W1801)</f>
        <v>42.605000000000004</v>
      </c>
      <c r="AS1801" s="268">
        <v>42.469000000000001</v>
      </c>
      <c r="AT1801" s="41"/>
      <c r="AU1801" s="41"/>
      <c r="AV1801" s="41"/>
      <c r="AW1801" s="41"/>
    </row>
    <row r="1802" spans="1:88" s="22" customFormat="1">
      <c r="A1802" s="1">
        <v>133</v>
      </c>
      <c r="B1802" s="4" t="s">
        <v>38</v>
      </c>
      <c r="C1802" s="14">
        <v>528</v>
      </c>
      <c r="D1802" s="19">
        <v>1287</v>
      </c>
      <c r="E1802" s="16">
        <v>100</v>
      </c>
      <c r="F1802" s="14" t="s">
        <v>221</v>
      </c>
      <c r="G1802" s="20" t="s">
        <v>222</v>
      </c>
      <c r="H1802" s="20" t="s">
        <v>92</v>
      </c>
      <c r="I1802" s="21">
        <v>10.622999999999999</v>
      </c>
      <c r="J1802" s="8">
        <v>2</v>
      </c>
      <c r="K1802" s="33" t="s">
        <v>12</v>
      </c>
      <c r="L1802" s="18">
        <v>42224</v>
      </c>
      <c r="M1802" s="37" t="s">
        <v>191</v>
      </c>
      <c r="N1802" s="11">
        <v>4.1500000000000004</v>
      </c>
      <c r="O1802" s="11">
        <v>3.9750000000000001</v>
      </c>
      <c r="P1802" s="11">
        <v>1.75</v>
      </c>
      <c r="Q1802" s="11">
        <v>0.57499999999999996</v>
      </c>
      <c r="R1802" s="11">
        <v>2.9944500000000001</v>
      </c>
      <c r="S1802" s="38">
        <f t="shared" si="231"/>
        <v>3</v>
      </c>
      <c r="T1802" s="11">
        <v>10.45</v>
      </c>
      <c r="U1802" s="11">
        <v>0</v>
      </c>
      <c r="V1802" s="11">
        <v>0</v>
      </c>
      <c r="W1802" s="11">
        <v>0</v>
      </c>
      <c r="X1802" s="11">
        <v>2.19496</v>
      </c>
      <c r="Y1802" s="38">
        <f t="shared" si="232"/>
        <v>2</v>
      </c>
      <c r="Z1802" s="11">
        <v>0</v>
      </c>
      <c r="AA1802" s="11">
        <v>0</v>
      </c>
      <c r="AB1802" s="11">
        <v>10.45</v>
      </c>
      <c r="AC1802" s="11">
        <v>1.13201</v>
      </c>
      <c r="AD1802" s="164">
        <v>3.36</v>
      </c>
      <c r="AE1802" s="11">
        <v>0</v>
      </c>
      <c r="AF1802" s="11">
        <f>(AD1802+AE1802*0.5)/(3.5*I1802*1000)*100</f>
        <v>9.036995199096301E-3</v>
      </c>
      <c r="AG1802" s="38">
        <f t="shared" si="233"/>
        <v>0</v>
      </c>
      <c r="AH1802" s="11">
        <v>232.02</v>
      </c>
      <c r="AI1802" s="11">
        <f>AH1802/(3.5*I1802*1000)*100</f>
        <v>0.6240367934804536</v>
      </c>
      <c r="AJ1802" s="11">
        <v>0</v>
      </c>
      <c r="AK1802" s="11">
        <f>AJ1802/(3.5*I1802*1000)*100</f>
        <v>0</v>
      </c>
      <c r="AL1802" s="11">
        <v>0</v>
      </c>
      <c r="AM1802" s="11">
        <f t="shared" si="234"/>
        <v>0</v>
      </c>
    </row>
    <row r="1803" spans="1:88" s="22" customFormat="1">
      <c r="A1803" s="1">
        <v>274</v>
      </c>
      <c r="B1803" s="34" t="s">
        <v>484</v>
      </c>
      <c r="C1803" s="34">
        <v>641</v>
      </c>
      <c r="D1803" s="34">
        <v>2046</v>
      </c>
      <c r="E1803" s="34">
        <v>200</v>
      </c>
      <c r="F1803" s="34" t="s">
        <v>495</v>
      </c>
      <c r="G1803" s="57" t="s">
        <v>496</v>
      </c>
      <c r="H1803" s="58" t="s">
        <v>497</v>
      </c>
      <c r="I1803" s="35">
        <v>11.157999999999999</v>
      </c>
      <c r="J1803" s="59">
        <v>2</v>
      </c>
      <c r="K1803" s="34" t="s">
        <v>238</v>
      </c>
      <c r="L1803" s="10">
        <v>42160</v>
      </c>
      <c r="M1803" s="37" t="s">
        <v>191</v>
      </c>
      <c r="N1803" s="38">
        <v>8.4</v>
      </c>
      <c r="O1803" s="38">
        <v>2.0499999999999998</v>
      </c>
      <c r="P1803" s="38">
        <v>0.47499999999999998</v>
      </c>
      <c r="Q1803" s="38">
        <v>0.2</v>
      </c>
      <c r="R1803" s="38">
        <v>2.9961500000000001</v>
      </c>
      <c r="S1803" s="38">
        <f t="shared" si="231"/>
        <v>3</v>
      </c>
      <c r="T1803" s="38">
        <v>10.5</v>
      </c>
      <c r="U1803" s="38">
        <v>0.625</v>
      </c>
      <c r="V1803" s="38">
        <v>0</v>
      </c>
      <c r="W1803" s="38">
        <v>0</v>
      </c>
      <c r="X1803" s="38">
        <v>5.4170699999999998</v>
      </c>
      <c r="Y1803" s="38">
        <f t="shared" si="232"/>
        <v>5.5</v>
      </c>
      <c r="Z1803" s="38">
        <v>0</v>
      </c>
      <c r="AA1803" s="38">
        <v>0</v>
      </c>
      <c r="AB1803" s="38">
        <f>T1803+U1803+V1803+W1803</f>
        <v>11.125</v>
      </c>
      <c r="AC1803" s="38">
        <v>1.23654</v>
      </c>
      <c r="AD1803" s="39">
        <v>0</v>
      </c>
      <c r="AE1803" s="38">
        <v>7</v>
      </c>
      <c r="AF1803" s="38">
        <f>(AD1803+AE1803*0.5)/(3.5*I1803*1000)*100</f>
        <v>8.9621796020792257E-3</v>
      </c>
      <c r="AG1803" s="38">
        <f t="shared" si="233"/>
        <v>0</v>
      </c>
      <c r="AH1803" s="38">
        <v>0</v>
      </c>
      <c r="AI1803" s="38">
        <f>AH1803/(3.5*I1803*1000)*100</f>
        <v>0</v>
      </c>
      <c r="AJ1803" s="38">
        <v>4.45</v>
      </c>
      <c r="AK1803" s="38">
        <v>0</v>
      </c>
      <c r="AL1803" s="38">
        <v>0</v>
      </c>
      <c r="AM1803" s="38">
        <f t="shared" si="234"/>
        <v>0</v>
      </c>
      <c r="AN1803" s="60"/>
      <c r="AO1803" s="60">
        <f>AE1803*0.5</f>
        <v>3.5</v>
      </c>
      <c r="AP1803" s="60">
        <f>(AD1803+AH1803+AJ1803+AL1803+AO1803)*I1803</f>
        <v>88.706099999999992</v>
      </c>
      <c r="AQ1803" s="25">
        <f>SUM(N1803:Q1803)</f>
        <v>11.124999999999998</v>
      </c>
      <c r="AR1803" s="25">
        <f>SUM(T1803:W1803)</f>
        <v>11.125</v>
      </c>
      <c r="AS1803" s="61"/>
      <c r="AT1803" s="40"/>
      <c r="AU1803" s="41">
        <f>SUM(N1803:Q1803)</f>
        <v>11.124999999999998</v>
      </c>
      <c r="AV1803" s="41">
        <f>SUM(T1803:W1803)</f>
        <v>11.125</v>
      </c>
      <c r="AW1803" s="41">
        <f>SUM(Z1803:AB1803)</f>
        <v>11.125</v>
      </c>
      <c r="AX1803" s="61"/>
      <c r="AY1803" s="22">
        <f>I1803/AU1803</f>
        <v>1.0029662921348317</v>
      </c>
      <c r="AZ1803" s="22">
        <f>I1803/AV1803</f>
        <v>1.0029662921348315</v>
      </c>
      <c r="BA1803" s="22">
        <f>I1803/AW1803</f>
        <v>1.0029662921348315</v>
      </c>
      <c r="BB1803" s="61"/>
      <c r="BC1803" s="61"/>
      <c r="BD1803" s="61"/>
      <c r="BE1803" s="61"/>
      <c r="BF1803" s="61"/>
      <c r="BG1803" s="61"/>
      <c r="BH1803" s="61"/>
      <c r="BI1803" s="61"/>
      <c r="BJ1803" s="61"/>
      <c r="BK1803" s="61"/>
      <c r="BL1803" s="61"/>
      <c r="BM1803" s="61"/>
      <c r="BN1803" s="61"/>
      <c r="BO1803" s="61"/>
      <c r="BP1803" s="61"/>
      <c r="BQ1803" s="61"/>
      <c r="BR1803" s="61"/>
      <c r="BS1803" s="61"/>
      <c r="BT1803" s="61"/>
      <c r="BU1803" s="61"/>
      <c r="BV1803" s="61"/>
      <c r="BW1803" s="61"/>
      <c r="BX1803" s="61"/>
      <c r="BY1803" s="61"/>
      <c r="BZ1803" s="61"/>
      <c r="CA1803" s="61"/>
      <c r="CB1803" s="61"/>
      <c r="CC1803" s="61"/>
      <c r="CD1803" s="61"/>
      <c r="CE1803" s="61"/>
      <c r="CF1803" s="61"/>
      <c r="CG1803" s="61"/>
      <c r="CH1803" s="61"/>
      <c r="CI1803" s="61"/>
      <c r="CJ1803" s="61"/>
    </row>
    <row r="1804" spans="1:88" s="22" customFormat="1">
      <c r="A1804" s="1">
        <v>1986</v>
      </c>
      <c r="B1804" s="34" t="s">
        <v>2615</v>
      </c>
      <c r="C1804" s="34">
        <v>322</v>
      </c>
      <c r="D1804" s="75">
        <v>4151</v>
      </c>
      <c r="E1804" s="8">
        <v>300</v>
      </c>
      <c r="F1804" s="34" t="s">
        <v>2627</v>
      </c>
      <c r="G1804" s="58">
        <v>49493</v>
      </c>
      <c r="H1804" s="58">
        <v>62443</v>
      </c>
      <c r="I1804" s="21">
        <v>12.95</v>
      </c>
      <c r="J1804" s="8">
        <v>2</v>
      </c>
      <c r="K1804" s="8" t="s">
        <v>237</v>
      </c>
      <c r="L1804" s="18">
        <v>42126</v>
      </c>
      <c r="M1804" s="37" t="s">
        <v>191</v>
      </c>
      <c r="N1804" s="38">
        <v>9.4749999999999996</v>
      </c>
      <c r="O1804" s="38">
        <v>2.6749999999999998</v>
      </c>
      <c r="P1804" s="38">
        <v>0.65</v>
      </c>
      <c r="Q1804" s="38">
        <v>0.22500000000000001</v>
      </c>
      <c r="R1804" s="38">
        <v>2.2972399999999999</v>
      </c>
      <c r="S1804" s="38">
        <f t="shared" si="231"/>
        <v>2.5</v>
      </c>
      <c r="T1804" s="38">
        <v>12.85</v>
      </c>
      <c r="U1804" s="38">
        <v>0.15</v>
      </c>
      <c r="V1804" s="38">
        <v>2.5000000000000001E-2</v>
      </c>
      <c r="W1804" s="38">
        <v>0</v>
      </c>
      <c r="X1804" s="38">
        <v>2.1243799999999999</v>
      </c>
      <c r="Y1804" s="38">
        <f t="shared" si="232"/>
        <v>2</v>
      </c>
      <c r="Z1804" s="38">
        <v>0</v>
      </c>
      <c r="AA1804" s="38">
        <v>0</v>
      </c>
      <c r="AB1804" s="38">
        <v>13.024999999999999</v>
      </c>
      <c r="AC1804" s="38">
        <v>1.14256</v>
      </c>
      <c r="AD1804" s="39">
        <v>0</v>
      </c>
      <c r="AE1804" s="38">
        <v>8</v>
      </c>
      <c r="AF1804" s="38">
        <v>8.8251516822945401E-3</v>
      </c>
      <c r="AG1804" s="38">
        <f t="shared" si="233"/>
        <v>0</v>
      </c>
      <c r="AH1804" s="38">
        <v>0</v>
      </c>
      <c r="AI1804" s="38">
        <v>0</v>
      </c>
      <c r="AJ1804" s="38">
        <v>12.56</v>
      </c>
      <c r="AK1804" s="38">
        <v>2.7710976282404862E-2</v>
      </c>
      <c r="AL1804" s="38">
        <v>1</v>
      </c>
      <c r="AM1804" s="38">
        <f t="shared" si="234"/>
        <v>2.206287920573635E-3</v>
      </c>
      <c r="AN1804" s="72"/>
      <c r="AO1804" s="41"/>
      <c r="AP1804" s="41"/>
      <c r="AQ1804" s="73"/>
      <c r="AR1804" s="73"/>
      <c r="AS1804" s="73"/>
      <c r="AT1804" s="73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</row>
    <row r="1805" spans="1:88" s="22" customFormat="1">
      <c r="A1805" s="1">
        <v>373</v>
      </c>
      <c r="B1805" s="71" t="s">
        <v>602</v>
      </c>
      <c r="C1805" s="78">
        <v>514</v>
      </c>
      <c r="D1805" s="79">
        <v>1215</v>
      </c>
      <c r="E1805" s="80">
        <v>100</v>
      </c>
      <c r="F1805" s="78" t="s">
        <v>619</v>
      </c>
      <c r="G1805" s="81">
        <v>0</v>
      </c>
      <c r="H1805" s="81">
        <v>7685</v>
      </c>
      <c r="I1805" s="78">
        <v>7.6849999999999996</v>
      </c>
      <c r="J1805" s="78">
        <v>2</v>
      </c>
      <c r="K1805" s="78" t="s">
        <v>238</v>
      </c>
      <c r="L1805" s="82">
        <v>42254</v>
      </c>
      <c r="M1805" s="123" t="s">
        <v>191</v>
      </c>
      <c r="N1805" s="83">
        <v>1.45</v>
      </c>
      <c r="O1805" s="83">
        <v>1.65</v>
      </c>
      <c r="P1805" s="83">
        <v>2.2999999999999998</v>
      </c>
      <c r="Q1805" s="83">
        <v>2.25</v>
      </c>
      <c r="R1805" s="83">
        <v>4.2918000000000003</v>
      </c>
      <c r="S1805" s="38">
        <f t="shared" si="231"/>
        <v>4.5</v>
      </c>
      <c r="T1805" s="83">
        <v>7.15</v>
      </c>
      <c r="U1805" s="83">
        <v>0.375</v>
      </c>
      <c r="V1805" s="83">
        <v>0.05</v>
      </c>
      <c r="W1805" s="83">
        <v>7.4999999999999997E-2</v>
      </c>
      <c r="X1805" s="83">
        <v>4.7686200000000003</v>
      </c>
      <c r="Y1805" s="38">
        <f t="shared" si="232"/>
        <v>5</v>
      </c>
      <c r="Z1805" s="83">
        <v>0</v>
      </c>
      <c r="AA1805" s="83">
        <v>0</v>
      </c>
      <c r="AB1805" s="83">
        <v>7.6499999999999995</v>
      </c>
      <c r="AC1805" s="83">
        <v>1.24776</v>
      </c>
      <c r="AD1805" s="125">
        <v>0</v>
      </c>
      <c r="AE1805" s="83">
        <v>4.67</v>
      </c>
      <c r="AF1805" s="83">
        <f>(AD1805+AE1805*0.5)/(3.5*I1805*1000)*100</f>
        <v>8.6811041918393918E-3</v>
      </c>
      <c r="AG1805" s="38">
        <f t="shared" si="233"/>
        <v>0</v>
      </c>
      <c r="AH1805" s="83">
        <v>145.68</v>
      </c>
      <c r="AI1805" s="83">
        <f>AH1805/(3.5*I1805*1000)*100</f>
        <v>0.54161167394739296</v>
      </c>
      <c r="AJ1805" s="83">
        <v>0</v>
      </c>
      <c r="AK1805" s="83">
        <f>AJ1805/(3.5*I1805*1000)*100</f>
        <v>0</v>
      </c>
      <c r="AL1805" s="83">
        <v>0</v>
      </c>
      <c r="AM1805" s="83">
        <f t="shared" si="234"/>
        <v>0</v>
      </c>
      <c r="AN1805" s="84"/>
      <c r="AO1805" s="41"/>
      <c r="AP1805" s="41"/>
      <c r="AQ1805" s="85"/>
      <c r="AR1805" s="86"/>
      <c r="AS1805" s="86"/>
      <c r="AT1805" s="86"/>
      <c r="AU1805" s="86"/>
      <c r="AV1805" s="86"/>
      <c r="AW1805" s="86"/>
      <c r="AX1805" s="86"/>
      <c r="AY1805" s="86"/>
      <c r="AZ1805" s="86"/>
      <c r="BA1805" s="86"/>
      <c r="BB1805" s="86"/>
      <c r="BC1805" s="86"/>
      <c r="BD1805" s="86"/>
      <c r="BE1805" s="86"/>
      <c r="BF1805" s="86"/>
      <c r="BG1805" s="86"/>
      <c r="BH1805" s="86"/>
      <c r="BI1805" s="86"/>
      <c r="BJ1805" s="86"/>
      <c r="BK1805" s="86"/>
      <c r="BL1805" s="86"/>
      <c r="BM1805" s="86"/>
      <c r="BN1805" s="86"/>
      <c r="BO1805" s="86"/>
      <c r="BP1805" s="86"/>
      <c r="BQ1805" s="86"/>
      <c r="BR1805" s="86"/>
      <c r="BS1805" s="86"/>
      <c r="BT1805" s="86"/>
      <c r="BU1805" s="86"/>
      <c r="BV1805" s="86"/>
      <c r="BW1805" s="86"/>
      <c r="BX1805" s="86"/>
      <c r="BY1805" s="86"/>
      <c r="BZ1805" s="86"/>
      <c r="CA1805" s="86"/>
      <c r="CB1805" s="86"/>
      <c r="CC1805" s="86"/>
      <c r="CD1805" s="86"/>
      <c r="CE1805" s="86"/>
      <c r="CF1805" s="86"/>
      <c r="CG1805" s="86"/>
      <c r="CH1805" s="86"/>
      <c r="CI1805" s="86"/>
      <c r="CJ1805" s="86"/>
    </row>
    <row r="1806" spans="1:88" s="22" customFormat="1">
      <c r="A1806" s="1">
        <v>1046</v>
      </c>
      <c r="B1806" s="9" t="s">
        <v>1394</v>
      </c>
      <c r="C1806" s="9">
        <v>617</v>
      </c>
      <c r="D1806" s="8">
        <v>2445</v>
      </c>
      <c r="E1806" s="9">
        <v>103</v>
      </c>
      <c r="F1806" s="9" t="s">
        <v>1444</v>
      </c>
      <c r="G1806" s="20">
        <v>59401</v>
      </c>
      <c r="H1806" s="20">
        <v>69732</v>
      </c>
      <c r="I1806" s="35">
        <v>10.331</v>
      </c>
      <c r="J1806" s="9">
        <v>4</v>
      </c>
      <c r="K1806" s="9" t="s">
        <v>96</v>
      </c>
      <c r="L1806" s="18">
        <v>42131</v>
      </c>
      <c r="M1806" s="37" t="s">
        <v>191</v>
      </c>
      <c r="N1806" s="11">
        <v>7.1749999999999998</v>
      </c>
      <c r="O1806" s="11">
        <v>2.6</v>
      </c>
      <c r="P1806" s="11">
        <v>0.5</v>
      </c>
      <c r="Q1806" s="11">
        <v>7.4999999999999997E-2</v>
      </c>
      <c r="R1806" s="11">
        <v>2.6521300000000001</v>
      </c>
      <c r="S1806" s="38">
        <f t="shared" si="231"/>
        <v>2.5</v>
      </c>
      <c r="T1806" s="11">
        <v>10.074999999999999</v>
      </c>
      <c r="U1806" s="11">
        <v>0.27500000000000002</v>
      </c>
      <c r="V1806" s="11">
        <v>0</v>
      </c>
      <c r="W1806" s="11">
        <v>0</v>
      </c>
      <c r="X1806" s="11">
        <v>3.8505199999999999</v>
      </c>
      <c r="Y1806" s="38">
        <f t="shared" si="232"/>
        <v>4</v>
      </c>
      <c r="Z1806" s="11">
        <v>0</v>
      </c>
      <c r="AA1806" s="11">
        <v>0</v>
      </c>
      <c r="AB1806" s="11">
        <f>SUM(N1806:Q1806)</f>
        <v>10.35</v>
      </c>
      <c r="AC1806" s="11">
        <v>1.44191</v>
      </c>
      <c r="AD1806" s="164">
        <v>0</v>
      </c>
      <c r="AE1806" s="11">
        <v>6.24</v>
      </c>
      <c r="AF1806" s="11">
        <f>(AD1806+AE1806*0.5)/(3.5*I1806*1000)*100</f>
        <v>8.6286765214264975E-3</v>
      </c>
      <c r="AG1806" s="38">
        <f t="shared" si="233"/>
        <v>0</v>
      </c>
      <c r="AH1806" s="11">
        <v>0</v>
      </c>
      <c r="AI1806" s="38">
        <f>AH1806/(3.5*I1806*1000)*100</f>
        <v>0</v>
      </c>
      <c r="AJ1806" s="11">
        <v>22.42</v>
      </c>
      <c r="AK1806" s="38">
        <f>AJ1806/(3.5*I1806*1000)*100</f>
        <v>6.200478449050708E-2</v>
      </c>
      <c r="AL1806" s="11">
        <v>0</v>
      </c>
      <c r="AM1806" s="38">
        <f t="shared" si="234"/>
        <v>0</v>
      </c>
      <c r="AN1806" s="25"/>
      <c r="AO1806" s="25">
        <f>AE1806*0.5</f>
        <v>3.12</v>
      </c>
      <c r="AP1806" s="25">
        <f>(AD1806+AH1806+AJ1806+AL1806+AO1806)*I1806</f>
        <v>263.85374000000002</v>
      </c>
      <c r="AQ1806" s="25"/>
      <c r="AR1806" s="25"/>
      <c r="AS1806" s="25">
        <f>SUM(N1806:Q1806)</f>
        <v>10.35</v>
      </c>
      <c r="AT1806" s="25">
        <f>SUM(T1806:W1806)</f>
        <v>10.35</v>
      </c>
      <c r="AU1806" s="41"/>
      <c r="AV1806" s="41"/>
      <c r="AW1806" s="41"/>
    </row>
    <row r="1807" spans="1:88" s="22" customFormat="1">
      <c r="A1807" s="1">
        <v>2084</v>
      </c>
      <c r="B1807" s="34" t="s">
        <v>2715</v>
      </c>
      <c r="C1807" s="34">
        <v>329</v>
      </c>
      <c r="D1807" s="75">
        <v>4343</v>
      </c>
      <c r="E1807" s="8">
        <v>100</v>
      </c>
      <c r="F1807" s="34" t="s">
        <v>2730</v>
      </c>
      <c r="G1807" s="58">
        <v>0</v>
      </c>
      <c r="H1807" s="58">
        <v>6100</v>
      </c>
      <c r="I1807" s="21">
        <v>6.1</v>
      </c>
      <c r="J1807" s="8">
        <v>2</v>
      </c>
      <c r="K1807" s="8" t="s">
        <v>238</v>
      </c>
      <c r="L1807" s="18">
        <v>42121</v>
      </c>
      <c r="M1807" s="37" t="s">
        <v>191</v>
      </c>
      <c r="N1807" s="38">
        <v>1.9</v>
      </c>
      <c r="O1807" s="38">
        <v>2.5249999999999999</v>
      </c>
      <c r="P1807" s="38">
        <v>1.325</v>
      </c>
      <c r="Q1807" s="38">
        <v>0.3</v>
      </c>
      <c r="R1807" s="38">
        <v>3.1064099999999999</v>
      </c>
      <c r="S1807" s="38">
        <f t="shared" si="231"/>
        <v>3</v>
      </c>
      <c r="T1807" s="38">
        <v>5.7</v>
      </c>
      <c r="U1807" s="38">
        <v>0.2</v>
      </c>
      <c r="V1807" s="38">
        <v>0.125</v>
      </c>
      <c r="W1807" s="38">
        <v>2.5000000000000001E-2</v>
      </c>
      <c r="X1807" s="38">
        <v>3.1431499999999999</v>
      </c>
      <c r="Y1807" s="38">
        <f t="shared" si="232"/>
        <v>3</v>
      </c>
      <c r="Z1807" s="38">
        <v>0</v>
      </c>
      <c r="AA1807" s="38">
        <v>0</v>
      </c>
      <c r="AB1807" s="38">
        <v>6.05</v>
      </c>
      <c r="AC1807" s="38">
        <v>1.2376</v>
      </c>
      <c r="AD1807" s="39">
        <v>0</v>
      </c>
      <c r="AE1807" s="38">
        <v>3.68</v>
      </c>
      <c r="AF1807" s="38">
        <v>8.6182669789227184E-3</v>
      </c>
      <c r="AG1807" s="38">
        <f t="shared" si="233"/>
        <v>0</v>
      </c>
      <c r="AH1807" s="38">
        <v>0</v>
      </c>
      <c r="AI1807" s="38">
        <v>0</v>
      </c>
      <c r="AJ1807" s="38">
        <v>0</v>
      </c>
      <c r="AK1807" s="38">
        <v>0</v>
      </c>
      <c r="AL1807" s="38">
        <v>0</v>
      </c>
      <c r="AM1807" s="38">
        <f t="shared" si="234"/>
        <v>0</v>
      </c>
      <c r="AN1807" s="12"/>
      <c r="AO1807" s="12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</row>
    <row r="1808" spans="1:88" s="22" customFormat="1">
      <c r="A1808" s="1">
        <v>351</v>
      </c>
      <c r="B1808" s="74" t="s">
        <v>571</v>
      </c>
      <c r="C1808" s="34">
        <v>512</v>
      </c>
      <c r="D1808" s="75">
        <v>1108</v>
      </c>
      <c r="E1808" s="69">
        <v>100</v>
      </c>
      <c r="F1808" s="76" t="s">
        <v>581</v>
      </c>
      <c r="G1808" s="20" t="s">
        <v>92</v>
      </c>
      <c r="H1808" s="20" t="s">
        <v>582</v>
      </c>
      <c r="I1808" s="21">
        <v>18.628</v>
      </c>
      <c r="J1808" s="8">
        <v>2</v>
      </c>
      <c r="K1808" s="34" t="s">
        <v>238</v>
      </c>
      <c r="L1808" s="18">
        <v>42257</v>
      </c>
      <c r="M1808" s="123" t="s">
        <v>191</v>
      </c>
      <c r="N1808" s="38">
        <v>12.5</v>
      </c>
      <c r="O1808" s="38">
        <v>4.45</v>
      </c>
      <c r="P1808" s="38">
        <v>1.05</v>
      </c>
      <c r="Q1808" s="38">
        <v>0.57999999999999996</v>
      </c>
      <c r="R1808" s="38">
        <v>2.42116</v>
      </c>
      <c r="S1808" s="38">
        <f t="shared" si="231"/>
        <v>2.5</v>
      </c>
      <c r="T1808" s="38">
        <v>18.375</v>
      </c>
      <c r="U1808" s="38">
        <v>0.17499999999999999</v>
      </c>
      <c r="V1808" s="38">
        <v>2.5000000000000001E-2</v>
      </c>
      <c r="W1808" s="38">
        <v>0</v>
      </c>
      <c r="X1808" s="38">
        <v>2.21265</v>
      </c>
      <c r="Y1808" s="38">
        <f t="shared" si="232"/>
        <v>2</v>
      </c>
      <c r="Z1808" s="38">
        <v>0</v>
      </c>
      <c r="AA1808" s="38">
        <v>0</v>
      </c>
      <c r="AB1808" s="38">
        <v>18.579999999999998</v>
      </c>
      <c r="AC1808" s="38">
        <v>1.2001500000000001</v>
      </c>
      <c r="AD1808" s="39">
        <v>0</v>
      </c>
      <c r="AE1808" s="38">
        <v>11.15</v>
      </c>
      <c r="AF1808" s="38">
        <f>(AD1808+AE1808*0.5)/(3.5*I1808*1000)*100</f>
        <v>8.5508757937360035E-3</v>
      </c>
      <c r="AG1808" s="38">
        <f t="shared" si="233"/>
        <v>0</v>
      </c>
      <c r="AH1808" s="38">
        <v>84.56</v>
      </c>
      <c r="AI1808" s="38">
        <f>AH1808/(3.5*I1808*1000)*100</f>
        <v>0.12969722997637961</v>
      </c>
      <c r="AJ1808" s="38">
        <v>0</v>
      </c>
      <c r="AK1808" s="38">
        <f>AJ1808/(3.5*I1808*1000)*100</f>
        <v>0</v>
      </c>
      <c r="AL1808" s="38">
        <v>0</v>
      </c>
      <c r="AM1808" s="38">
        <f t="shared" si="234"/>
        <v>0</v>
      </c>
      <c r="AN1808" s="72"/>
      <c r="AO1808" s="41"/>
      <c r="AP1808" s="41"/>
      <c r="AQ1808" s="73"/>
      <c r="AR1808" s="73"/>
      <c r="AS1808" s="73"/>
      <c r="AT1808" s="73"/>
    </row>
    <row r="1809" spans="1:88" s="22" customFormat="1">
      <c r="A1809" s="1">
        <v>726</v>
      </c>
      <c r="B1809" s="34" t="s">
        <v>1123</v>
      </c>
      <c r="C1809" s="34">
        <v>627</v>
      </c>
      <c r="D1809" s="34">
        <v>2159</v>
      </c>
      <c r="E1809" s="34">
        <v>201</v>
      </c>
      <c r="F1809" s="34" t="s">
        <v>1132</v>
      </c>
      <c r="G1809" s="58">
        <v>48149</v>
      </c>
      <c r="H1809" s="58">
        <v>77516</v>
      </c>
      <c r="I1809" s="51">
        <v>29.367000000000001</v>
      </c>
      <c r="J1809" s="127">
        <v>2</v>
      </c>
      <c r="K1809" s="34" t="s">
        <v>238</v>
      </c>
      <c r="L1809" s="10">
        <v>42179</v>
      </c>
      <c r="M1809" s="37" t="s">
        <v>191</v>
      </c>
      <c r="N1809" s="38">
        <v>14.324999999999999</v>
      </c>
      <c r="O1809" s="38">
        <v>9.4499999999999993</v>
      </c>
      <c r="P1809" s="38">
        <v>4.0250000000000004</v>
      </c>
      <c r="Q1809" s="38">
        <v>1.375</v>
      </c>
      <c r="R1809" s="38">
        <v>2.7870599999999999</v>
      </c>
      <c r="S1809" s="38">
        <f t="shared" si="231"/>
        <v>3</v>
      </c>
      <c r="T1809" s="38">
        <v>27.95</v>
      </c>
      <c r="U1809" s="38">
        <v>0.97499999999999998</v>
      </c>
      <c r="V1809" s="38">
        <v>0.15</v>
      </c>
      <c r="W1809" s="38">
        <v>0.1</v>
      </c>
      <c r="X1809" s="38">
        <v>4.4734600000000002</v>
      </c>
      <c r="Y1809" s="38">
        <f t="shared" si="232"/>
        <v>4.5</v>
      </c>
      <c r="Z1809" s="38">
        <v>0</v>
      </c>
      <c r="AA1809" s="38">
        <v>0</v>
      </c>
      <c r="AB1809" s="38">
        <v>29.367000000000001</v>
      </c>
      <c r="AC1809" s="38">
        <v>1.53043</v>
      </c>
      <c r="AD1809" s="39">
        <v>6.02</v>
      </c>
      <c r="AE1809" s="38">
        <v>3.01</v>
      </c>
      <c r="AF1809" s="38">
        <v>8.5299999999999994E-3</v>
      </c>
      <c r="AG1809" s="38">
        <f t="shared" si="233"/>
        <v>0</v>
      </c>
      <c r="AH1809" s="38">
        <v>0</v>
      </c>
      <c r="AI1809" s="38">
        <v>0</v>
      </c>
      <c r="AJ1809" s="38">
        <v>0</v>
      </c>
      <c r="AK1809" s="38">
        <v>0</v>
      </c>
      <c r="AL1809" s="38">
        <v>7.68</v>
      </c>
      <c r="AM1809" s="147">
        <f t="shared" si="234"/>
        <v>7.4719437269238059E-3</v>
      </c>
      <c r="AN1809" s="25"/>
      <c r="AO1809" s="25">
        <f>AE1809*0.5</f>
        <v>1.5049999999999999</v>
      </c>
      <c r="AP1809" s="25">
        <f>(AD1809+AH1809+AJ1809+AL1809+AO1809)*I1809</f>
        <v>446.52523499999995</v>
      </c>
      <c r="AQ1809" s="25">
        <f>SUM(N1809:Q1809)</f>
        <v>29.174999999999997</v>
      </c>
      <c r="AR1809" s="25">
        <f>SUM(T1809:W1809)</f>
        <v>29.175000000000001</v>
      </c>
      <c r="AS1809" s="268">
        <v>29.367000000000001</v>
      </c>
      <c r="AT1809" s="41"/>
      <c r="AU1809" s="41"/>
      <c r="AV1809" s="41"/>
      <c r="AW1809" s="41"/>
    </row>
    <row r="1810" spans="1:88" s="22" customFormat="1">
      <c r="A1810" s="1">
        <v>604</v>
      </c>
      <c r="B1810" s="34" t="s">
        <v>994</v>
      </c>
      <c r="C1810" s="34">
        <v>554</v>
      </c>
      <c r="D1810" s="34">
        <v>2019</v>
      </c>
      <c r="E1810" s="34">
        <v>100</v>
      </c>
      <c r="F1810" s="9" t="s">
        <v>1006</v>
      </c>
      <c r="G1810" s="118">
        <v>0</v>
      </c>
      <c r="H1810" s="118">
        <v>7550</v>
      </c>
      <c r="I1810" s="35">
        <v>7.55</v>
      </c>
      <c r="J1810" s="71">
        <v>2</v>
      </c>
      <c r="K1810" s="34" t="s">
        <v>237</v>
      </c>
      <c r="L1810" s="10">
        <v>42182</v>
      </c>
      <c r="M1810" s="37" t="s">
        <v>191</v>
      </c>
      <c r="N1810" s="38">
        <v>3.17</v>
      </c>
      <c r="O1810" s="38">
        <v>3.09</v>
      </c>
      <c r="P1810" s="38">
        <v>0.98</v>
      </c>
      <c r="Q1810" s="38">
        <v>0.33</v>
      </c>
      <c r="R1810" s="38">
        <v>2.7510300000000001</v>
      </c>
      <c r="S1810" s="38">
        <f t="shared" si="231"/>
        <v>3</v>
      </c>
      <c r="T1810" s="38">
        <v>7.12</v>
      </c>
      <c r="U1810" s="38">
        <v>0.33</v>
      </c>
      <c r="V1810" s="38">
        <v>0.05</v>
      </c>
      <c r="W1810" s="38">
        <v>0.05</v>
      </c>
      <c r="X1810" s="38">
        <v>3.8259300000000001</v>
      </c>
      <c r="Y1810" s="38">
        <f t="shared" si="232"/>
        <v>4</v>
      </c>
      <c r="Z1810" s="38">
        <v>0</v>
      </c>
      <c r="AA1810" s="38">
        <v>0</v>
      </c>
      <c r="AB1810" s="38">
        <v>7.55</v>
      </c>
      <c r="AC1810" s="38">
        <v>1.1741900000000001</v>
      </c>
      <c r="AD1810" s="39">
        <v>0</v>
      </c>
      <c r="AE1810" s="38">
        <v>4.4000000000000004</v>
      </c>
      <c r="AF1810" s="38">
        <v>8.3254493850520341E-3</v>
      </c>
      <c r="AG1810" s="38">
        <f t="shared" si="233"/>
        <v>0</v>
      </c>
      <c r="AH1810" s="38">
        <v>0</v>
      </c>
      <c r="AI1810" s="38">
        <v>0</v>
      </c>
      <c r="AJ1810" s="38">
        <v>0</v>
      </c>
      <c r="AK1810" s="38">
        <v>0</v>
      </c>
      <c r="AL1810" s="38">
        <v>0</v>
      </c>
      <c r="AM1810" s="38">
        <f t="shared" si="234"/>
        <v>0</v>
      </c>
      <c r="AN1810" s="60"/>
      <c r="AO1810" s="60">
        <f>AE1810*0.5</f>
        <v>2.2000000000000002</v>
      </c>
      <c r="AP1810" s="60">
        <f>(AD1810+AH1810+AJ1810+AL1810+AO1810)*I1810</f>
        <v>16.61</v>
      </c>
      <c r="AQ1810" s="25">
        <f>SUM(N1810:Q1810)</f>
        <v>7.57</v>
      </c>
      <c r="AR1810" s="25">
        <f>SUM(T1810:W1810)</f>
        <v>7.55</v>
      </c>
      <c r="AS1810" s="268">
        <v>7.55</v>
      </c>
      <c r="AT1810" s="40"/>
      <c r="AU1810" s="41">
        <f>SUM(N1810:Q1810)</f>
        <v>7.57</v>
      </c>
      <c r="AV1810" s="41">
        <f>SUM(T1810:W1810)</f>
        <v>7.55</v>
      </c>
      <c r="AW1810" s="41">
        <f>SUM(Z1810:AB1810)</f>
        <v>7.55</v>
      </c>
      <c r="AY1810" s="22">
        <f>I1810/AU1810</f>
        <v>0.99735799207397613</v>
      </c>
      <c r="AZ1810" s="22">
        <f>I1810/AV1810</f>
        <v>1</v>
      </c>
      <c r="BA1810" s="22">
        <f>I1810/AW1810</f>
        <v>1</v>
      </c>
      <c r="BB1810" s="61"/>
      <c r="BC1810" s="61"/>
      <c r="BD1810" s="61"/>
      <c r="BE1810" s="61"/>
      <c r="BF1810" s="61"/>
      <c r="BG1810" s="61"/>
      <c r="BH1810" s="61"/>
      <c r="BI1810" s="61"/>
      <c r="BJ1810" s="61"/>
      <c r="BK1810" s="61"/>
      <c r="BL1810" s="61"/>
      <c r="BM1810" s="61"/>
      <c r="BN1810" s="61"/>
      <c r="BO1810" s="61"/>
      <c r="BP1810" s="61"/>
      <c r="BQ1810" s="61"/>
      <c r="BR1810" s="61"/>
      <c r="BS1810" s="61"/>
      <c r="BT1810" s="61"/>
      <c r="BU1810" s="61"/>
      <c r="BV1810" s="61"/>
      <c r="BW1810" s="61"/>
      <c r="BX1810" s="61"/>
      <c r="BY1810" s="61"/>
      <c r="BZ1810" s="61"/>
      <c r="CA1810" s="61"/>
      <c r="CB1810" s="61"/>
      <c r="CC1810" s="61"/>
      <c r="CD1810" s="61"/>
      <c r="CE1810" s="61"/>
      <c r="CF1810" s="61"/>
      <c r="CG1810" s="61"/>
      <c r="CH1810" s="61"/>
      <c r="CI1810" s="61"/>
      <c r="CJ1810" s="61"/>
    </row>
    <row r="1811" spans="1:88" s="22" customFormat="1">
      <c r="A1811" s="1">
        <v>707</v>
      </c>
      <c r="B1811" s="34" t="s">
        <v>1106</v>
      </c>
      <c r="C1811" s="34">
        <v>626</v>
      </c>
      <c r="D1811" s="34">
        <v>2170</v>
      </c>
      <c r="E1811" s="34">
        <v>100</v>
      </c>
      <c r="F1811" s="34" t="s">
        <v>1116</v>
      </c>
      <c r="G1811" s="58">
        <v>30714</v>
      </c>
      <c r="H1811" s="58">
        <v>0</v>
      </c>
      <c r="I1811" s="35">
        <v>30.713999999999999</v>
      </c>
      <c r="J1811" s="127">
        <v>2</v>
      </c>
      <c r="K1811" s="34" t="s">
        <v>12</v>
      </c>
      <c r="L1811" s="10">
        <v>42174</v>
      </c>
      <c r="M1811" s="37" t="s">
        <v>191</v>
      </c>
      <c r="N1811" s="38">
        <v>16.024999999999999</v>
      </c>
      <c r="O1811" s="38">
        <v>8.625</v>
      </c>
      <c r="P1811" s="38">
        <v>4.1749999999999998</v>
      </c>
      <c r="Q1811" s="38">
        <v>1.7250000000000001</v>
      </c>
      <c r="R1811" s="38">
        <v>3.4630000000000001</v>
      </c>
      <c r="S1811" s="38">
        <f t="shared" si="231"/>
        <v>3.5</v>
      </c>
      <c r="T1811" s="38">
        <v>28.8</v>
      </c>
      <c r="U1811" s="38">
        <v>1.45</v>
      </c>
      <c r="V1811" s="38">
        <v>0.3</v>
      </c>
      <c r="W1811" s="38">
        <v>0</v>
      </c>
      <c r="X1811" s="38">
        <v>4.3392799999999996</v>
      </c>
      <c r="Y1811" s="38">
        <f t="shared" si="232"/>
        <v>4.5</v>
      </c>
      <c r="Z1811" s="38">
        <v>0</v>
      </c>
      <c r="AA1811" s="38">
        <v>0</v>
      </c>
      <c r="AB1811" s="38">
        <f>N1811+O1811+P1811+Q1811</f>
        <v>30.55</v>
      </c>
      <c r="AC1811" s="38">
        <v>1.0455099999999999</v>
      </c>
      <c r="AD1811" s="39">
        <v>8.52</v>
      </c>
      <c r="AE1811" s="38">
        <v>0</v>
      </c>
      <c r="AF1811" s="38">
        <f t="shared" ref="AF1811:AF1819" si="235">(AD1811+AE1811*0.5)/(3.5*I1811*1000)*100</f>
        <v>7.9256551223732315E-3</v>
      </c>
      <c r="AG1811" s="38">
        <f t="shared" si="233"/>
        <v>0</v>
      </c>
      <c r="AH1811" s="38">
        <v>0</v>
      </c>
      <c r="AI1811" s="38">
        <f>AH1811/(3.5*I1811*1000)*100</f>
        <v>0</v>
      </c>
      <c r="AJ1811" s="38">
        <v>0</v>
      </c>
      <c r="AK1811" s="38">
        <f>AJ1811/(3.5*I1811*1000)*100</f>
        <v>0</v>
      </c>
      <c r="AL1811" s="38">
        <v>0</v>
      </c>
      <c r="AM1811" s="38">
        <f t="shared" si="234"/>
        <v>0</v>
      </c>
      <c r="AN1811" s="25"/>
      <c r="AO1811" s="25">
        <f>AE1811*0.5</f>
        <v>0</v>
      </c>
      <c r="AP1811" s="25">
        <f>(AD1811+AH1811+AJ1811+AL1811+AO1811)*I1811</f>
        <v>261.68327999999997</v>
      </c>
      <c r="AQ1811" s="25">
        <f>SUM(N1811:Q1811)</f>
        <v>30.55</v>
      </c>
      <c r="AR1811" s="25">
        <f>SUM(T1811:W1811)</f>
        <v>30.55</v>
      </c>
      <c r="AS1811" s="268">
        <v>30.713999999999999</v>
      </c>
      <c r="AT1811" s="41"/>
      <c r="AU1811" s="41"/>
      <c r="AV1811" s="41"/>
      <c r="AW1811" s="41"/>
    </row>
    <row r="1812" spans="1:88" s="22" customFormat="1">
      <c r="A1812" s="1">
        <v>755</v>
      </c>
      <c r="B1812" s="34" t="s">
        <v>1106</v>
      </c>
      <c r="C1812" s="34">
        <v>626</v>
      </c>
      <c r="D1812" s="34">
        <v>2170</v>
      </c>
      <c r="E1812" s="34">
        <v>100</v>
      </c>
      <c r="F1812" s="34" t="s">
        <v>1116</v>
      </c>
      <c r="G1812" s="58">
        <v>30714</v>
      </c>
      <c r="H1812" s="58">
        <v>0</v>
      </c>
      <c r="I1812" s="35">
        <v>30.713999999999999</v>
      </c>
      <c r="J1812" s="127">
        <v>2</v>
      </c>
      <c r="K1812" s="34" t="s">
        <v>12</v>
      </c>
      <c r="L1812" s="10">
        <v>42174</v>
      </c>
      <c r="M1812" s="37" t="s">
        <v>191</v>
      </c>
      <c r="N1812" s="38">
        <v>16.024999999999999</v>
      </c>
      <c r="O1812" s="38">
        <v>8.625</v>
      </c>
      <c r="P1812" s="38">
        <v>4.1749999999999998</v>
      </c>
      <c r="Q1812" s="38">
        <v>1.7250000000000001</v>
      </c>
      <c r="R1812" s="38">
        <v>3.4630000000000001</v>
      </c>
      <c r="S1812" s="38">
        <f t="shared" si="231"/>
        <v>3.5</v>
      </c>
      <c r="T1812" s="38">
        <v>28.8</v>
      </c>
      <c r="U1812" s="38">
        <v>1.45</v>
      </c>
      <c r="V1812" s="38">
        <v>0.3</v>
      </c>
      <c r="W1812" s="38">
        <v>0</v>
      </c>
      <c r="X1812" s="38">
        <v>4.3392799999999996</v>
      </c>
      <c r="Y1812" s="38">
        <f t="shared" si="232"/>
        <v>4.5</v>
      </c>
      <c r="Z1812" s="38">
        <v>0</v>
      </c>
      <c r="AA1812" s="38">
        <v>0</v>
      </c>
      <c r="AB1812" s="38">
        <f>N1812+O1812+P1812+Q1812</f>
        <v>30.55</v>
      </c>
      <c r="AC1812" s="38">
        <v>1.0455099999999999</v>
      </c>
      <c r="AD1812" s="39">
        <v>8.52</v>
      </c>
      <c r="AE1812" s="38">
        <v>0</v>
      </c>
      <c r="AF1812" s="38">
        <f t="shared" si="235"/>
        <v>7.9256551223732315E-3</v>
      </c>
      <c r="AG1812" s="38">
        <f t="shared" si="233"/>
        <v>0</v>
      </c>
      <c r="AH1812" s="38">
        <v>0</v>
      </c>
      <c r="AI1812" s="38">
        <f>AH1812/(3.5*I1812*1000)*100</f>
        <v>0</v>
      </c>
      <c r="AJ1812" s="38">
        <v>0</v>
      </c>
      <c r="AK1812" s="38">
        <f>AJ1812/(3.5*I1812*1000)*100</f>
        <v>0</v>
      </c>
      <c r="AL1812" s="38">
        <v>0</v>
      </c>
      <c r="AM1812" s="38">
        <f t="shared" si="234"/>
        <v>0</v>
      </c>
      <c r="AN1812" s="25"/>
      <c r="AO1812" s="25">
        <f>AE1812*0.5</f>
        <v>0</v>
      </c>
      <c r="AP1812" s="25">
        <f>(AD1812+AH1812+AJ1812+AL1812+AO1812)*I1812</f>
        <v>261.68327999999997</v>
      </c>
      <c r="AQ1812" s="25">
        <f>SUM(N1812:Q1812)</f>
        <v>30.55</v>
      </c>
      <c r="AR1812" s="25">
        <f>SUM(T1812:W1812)</f>
        <v>30.55</v>
      </c>
      <c r="AS1812" s="268">
        <v>30.713999999999999</v>
      </c>
      <c r="AT1812" s="41"/>
      <c r="AU1812" s="41"/>
      <c r="AV1812" s="41"/>
      <c r="AW1812" s="41"/>
    </row>
    <row r="1813" spans="1:88" s="22" customFormat="1">
      <c r="A1813" s="1">
        <v>1525</v>
      </c>
      <c r="B1813" s="34" t="s">
        <v>2069</v>
      </c>
      <c r="C1813" s="34">
        <v>413</v>
      </c>
      <c r="D1813" s="69">
        <v>34770</v>
      </c>
      <c r="E1813" s="34">
        <v>100</v>
      </c>
      <c r="F1813" s="34" t="s">
        <v>2097</v>
      </c>
      <c r="G1813" s="58">
        <v>0</v>
      </c>
      <c r="H1813" s="58">
        <v>14510</v>
      </c>
      <c r="I1813" s="35">
        <v>14.51</v>
      </c>
      <c r="J1813" s="34">
        <v>4</v>
      </c>
      <c r="K1813" s="34" t="s">
        <v>96</v>
      </c>
      <c r="L1813" s="10">
        <v>42265</v>
      </c>
      <c r="M1813" s="37" t="s">
        <v>191</v>
      </c>
      <c r="N1813" s="38">
        <v>12.2</v>
      </c>
      <c r="O1813" s="38">
        <v>2.25</v>
      </c>
      <c r="P1813" s="38">
        <v>0.85</v>
      </c>
      <c r="Q1813" s="38">
        <v>0.47499999999999998</v>
      </c>
      <c r="R1813" s="38">
        <v>2.7258200000000001</v>
      </c>
      <c r="S1813" s="38">
        <f t="shared" si="231"/>
        <v>2.5</v>
      </c>
      <c r="T1813" s="38">
        <v>15.625</v>
      </c>
      <c r="U1813" s="38">
        <v>0.125</v>
      </c>
      <c r="V1813" s="38">
        <v>2.5000000000000001E-2</v>
      </c>
      <c r="W1813" s="38">
        <v>0</v>
      </c>
      <c r="X1813" s="38">
        <v>4.7974199999999998</v>
      </c>
      <c r="Y1813" s="38">
        <f t="shared" si="232"/>
        <v>5</v>
      </c>
      <c r="Z1813" s="38">
        <v>0</v>
      </c>
      <c r="AA1813" s="38">
        <v>0</v>
      </c>
      <c r="AB1813" s="196">
        <v>14.51</v>
      </c>
      <c r="AC1813" s="38">
        <v>1.0735699999999999</v>
      </c>
      <c r="AD1813" s="39">
        <v>0</v>
      </c>
      <c r="AE1813" s="38">
        <v>8.01</v>
      </c>
      <c r="AF1813" s="38">
        <f t="shared" si="235"/>
        <v>7.8861868662006493E-3</v>
      </c>
      <c r="AG1813" s="38">
        <f t="shared" si="233"/>
        <v>0</v>
      </c>
      <c r="AH1813" s="38">
        <v>0</v>
      </c>
      <c r="AI1813" s="38">
        <f>AH1813/(3.5*I1813*1000)*100</f>
        <v>0</v>
      </c>
      <c r="AJ1813" s="38">
        <v>0</v>
      </c>
      <c r="AK1813" s="38">
        <f>AJ1813/(3.5*I1813*1000)*100</f>
        <v>0</v>
      </c>
      <c r="AL1813" s="38">
        <v>0</v>
      </c>
      <c r="AM1813" s="38">
        <f t="shared" si="234"/>
        <v>0</v>
      </c>
      <c r="AN1813" s="25"/>
      <c r="AO1813" s="25">
        <f>AE1813*0.5</f>
        <v>4.0049999999999999</v>
      </c>
      <c r="AP1813" s="25">
        <f>(AD1813+AH1813+AJ1813+AL1813+AO1813)*I1813</f>
        <v>58.112549999999999</v>
      </c>
      <c r="AQ1813" s="25">
        <f>(AD1813+AH1813+AJ1813+AL1813)*I1813</f>
        <v>0</v>
      </c>
      <c r="AR1813" s="25">
        <f>SUM(N1813:Q1813)</f>
        <v>15.774999999999999</v>
      </c>
      <c r="AS1813" s="25">
        <f>SUM(T1813:W1813)</f>
        <v>15.775</v>
      </c>
      <c r="AU1813" s="275">
        <v>14.51</v>
      </c>
      <c r="AV1813" s="41">
        <f>SUM(N1813:Q1813)</f>
        <v>15.774999999999999</v>
      </c>
      <c r="AW1813" s="41">
        <f>SUM(T1813:W1813)</f>
        <v>15.775</v>
      </c>
      <c r="AX1813" s="41">
        <f>SUM(Z1813:AB1813)</f>
        <v>14.51</v>
      </c>
      <c r="AZ1813" s="22">
        <f>I1813/AV1813</f>
        <v>0.91980982567353409</v>
      </c>
      <c r="BA1813" s="22">
        <f>I1813/AW1813</f>
        <v>0.91980982567353409</v>
      </c>
      <c r="BB1813" s="22">
        <f>I1813/AX1813</f>
        <v>1</v>
      </c>
    </row>
    <row r="1814" spans="1:88" s="22" customFormat="1">
      <c r="A1814" s="1">
        <v>1205</v>
      </c>
      <c r="B1814" s="34" t="s">
        <v>1674</v>
      </c>
      <c r="C1814" s="34">
        <v>435</v>
      </c>
      <c r="D1814" s="34">
        <v>2247</v>
      </c>
      <c r="E1814" s="34">
        <v>102</v>
      </c>
      <c r="F1814" s="34" t="s">
        <v>1695</v>
      </c>
      <c r="G1814" s="34" t="s">
        <v>1696</v>
      </c>
      <c r="H1814" s="34" t="s">
        <v>1694</v>
      </c>
      <c r="I1814" s="55">
        <v>21.437999999999999</v>
      </c>
      <c r="J1814" s="34">
        <v>2</v>
      </c>
      <c r="K1814" s="34" t="s">
        <v>12</v>
      </c>
      <c r="L1814" s="10">
        <v>42282</v>
      </c>
      <c r="M1814" s="37" t="s">
        <v>191</v>
      </c>
      <c r="N1814" s="38">
        <v>10.75</v>
      </c>
      <c r="O1814" s="38">
        <v>6.6749999999999998</v>
      </c>
      <c r="P1814" s="38">
        <v>2.7250000000000001</v>
      </c>
      <c r="Q1814" s="38">
        <v>1.325</v>
      </c>
      <c r="R1814" s="38">
        <v>2.7803300000000002</v>
      </c>
      <c r="S1814" s="38">
        <f t="shared" si="231"/>
        <v>3</v>
      </c>
      <c r="T1814" s="38">
        <v>18.7</v>
      </c>
      <c r="U1814" s="38">
        <v>2.0499999999999998</v>
      </c>
      <c r="V1814" s="38">
        <v>0.47499999999999998</v>
      </c>
      <c r="W1814" s="38">
        <v>0.25</v>
      </c>
      <c r="X1814" s="38">
        <v>5.42638</v>
      </c>
      <c r="Y1814" s="38">
        <f t="shared" si="232"/>
        <v>5.5</v>
      </c>
      <c r="Z1814" s="38">
        <v>0</v>
      </c>
      <c r="AA1814" s="38">
        <v>0</v>
      </c>
      <c r="AB1814" s="55">
        <v>21.437999999999999</v>
      </c>
      <c r="AC1814" s="38">
        <v>1.34883</v>
      </c>
      <c r="AD1814" s="39">
        <v>1.6</v>
      </c>
      <c r="AE1814" s="38">
        <v>8.6310000000000002</v>
      </c>
      <c r="AF1814" s="38">
        <f t="shared" si="235"/>
        <v>7.8838644329828206E-3</v>
      </c>
      <c r="AG1814" s="38">
        <f t="shared" si="233"/>
        <v>0</v>
      </c>
      <c r="AH1814" s="38">
        <v>0.23</v>
      </c>
      <c r="AI1814" s="38">
        <v>3.0699999999999998E-4</v>
      </c>
      <c r="AJ1814" s="38">
        <v>0</v>
      </c>
      <c r="AK1814" s="38">
        <v>0</v>
      </c>
      <c r="AL1814" s="38">
        <v>0</v>
      </c>
      <c r="AM1814" s="38">
        <v>0</v>
      </c>
      <c r="AN1814" s="12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</row>
    <row r="1815" spans="1:88" s="22" customFormat="1">
      <c r="A1815" s="1">
        <v>590</v>
      </c>
      <c r="B1815" s="34" t="s">
        <v>976</v>
      </c>
      <c r="C1815" s="34">
        <v>552</v>
      </c>
      <c r="D1815" s="34">
        <v>2398</v>
      </c>
      <c r="E1815" s="34">
        <v>102</v>
      </c>
      <c r="F1815" s="9" t="s">
        <v>991</v>
      </c>
      <c r="G1815" s="20">
        <v>18000</v>
      </c>
      <c r="H1815" s="20">
        <v>39871</v>
      </c>
      <c r="I1815" s="35">
        <v>21.870999999999999</v>
      </c>
      <c r="J1815" s="71">
        <v>2</v>
      </c>
      <c r="K1815" s="34" t="s">
        <v>238</v>
      </c>
      <c r="L1815" s="10">
        <v>42195</v>
      </c>
      <c r="M1815" s="37" t="s">
        <v>191</v>
      </c>
      <c r="N1815" s="38">
        <v>15.9</v>
      </c>
      <c r="O1815" s="38">
        <v>3.55</v>
      </c>
      <c r="P1815" s="38">
        <v>1.65</v>
      </c>
      <c r="Q1815" s="38">
        <v>0.625</v>
      </c>
      <c r="R1815" s="38">
        <v>2.2714699999999999</v>
      </c>
      <c r="S1815" s="38">
        <f t="shared" si="231"/>
        <v>2.5</v>
      </c>
      <c r="T1815" s="38">
        <v>19.925000000000001</v>
      </c>
      <c r="U1815" s="38">
        <v>1.4750000000000001</v>
      </c>
      <c r="V1815" s="38">
        <v>0.27500000000000002</v>
      </c>
      <c r="W1815" s="38">
        <v>0.05</v>
      </c>
      <c r="X1815" s="38">
        <v>5.24918</v>
      </c>
      <c r="Y1815" s="38">
        <f t="shared" si="232"/>
        <v>5</v>
      </c>
      <c r="Z1815" s="38">
        <v>0</v>
      </c>
      <c r="AA1815" s="38">
        <v>2.5000000000000001E-2</v>
      </c>
      <c r="AB1815" s="38">
        <f>N1815+O1815+P1815+Q1815</f>
        <v>21.724999999999998</v>
      </c>
      <c r="AC1815" s="38">
        <v>1.3717600000000001</v>
      </c>
      <c r="AD1815" s="39">
        <v>6</v>
      </c>
      <c r="AE1815" s="38">
        <v>0</v>
      </c>
      <c r="AF1815" s="38">
        <f t="shared" si="235"/>
        <v>7.8381679588757462E-3</v>
      </c>
      <c r="AG1815" s="38">
        <f t="shared" si="233"/>
        <v>0</v>
      </c>
      <c r="AH1815" s="38">
        <v>0</v>
      </c>
      <c r="AI1815" s="38">
        <f>AH1815/(3.5*I1815*1000)*100</f>
        <v>0</v>
      </c>
      <c r="AJ1815" s="38">
        <v>0</v>
      </c>
      <c r="AK1815" s="38">
        <f>AJ1815/(3.5*I1815*1000)*100</f>
        <v>0</v>
      </c>
      <c r="AL1815" s="38">
        <v>1</v>
      </c>
      <c r="AM1815" s="38">
        <f>AL1815/(3.5*I1815*1000)*100</f>
        <v>1.3063613264792911E-3</v>
      </c>
      <c r="AN1815" s="25"/>
      <c r="AO1815" s="25">
        <f>AE1815*0.5</f>
        <v>0</v>
      </c>
      <c r="AP1815" s="25">
        <f>(AD1815+AH1815+AJ1815+AL1815+AO1815)*I1815</f>
        <v>153.09699999999998</v>
      </c>
      <c r="AQ1815" s="25">
        <f>SUM(N1815:Q1815)</f>
        <v>21.724999999999998</v>
      </c>
      <c r="AR1815" s="25">
        <f>SUM(T1815:W1815)</f>
        <v>21.725000000000001</v>
      </c>
      <c r="AS1815" s="268">
        <v>21.870999999999999</v>
      </c>
      <c r="AT1815" s="41"/>
      <c r="AU1815" s="41"/>
      <c r="AV1815" s="41"/>
      <c r="AW1815" s="41"/>
    </row>
    <row r="1816" spans="1:88" s="22" customFormat="1">
      <c r="A1816" s="1">
        <v>2018</v>
      </c>
      <c r="B1816" s="34" t="s">
        <v>2646</v>
      </c>
      <c r="C1816" s="34">
        <v>325</v>
      </c>
      <c r="D1816" s="75">
        <v>4223</v>
      </c>
      <c r="E1816" s="8">
        <v>100</v>
      </c>
      <c r="F1816" s="34" t="s">
        <v>2666</v>
      </c>
      <c r="G1816" s="58">
        <v>18173</v>
      </c>
      <c r="H1816" s="58">
        <v>0</v>
      </c>
      <c r="I1816" s="21">
        <v>18.172999999999998</v>
      </c>
      <c r="J1816" s="8">
        <v>2</v>
      </c>
      <c r="K1816" s="8" t="s">
        <v>12</v>
      </c>
      <c r="L1816" s="18">
        <v>42116</v>
      </c>
      <c r="M1816" s="37" t="s">
        <v>191</v>
      </c>
      <c r="N1816" s="38">
        <v>7.69</v>
      </c>
      <c r="O1816" s="38">
        <v>5.59</v>
      </c>
      <c r="P1816" s="38">
        <v>1.4</v>
      </c>
      <c r="Q1816" s="38">
        <v>3.49</v>
      </c>
      <c r="R1816" s="38">
        <v>3.4417900000000001</v>
      </c>
      <c r="S1816" s="38">
        <f t="shared" si="231"/>
        <v>3.5</v>
      </c>
      <c r="T1816" s="38">
        <v>13.51</v>
      </c>
      <c r="U1816" s="38">
        <v>3.96</v>
      </c>
      <c r="V1816" s="38">
        <v>0.47</v>
      </c>
      <c r="W1816" s="38">
        <v>0.23</v>
      </c>
      <c r="X1816" s="38">
        <v>7.1572899999999997</v>
      </c>
      <c r="Y1816" s="38">
        <f t="shared" si="232"/>
        <v>7</v>
      </c>
      <c r="Z1816" s="38">
        <v>0</v>
      </c>
      <c r="AA1816" s="38">
        <v>0</v>
      </c>
      <c r="AB1816" s="38">
        <v>18.170000000000002</v>
      </c>
      <c r="AC1816" s="38">
        <v>1.10883</v>
      </c>
      <c r="AD1816" s="39">
        <v>4.96</v>
      </c>
      <c r="AE1816" s="38">
        <v>0</v>
      </c>
      <c r="AF1816" s="38">
        <f t="shared" si="235"/>
        <v>7.7980677771576365E-3</v>
      </c>
      <c r="AG1816" s="38">
        <f t="shared" si="233"/>
        <v>0</v>
      </c>
      <c r="AH1816" s="38">
        <v>86.35</v>
      </c>
      <c r="AI1816" s="38">
        <f>AH1816/(3.5*I1816*1000)*100</f>
        <v>0.13575870011241165</v>
      </c>
      <c r="AJ1816" s="38">
        <v>0</v>
      </c>
      <c r="AK1816" s="38">
        <f>AJ1816/(3.5*I1816*1000)*100</f>
        <v>0</v>
      </c>
      <c r="AL1816" s="38">
        <v>0</v>
      </c>
      <c r="AM1816" s="38">
        <f>AL1816/(3.5*I1816*1000)*100</f>
        <v>0</v>
      </c>
      <c r="AN1816" s="12"/>
      <c r="AO1816" s="12"/>
      <c r="AP1816" s="1"/>
      <c r="AQ1816" s="41">
        <f>SUM(N1816:Q1816)</f>
        <v>18.170000000000002</v>
      </c>
      <c r="AR1816" s="41">
        <f>SUM(T1816:W1816)</f>
        <v>18.169999999999998</v>
      </c>
      <c r="AS1816" s="12">
        <f>SUM(Z1816:AB1816)</f>
        <v>18.170000000000002</v>
      </c>
      <c r="AT1816" s="1"/>
      <c r="AU1816" s="1">
        <f>I1816/AQ1816</f>
        <v>1.0001651073197577</v>
      </c>
      <c r="AV1816" s="1">
        <f>I1816/AR1816</f>
        <v>1.0001651073197579</v>
      </c>
      <c r="AW1816" s="1">
        <f>I1816/AS1816</f>
        <v>1.0001651073197577</v>
      </c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</row>
    <row r="1817" spans="1:88" s="22" customFormat="1">
      <c r="A1817" s="1">
        <v>359</v>
      </c>
      <c r="B1817" s="74" t="s">
        <v>571</v>
      </c>
      <c r="C1817" s="34">
        <v>512</v>
      </c>
      <c r="D1817" s="75">
        <v>1357</v>
      </c>
      <c r="E1817" s="69">
        <v>100</v>
      </c>
      <c r="F1817" s="76" t="s">
        <v>598</v>
      </c>
      <c r="G1817" s="77" t="s">
        <v>92</v>
      </c>
      <c r="H1817" s="20" t="s">
        <v>599</v>
      </c>
      <c r="I1817" s="21">
        <v>15.015000000000001</v>
      </c>
      <c r="J1817" s="8">
        <v>2</v>
      </c>
      <c r="K1817" s="34" t="s">
        <v>238</v>
      </c>
      <c r="L1817" s="18">
        <v>42259</v>
      </c>
      <c r="M1817" s="123" t="s">
        <v>191</v>
      </c>
      <c r="N1817" s="38">
        <v>11</v>
      </c>
      <c r="O1817" s="38">
        <v>2.2749999999999999</v>
      </c>
      <c r="P1817" s="38">
        <v>1.425</v>
      </c>
      <c r="Q1817" s="38">
        <v>0.2</v>
      </c>
      <c r="R1817" s="38">
        <v>2.2500800000000001</v>
      </c>
      <c r="S1817" s="38">
        <f t="shared" si="231"/>
        <v>2.5</v>
      </c>
      <c r="T1817" s="38">
        <v>14.9</v>
      </c>
      <c r="U1817" s="38">
        <v>0</v>
      </c>
      <c r="V1817" s="38">
        <v>0</v>
      </c>
      <c r="W1817" s="38">
        <v>0</v>
      </c>
      <c r="X1817" s="38">
        <v>2.19896</v>
      </c>
      <c r="Y1817" s="38">
        <f t="shared" si="232"/>
        <v>2</v>
      </c>
      <c r="Z1817" s="38">
        <v>0</v>
      </c>
      <c r="AA1817" s="38">
        <v>0</v>
      </c>
      <c r="AB1817" s="38">
        <v>14.9</v>
      </c>
      <c r="AC1817" s="38">
        <v>1.5302199999999999</v>
      </c>
      <c r="AD1817" s="39">
        <v>0</v>
      </c>
      <c r="AE1817" s="38">
        <v>8.14</v>
      </c>
      <c r="AF1817" s="38">
        <f t="shared" si="235"/>
        <v>7.7446363160648879E-3</v>
      </c>
      <c r="AG1817" s="38">
        <f t="shared" si="233"/>
        <v>0</v>
      </c>
      <c r="AH1817" s="38">
        <v>88.39</v>
      </c>
      <c r="AI1817" s="38">
        <f>AH1817/(3.5*I1817*1000)*100</f>
        <v>0.1681937110508539</v>
      </c>
      <c r="AJ1817" s="38">
        <v>0</v>
      </c>
      <c r="AK1817" s="38">
        <f>AJ1817/(3.5*I1817*1000)*100</f>
        <v>0</v>
      </c>
      <c r="AL1817" s="38">
        <v>0</v>
      </c>
      <c r="AM1817" s="38">
        <f>AL1817/(3.5*I1817*1000)*100</f>
        <v>0</v>
      </c>
      <c r="AN1817" s="72"/>
      <c r="AO1817" s="41"/>
      <c r="AP1817" s="41"/>
      <c r="AQ1817" s="73"/>
      <c r="AR1817" s="73"/>
      <c r="AS1817" s="73"/>
      <c r="AT1817" s="73"/>
    </row>
    <row r="1818" spans="1:88" s="22" customFormat="1">
      <c r="A1818" s="1">
        <v>1960</v>
      </c>
      <c r="B1818" s="34" t="s">
        <v>2586</v>
      </c>
      <c r="C1818" s="34">
        <v>321</v>
      </c>
      <c r="D1818" s="75">
        <v>4150</v>
      </c>
      <c r="E1818" s="8">
        <v>100</v>
      </c>
      <c r="F1818" s="34" t="s">
        <v>2605</v>
      </c>
      <c r="G1818" s="58">
        <v>0</v>
      </c>
      <c r="H1818" s="58">
        <v>15800</v>
      </c>
      <c r="I1818" s="21">
        <v>15.8</v>
      </c>
      <c r="J1818" s="8">
        <v>2</v>
      </c>
      <c r="K1818" s="8" t="s">
        <v>238</v>
      </c>
      <c r="L1818" s="18">
        <v>42123</v>
      </c>
      <c r="M1818" s="37" t="s">
        <v>191</v>
      </c>
      <c r="N1818" s="26">
        <v>10.3</v>
      </c>
      <c r="O1818" s="26">
        <v>3.6</v>
      </c>
      <c r="P1818" s="26">
        <v>1.175</v>
      </c>
      <c r="Q1818" s="26">
        <v>0.75</v>
      </c>
      <c r="R1818" s="26">
        <v>2.605</v>
      </c>
      <c r="S1818" s="38">
        <f t="shared" si="231"/>
        <v>2.5</v>
      </c>
      <c r="T1818" s="38">
        <v>14.625</v>
      </c>
      <c r="U1818" s="38">
        <v>0.65</v>
      </c>
      <c r="V1818" s="38">
        <v>0.4</v>
      </c>
      <c r="W1818" s="38">
        <v>0.15</v>
      </c>
      <c r="X1818" s="38">
        <v>3.62</v>
      </c>
      <c r="Y1818" s="38">
        <f t="shared" si="232"/>
        <v>3.5</v>
      </c>
      <c r="Z1818" s="38">
        <v>0</v>
      </c>
      <c r="AA1818" s="38">
        <v>0</v>
      </c>
      <c r="AB1818" s="38">
        <v>15.825000000000001</v>
      </c>
      <c r="AC1818" s="38">
        <v>1.194</v>
      </c>
      <c r="AD1818" s="39">
        <v>3.6202299999999998</v>
      </c>
      <c r="AE1818" s="38">
        <v>1.1937800000000001</v>
      </c>
      <c r="AF1818" s="38">
        <f t="shared" si="235"/>
        <v>7.6258951175406861E-3</v>
      </c>
      <c r="AG1818" s="38">
        <f t="shared" si="233"/>
        <v>0</v>
      </c>
      <c r="AH1818" s="38">
        <v>213</v>
      </c>
      <c r="AI1818" s="38">
        <f>AH1818/(3.5*I1818*1000)*100</f>
        <v>0.3851717902350813</v>
      </c>
      <c r="AJ1818" s="38">
        <v>0</v>
      </c>
      <c r="AK1818" s="38">
        <v>0</v>
      </c>
      <c r="AL1818" s="38">
        <v>0</v>
      </c>
      <c r="AM1818" s="38">
        <f>AL1818/(3.5*I1818*1000)*100</f>
        <v>0</v>
      </c>
      <c r="AN1818" s="73"/>
      <c r="AO1818" s="72"/>
      <c r="AP1818" s="41"/>
      <c r="AQ1818" s="41"/>
      <c r="AR1818" s="73"/>
      <c r="AS1818" s="73"/>
      <c r="AT1818" s="73"/>
      <c r="AU1818" s="73"/>
      <c r="AV1818" s="73"/>
      <c r="AW1818" s="73"/>
      <c r="AX1818" s="73"/>
      <c r="AY1818" s="73"/>
    </row>
    <row r="1819" spans="1:88" s="22" customFormat="1">
      <c r="A1819" s="1">
        <v>1833</v>
      </c>
      <c r="B1819" s="34" t="s">
        <v>2382</v>
      </c>
      <c r="C1819" s="34">
        <v>428</v>
      </c>
      <c r="D1819" s="8">
        <v>3702</v>
      </c>
      <c r="E1819" s="34">
        <v>500</v>
      </c>
      <c r="F1819" s="34" t="s">
        <v>2406</v>
      </c>
      <c r="G1819" s="58" t="s">
        <v>2453</v>
      </c>
      <c r="H1819" s="58" t="s">
        <v>2454</v>
      </c>
      <c r="I1819" s="35">
        <v>2.2040000000000002</v>
      </c>
      <c r="J1819" s="9">
        <v>2</v>
      </c>
      <c r="K1819" s="34" t="s">
        <v>12</v>
      </c>
      <c r="L1819" s="10">
        <v>42232</v>
      </c>
      <c r="M1819" s="37" t="s">
        <v>191</v>
      </c>
      <c r="N1819" s="38">
        <v>1.175</v>
      </c>
      <c r="O1819" s="38">
        <v>0.3</v>
      </c>
      <c r="P1819" s="38">
        <v>0.52500000000000002</v>
      </c>
      <c r="Q1819" s="38">
        <v>0.17499999999999999</v>
      </c>
      <c r="R1819" s="38">
        <v>2.8740000000000001</v>
      </c>
      <c r="S1819" s="38">
        <f t="shared" si="231"/>
        <v>3</v>
      </c>
      <c r="T1819" s="38">
        <v>2.0750000000000002</v>
      </c>
      <c r="U1819" s="38">
        <v>0.05</v>
      </c>
      <c r="V1819" s="38">
        <v>0.05</v>
      </c>
      <c r="W1819" s="38">
        <v>0</v>
      </c>
      <c r="X1819" s="38">
        <v>3.956</v>
      </c>
      <c r="Y1819" s="38">
        <f t="shared" si="232"/>
        <v>4</v>
      </c>
      <c r="Z1819" s="38">
        <v>0</v>
      </c>
      <c r="AA1819" s="38">
        <v>0</v>
      </c>
      <c r="AB1819" s="38">
        <f>SUM(N1819:Q1819)</f>
        <v>2.1749999999999998</v>
      </c>
      <c r="AC1819" s="38">
        <v>1.2270000000000001</v>
      </c>
      <c r="AD1819" s="39">
        <v>0</v>
      </c>
      <c r="AE1819" s="38">
        <v>1.17</v>
      </c>
      <c r="AF1819" s="38">
        <f t="shared" si="235"/>
        <v>7.5836142079336259E-3</v>
      </c>
      <c r="AG1819" s="38">
        <f t="shared" si="233"/>
        <v>0</v>
      </c>
      <c r="AH1819" s="38">
        <v>0</v>
      </c>
      <c r="AI1819" s="38">
        <f>AH1819/(3.5*I1819*1000)*100</f>
        <v>0</v>
      </c>
      <c r="AJ1819" s="38">
        <v>0</v>
      </c>
      <c r="AK1819" s="38">
        <f>AJ1819/(3.5*I1819*1000)*100</f>
        <v>0</v>
      </c>
      <c r="AL1819" s="38">
        <v>0</v>
      </c>
      <c r="AM1819" s="38">
        <f>AL1819/(3.5*I1819*1000)*100</f>
        <v>0</v>
      </c>
      <c r="AN1819" s="25"/>
      <c r="AO1819" s="25">
        <f>AE1819*0.5</f>
        <v>0.58499999999999996</v>
      </c>
      <c r="AP1819" s="25">
        <f>(AD1819+AH1819+AJ1819+AL1819+AO1819)*I1819</f>
        <v>1.2893399999999999</v>
      </c>
      <c r="AQ1819" s="25"/>
      <c r="AR1819" s="25"/>
      <c r="AT1819" s="41"/>
      <c r="AU1819" s="41"/>
      <c r="AV1819" s="41"/>
      <c r="AW1819" s="41"/>
    </row>
    <row r="1820" spans="1:88" s="22" customFormat="1">
      <c r="A1820" s="1">
        <v>838</v>
      </c>
      <c r="B1820" s="34" t="s">
        <v>1231</v>
      </c>
      <c r="C1820" s="34">
        <v>615</v>
      </c>
      <c r="D1820" s="34">
        <v>24</v>
      </c>
      <c r="E1820" s="34">
        <v>402</v>
      </c>
      <c r="F1820" s="34" t="s">
        <v>1233</v>
      </c>
      <c r="G1820" s="58">
        <v>240719</v>
      </c>
      <c r="H1820" s="58">
        <v>191746</v>
      </c>
      <c r="I1820" s="35">
        <v>48.972999999999999</v>
      </c>
      <c r="J1820" s="71">
        <v>4</v>
      </c>
      <c r="K1820" s="34" t="s">
        <v>12</v>
      </c>
      <c r="L1820" s="10">
        <v>42134</v>
      </c>
      <c r="M1820" s="37" t="s">
        <v>191</v>
      </c>
      <c r="N1820" s="38">
        <v>31.1</v>
      </c>
      <c r="O1820" s="38">
        <v>11.074999999999999</v>
      </c>
      <c r="P1820" s="38">
        <v>4.75</v>
      </c>
      <c r="Q1820" s="38">
        <v>1.75</v>
      </c>
      <c r="R1820" s="38">
        <v>2.4190700000000001</v>
      </c>
      <c r="S1820" s="38">
        <f t="shared" si="231"/>
        <v>2.5</v>
      </c>
      <c r="T1820" s="38">
        <v>46.125</v>
      </c>
      <c r="U1820" s="38">
        <v>2.2250000000000001</v>
      </c>
      <c r="V1820" s="38">
        <v>0.22500000000000001</v>
      </c>
      <c r="W1820" s="38">
        <v>0.1</v>
      </c>
      <c r="X1820" s="38">
        <v>5.3708</v>
      </c>
      <c r="Y1820" s="38">
        <f t="shared" si="232"/>
        <v>5.5</v>
      </c>
      <c r="Z1820" s="38">
        <v>0</v>
      </c>
      <c r="AA1820" s="38">
        <v>0</v>
      </c>
      <c r="AB1820" s="38">
        <f>N1820+O1820+P1820+Q1820</f>
        <v>48.674999999999997</v>
      </c>
      <c r="AC1820" s="38">
        <v>1.16882</v>
      </c>
      <c r="AD1820" s="39">
        <v>12.87</v>
      </c>
      <c r="AE1820" s="38">
        <v>0</v>
      </c>
      <c r="AF1820" s="38">
        <v>7.5100000000000002E-3</v>
      </c>
      <c r="AG1820" s="38">
        <f t="shared" si="233"/>
        <v>0</v>
      </c>
      <c r="AH1820" s="38">
        <v>8.82</v>
      </c>
      <c r="AI1820" s="38">
        <v>5.1500000000000001E-3</v>
      </c>
      <c r="AJ1820" s="38">
        <v>0</v>
      </c>
      <c r="AK1820" s="38">
        <v>0</v>
      </c>
      <c r="AL1820" s="38">
        <v>0</v>
      </c>
      <c r="AM1820" s="38">
        <v>0</v>
      </c>
      <c r="AN1820" s="25"/>
      <c r="AO1820" s="25">
        <f>AE1820*0.5</f>
        <v>0</v>
      </c>
      <c r="AP1820" s="25">
        <f>(AD1820+AH1820+AJ1820+AL1820+AO1820)*I1820</f>
        <v>1062.2243699999999</v>
      </c>
      <c r="AQ1820" s="25">
        <f>SUM(N1820:Q1820)</f>
        <v>48.674999999999997</v>
      </c>
      <c r="AR1820" s="25">
        <f>SUM(T1820:W1820)</f>
        <v>48.675000000000004</v>
      </c>
      <c r="AS1820" s="268">
        <v>48.972999999999999</v>
      </c>
      <c r="AT1820" s="41"/>
      <c r="AU1820" s="41"/>
      <c r="AV1820" s="41"/>
      <c r="AW1820" s="41"/>
    </row>
    <row r="1821" spans="1:88" s="22" customFormat="1">
      <c r="A1821" s="1">
        <v>650</v>
      </c>
      <c r="B1821" s="34" t="s">
        <v>1050</v>
      </c>
      <c r="C1821" s="34">
        <v>621</v>
      </c>
      <c r="D1821" s="34">
        <v>2322</v>
      </c>
      <c r="E1821" s="34">
        <v>202</v>
      </c>
      <c r="F1821" s="34" t="s">
        <v>1058</v>
      </c>
      <c r="G1821" s="58">
        <v>77292</v>
      </c>
      <c r="H1821" s="58">
        <v>87292</v>
      </c>
      <c r="I1821" s="35">
        <v>10</v>
      </c>
      <c r="J1821" s="127">
        <v>2</v>
      </c>
      <c r="K1821" s="34" t="s">
        <v>238</v>
      </c>
      <c r="L1821" s="10">
        <v>42172</v>
      </c>
      <c r="M1821" s="37" t="s">
        <v>191</v>
      </c>
      <c r="N1821" s="38">
        <v>7.3250000000000002</v>
      </c>
      <c r="O1821" s="38">
        <v>1.875</v>
      </c>
      <c r="P1821" s="38">
        <v>0.5</v>
      </c>
      <c r="Q1821" s="38">
        <v>0.15</v>
      </c>
      <c r="R1821" s="38">
        <v>2.246</v>
      </c>
      <c r="S1821" s="38">
        <f t="shared" si="231"/>
        <v>2</v>
      </c>
      <c r="T1821" s="38">
        <v>9.0749999999999993</v>
      </c>
      <c r="U1821" s="38">
        <v>0.52500000000000002</v>
      </c>
      <c r="V1821" s="38">
        <v>0.25</v>
      </c>
      <c r="W1821" s="38">
        <v>0</v>
      </c>
      <c r="X1821" s="38">
        <v>5.3369999999999997</v>
      </c>
      <c r="Y1821" s="38">
        <f t="shared" si="232"/>
        <v>5.5</v>
      </c>
      <c r="Z1821" s="38">
        <v>0</v>
      </c>
      <c r="AA1821" s="38">
        <v>0</v>
      </c>
      <c r="AB1821" s="38">
        <f>T1821+U1821+V1821+W1821</f>
        <v>9.85</v>
      </c>
      <c r="AC1821" s="38">
        <v>1.1459999999999999</v>
      </c>
      <c r="AD1821" s="39">
        <v>1.33</v>
      </c>
      <c r="AE1821" s="38">
        <v>2.42</v>
      </c>
      <c r="AF1821" s="38">
        <v>7.257142857142857E-3</v>
      </c>
      <c r="AG1821" s="38">
        <f t="shared" si="233"/>
        <v>0</v>
      </c>
      <c r="AH1821" s="38">
        <v>0</v>
      </c>
      <c r="AI1821" s="38">
        <v>0</v>
      </c>
      <c r="AJ1821" s="38">
        <v>0</v>
      </c>
      <c r="AK1821" s="55">
        <v>0</v>
      </c>
      <c r="AL1821" s="55">
        <v>0</v>
      </c>
      <c r="AM1821" s="55">
        <v>0</v>
      </c>
      <c r="AN1821" s="25">
        <f>SUM(N1821:Q1821)</f>
        <v>9.85</v>
      </c>
      <c r="AO1821" s="25">
        <f>SUM(T1821:W1821)</f>
        <v>9.85</v>
      </c>
      <c r="AQ1821" s="41"/>
      <c r="AR1821" s="41"/>
      <c r="AS1821" s="41"/>
      <c r="AT1821" s="41"/>
    </row>
    <row r="1822" spans="1:88" s="22" customFormat="1">
      <c r="A1822" s="1">
        <v>1551</v>
      </c>
      <c r="B1822" s="34" t="s">
        <v>2121</v>
      </c>
      <c r="C1822" s="34">
        <v>415</v>
      </c>
      <c r="D1822" s="69">
        <v>3423</v>
      </c>
      <c r="E1822" s="34">
        <v>100</v>
      </c>
      <c r="F1822" s="34" t="s">
        <v>2134</v>
      </c>
      <c r="G1822" s="58" t="s">
        <v>2135</v>
      </c>
      <c r="H1822" s="58" t="s">
        <v>2136</v>
      </c>
      <c r="I1822" s="51">
        <v>6.9370000000000003</v>
      </c>
      <c r="J1822" s="34">
        <v>2</v>
      </c>
      <c r="K1822" s="34" t="s">
        <v>238</v>
      </c>
      <c r="L1822" s="10">
        <v>42242</v>
      </c>
      <c r="M1822" s="37" t="s">
        <v>191</v>
      </c>
      <c r="N1822" s="38">
        <v>2.375</v>
      </c>
      <c r="O1822" s="38">
        <v>2.0499999999999998</v>
      </c>
      <c r="P1822" s="38">
        <v>1.425</v>
      </c>
      <c r="Q1822" s="38">
        <v>0.82499999999999996</v>
      </c>
      <c r="R1822" s="38">
        <v>3.42869</v>
      </c>
      <c r="S1822" s="38">
        <f t="shared" si="231"/>
        <v>3.5</v>
      </c>
      <c r="T1822" s="38">
        <v>5.1749999999999998</v>
      </c>
      <c r="U1822" s="38">
        <v>1.0249999999999999</v>
      </c>
      <c r="V1822" s="38">
        <v>0.35</v>
      </c>
      <c r="W1822" s="38">
        <v>0.125</v>
      </c>
      <c r="X1822" s="38">
        <v>7.2447499999999998</v>
      </c>
      <c r="Y1822" s="38">
        <f t="shared" si="232"/>
        <v>7</v>
      </c>
      <c r="Z1822" s="117">
        <v>0</v>
      </c>
      <c r="AA1822" s="117">
        <v>0</v>
      </c>
      <c r="AB1822" s="117">
        <f>SUM(N1822:Q1822)</f>
        <v>6.6749999999999998</v>
      </c>
      <c r="AC1822" s="38">
        <v>1.24956</v>
      </c>
      <c r="AD1822" s="39">
        <v>0</v>
      </c>
      <c r="AE1822" s="38">
        <v>3.51</v>
      </c>
      <c r="AF1822" s="38">
        <v>7.2300000000000003E-3</v>
      </c>
      <c r="AG1822" s="38">
        <f t="shared" si="233"/>
        <v>0</v>
      </c>
      <c r="AH1822" s="38">
        <v>0</v>
      </c>
      <c r="AI1822" s="38">
        <v>0</v>
      </c>
      <c r="AJ1822" s="38">
        <v>185.42</v>
      </c>
      <c r="AK1822" s="38">
        <v>0.76368999999999998</v>
      </c>
      <c r="AL1822" s="38">
        <v>0</v>
      </c>
      <c r="AM1822" s="38">
        <v>0</v>
      </c>
      <c r="AN1822" s="25"/>
      <c r="AO1822" s="12">
        <f>AE1822*0.5</f>
        <v>1.7549999999999999</v>
      </c>
      <c r="AP1822" s="12">
        <f>(AD1822+AH1822+AJ1822+AL1822+AO1822)*I1822</f>
        <v>1298.4329749999999</v>
      </c>
      <c r="AQ1822" s="25">
        <f>SUM(N1822:Q1822)</f>
        <v>6.6749999999999998</v>
      </c>
      <c r="AR1822" s="25">
        <f>SUM(T1822:W1822)</f>
        <v>6.6749999999999989</v>
      </c>
      <c r="AS1822" s="25"/>
      <c r="AU1822" s="41"/>
      <c r="AV1822" s="41"/>
      <c r="AW1822" s="41"/>
      <c r="AX1822" s="41"/>
    </row>
    <row r="1823" spans="1:88" s="22" customFormat="1">
      <c r="A1823" s="1">
        <v>935</v>
      </c>
      <c r="B1823" s="34" t="s">
        <v>1329</v>
      </c>
      <c r="C1823" s="34">
        <v>611</v>
      </c>
      <c r="D1823" s="161">
        <v>202</v>
      </c>
      <c r="E1823" s="34">
        <v>201</v>
      </c>
      <c r="F1823" s="34" t="s">
        <v>1330</v>
      </c>
      <c r="G1823" s="58">
        <v>25660</v>
      </c>
      <c r="H1823" s="58">
        <v>74394</v>
      </c>
      <c r="I1823" s="35">
        <v>48.734000000000002</v>
      </c>
      <c r="J1823" s="71">
        <v>2</v>
      </c>
      <c r="K1823" s="34" t="s">
        <v>238</v>
      </c>
      <c r="L1823" s="10">
        <v>42118</v>
      </c>
      <c r="M1823" s="37" t="s">
        <v>191</v>
      </c>
      <c r="N1823" s="38">
        <v>36.4</v>
      </c>
      <c r="O1823" s="38">
        <v>8.85</v>
      </c>
      <c r="P1823" s="38">
        <v>1.825</v>
      </c>
      <c r="Q1823" s="38">
        <v>0.77500000000000002</v>
      </c>
      <c r="R1823" s="38">
        <v>2.23</v>
      </c>
      <c r="S1823" s="38">
        <f t="shared" si="231"/>
        <v>2</v>
      </c>
      <c r="T1823" s="38">
        <v>43.825000000000003</v>
      </c>
      <c r="U1823" s="38">
        <v>3.65</v>
      </c>
      <c r="V1823" s="38">
        <v>0.27500000000000002</v>
      </c>
      <c r="W1823" s="38">
        <v>0.1</v>
      </c>
      <c r="X1823" s="38">
        <v>4.7389999999999999</v>
      </c>
      <c r="Y1823" s="38">
        <f t="shared" si="232"/>
        <v>4.5</v>
      </c>
      <c r="Z1823" s="38">
        <v>0</v>
      </c>
      <c r="AA1823" s="38">
        <v>0</v>
      </c>
      <c r="AB1823" s="38">
        <v>48.734000000000002</v>
      </c>
      <c r="AC1823" s="38">
        <v>1.198</v>
      </c>
      <c r="AD1823" s="39">
        <v>0</v>
      </c>
      <c r="AE1823" s="38">
        <v>24.37</v>
      </c>
      <c r="AF1823" s="38">
        <f>(AD1823+AE1823*0.5)/(3.5*I1823*1000)*100</f>
        <v>7.1437365523629726E-3</v>
      </c>
      <c r="AG1823" s="38">
        <f t="shared" si="233"/>
        <v>0</v>
      </c>
      <c r="AH1823" s="38">
        <v>0</v>
      </c>
      <c r="AI1823" s="38">
        <f>AH1823/(3.5*I1823*1000)*100</f>
        <v>0</v>
      </c>
      <c r="AJ1823" s="38">
        <v>0</v>
      </c>
      <c r="AK1823" s="38">
        <f>AJ1823/(3.5*I1823*1000)*100</f>
        <v>0</v>
      </c>
      <c r="AL1823" s="38">
        <v>0</v>
      </c>
      <c r="AM1823" s="38">
        <f>AL1823/(3.5*I1823*1000)*100</f>
        <v>0</v>
      </c>
      <c r="AN1823" s="25"/>
      <c r="AO1823" s="25">
        <f>AE1823*0.5</f>
        <v>12.185</v>
      </c>
      <c r="AP1823" s="25">
        <f>(AD1823+AH1823+AJ1823+AL1823+AO1823)*I1823</f>
        <v>593.82379000000003</v>
      </c>
      <c r="AQ1823" s="25"/>
      <c r="AR1823" s="25">
        <f>SUM(N1823:Q1823)</f>
        <v>47.85</v>
      </c>
      <c r="AS1823" s="25">
        <f>SUM(T1823:W1823)</f>
        <v>47.85</v>
      </c>
      <c r="AT1823" s="268">
        <v>48.734000000000002</v>
      </c>
      <c r="AU1823" s="41"/>
      <c r="AV1823" s="41"/>
      <c r="AW1823" s="41"/>
    </row>
    <row r="1824" spans="1:88" s="22" customFormat="1">
      <c r="A1824" s="1">
        <v>1301</v>
      </c>
      <c r="B1824" s="74" t="s">
        <v>1820</v>
      </c>
      <c r="C1824" s="34">
        <v>441</v>
      </c>
      <c r="D1824" s="75">
        <v>3585</v>
      </c>
      <c r="E1824" s="69">
        <v>100</v>
      </c>
      <c r="F1824" s="34" t="s">
        <v>1846</v>
      </c>
      <c r="G1824" s="58">
        <v>0</v>
      </c>
      <c r="H1824" s="58">
        <v>2013</v>
      </c>
      <c r="I1824" s="55">
        <v>2.0129999999999999</v>
      </c>
      <c r="J1824" s="34">
        <v>2</v>
      </c>
      <c r="K1824" s="34" t="s">
        <v>238</v>
      </c>
      <c r="L1824" s="10">
        <v>42185</v>
      </c>
      <c r="M1824" s="37" t="s">
        <v>191</v>
      </c>
      <c r="N1824" s="38">
        <v>0.95</v>
      </c>
      <c r="O1824" s="38">
        <v>0.67500000000000004</v>
      </c>
      <c r="P1824" s="38">
        <v>0.25</v>
      </c>
      <c r="Q1824" s="38">
        <v>0.125</v>
      </c>
      <c r="R1824" s="38">
        <v>2.7973699999999999</v>
      </c>
      <c r="S1824" s="38">
        <f t="shared" si="231"/>
        <v>3</v>
      </c>
      <c r="T1824" s="38">
        <v>2</v>
      </c>
      <c r="U1824" s="38">
        <v>0</v>
      </c>
      <c r="V1824" s="38">
        <v>0</v>
      </c>
      <c r="W1824" s="38">
        <v>0</v>
      </c>
      <c r="X1824" s="38">
        <v>1.77776</v>
      </c>
      <c r="Y1824" s="38">
        <f t="shared" si="232"/>
        <v>2</v>
      </c>
      <c r="Z1824" s="38">
        <v>0</v>
      </c>
      <c r="AA1824" s="38">
        <v>0</v>
      </c>
      <c r="AB1824" s="38">
        <v>2</v>
      </c>
      <c r="AC1824" s="38">
        <v>1.0972599999999999</v>
      </c>
      <c r="AD1824" s="39">
        <v>0</v>
      </c>
      <c r="AE1824" s="38">
        <v>1</v>
      </c>
      <c r="AF1824" s="38">
        <v>7.096728408203818E-3</v>
      </c>
      <c r="AG1824" s="38">
        <f t="shared" si="233"/>
        <v>0</v>
      </c>
      <c r="AH1824" s="38">
        <v>0</v>
      </c>
      <c r="AI1824" s="38">
        <v>0</v>
      </c>
      <c r="AJ1824" s="38">
        <v>0</v>
      </c>
      <c r="AK1824" s="38">
        <v>0</v>
      </c>
      <c r="AL1824" s="38">
        <v>0</v>
      </c>
      <c r="AM1824" s="38">
        <v>0</v>
      </c>
      <c r="AN1824" s="40"/>
      <c r="AO1824" s="12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</row>
    <row r="1825" spans="1:88" s="22" customFormat="1">
      <c r="A1825" s="1">
        <v>1759</v>
      </c>
      <c r="B1825" s="34" t="s">
        <v>2348</v>
      </c>
      <c r="C1825" s="34">
        <v>425</v>
      </c>
      <c r="D1825" s="8">
        <v>3277</v>
      </c>
      <c r="E1825" s="34">
        <v>100</v>
      </c>
      <c r="F1825" s="34" t="s">
        <v>2358</v>
      </c>
      <c r="G1825" s="58" t="s">
        <v>2359</v>
      </c>
      <c r="H1825" s="58" t="s">
        <v>92</v>
      </c>
      <c r="I1825" s="35">
        <v>26.893000000000001</v>
      </c>
      <c r="J1825" s="9">
        <v>2</v>
      </c>
      <c r="K1825" s="34" t="s">
        <v>12</v>
      </c>
      <c r="L1825" s="10">
        <v>42235</v>
      </c>
      <c r="M1825" s="37" t="s">
        <v>191</v>
      </c>
      <c r="N1825" s="38">
        <v>18.05</v>
      </c>
      <c r="O1825" s="38">
        <v>4.95</v>
      </c>
      <c r="P1825" s="38">
        <v>2.4500000000000002</v>
      </c>
      <c r="Q1825" s="38">
        <v>1.425</v>
      </c>
      <c r="R1825" s="38">
        <v>2.3620000000000001</v>
      </c>
      <c r="S1825" s="38">
        <f t="shared" si="231"/>
        <v>2.5</v>
      </c>
      <c r="T1825" s="38">
        <v>24.975000000000001</v>
      </c>
      <c r="U1825" s="38">
        <v>1.5249999999999999</v>
      </c>
      <c r="V1825" s="38">
        <v>0.22500000000000001</v>
      </c>
      <c r="W1825" s="38">
        <v>0.15</v>
      </c>
      <c r="X1825" s="38">
        <v>5.5419999999999998</v>
      </c>
      <c r="Y1825" s="38">
        <f t="shared" si="232"/>
        <v>5.5</v>
      </c>
      <c r="Z1825" s="38">
        <v>0</v>
      </c>
      <c r="AA1825" s="38">
        <v>0</v>
      </c>
      <c r="AB1825" s="38">
        <f>SUM(T1825:W1825)</f>
        <v>26.875</v>
      </c>
      <c r="AC1825" s="38">
        <v>1.268</v>
      </c>
      <c r="AD1825" s="39">
        <v>0</v>
      </c>
      <c r="AE1825" s="38">
        <v>13.07</v>
      </c>
      <c r="AF1825" s="38">
        <f t="shared" ref="AF1825:AF1832" si="236">(AD1825+AE1825*0.5)/(3.5*I1825*1000)*100</f>
        <v>6.942858205268498E-3</v>
      </c>
      <c r="AG1825" s="38">
        <f t="shared" si="233"/>
        <v>0</v>
      </c>
      <c r="AH1825" s="38">
        <v>47.41</v>
      </c>
      <c r="AI1825" s="38">
        <f t="shared" ref="AI1825:AI1832" si="237">AH1825/(3.5*I1825*1000)*100</f>
        <v>5.0368922343042001E-2</v>
      </c>
      <c r="AJ1825" s="38">
        <v>30.16</v>
      </c>
      <c r="AK1825" s="38">
        <f>AJ1825/(3.5*I1825*1000)*100</f>
        <v>3.2042326468385292E-2</v>
      </c>
      <c r="AL1825" s="38">
        <v>24.04</v>
      </c>
      <c r="AM1825" s="55">
        <f t="shared" ref="AM1825:AM1830" si="238">AL1825/(3.5*I1825*1000)*100</f>
        <v>2.5540368975463607E-2</v>
      </c>
      <c r="AN1825" s="25"/>
      <c r="AO1825" s="25">
        <f>AE1825*0.5</f>
        <v>6.5350000000000001</v>
      </c>
      <c r="AP1825" s="25">
        <f>(AD1825+AH1825+AJ1825+AL1825+AO1825)*I1825</f>
        <v>2908.3434849999994</v>
      </c>
      <c r="AQ1825" s="25"/>
      <c r="AR1825" s="25"/>
      <c r="AT1825" s="41"/>
      <c r="AU1825" s="41"/>
      <c r="AV1825" s="41"/>
      <c r="AW1825" s="41"/>
    </row>
    <row r="1826" spans="1:88" s="22" customFormat="1">
      <c r="A1826" s="1">
        <v>2178</v>
      </c>
      <c r="B1826" s="34" t="s">
        <v>2798</v>
      </c>
      <c r="C1826" s="34">
        <v>311</v>
      </c>
      <c r="D1826" s="75">
        <v>414</v>
      </c>
      <c r="E1826" s="8">
        <v>102</v>
      </c>
      <c r="F1826" s="9" t="s">
        <v>2807</v>
      </c>
      <c r="G1826" s="20" t="s">
        <v>2816</v>
      </c>
      <c r="H1826" s="20" t="s">
        <v>2817</v>
      </c>
      <c r="I1826" s="21">
        <v>6.9649999999999999</v>
      </c>
      <c r="J1826" s="8">
        <v>8</v>
      </c>
      <c r="K1826" s="8" t="s">
        <v>12</v>
      </c>
      <c r="L1826" s="18">
        <v>42147</v>
      </c>
      <c r="M1826" s="37" t="s">
        <v>191</v>
      </c>
      <c r="N1826" s="38">
        <v>3.0249999999999999</v>
      </c>
      <c r="O1826" s="38">
        <v>1.875</v>
      </c>
      <c r="P1826" s="38">
        <v>1.55</v>
      </c>
      <c r="Q1826" s="38">
        <v>0.4</v>
      </c>
      <c r="R1826" s="38">
        <v>2.8747400000000001</v>
      </c>
      <c r="S1826" s="38">
        <f t="shared" si="231"/>
        <v>3</v>
      </c>
      <c r="T1826" s="38">
        <v>5</v>
      </c>
      <c r="U1826" s="38">
        <v>0.82499999999999996</v>
      </c>
      <c r="V1826" s="38">
        <v>0.55000000000000004</v>
      </c>
      <c r="W1826" s="38">
        <v>0.47499999999999998</v>
      </c>
      <c r="X1826" s="38">
        <v>7.2087500000000002</v>
      </c>
      <c r="Y1826" s="38">
        <f t="shared" si="232"/>
        <v>7</v>
      </c>
      <c r="Z1826" s="38">
        <v>0</v>
      </c>
      <c r="AA1826" s="38">
        <v>0</v>
      </c>
      <c r="AB1826" s="38">
        <v>6.8500000000000005</v>
      </c>
      <c r="AC1826" s="38">
        <v>1.07073</v>
      </c>
      <c r="AD1826" s="39">
        <v>1.68</v>
      </c>
      <c r="AE1826" s="38">
        <v>0</v>
      </c>
      <c r="AF1826" s="38">
        <f t="shared" si="236"/>
        <v>6.8916008614501086E-3</v>
      </c>
      <c r="AG1826" s="38">
        <f t="shared" si="233"/>
        <v>0</v>
      </c>
      <c r="AH1826" s="38">
        <v>0</v>
      </c>
      <c r="AI1826" s="38">
        <f t="shared" si="237"/>
        <v>0</v>
      </c>
      <c r="AJ1826" s="38">
        <v>0</v>
      </c>
      <c r="AK1826" s="38">
        <f>AJ1826/(3.5*I1826*1000)*100</f>
        <v>0</v>
      </c>
      <c r="AL1826" s="38">
        <v>0</v>
      </c>
      <c r="AM1826" s="38">
        <f t="shared" si="238"/>
        <v>0</v>
      </c>
      <c r="AN1826" s="72"/>
      <c r="AO1826" s="41"/>
      <c r="AP1826" s="41"/>
      <c r="AQ1826" s="41">
        <f>SUM(N1826:Q1826)</f>
        <v>6.8500000000000005</v>
      </c>
      <c r="AR1826" s="41">
        <f>SUM(T1826:W1826)</f>
        <v>6.85</v>
      </c>
      <c r="AS1826" s="12">
        <f>SUM(Z1826:AB1826)</f>
        <v>6.8500000000000005</v>
      </c>
      <c r="AT1826" s="1"/>
      <c r="AU1826" s="1">
        <f>I1826/AQ1826</f>
        <v>1.0167883211678832</v>
      </c>
      <c r="AV1826" s="1">
        <f>I1826/AR1826</f>
        <v>1.0167883211678832</v>
      </c>
      <c r="AW1826" s="1">
        <f>I1826/AS1826</f>
        <v>1.0167883211678832</v>
      </c>
    </row>
    <row r="1827" spans="1:88" s="22" customFormat="1">
      <c r="A1827" s="1">
        <v>1952</v>
      </c>
      <c r="B1827" s="34" t="s">
        <v>2586</v>
      </c>
      <c r="C1827" s="5">
        <v>321</v>
      </c>
      <c r="D1827" s="5">
        <v>4016</v>
      </c>
      <c r="E1827" s="5">
        <v>101</v>
      </c>
      <c r="F1827" s="5" t="s">
        <v>2596</v>
      </c>
      <c r="G1827" s="53" t="s">
        <v>2597</v>
      </c>
      <c r="H1827" s="53">
        <v>13500</v>
      </c>
      <c r="I1827" s="5">
        <v>5.2290000000000001</v>
      </c>
      <c r="J1827" s="34">
        <v>4</v>
      </c>
      <c r="K1827" s="5" t="s">
        <v>12</v>
      </c>
      <c r="L1827" s="10">
        <v>42124</v>
      </c>
      <c r="M1827" s="37" t="s">
        <v>191</v>
      </c>
      <c r="N1827" s="38">
        <v>3.125</v>
      </c>
      <c r="O1827" s="38">
        <v>1.675</v>
      </c>
      <c r="P1827" s="38">
        <v>0.47499999999999998</v>
      </c>
      <c r="Q1827" s="38">
        <v>0</v>
      </c>
      <c r="R1827" s="38">
        <v>2.7120000000000002</v>
      </c>
      <c r="S1827" s="38">
        <f t="shared" si="231"/>
        <v>2.5</v>
      </c>
      <c r="T1827" s="38">
        <v>5.2750000000000004</v>
      </c>
      <c r="U1827" s="38">
        <v>0</v>
      </c>
      <c r="V1827" s="38">
        <v>0</v>
      </c>
      <c r="W1827" s="38">
        <v>0</v>
      </c>
      <c r="X1827" s="38">
        <v>3.214</v>
      </c>
      <c r="Y1827" s="38">
        <f t="shared" si="232"/>
        <v>3</v>
      </c>
      <c r="Z1827" s="38">
        <v>0</v>
      </c>
      <c r="AA1827" s="38">
        <v>0</v>
      </c>
      <c r="AB1827" s="38">
        <v>5.2750000000000004</v>
      </c>
      <c r="AC1827" s="38">
        <v>1.286</v>
      </c>
      <c r="AD1827" s="39">
        <v>0</v>
      </c>
      <c r="AE1827" s="38">
        <v>2.5</v>
      </c>
      <c r="AF1827" s="38">
        <f t="shared" si="236"/>
        <v>6.8300412534491707E-3</v>
      </c>
      <c r="AG1827" s="38">
        <f t="shared" si="233"/>
        <v>0</v>
      </c>
      <c r="AH1827" s="38">
        <v>21.5</v>
      </c>
      <c r="AI1827" s="38">
        <f t="shared" si="237"/>
        <v>0.11747670955932574</v>
      </c>
      <c r="AJ1827" s="38">
        <v>0</v>
      </c>
      <c r="AK1827" s="38">
        <v>0</v>
      </c>
      <c r="AL1827" s="38">
        <v>0</v>
      </c>
      <c r="AM1827" s="38">
        <f t="shared" si="238"/>
        <v>0</v>
      </c>
      <c r="AN1827" s="73"/>
      <c r="AO1827" s="72"/>
      <c r="AP1827" s="41"/>
      <c r="AQ1827" s="41"/>
      <c r="AR1827" s="73"/>
      <c r="AS1827" s="73"/>
      <c r="AT1827" s="73"/>
      <c r="AU1827" s="73"/>
      <c r="AV1827" s="73"/>
      <c r="AW1827" s="73"/>
      <c r="AX1827" s="73"/>
      <c r="AY1827" s="73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</row>
    <row r="1828" spans="1:88" s="22" customFormat="1">
      <c r="A1828" s="1">
        <v>1004</v>
      </c>
      <c r="B1828" s="170" t="s">
        <v>1394</v>
      </c>
      <c r="C1828" s="170">
        <v>617</v>
      </c>
      <c r="D1828" s="8">
        <v>224</v>
      </c>
      <c r="E1828" s="170">
        <v>302</v>
      </c>
      <c r="F1828" s="9" t="s">
        <v>1401</v>
      </c>
      <c r="G1828" s="20" t="s">
        <v>1402</v>
      </c>
      <c r="H1828" s="20" t="s">
        <v>1403</v>
      </c>
      <c r="I1828" s="35">
        <v>57.023000000000003</v>
      </c>
      <c r="J1828" s="9">
        <v>2</v>
      </c>
      <c r="K1828" s="9" t="s">
        <v>238</v>
      </c>
      <c r="L1828" s="172">
        <v>42131</v>
      </c>
      <c r="M1828" s="37" t="s">
        <v>191</v>
      </c>
      <c r="N1828" s="173">
        <v>38.979999999999997</v>
      </c>
      <c r="O1828" s="173">
        <v>11.83</v>
      </c>
      <c r="P1828" s="173">
        <v>4.375</v>
      </c>
      <c r="Q1828" s="173">
        <v>1.75</v>
      </c>
      <c r="R1828" s="173">
        <v>2.42977</v>
      </c>
      <c r="S1828" s="38">
        <f t="shared" si="231"/>
        <v>2.5</v>
      </c>
      <c r="T1828" s="173">
        <v>55.225000000000001</v>
      </c>
      <c r="U1828" s="173">
        <v>1.3</v>
      </c>
      <c r="V1828" s="173">
        <v>0.32500000000000001</v>
      </c>
      <c r="W1828" s="173">
        <v>7.4999999999999997E-2</v>
      </c>
      <c r="X1828" s="173">
        <v>4.6029799999999996</v>
      </c>
      <c r="Y1828" s="38">
        <f t="shared" si="232"/>
        <v>4.5</v>
      </c>
      <c r="Z1828" s="11">
        <v>0</v>
      </c>
      <c r="AA1828" s="11">
        <v>0</v>
      </c>
      <c r="AB1828" s="11">
        <f>SUM(N1828:Q1828)</f>
        <v>56.934999999999995</v>
      </c>
      <c r="AC1828" s="173">
        <v>1.29904</v>
      </c>
      <c r="AD1828" s="164">
        <v>13.58</v>
      </c>
      <c r="AE1828" s="11">
        <v>0</v>
      </c>
      <c r="AF1828" s="169">
        <f t="shared" si="236"/>
        <v>6.8042719604370161E-3</v>
      </c>
      <c r="AG1828" s="38">
        <f t="shared" si="233"/>
        <v>0</v>
      </c>
      <c r="AH1828" s="11">
        <v>168.27</v>
      </c>
      <c r="AI1828" s="99">
        <f t="shared" si="237"/>
        <v>8.4311844092985033E-2</v>
      </c>
      <c r="AJ1828" s="11">
        <v>147.75</v>
      </c>
      <c r="AK1828" s="99">
        <f>AJ1828/(3.5*I1828*1000)*100</f>
        <v>7.4030278509172986E-2</v>
      </c>
      <c r="AL1828" s="11">
        <v>0</v>
      </c>
      <c r="AM1828" s="99">
        <f t="shared" si="238"/>
        <v>0</v>
      </c>
      <c r="AN1828" s="12"/>
      <c r="AO1828" s="25">
        <f>AE1828*0.5</f>
        <v>0</v>
      </c>
      <c r="AP1828" s="25">
        <f>(AD1828+AH1828+AJ1828+AL1828+AO1828)*I1828</f>
        <v>18794.780800000004</v>
      </c>
      <c r="AQ1828" s="12"/>
      <c r="AR1828" s="12"/>
      <c r="AS1828" s="25">
        <f>SUM(N1828:Q1828)</f>
        <v>56.934999999999995</v>
      </c>
      <c r="AT1828" s="25">
        <f>SUM(T1828:W1828)</f>
        <v>56.925000000000004</v>
      </c>
      <c r="AU1828" s="41"/>
      <c r="AV1828" s="41"/>
      <c r="AW1828" s="4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</row>
    <row r="1829" spans="1:88" s="22" customFormat="1">
      <c r="A1829" s="1">
        <v>385</v>
      </c>
      <c r="B1829" s="67" t="s">
        <v>626</v>
      </c>
      <c r="C1829" s="34">
        <v>517</v>
      </c>
      <c r="D1829" s="68">
        <v>1084</v>
      </c>
      <c r="E1829" s="69">
        <v>200</v>
      </c>
      <c r="F1829" s="88" t="s">
        <v>638</v>
      </c>
      <c r="G1829" s="6" t="s">
        <v>639</v>
      </c>
      <c r="H1829" s="6" t="s">
        <v>640</v>
      </c>
      <c r="I1829" s="7">
        <v>67.328000000000003</v>
      </c>
      <c r="J1829" s="89">
        <v>2</v>
      </c>
      <c r="K1829" s="34" t="s">
        <v>12</v>
      </c>
      <c r="L1829" s="18">
        <v>42261</v>
      </c>
      <c r="M1829" s="123" t="s">
        <v>191</v>
      </c>
      <c r="N1829" s="38">
        <v>44.77</v>
      </c>
      <c r="O1829" s="38">
        <v>15.11</v>
      </c>
      <c r="P1829" s="38">
        <v>5.71</v>
      </c>
      <c r="Q1829" s="38">
        <v>1.74</v>
      </c>
      <c r="R1829" s="38">
        <v>2.43161</v>
      </c>
      <c r="S1829" s="38">
        <f t="shared" si="231"/>
        <v>2.5</v>
      </c>
      <c r="T1829" s="38">
        <v>62.78</v>
      </c>
      <c r="U1829" s="38">
        <v>3.82</v>
      </c>
      <c r="V1829" s="38">
        <v>0.65</v>
      </c>
      <c r="W1829" s="38">
        <v>0.08</v>
      </c>
      <c r="X1829" s="38">
        <v>4.4878200000000001</v>
      </c>
      <c r="Y1829" s="38">
        <f t="shared" si="232"/>
        <v>4.5</v>
      </c>
      <c r="Z1829" s="38">
        <v>0</v>
      </c>
      <c r="AA1829" s="38">
        <v>0</v>
      </c>
      <c r="AB1829" s="38">
        <v>67.33</v>
      </c>
      <c r="AC1829" s="38">
        <v>1.0757099999999999</v>
      </c>
      <c r="AD1829" s="39">
        <v>10.271000000000001</v>
      </c>
      <c r="AE1829" s="38">
        <v>11.35</v>
      </c>
      <c r="AF1829" s="38">
        <f t="shared" si="236"/>
        <v>6.7668726235741439E-3</v>
      </c>
      <c r="AG1829" s="38">
        <f t="shared" si="233"/>
        <v>0</v>
      </c>
      <c r="AH1829" s="38">
        <v>85.67</v>
      </c>
      <c r="AI1829" s="38">
        <f t="shared" si="237"/>
        <v>3.6355071971754478E-2</v>
      </c>
      <c r="AJ1829" s="38">
        <v>0</v>
      </c>
      <c r="AK1829" s="38">
        <f>AJ1829/(3.5*I1829*1000)*100</f>
        <v>0</v>
      </c>
      <c r="AL1829" s="38">
        <v>0</v>
      </c>
      <c r="AM1829" s="38">
        <f t="shared" si="238"/>
        <v>0</v>
      </c>
      <c r="AQ1829" s="25">
        <f>SUM(N1829:Q1829)</f>
        <v>67.33</v>
      </c>
      <c r="AR1829" s="25">
        <f>SUM(T1829:W1829)</f>
        <v>67.33</v>
      </c>
      <c r="AS1829" s="25">
        <f>SUM(Z1829:AB1829)</f>
        <v>67.33</v>
      </c>
      <c r="AU1829" s="1">
        <f>I1829/AQ1829</f>
        <v>0.99997029555918615</v>
      </c>
      <c r="AV1829" s="1">
        <f>I1829/AR1829</f>
        <v>0.99997029555918615</v>
      </c>
      <c r="AW1829" s="1">
        <f>I1829/AS1829</f>
        <v>0.99997029555918615</v>
      </c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</row>
    <row r="1830" spans="1:88" s="22" customFormat="1">
      <c r="A1830" s="1">
        <v>112</v>
      </c>
      <c r="B1830" s="4" t="s">
        <v>78</v>
      </c>
      <c r="C1830" s="14">
        <v>527</v>
      </c>
      <c r="D1830" s="19">
        <v>1095</v>
      </c>
      <c r="E1830" s="16">
        <v>100</v>
      </c>
      <c r="F1830" s="31" t="s">
        <v>82</v>
      </c>
      <c r="G1830" s="20">
        <v>0</v>
      </c>
      <c r="H1830" s="20">
        <v>64684</v>
      </c>
      <c r="I1830" s="21">
        <v>64.683999999999997</v>
      </c>
      <c r="J1830" s="8">
        <v>2</v>
      </c>
      <c r="K1830" s="9" t="s">
        <v>238</v>
      </c>
      <c r="L1830" s="18">
        <v>42243</v>
      </c>
      <c r="M1830" s="37" t="s">
        <v>191</v>
      </c>
      <c r="N1830" s="11">
        <v>19.2</v>
      </c>
      <c r="O1830" s="11">
        <v>16.54</v>
      </c>
      <c r="P1830" s="11">
        <v>15.81</v>
      </c>
      <c r="Q1830" s="11">
        <v>13.13</v>
      </c>
      <c r="R1830" s="11">
        <v>3.80586</v>
      </c>
      <c r="S1830" s="38">
        <f t="shared" si="231"/>
        <v>4</v>
      </c>
      <c r="T1830" s="11">
        <v>61.72</v>
      </c>
      <c r="U1830" s="11">
        <v>2.5099999999999998</v>
      </c>
      <c r="V1830" s="11">
        <v>0.35</v>
      </c>
      <c r="W1830" s="11">
        <v>0.1</v>
      </c>
      <c r="X1830" s="11">
        <v>3.8814799999999998</v>
      </c>
      <c r="Y1830" s="38">
        <f t="shared" si="232"/>
        <v>4</v>
      </c>
      <c r="Z1830" s="11">
        <v>0</v>
      </c>
      <c r="AA1830" s="11">
        <v>0</v>
      </c>
      <c r="AB1830" s="11">
        <v>64.680000000000007</v>
      </c>
      <c r="AC1830" s="11">
        <v>1.1840200000000001</v>
      </c>
      <c r="AD1830" s="164">
        <v>14.853999999999999</v>
      </c>
      <c r="AE1830" s="11">
        <v>0</v>
      </c>
      <c r="AF1830" s="11">
        <f t="shared" si="236"/>
        <v>6.5611279450868837E-3</v>
      </c>
      <c r="AG1830" s="38">
        <f t="shared" si="233"/>
        <v>0</v>
      </c>
      <c r="AH1830" s="11">
        <v>1.32</v>
      </c>
      <c r="AI1830" s="11">
        <f t="shared" si="237"/>
        <v>5.8305432122759439E-4</v>
      </c>
      <c r="AJ1830" s="11">
        <v>2.68</v>
      </c>
      <c r="AK1830" s="11">
        <f>AJ1830/(3.5*I1830*1000)*100</f>
        <v>1.1837769552196613E-3</v>
      </c>
      <c r="AL1830" s="11">
        <v>0</v>
      </c>
      <c r="AM1830" s="11">
        <f t="shared" si="238"/>
        <v>0</v>
      </c>
      <c r="AO1830" s="25"/>
      <c r="AP1830" s="25">
        <f>SUM(N1830:Q1830)</f>
        <v>64.679999999999993</v>
      </c>
      <c r="AQ1830" s="25">
        <f>SUM(T1830:W1830)</f>
        <v>64.679999999999993</v>
      </c>
      <c r="AR1830" s="25">
        <f>SUM(Z1830:AB1830)</f>
        <v>64.680000000000007</v>
      </c>
      <c r="AT1830" s="22">
        <f>I1830/AP1830</f>
        <v>1.0000618429189858</v>
      </c>
      <c r="AU1830" s="22">
        <f>I1830/AQ1830</f>
        <v>1.0000618429189858</v>
      </c>
      <c r="AV1830" s="22">
        <f>I1830/AR1830</f>
        <v>1.0000618429189856</v>
      </c>
    </row>
    <row r="1831" spans="1:88" s="22" customFormat="1">
      <c r="A1831" s="1">
        <v>1746</v>
      </c>
      <c r="B1831" s="34" t="s">
        <v>2324</v>
      </c>
      <c r="C1831" s="34">
        <v>423</v>
      </c>
      <c r="D1831" s="8">
        <v>3409</v>
      </c>
      <c r="E1831" s="34">
        <v>100</v>
      </c>
      <c r="F1831" s="34" t="s">
        <v>2343</v>
      </c>
      <c r="G1831" s="58">
        <v>0</v>
      </c>
      <c r="H1831" s="58">
        <v>16175</v>
      </c>
      <c r="I1831" s="35">
        <v>16.175000000000001</v>
      </c>
      <c r="J1831" s="9">
        <v>2</v>
      </c>
      <c r="K1831" s="34" t="s">
        <v>238</v>
      </c>
      <c r="L1831" s="10">
        <v>42235</v>
      </c>
      <c r="M1831" s="37" t="s">
        <v>191</v>
      </c>
      <c r="N1831" s="38">
        <v>6.35</v>
      </c>
      <c r="O1831" s="38">
        <v>2.65</v>
      </c>
      <c r="P1831" s="38">
        <v>3.7749999999999999</v>
      </c>
      <c r="Q1831" s="38">
        <v>3.375</v>
      </c>
      <c r="R1831" s="38">
        <v>3.2606000000000002</v>
      </c>
      <c r="S1831" s="38">
        <f t="shared" si="231"/>
        <v>3.5</v>
      </c>
      <c r="T1831" s="38">
        <v>12.725</v>
      </c>
      <c r="U1831" s="38">
        <v>2.5750000000000002</v>
      </c>
      <c r="V1831" s="38">
        <v>0.65</v>
      </c>
      <c r="W1831" s="38">
        <v>0.2</v>
      </c>
      <c r="X1831" s="38">
        <v>6.9146299999999998</v>
      </c>
      <c r="Y1831" s="38">
        <f t="shared" si="232"/>
        <v>7</v>
      </c>
      <c r="Z1831" s="38">
        <v>0</v>
      </c>
      <c r="AA1831" s="117">
        <v>0</v>
      </c>
      <c r="AB1831" s="35">
        <v>16.175000000000001</v>
      </c>
      <c r="AC1831" s="38">
        <v>1.1956899999999999</v>
      </c>
      <c r="AD1831" s="39">
        <v>2.2000000000000002</v>
      </c>
      <c r="AE1831" s="38">
        <v>3.02</v>
      </c>
      <c r="AF1831" s="38">
        <f t="shared" si="236"/>
        <v>6.553323029366306E-3</v>
      </c>
      <c r="AG1831" s="38">
        <f t="shared" si="233"/>
        <v>0</v>
      </c>
      <c r="AH1831" s="38">
        <v>6.79</v>
      </c>
      <c r="AI1831" s="38">
        <f t="shared" si="237"/>
        <v>1.1993817619783615E-2</v>
      </c>
      <c r="AJ1831" s="38">
        <v>0</v>
      </c>
      <c r="AK1831" s="38">
        <f>AJ1831/(3.5*I1831*1000)*100</f>
        <v>0</v>
      </c>
      <c r="AL1831" s="38">
        <v>25.85</v>
      </c>
      <c r="AM1831" s="38">
        <v>4.5659999999999999E-2</v>
      </c>
      <c r="AN1831" s="25"/>
      <c r="AO1831" s="12">
        <f>AE1831*0.5</f>
        <v>1.51</v>
      </c>
      <c r="AP1831" s="12">
        <f>(AD1831+AH1831+AJ1831+AL1831+AO1831)*I1831</f>
        <v>587.96125000000006</v>
      </c>
      <c r="AQ1831" s="25">
        <f>SUM(N1831:Q1831)</f>
        <v>16.149999999999999</v>
      </c>
      <c r="AR1831" s="25">
        <f>SUM(T1831:W1831)</f>
        <v>16.150000000000002</v>
      </c>
      <c r="AT1831" s="41"/>
      <c r="AU1831" s="41"/>
      <c r="AV1831" s="41"/>
      <c r="AW1831" s="41"/>
    </row>
    <row r="1832" spans="1:88" s="22" customFormat="1">
      <c r="A1832" s="1">
        <v>381</v>
      </c>
      <c r="B1832" s="67" t="s">
        <v>626</v>
      </c>
      <c r="C1832" s="34">
        <v>517</v>
      </c>
      <c r="D1832" s="68">
        <v>1072</v>
      </c>
      <c r="E1832" s="69">
        <v>200</v>
      </c>
      <c r="F1832" s="88" t="s">
        <v>631</v>
      </c>
      <c r="G1832" s="6" t="s">
        <v>632</v>
      </c>
      <c r="H1832" s="6" t="s">
        <v>633</v>
      </c>
      <c r="I1832" s="7">
        <v>32.308999999999997</v>
      </c>
      <c r="J1832" s="89">
        <v>4</v>
      </c>
      <c r="K1832" s="34" t="s">
        <v>12</v>
      </c>
      <c r="L1832" s="18">
        <v>42262</v>
      </c>
      <c r="M1832" s="123" t="s">
        <v>191</v>
      </c>
      <c r="N1832" s="38">
        <v>19.329999999999998</v>
      </c>
      <c r="O1832" s="38">
        <v>9.56</v>
      </c>
      <c r="P1832" s="38">
        <v>2.67</v>
      </c>
      <c r="Q1832" s="38">
        <v>0.75</v>
      </c>
      <c r="R1832" s="38">
        <v>2.4569200000000002</v>
      </c>
      <c r="S1832" s="38">
        <f t="shared" si="231"/>
        <v>2.5</v>
      </c>
      <c r="T1832" s="38">
        <v>31.76</v>
      </c>
      <c r="U1832" s="38">
        <v>0.5</v>
      </c>
      <c r="V1832" s="38">
        <v>0.05</v>
      </c>
      <c r="W1832" s="38">
        <v>0</v>
      </c>
      <c r="X1832" s="38">
        <v>2.92835</v>
      </c>
      <c r="Y1832" s="38">
        <f t="shared" si="232"/>
        <v>3</v>
      </c>
      <c r="Z1832" s="38">
        <v>0</v>
      </c>
      <c r="AA1832" s="38">
        <v>0</v>
      </c>
      <c r="AB1832" s="38">
        <v>32.31</v>
      </c>
      <c r="AC1832" s="38">
        <v>1.2127699999999999</v>
      </c>
      <c r="AD1832" s="39">
        <v>0</v>
      </c>
      <c r="AE1832" s="38">
        <v>14.68</v>
      </c>
      <c r="AF1832" s="38">
        <f t="shared" si="236"/>
        <v>6.4908937359338193E-3</v>
      </c>
      <c r="AG1832" s="38">
        <f t="shared" si="233"/>
        <v>0</v>
      </c>
      <c r="AH1832" s="38">
        <v>77.98</v>
      </c>
      <c r="AI1832" s="38">
        <f t="shared" si="237"/>
        <v>6.8959113559689256E-2</v>
      </c>
      <c r="AJ1832" s="38">
        <v>0</v>
      </c>
      <c r="AK1832" s="38">
        <f>AJ1832/(3.5*I1832*1000)*100</f>
        <v>0</v>
      </c>
      <c r="AL1832" s="38">
        <v>0</v>
      </c>
      <c r="AM1832" s="38">
        <f>AL1832/(3.5*I1832*1000)*100</f>
        <v>0</v>
      </c>
      <c r="AQ1832" s="25">
        <f>SUM(N1832:Q1832)</f>
        <v>32.31</v>
      </c>
      <c r="AR1832" s="25">
        <f>SUM(T1832:W1832)</f>
        <v>32.31</v>
      </c>
      <c r="AS1832" s="25">
        <f>SUM(Z1832:AB1832)</f>
        <v>32.31</v>
      </c>
      <c r="AU1832" s="1">
        <f>I1832/AQ1832</f>
        <v>0.99996904982977397</v>
      </c>
      <c r="AV1832" s="1">
        <f>I1832/AR1832</f>
        <v>0.99996904982977397</v>
      </c>
      <c r="AW1832" s="1">
        <f>I1832/AS1832</f>
        <v>0.99996904982977397</v>
      </c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</row>
    <row r="1833" spans="1:88" s="22" customFormat="1">
      <c r="A1833" s="1">
        <v>799</v>
      </c>
      <c r="B1833" s="34" t="s">
        <v>1186</v>
      </c>
      <c r="C1833" s="34">
        <v>635</v>
      </c>
      <c r="D1833" s="149">
        <v>2044</v>
      </c>
      <c r="E1833" s="34">
        <v>101</v>
      </c>
      <c r="F1833" s="34" t="s">
        <v>1192</v>
      </c>
      <c r="G1833" s="58">
        <v>184</v>
      </c>
      <c r="H1833" s="58">
        <v>31800</v>
      </c>
      <c r="I1833" s="35">
        <v>31.616</v>
      </c>
      <c r="J1833" s="9">
        <v>4</v>
      </c>
      <c r="K1833" s="34" t="s">
        <v>237</v>
      </c>
      <c r="L1833" s="10">
        <v>42150</v>
      </c>
      <c r="M1833" s="37" t="s">
        <v>191</v>
      </c>
      <c r="N1833" s="38">
        <v>19.175000000000001</v>
      </c>
      <c r="O1833" s="38">
        <v>7.6000000000000005</v>
      </c>
      <c r="P1833" s="38">
        <v>3.65</v>
      </c>
      <c r="Q1833" s="38">
        <v>1.175</v>
      </c>
      <c r="R1833" s="38">
        <v>3.4830000000000001</v>
      </c>
      <c r="S1833" s="38">
        <f t="shared" si="231"/>
        <v>3.5</v>
      </c>
      <c r="T1833" s="38">
        <v>25.824999999999999</v>
      </c>
      <c r="U1833" s="38">
        <v>3.5999999999999996</v>
      </c>
      <c r="V1833" s="38">
        <v>1.45</v>
      </c>
      <c r="W1833" s="38">
        <v>0.72499999999999998</v>
      </c>
      <c r="X1833" s="38">
        <v>6.298</v>
      </c>
      <c r="Y1833" s="38">
        <f t="shared" si="232"/>
        <v>6.5</v>
      </c>
      <c r="Z1833" s="38">
        <v>0</v>
      </c>
      <c r="AA1833" s="38">
        <v>0</v>
      </c>
      <c r="AB1833" s="35">
        <v>31.616</v>
      </c>
      <c r="AC1833" s="38">
        <v>1.2098</v>
      </c>
      <c r="AD1833" s="39">
        <v>7</v>
      </c>
      <c r="AE1833" s="38">
        <v>0</v>
      </c>
      <c r="AF1833" s="38">
        <v>6.3299999999999997E-3</v>
      </c>
      <c r="AG1833" s="38">
        <f t="shared" si="233"/>
        <v>0</v>
      </c>
      <c r="AH1833" s="38">
        <v>0</v>
      </c>
      <c r="AI1833" s="38">
        <v>0</v>
      </c>
      <c r="AJ1833" s="38">
        <v>80</v>
      </c>
      <c r="AK1833" s="38">
        <v>7.2353000000000001E-2</v>
      </c>
      <c r="AL1833" s="38">
        <v>0</v>
      </c>
      <c r="AM1833" s="38">
        <v>0</v>
      </c>
      <c r="AN1833" s="25"/>
      <c r="AO1833" s="25">
        <f>AE1833*0.5</f>
        <v>0</v>
      </c>
      <c r="AP1833" s="25">
        <f>(AD1833+AH1833+AJ1833+AL1833+AO1833)*I1833</f>
        <v>2750.5920000000001</v>
      </c>
      <c r="AQ1833" s="136">
        <f>SUM(N1833:Q1833)</f>
        <v>31.6</v>
      </c>
      <c r="AR1833" s="136">
        <f>SUM(T1833:W1833)</f>
        <v>31.599999999999998</v>
      </c>
      <c r="AT1833" s="41"/>
      <c r="AU1833" s="41"/>
      <c r="AV1833" s="41"/>
      <c r="AW1833" s="41"/>
    </row>
    <row r="1834" spans="1:88" s="22" customFormat="1">
      <c r="A1834" s="1">
        <v>259</v>
      </c>
      <c r="B1834" s="34" t="s">
        <v>265</v>
      </c>
      <c r="C1834" s="34">
        <v>539</v>
      </c>
      <c r="D1834" s="34">
        <v>1148</v>
      </c>
      <c r="E1834" s="34">
        <v>101</v>
      </c>
      <c r="F1834" s="34" t="s">
        <v>281</v>
      </c>
      <c r="G1834" s="20" t="s">
        <v>92</v>
      </c>
      <c r="H1834" s="20" t="s">
        <v>282</v>
      </c>
      <c r="I1834" s="35">
        <v>65.177000000000007</v>
      </c>
      <c r="J1834" s="36">
        <v>2</v>
      </c>
      <c r="K1834" s="34" t="s">
        <v>269</v>
      </c>
      <c r="L1834" s="10">
        <v>42212</v>
      </c>
      <c r="M1834" s="37" t="s">
        <v>191</v>
      </c>
      <c r="N1834" s="38">
        <v>29.34</v>
      </c>
      <c r="O1834" s="38">
        <v>19.87</v>
      </c>
      <c r="P1834" s="38">
        <v>10.78</v>
      </c>
      <c r="Q1834" s="38">
        <v>5.19</v>
      </c>
      <c r="R1834" s="38">
        <v>2.9863900000000001</v>
      </c>
      <c r="S1834" s="38">
        <f t="shared" si="231"/>
        <v>3</v>
      </c>
      <c r="T1834" s="38">
        <v>58.18</v>
      </c>
      <c r="U1834" s="38">
        <v>5.19</v>
      </c>
      <c r="V1834" s="38">
        <v>1.1399999999999999</v>
      </c>
      <c r="W1834" s="38">
        <v>0.69</v>
      </c>
      <c r="X1834" s="38">
        <v>6.1958299999999999</v>
      </c>
      <c r="Y1834" s="38">
        <f t="shared" si="232"/>
        <v>6</v>
      </c>
      <c r="Z1834" s="38">
        <v>0.35</v>
      </c>
      <c r="AA1834" s="38">
        <v>0.35</v>
      </c>
      <c r="AB1834" s="38">
        <v>64.47</v>
      </c>
      <c r="AC1834" s="38">
        <v>1.62968</v>
      </c>
      <c r="AD1834" s="39">
        <v>0</v>
      </c>
      <c r="AE1834" s="38">
        <v>27.77</v>
      </c>
      <c r="AF1834" s="38">
        <v>6.0867220908339698E-3</v>
      </c>
      <c r="AG1834" s="38">
        <f t="shared" si="233"/>
        <v>0</v>
      </c>
      <c r="AH1834" s="38">
        <v>0</v>
      </c>
      <c r="AI1834" s="38">
        <v>0</v>
      </c>
      <c r="AJ1834" s="38">
        <v>13</v>
      </c>
      <c r="AK1834" s="38">
        <v>5.6987675319295356E-3</v>
      </c>
      <c r="AL1834" s="38">
        <v>0</v>
      </c>
      <c r="AM1834" s="38">
        <v>0</v>
      </c>
      <c r="AN1834" s="56"/>
      <c r="AO1834" s="56"/>
      <c r="AP1834" s="25">
        <f>SUM(N1834:Q1834)</f>
        <v>65.180000000000007</v>
      </c>
      <c r="AQ1834" s="25">
        <f>SUM(T1834:W1834)</f>
        <v>65.199999999999989</v>
      </c>
      <c r="AS1834" s="41"/>
      <c r="AT1834" s="41"/>
      <c r="AU1834" s="41"/>
      <c r="AV1834" s="41">
        <f>SUM(N1834:Q1834)</f>
        <v>65.180000000000007</v>
      </c>
      <c r="AW1834" s="41">
        <f>SUM(T1834:W1834)</f>
        <v>65.199999999999989</v>
      </c>
      <c r="AX1834" s="41">
        <f>SUM(Z1834:AB1834)</f>
        <v>65.17</v>
      </c>
      <c r="AZ1834" s="22">
        <f>I1834/AV1834</f>
        <v>0.99995397361153726</v>
      </c>
      <c r="BA1834" s="22">
        <f>I1834/AW1834</f>
        <v>0.99964723926380394</v>
      </c>
      <c r="BB1834" s="22">
        <f>I1834/AX1834</f>
        <v>1.000107411385607</v>
      </c>
    </row>
    <row r="1835" spans="1:88" s="22" customFormat="1">
      <c r="A1835" s="1">
        <v>873</v>
      </c>
      <c r="B1835" s="34" t="s">
        <v>1259</v>
      </c>
      <c r="C1835" s="34">
        <v>631</v>
      </c>
      <c r="D1835" s="158">
        <v>2383</v>
      </c>
      <c r="E1835" s="34">
        <v>100</v>
      </c>
      <c r="F1835" s="34" t="s">
        <v>1265</v>
      </c>
      <c r="G1835" s="58">
        <v>0</v>
      </c>
      <c r="H1835" s="58">
        <v>27723</v>
      </c>
      <c r="I1835" s="35">
        <v>27.722999999999999</v>
      </c>
      <c r="J1835" s="9">
        <v>2</v>
      </c>
      <c r="K1835" s="34" t="s">
        <v>238</v>
      </c>
      <c r="L1835" s="10">
        <v>42139</v>
      </c>
      <c r="M1835" s="37" t="s">
        <v>191</v>
      </c>
      <c r="N1835" s="38">
        <v>17.649999999999999</v>
      </c>
      <c r="O1835" s="38">
        <v>6.8250000000000002</v>
      </c>
      <c r="P1835" s="38">
        <v>2.0499999999999998</v>
      </c>
      <c r="Q1835" s="38">
        <v>1.1000000000000001</v>
      </c>
      <c r="R1835" s="38">
        <v>2.4794</v>
      </c>
      <c r="S1835" s="38">
        <f t="shared" si="231"/>
        <v>2.5</v>
      </c>
      <c r="T1835" s="38">
        <v>26.824999999999999</v>
      </c>
      <c r="U1835" s="38">
        <v>0.77500000000000002</v>
      </c>
      <c r="V1835" s="38">
        <v>2.5000000000000001E-2</v>
      </c>
      <c r="W1835" s="38">
        <v>0</v>
      </c>
      <c r="X1835" s="38">
        <v>4.8553300000000004</v>
      </c>
      <c r="Y1835" s="38">
        <f t="shared" si="232"/>
        <v>5</v>
      </c>
      <c r="Z1835" s="38">
        <v>0</v>
      </c>
      <c r="AA1835" s="38">
        <v>0</v>
      </c>
      <c r="AB1835" s="38">
        <f>N1835+O1835+P1835+Q1835</f>
        <v>27.625</v>
      </c>
      <c r="AC1835" s="38">
        <v>1.6266700000000001</v>
      </c>
      <c r="AD1835" s="39">
        <v>5.75</v>
      </c>
      <c r="AE1835" s="38">
        <v>0</v>
      </c>
      <c r="AF1835" s="38">
        <v>5.9300000000000004E-3</v>
      </c>
      <c r="AG1835" s="38">
        <f t="shared" si="233"/>
        <v>0</v>
      </c>
      <c r="AH1835" s="38">
        <v>0</v>
      </c>
      <c r="AI1835" s="38">
        <v>0</v>
      </c>
      <c r="AJ1835" s="38">
        <v>27.34</v>
      </c>
      <c r="AK1835" s="38">
        <v>2.8177000000000001E-2</v>
      </c>
      <c r="AL1835" s="38">
        <v>0</v>
      </c>
      <c r="AM1835" s="38">
        <v>0</v>
      </c>
      <c r="AN1835" s="25"/>
      <c r="AO1835" s="25">
        <f>AE1835*0.5</f>
        <v>0</v>
      </c>
      <c r="AP1835" s="25">
        <f>(AD1835+AH1835+AJ1835+AL1835+AO1835)*I1835</f>
        <v>917.35407000000009</v>
      </c>
      <c r="AQ1835" s="25"/>
      <c r="AR1835" s="25"/>
      <c r="AS1835" s="25">
        <f>SUM(N1835:Q1835)</f>
        <v>27.625</v>
      </c>
      <c r="AT1835" s="25">
        <f>SUM(T1835:W1835)</f>
        <v>27.624999999999996</v>
      </c>
      <c r="AU1835" s="25"/>
      <c r="AW1835" s="41"/>
      <c r="AX1835" s="41"/>
      <c r="AY1835" s="41"/>
      <c r="AZ1835" s="41"/>
    </row>
    <row r="1836" spans="1:88" s="22" customFormat="1">
      <c r="A1836" s="1">
        <v>1265</v>
      </c>
      <c r="B1836" s="34" t="s">
        <v>1775</v>
      </c>
      <c r="C1836" s="88">
        <v>438</v>
      </c>
      <c r="D1836" s="88">
        <v>3196</v>
      </c>
      <c r="E1836" s="88">
        <v>200</v>
      </c>
      <c r="F1836" s="88" t="s">
        <v>1798</v>
      </c>
      <c r="G1836" s="88" t="s">
        <v>1799</v>
      </c>
      <c r="H1836" s="88" t="s">
        <v>1551</v>
      </c>
      <c r="I1836" s="115">
        <v>28.4</v>
      </c>
      <c r="J1836" s="88">
        <v>2</v>
      </c>
      <c r="K1836" s="181" t="s">
        <v>238</v>
      </c>
      <c r="L1836" s="116">
        <v>42282</v>
      </c>
      <c r="M1836" s="37" t="s">
        <v>191</v>
      </c>
      <c r="N1836" s="117">
        <v>11.55</v>
      </c>
      <c r="O1836" s="117">
        <v>6</v>
      </c>
      <c r="P1836" s="117">
        <v>4.9000000000000004</v>
      </c>
      <c r="Q1836" s="117">
        <v>6</v>
      </c>
      <c r="R1836" s="117">
        <v>3.5225900000000001</v>
      </c>
      <c r="S1836" s="38">
        <f t="shared" si="231"/>
        <v>3.5</v>
      </c>
      <c r="T1836" s="117">
        <v>25.725000000000001</v>
      </c>
      <c r="U1836" s="117">
        <v>1.575</v>
      </c>
      <c r="V1836" s="117">
        <v>0.67500000000000004</v>
      </c>
      <c r="W1836" s="117">
        <v>0.47499999999999998</v>
      </c>
      <c r="X1836" s="117">
        <v>4.7084700000000002</v>
      </c>
      <c r="Y1836" s="38">
        <f t="shared" si="232"/>
        <v>4.5</v>
      </c>
      <c r="Z1836" s="117">
        <v>0</v>
      </c>
      <c r="AA1836" s="117">
        <v>0</v>
      </c>
      <c r="AB1836" s="115">
        <v>28.4</v>
      </c>
      <c r="AC1836" s="117">
        <v>1.4288700000000001</v>
      </c>
      <c r="AD1836" s="254">
        <v>2.69</v>
      </c>
      <c r="AE1836" s="117">
        <v>6.32</v>
      </c>
      <c r="AF1836" s="117">
        <f>(AD1836+AE1836*0.5)/(3.5*I1836*1000)*100</f>
        <v>5.8853118712273644E-3</v>
      </c>
      <c r="AG1836" s="38">
        <f t="shared" si="233"/>
        <v>0</v>
      </c>
      <c r="AH1836" s="117">
        <v>8.2100000000000009</v>
      </c>
      <c r="AI1836" s="117">
        <f>AH1836/(3.5*I1836*1000)*100</f>
        <v>8.2595573440643871E-3</v>
      </c>
      <c r="AJ1836" s="117">
        <v>0</v>
      </c>
      <c r="AK1836" s="117">
        <v>0</v>
      </c>
      <c r="AL1836" s="117">
        <v>0</v>
      </c>
      <c r="AM1836" s="117">
        <v>0</v>
      </c>
      <c r="AN1836" s="12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</row>
    <row r="1837" spans="1:88" s="22" customFormat="1">
      <c r="A1837" s="1">
        <v>2204</v>
      </c>
      <c r="B1837" s="34" t="s">
        <v>2827</v>
      </c>
      <c r="C1837" s="34">
        <v>314</v>
      </c>
      <c r="D1837" s="75">
        <v>4187</v>
      </c>
      <c r="E1837" s="8">
        <v>102</v>
      </c>
      <c r="F1837" s="9" t="s">
        <v>2849</v>
      </c>
      <c r="G1837" s="20">
        <v>2770</v>
      </c>
      <c r="H1837" s="20">
        <v>18277</v>
      </c>
      <c r="I1837" s="21">
        <v>15.507</v>
      </c>
      <c r="J1837" s="8">
        <v>2</v>
      </c>
      <c r="K1837" s="8" t="s">
        <v>238</v>
      </c>
      <c r="L1837" s="18">
        <v>42144</v>
      </c>
      <c r="M1837" s="37" t="s">
        <v>191</v>
      </c>
      <c r="N1837" s="38">
        <v>12.275</v>
      </c>
      <c r="O1837" s="38">
        <v>2.4</v>
      </c>
      <c r="P1837" s="38">
        <v>0.625</v>
      </c>
      <c r="Q1837" s="38">
        <v>0.15</v>
      </c>
      <c r="R1837" s="38">
        <v>2.1383000000000001</v>
      </c>
      <c r="S1837" s="38">
        <f t="shared" si="231"/>
        <v>2</v>
      </c>
      <c r="T1837" s="38">
        <v>15.375</v>
      </c>
      <c r="U1837" s="38">
        <v>2.5000000000000001E-2</v>
      </c>
      <c r="V1837" s="38">
        <v>0.05</v>
      </c>
      <c r="W1837" s="38">
        <v>0</v>
      </c>
      <c r="X1837" s="38">
        <v>2.7395200000000002</v>
      </c>
      <c r="Y1837" s="38">
        <f t="shared" si="232"/>
        <v>2.5</v>
      </c>
      <c r="Z1837" s="38">
        <v>0</v>
      </c>
      <c r="AA1837" s="38">
        <v>0</v>
      </c>
      <c r="AB1837" s="38">
        <v>15.450000000000001</v>
      </c>
      <c r="AC1837" s="38">
        <v>1.0700400000000001</v>
      </c>
      <c r="AD1837" s="39">
        <v>0</v>
      </c>
      <c r="AE1837" s="38">
        <v>6.34</v>
      </c>
      <c r="AF1837" s="38">
        <f>(AD1837+AE1837*0.5)/(3.5*I1837*1000)*100</f>
        <v>5.8406802457876168E-3</v>
      </c>
      <c r="AG1837" s="38">
        <f t="shared" si="233"/>
        <v>0</v>
      </c>
      <c r="AH1837" s="38">
        <v>0</v>
      </c>
      <c r="AI1837" s="38">
        <f>AH1837/(3.5*I1837*1000)*100</f>
        <v>0</v>
      </c>
      <c r="AJ1837" s="38">
        <v>0</v>
      </c>
      <c r="AK1837" s="38">
        <v>0</v>
      </c>
      <c r="AL1837" s="38">
        <v>0</v>
      </c>
      <c r="AM1837" s="38">
        <f>AL1837/(3.5*I1837*1000)*100</f>
        <v>0</v>
      </c>
      <c r="AN1837" s="72"/>
      <c r="AO1837" s="41"/>
      <c r="AP1837" s="41"/>
      <c r="AQ1837" s="73"/>
      <c r="AR1837" s="73"/>
      <c r="AS1837" s="73"/>
      <c r="AT1837" s="73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</row>
    <row r="1838" spans="1:88">
      <c r="A1838" s="1">
        <v>392</v>
      </c>
      <c r="B1838" s="67" t="s">
        <v>626</v>
      </c>
      <c r="C1838" s="34">
        <v>517</v>
      </c>
      <c r="D1838" s="68">
        <v>1280</v>
      </c>
      <c r="E1838" s="69">
        <v>100</v>
      </c>
      <c r="F1838" s="88" t="s">
        <v>651</v>
      </c>
      <c r="G1838" s="6" t="s">
        <v>652</v>
      </c>
      <c r="H1838" s="6" t="s">
        <v>92</v>
      </c>
      <c r="I1838" s="7">
        <v>42.469000000000001</v>
      </c>
      <c r="J1838" s="89">
        <v>2</v>
      </c>
      <c r="K1838" s="34" t="s">
        <v>12</v>
      </c>
      <c r="L1838" s="18">
        <v>42261</v>
      </c>
      <c r="M1838" s="71" t="s">
        <v>191</v>
      </c>
      <c r="N1838" s="38">
        <v>29.99</v>
      </c>
      <c r="O1838" s="38">
        <v>8.0299999999999994</v>
      </c>
      <c r="P1838" s="38">
        <v>3.1</v>
      </c>
      <c r="Q1838" s="38">
        <v>1.35</v>
      </c>
      <c r="R1838" s="38">
        <v>2.3158599999999998</v>
      </c>
      <c r="S1838" s="38">
        <f t="shared" si="231"/>
        <v>2.5</v>
      </c>
      <c r="T1838" s="38">
        <v>40.32</v>
      </c>
      <c r="U1838" s="38">
        <v>1.93</v>
      </c>
      <c r="V1838" s="38">
        <v>0.18</v>
      </c>
      <c r="W1838" s="38">
        <v>0.05</v>
      </c>
      <c r="X1838" s="38">
        <v>3.8090099999999998</v>
      </c>
      <c r="Y1838" s="38">
        <f t="shared" si="232"/>
        <v>4</v>
      </c>
      <c r="Z1838" s="38">
        <v>0</v>
      </c>
      <c r="AA1838" s="38">
        <v>0</v>
      </c>
      <c r="AB1838" s="38">
        <v>42.47</v>
      </c>
      <c r="AC1838" s="38">
        <v>1.1558200000000001</v>
      </c>
      <c r="AD1838" s="38">
        <v>0</v>
      </c>
      <c r="AE1838" s="38">
        <v>16.940000000000001</v>
      </c>
      <c r="AF1838" s="38">
        <f>(AD1838+AE1838*0.5)/(3.5*I1838*1000)*100</f>
        <v>5.6982740351786011E-3</v>
      </c>
      <c r="AG1838" s="38">
        <f t="shared" si="233"/>
        <v>0</v>
      </c>
      <c r="AH1838" s="38">
        <v>76.548000000000002</v>
      </c>
      <c r="AI1838" s="38">
        <f>AH1838/(3.5*I1838*1000)*100</f>
        <v>5.1498403877786481E-2</v>
      </c>
      <c r="AJ1838" s="38">
        <v>0</v>
      </c>
      <c r="AK1838" s="38">
        <f>AJ1838/(3.5*I1838*1000)*100</f>
        <v>0</v>
      </c>
      <c r="AL1838" s="38">
        <v>0</v>
      </c>
      <c r="AM1838" s="38">
        <f>AL1838/(3.5*I1838*1000)*100</f>
        <v>0</v>
      </c>
      <c r="AN1838" s="22"/>
      <c r="AO1838" s="22"/>
      <c r="AP1838" s="22"/>
      <c r="AQ1838" s="25">
        <f>SUM(N1838:Q1838)</f>
        <v>42.47</v>
      </c>
      <c r="AR1838" s="25">
        <f>SUM(T1838:W1838)</f>
        <v>42.48</v>
      </c>
      <c r="AS1838" s="25">
        <f>SUM(Z1838:AB1838)</f>
        <v>42.47</v>
      </c>
      <c r="AT1838" s="22"/>
      <c r="AU1838" s="1">
        <f>I1838/AQ1838</f>
        <v>0.99997645396750656</v>
      </c>
      <c r="AV1838" s="1">
        <f>I1838/AR1838</f>
        <v>0.99974105461393603</v>
      </c>
      <c r="AW1838" s="1">
        <f>I1838/AS1838</f>
        <v>0.99997645396750656</v>
      </c>
    </row>
    <row r="1839" spans="1:88">
      <c r="A1839" s="1">
        <v>1875</v>
      </c>
      <c r="B1839" s="34" t="s">
        <v>2495</v>
      </c>
      <c r="C1839" s="34">
        <v>335</v>
      </c>
      <c r="D1839" s="75">
        <v>3273</v>
      </c>
      <c r="E1839" s="8">
        <v>100</v>
      </c>
      <c r="F1839" s="9" t="s">
        <v>2509</v>
      </c>
      <c r="G1839" s="20">
        <v>0</v>
      </c>
      <c r="H1839" s="20">
        <v>16457</v>
      </c>
      <c r="I1839" s="21">
        <v>16.457000000000001</v>
      </c>
      <c r="J1839" s="34">
        <v>2</v>
      </c>
      <c r="K1839" s="34" t="s">
        <v>238</v>
      </c>
      <c r="L1839" s="18">
        <v>42093</v>
      </c>
      <c r="M1839" s="207" t="s">
        <v>191</v>
      </c>
      <c r="N1839" s="38">
        <v>8.42</v>
      </c>
      <c r="O1839" s="38">
        <v>4.5599999999999996</v>
      </c>
      <c r="P1839" s="38">
        <v>2.36</v>
      </c>
      <c r="Q1839" s="38">
        <v>1.1299999999999999</v>
      </c>
      <c r="R1839" s="38">
        <v>2.8897699999999999</v>
      </c>
      <c r="S1839" s="38">
        <f t="shared" si="231"/>
        <v>3</v>
      </c>
      <c r="T1839" s="38">
        <v>16.399999999999999</v>
      </c>
      <c r="U1839" s="38">
        <v>0.05</v>
      </c>
      <c r="V1839" s="38">
        <v>0</v>
      </c>
      <c r="W1839" s="38">
        <v>0</v>
      </c>
      <c r="X1839" s="38">
        <v>2.3640400000000001</v>
      </c>
      <c r="Y1839" s="38">
        <f t="shared" si="232"/>
        <v>2.5</v>
      </c>
      <c r="Z1839" s="38">
        <v>0</v>
      </c>
      <c r="AA1839" s="38">
        <v>0</v>
      </c>
      <c r="AB1839" s="38">
        <v>16.46</v>
      </c>
      <c r="AC1839" s="38">
        <v>1.2793000000000001</v>
      </c>
      <c r="AD1839" s="38">
        <v>3.25</v>
      </c>
      <c r="AE1839" s="38">
        <v>0</v>
      </c>
      <c r="AF1839" s="38">
        <f>(AD1839+AE1839*0.5)/(3.5*I1839*1000)*100</f>
        <v>5.6424100903653676E-3</v>
      </c>
      <c r="AG1839" s="38">
        <f t="shared" si="233"/>
        <v>0</v>
      </c>
      <c r="AH1839" s="38">
        <v>1.36</v>
      </c>
      <c r="AI1839" s="38">
        <f>AH1839/(3.5*I1839*1000)*100</f>
        <v>2.3611316070452E-3</v>
      </c>
      <c r="AJ1839" s="38">
        <v>0</v>
      </c>
      <c r="AK1839" s="38">
        <f>AJ1839/(3.5*I1839*1000)*100</f>
        <v>0</v>
      </c>
      <c r="AL1839" s="38">
        <v>0</v>
      </c>
      <c r="AM1839" s="38">
        <f>AL1839/(3.5*I1839*1000)*100</f>
        <v>0</v>
      </c>
      <c r="AN1839" s="73"/>
      <c r="AO1839" s="73"/>
      <c r="AP1839" s="73"/>
      <c r="AQ1839" s="41">
        <f>SUM(N1839:Q1839)</f>
        <v>16.47</v>
      </c>
      <c r="AR1839" s="41">
        <f>SUM(T1839:W1839)</f>
        <v>16.45</v>
      </c>
      <c r="AS1839" s="12">
        <f>SUM(Z1839:AB1839)</f>
        <v>16.46</v>
      </c>
      <c r="AU1839" s="1">
        <f>I1839/AQ1839</f>
        <v>0.99921068609593211</v>
      </c>
      <c r="AV1839" s="1">
        <f>I1839/AR1839</f>
        <v>1.0004255319148938</v>
      </c>
      <c r="AW1839" s="1">
        <f>I1839/AS1839</f>
        <v>0.99981773997569867</v>
      </c>
    </row>
    <row r="1840" spans="1:88">
      <c r="A1840" s="1">
        <v>1782</v>
      </c>
      <c r="B1840" s="34" t="s">
        <v>2382</v>
      </c>
      <c r="C1840" s="34">
        <v>428</v>
      </c>
      <c r="D1840" s="8">
        <v>331</v>
      </c>
      <c r="E1840" s="34">
        <v>101</v>
      </c>
      <c r="F1840" s="34" t="s">
        <v>2383</v>
      </c>
      <c r="G1840" s="58">
        <v>10000</v>
      </c>
      <c r="H1840" s="58">
        <v>0</v>
      </c>
      <c r="I1840" s="35">
        <v>10</v>
      </c>
      <c r="J1840" s="9">
        <v>2</v>
      </c>
      <c r="K1840" s="34" t="s">
        <v>238</v>
      </c>
      <c r="L1840" s="10">
        <v>42230</v>
      </c>
      <c r="M1840" s="9" t="s">
        <v>191</v>
      </c>
      <c r="N1840" s="38">
        <v>6.35</v>
      </c>
      <c r="O1840" s="38">
        <v>2.4</v>
      </c>
      <c r="P1840" s="38">
        <v>0.9</v>
      </c>
      <c r="Q1840" s="38">
        <v>0.375</v>
      </c>
      <c r="R1840" s="38">
        <v>2.3660000000000001</v>
      </c>
      <c r="S1840" s="38">
        <f t="shared" si="231"/>
        <v>2.5</v>
      </c>
      <c r="T1840" s="38">
        <v>9.6999999999999993</v>
      </c>
      <c r="U1840" s="38">
        <v>0.15</v>
      </c>
      <c r="V1840" s="38">
        <v>2.5000000000000001E-2</v>
      </c>
      <c r="W1840" s="38">
        <v>0.15</v>
      </c>
      <c r="X1840" s="38">
        <v>5.0759999999999996</v>
      </c>
      <c r="Y1840" s="38">
        <f t="shared" si="232"/>
        <v>5</v>
      </c>
      <c r="Z1840" s="38">
        <v>0</v>
      </c>
      <c r="AA1840" s="38">
        <v>0</v>
      </c>
      <c r="AB1840" s="38">
        <f>SUM(N1840:Q1840)</f>
        <v>10.025</v>
      </c>
      <c r="AC1840" s="38">
        <v>1.345</v>
      </c>
      <c r="AD1840" s="38">
        <v>1.97</v>
      </c>
      <c r="AE1840" s="38">
        <v>0</v>
      </c>
      <c r="AF1840" s="38">
        <f>(AD1840+AE1840*0.5)/(3.5*I1840*1000)*100</f>
        <v>5.6285714285714281E-3</v>
      </c>
      <c r="AG1840" s="38">
        <f t="shared" si="233"/>
        <v>0</v>
      </c>
      <c r="AH1840" s="38">
        <v>0</v>
      </c>
      <c r="AI1840" s="38">
        <f>AH1840/(3.5*I1840*1000)*100</f>
        <v>0</v>
      </c>
      <c r="AJ1840" s="38">
        <v>12.27</v>
      </c>
      <c r="AK1840" s="38">
        <f>AJ1840/(3.5*I1840*1000)*100</f>
        <v>3.5057142857142856E-2</v>
      </c>
      <c r="AL1840" s="38">
        <v>0</v>
      </c>
      <c r="AM1840" s="38">
        <f>AL1840/(3.5*I1840*1000)*100</f>
        <v>0</v>
      </c>
      <c r="AN1840" s="25"/>
      <c r="AO1840" s="25">
        <f t="shared" ref="AO1840:AO1846" si="239">AE1840*0.5</f>
        <v>0</v>
      </c>
      <c r="AP1840" s="25">
        <f t="shared" ref="AP1840:AP1846" si="240">(AD1840+AH1840+AJ1840+AL1840+AO1840)*I1840</f>
        <v>142.4</v>
      </c>
      <c r="AQ1840" s="25"/>
      <c r="AR1840" s="25"/>
      <c r="AS1840" s="22"/>
      <c r="AT1840" s="41"/>
      <c r="AU1840" s="41"/>
      <c r="AV1840" s="41"/>
      <c r="AW1840" s="41"/>
      <c r="AX1840" s="22"/>
      <c r="AY1840" s="22"/>
      <c r="AZ1840" s="22"/>
      <c r="BA1840" s="22"/>
      <c r="BB1840" s="22"/>
      <c r="BC1840" s="22"/>
      <c r="BD1840" s="22"/>
      <c r="BE1840" s="22"/>
      <c r="BF1840" s="22"/>
      <c r="BG1840" s="22"/>
      <c r="BH1840" s="22"/>
      <c r="BI1840" s="22"/>
      <c r="BJ1840" s="22"/>
      <c r="BK1840" s="22"/>
      <c r="BL1840" s="22"/>
      <c r="BM1840" s="22"/>
      <c r="BN1840" s="22"/>
      <c r="BO1840" s="22"/>
      <c r="BP1840" s="22"/>
      <c r="BQ1840" s="22"/>
      <c r="BR1840" s="22"/>
      <c r="BS1840" s="22"/>
      <c r="BT1840" s="22"/>
      <c r="BU1840" s="22"/>
      <c r="BV1840" s="22"/>
      <c r="BW1840" s="22"/>
      <c r="BX1840" s="22"/>
      <c r="BY1840" s="22"/>
      <c r="BZ1840" s="22"/>
      <c r="CA1840" s="22"/>
      <c r="CB1840" s="22"/>
      <c r="CC1840" s="22"/>
      <c r="CD1840" s="22"/>
      <c r="CE1840" s="22"/>
      <c r="CF1840" s="22"/>
      <c r="CG1840" s="22"/>
      <c r="CH1840" s="22"/>
      <c r="CI1840" s="22"/>
      <c r="CJ1840" s="22"/>
    </row>
    <row r="1841" spans="1:88">
      <c r="A1841" s="1">
        <v>871</v>
      </c>
      <c r="B1841" s="34" t="s">
        <v>1259</v>
      </c>
      <c r="C1841" s="34">
        <v>631</v>
      </c>
      <c r="D1841" s="8">
        <v>2049</v>
      </c>
      <c r="E1841" s="34">
        <v>100</v>
      </c>
      <c r="F1841" s="34" t="s">
        <v>1263</v>
      </c>
      <c r="G1841" s="58">
        <v>24500</v>
      </c>
      <c r="H1841" s="58">
        <v>0</v>
      </c>
      <c r="I1841" s="35">
        <v>24.5</v>
      </c>
      <c r="J1841" s="9">
        <v>2</v>
      </c>
      <c r="K1841" s="34" t="s">
        <v>12</v>
      </c>
      <c r="L1841" s="10">
        <v>42139</v>
      </c>
      <c r="M1841" s="9" t="s">
        <v>191</v>
      </c>
      <c r="N1841" s="38">
        <v>19.175000000000001</v>
      </c>
      <c r="O1841" s="38">
        <v>4.45</v>
      </c>
      <c r="P1841" s="38">
        <v>0.75</v>
      </c>
      <c r="Q1841" s="38">
        <v>0.15</v>
      </c>
      <c r="R1841" s="38">
        <v>2.0385</v>
      </c>
      <c r="S1841" s="38">
        <f t="shared" si="231"/>
        <v>2</v>
      </c>
      <c r="T1841" s="38">
        <v>24.3</v>
      </c>
      <c r="U1841" s="38">
        <v>0.22500000000000001</v>
      </c>
      <c r="V1841" s="38">
        <v>0</v>
      </c>
      <c r="W1841" s="38">
        <v>0</v>
      </c>
      <c r="X1841" s="38">
        <v>4.6641700000000004</v>
      </c>
      <c r="Y1841" s="38">
        <f t="shared" si="232"/>
        <v>4.5</v>
      </c>
      <c r="Z1841" s="38">
        <v>0</v>
      </c>
      <c r="AA1841" s="38">
        <v>0</v>
      </c>
      <c r="AB1841" s="38">
        <f>N1841+O1841+P1841+Q1841</f>
        <v>24.524999999999999</v>
      </c>
      <c r="AC1841" s="38">
        <v>1.34754</v>
      </c>
      <c r="AD1841" s="38">
        <v>0</v>
      </c>
      <c r="AE1841" s="38">
        <v>9.48</v>
      </c>
      <c r="AF1841" s="38">
        <v>5.5300000000000002E-3</v>
      </c>
      <c r="AG1841" s="38">
        <f t="shared" si="233"/>
        <v>0</v>
      </c>
      <c r="AH1841" s="38">
        <v>0</v>
      </c>
      <c r="AI1841" s="38">
        <v>0</v>
      </c>
      <c r="AJ1841" s="38">
        <v>0</v>
      </c>
      <c r="AK1841" s="38">
        <v>0</v>
      </c>
      <c r="AL1841" s="38">
        <v>0</v>
      </c>
      <c r="AM1841" s="38">
        <v>0</v>
      </c>
      <c r="AN1841" s="25"/>
      <c r="AO1841" s="25">
        <f t="shared" si="239"/>
        <v>4.74</v>
      </c>
      <c r="AP1841" s="25">
        <f t="shared" si="240"/>
        <v>116.13000000000001</v>
      </c>
      <c r="AQ1841" s="25"/>
      <c r="AR1841" s="25"/>
      <c r="AS1841" s="25">
        <f>SUM(N1841:Q1841)</f>
        <v>24.524999999999999</v>
      </c>
      <c r="AT1841" s="25">
        <f>SUM(T1841:W1841)</f>
        <v>24.525000000000002</v>
      </c>
      <c r="AU1841" s="25"/>
      <c r="AV1841" s="22"/>
      <c r="AW1841" s="41"/>
      <c r="AX1841" s="41"/>
      <c r="AY1841" s="41"/>
      <c r="AZ1841" s="41"/>
      <c r="BA1841" s="22"/>
      <c r="BB1841" s="22"/>
      <c r="BC1841" s="22"/>
      <c r="BD1841" s="22"/>
      <c r="BE1841" s="22"/>
      <c r="BF1841" s="22"/>
      <c r="BG1841" s="22"/>
      <c r="BH1841" s="22"/>
      <c r="BI1841" s="22"/>
      <c r="BJ1841" s="22"/>
      <c r="BK1841" s="22"/>
      <c r="BL1841" s="22"/>
      <c r="BM1841" s="22"/>
      <c r="BN1841" s="22"/>
      <c r="BO1841" s="22"/>
      <c r="BP1841" s="22"/>
      <c r="BQ1841" s="22"/>
      <c r="BR1841" s="22"/>
      <c r="BS1841" s="22"/>
      <c r="BT1841" s="22"/>
      <c r="BU1841" s="22"/>
      <c r="BV1841" s="22"/>
      <c r="BW1841" s="22"/>
      <c r="BX1841" s="22"/>
      <c r="BY1841" s="22"/>
      <c r="BZ1841" s="22"/>
      <c r="CA1841" s="22"/>
      <c r="CB1841" s="22"/>
      <c r="CC1841" s="22"/>
      <c r="CD1841" s="22"/>
      <c r="CE1841" s="22"/>
      <c r="CF1841" s="22"/>
      <c r="CG1841" s="22"/>
      <c r="CH1841" s="22"/>
      <c r="CI1841" s="22"/>
      <c r="CJ1841" s="22"/>
    </row>
    <row r="1842" spans="1:88">
      <c r="A1842" s="1">
        <v>706</v>
      </c>
      <c r="B1842" s="34" t="s">
        <v>1106</v>
      </c>
      <c r="C1842" s="34">
        <v>626</v>
      </c>
      <c r="D1842" s="34">
        <v>2069</v>
      </c>
      <c r="E1842" s="34">
        <v>100</v>
      </c>
      <c r="F1842" s="34" t="s">
        <v>1115</v>
      </c>
      <c r="G1842" s="58">
        <v>2542</v>
      </c>
      <c r="H1842" s="58">
        <v>17734</v>
      </c>
      <c r="I1842" s="35">
        <v>15.192</v>
      </c>
      <c r="J1842" s="127">
        <v>2</v>
      </c>
      <c r="K1842" s="34" t="s">
        <v>238</v>
      </c>
      <c r="L1842" s="10">
        <v>42174</v>
      </c>
      <c r="M1842" s="9" t="s">
        <v>191</v>
      </c>
      <c r="N1842" s="38">
        <v>6.5</v>
      </c>
      <c r="O1842" s="38">
        <v>5.625</v>
      </c>
      <c r="P1842" s="38">
        <v>2.375</v>
      </c>
      <c r="Q1842" s="38">
        <v>0.625</v>
      </c>
      <c r="R1842" s="38">
        <v>2.8610600000000002</v>
      </c>
      <c r="S1842" s="38">
        <f t="shared" si="231"/>
        <v>3</v>
      </c>
      <c r="T1842" s="38">
        <v>15.05</v>
      </c>
      <c r="U1842" s="38">
        <v>0.05</v>
      </c>
      <c r="V1842" s="38">
        <v>2.5000000000000001E-2</v>
      </c>
      <c r="W1842" s="38">
        <v>0</v>
      </c>
      <c r="X1842" s="38">
        <v>2.4710700000000001</v>
      </c>
      <c r="Y1842" s="38">
        <f t="shared" si="232"/>
        <v>2.5</v>
      </c>
      <c r="Z1842" s="38">
        <v>0</v>
      </c>
      <c r="AA1842" s="38">
        <v>0</v>
      </c>
      <c r="AB1842" s="38">
        <f>N1842+O1842+P1842+Q1842</f>
        <v>15.125</v>
      </c>
      <c r="AC1842" s="38">
        <v>1.40076</v>
      </c>
      <c r="AD1842" s="38">
        <v>2.13</v>
      </c>
      <c r="AE1842" s="38">
        <v>1.56</v>
      </c>
      <c r="AF1842" s="38">
        <f t="shared" ref="AF1842:AF1849" si="241">(AD1842+AE1842*0.5)/(3.5*I1842*1000)*100</f>
        <v>5.472805235838412E-3</v>
      </c>
      <c r="AG1842" s="38">
        <f t="shared" si="233"/>
        <v>0</v>
      </c>
      <c r="AH1842" s="38">
        <v>0</v>
      </c>
      <c r="AI1842" s="38">
        <f t="shared" ref="AI1842:AI1849" si="242">AH1842/(3.5*I1842*1000)*100</f>
        <v>0</v>
      </c>
      <c r="AJ1842" s="38">
        <v>0</v>
      </c>
      <c r="AK1842" s="38">
        <f t="shared" ref="AK1842:AK1849" si="243">AJ1842/(3.5*I1842*1000)*100</f>
        <v>0</v>
      </c>
      <c r="AL1842" s="38">
        <v>0</v>
      </c>
      <c r="AM1842" s="38">
        <f t="shared" ref="AM1842:AM1849" si="244">AL1842/(3.5*I1842*1000)*100</f>
        <v>0</v>
      </c>
      <c r="AN1842" s="25"/>
      <c r="AO1842" s="25">
        <f t="shared" si="239"/>
        <v>0.78</v>
      </c>
      <c r="AP1842" s="25">
        <f t="shared" si="240"/>
        <v>44.20872</v>
      </c>
      <c r="AQ1842" s="25">
        <f>SUM(N1842:Q1842)</f>
        <v>15.125</v>
      </c>
      <c r="AR1842" s="25">
        <f>SUM(T1842:W1842)</f>
        <v>15.125000000000002</v>
      </c>
      <c r="AS1842" s="268">
        <v>15.192</v>
      </c>
      <c r="AT1842" s="41"/>
      <c r="AU1842" s="41"/>
      <c r="AV1842" s="41"/>
      <c r="AW1842" s="41"/>
      <c r="AX1842" s="22"/>
      <c r="AY1842" s="22"/>
      <c r="AZ1842" s="22"/>
      <c r="BA1842" s="22"/>
      <c r="BB1842" s="22"/>
      <c r="BC1842" s="22"/>
      <c r="BD1842" s="22"/>
      <c r="BE1842" s="22"/>
      <c r="BF1842" s="22"/>
      <c r="BG1842" s="22"/>
      <c r="BH1842" s="22"/>
      <c r="BI1842" s="22"/>
      <c r="BJ1842" s="22"/>
      <c r="BK1842" s="22"/>
      <c r="BL1842" s="22"/>
      <c r="BM1842" s="22"/>
      <c r="BN1842" s="22"/>
      <c r="BO1842" s="22"/>
      <c r="BP1842" s="22"/>
      <c r="BQ1842" s="22"/>
      <c r="BR1842" s="22"/>
      <c r="BS1842" s="22"/>
      <c r="BT1842" s="22"/>
      <c r="BU1842" s="22"/>
      <c r="BV1842" s="22"/>
      <c r="BW1842" s="22"/>
      <c r="BX1842" s="22"/>
      <c r="BY1842" s="22"/>
      <c r="BZ1842" s="22"/>
      <c r="CA1842" s="22"/>
      <c r="CB1842" s="22"/>
      <c r="CC1842" s="22"/>
      <c r="CD1842" s="22"/>
      <c r="CE1842" s="22"/>
      <c r="CF1842" s="22"/>
      <c r="CG1842" s="22"/>
      <c r="CH1842" s="22"/>
      <c r="CI1842" s="22"/>
      <c r="CJ1842" s="22"/>
    </row>
    <row r="1843" spans="1:88">
      <c r="A1843" s="1">
        <v>754</v>
      </c>
      <c r="B1843" s="34" t="s">
        <v>1106</v>
      </c>
      <c r="C1843" s="34">
        <v>626</v>
      </c>
      <c r="D1843" s="34">
        <v>2069</v>
      </c>
      <c r="E1843" s="34">
        <v>100</v>
      </c>
      <c r="F1843" s="34" t="s">
        <v>1115</v>
      </c>
      <c r="G1843" s="58">
        <v>2542</v>
      </c>
      <c r="H1843" s="58">
        <v>17734</v>
      </c>
      <c r="I1843" s="35">
        <v>15.192</v>
      </c>
      <c r="J1843" s="127">
        <v>2</v>
      </c>
      <c r="K1843" s="34" t="s">
        <v>238</v>
      </c>
      <c r="L1843" s="10">
        <v>42174</v>
      </c>
      <c r="M1843" s="9" t="s">
        <v>191</v>
      </c>
      <c r="N1843" s="38">
        <v>6.5</v>
      </c>
      <c r="O1843" s="38">
        <v>5.625</v>
      </c>
      <c r="P1843" s="38">
        <v>2.375</v>
      </c>
      <c r="Q1843" s="38">
        <v>0.625</v>
      </c>
      <c r="R1843" s="38">
        <v>2.8610600000000002</v>
      </c>
      <c r="S1843" s="38">
        <f t="shared" si="231"/>
        <v>3</v>
      </c>
      <c r="T1843" s="38">
        <v>15.05</v>
      </c>
      <c r="U1843" s="38">
        <v>0.05</v>
      </c>
      <c r="V1843" s="38">
        <v>2.5000000000000001E-2</v>
      </c>
      <c r="W1843" s="38">
        <v>0</v>
      </c>
      <c r="X1843" s="38">
        <v>2.4710700000000001</v>
      </c>
      <c r="Y1843" s="38">
        <f t="shared" si="232"/>
        <v>2.5</v>
      </c>
      <c r="Z1843" s="38">
        <v>0</v>
      </c>
      <c r="AA1843" s="38">
        <v>0</v>
      </c>
      <c r="AB1843" s="38">
        <f>N1843+O1843+P1843+Q1843</f>
        <v>15.125</v>
      </c>
      <c r="AC1843" s="38">
        <v>1.40076</v>
      </c>
      <c r="AD1843" s="38">
        <v>2.13</v>
      </c>
      <c r="AE1843" s="38">
        <v>1.56</v>
      </c>
      <c r="AF1843" s="38">
        <f t="shared" si="241"/>
        <v>5.472805235838412E-3</v>
      </c>
      <c r="AG1843" s="38">
        <f t="shared" si="233"/>
        <v>0</v>
      </c>
      <c r="AH1843" s="38">
        <v>0</v>
      </c>
      <c r="AI1843" s="38">
        <f t="shared" si="242"/>
        <v>0</v>
      </c>
      <c r="AJ1843" s="38">
        <v>0</v>
      </c>
      <c r="AK1843" s="38">
        <f t="shared" si="243"/>
        <v>0</v>
      </c>
      <c r="AL1843" s="38">
        <v>0</v>
      </c>
      <c r="AM1843" s="38">
        <f t="shared" si="244"/>
        <v>0</v>
      </c>
      <c r="AN1843" s="25"/>
      <c r="AO1843" s="25">
        <f t="shared" si="239"/>
        <v>0.78</v>
      </c>
      <c r="AP1843" s="25">
        <f t="shared" si="240"/>
        <v>44.20872</v>
      </c>
      <c r="AQ1843" s="25">
        <f>SUM(N1843:Q1843)</f>
        <v>15.125</v>
      </c>
      <c r="AR1843" s="25">
        <f>SUM(T1843:W1843)</f>
        <v>15.125000000000002</v>
      </c>
      <c r="AS1843" s="268">
        <v>15.192</v>
      </c>
      <c r="AT1843" s="41"/>
      <c r="AU1843" s="41"/>
      <c r="AV1843" s="41"/>
      <c r="AW1843" s="41"/>
      <c r="AX1843" s="22"/>
      <c r="AY1843" s="22"/>
      <c r="AZ1843" s="22"/>
      <c r="BA1843" s="22"/>
      <c r="BB1843" s="22"/>
      <c r="BC1843" s="22"/>
      <c r="BD1843" s="22"/>
      <c r="BE1843" s="22"/>
      <c r="BF1843" s="22"/>
      <c r="BG1843" s="22"/>
      <c r="BH1843" s="22"/>
      <c r="BI1843" s="22"/>
      <c r="BJ1843" s="22"/>
      <c r="BK1843" s="22"/>
      <c r="BL1843" s="22"/>
      <c r="BM1843" s="22"/>
      <c r="BN1843" s="22"/>
      <c r="BO1843" s="22"/>
      <c r="BP1843" s="22"/>
      <c r="BQ1843" s="22"/>
      <c r="BR1843" s="22"/>
      <c r="BS1843" s="22"/>
      <c r="BT1843" s="22"/>
      <c r="BU1843" s="22"/>
      <c r="BV1843" s="22"/>
      <c r="BW1843" s="22"/>
      <c r="BX1843" s="22"/>
      <c r="BY1843" s="22"/>
      <c r="BZ1843" s="22"/>
      <c r="CA1843" s="22"/>
      <c r="CB1843" s="22"/>
      <c r="CC1843" s="22"/>
      <c r="CD1843" s="22"/>
      <c r="CE1843" s="22"/>
      <c r="CF1843" s="22"/>
      <c r="CG1843" s="22"/>
      <c r="CH1843" s="22"/>
      <c r="CI1843" s="22"/>
      <c r="CJ1843" s="22"/>
    </row>
    <row r="1844" spans="1:88" s="22" customFormat="1">
      <c r="A1844" s="1">
        <v>1784</v>
      </c>
      <c r="B1844" s="34" t="s">
        <v>2382</v>
      </c>
      <c r="C1844" s="34">
        <v>428</v>
      </c>
      <c r="D1844" s="8">
        <v>331</v>
      </c>
      <c r="E1844" s="34">
        <v>102</v>
      </c>
      <c r="F1844" s="34" t="s">
        <v>2384</v>
      </c>
      <c r="G1844" s="58" t="s">
        <v>279</v>
      </c>
      <c r="H1844" s="58" t="s">
        <v>2385</v>
      </c>
      <c r="I1844" s="35">
        <v>37</v>
      </c>
      <c r="J1844" s="9">
        <v>4</v>
      </c>
      <c r="K1844" s="34" t="s">
        <v>237</v>
      </c>
      <c r="L1844" s="10">
        <v>42230</v>
      </c>
      <c r="M1844" s="9" t="s">
        <v>191</v>
      </c>
      <c r="N1844" s="38">
        <v>28.95</v>
      </c>
      <c r="O1844" s="38">
        <v>5.125</v>
      </c>
      <c r="P1844" s="38">
        <v>1.9</v>
      </c>
      <c r="Q1844" s="38">
        <v>0.95</v>
      </c>
      <c r="R1844" s="38">
        <v>2.3860000000000001</v>
      </c>
      <c r="S1844" s="38">
        <f t="shared" si="231"/>
        <v>2.5</v>
      </c>
      <c r="T1844" s="38">
        <v>32.774999999999999</v>
      </c>
      <c r="U1844" s="38">
        <v>3.6749999999999998</v>
      </c>
      <c r="V1844" s="38">
        <v>0.45</v>
      </c>
      <c r="W1844" s="38">
        <v>2.5000000000000001E-2</v>
      </c>
      <c r="X1844" s="38">
        <v>6.1980000000000004</v>
      </c>
      <c r="Y1844" s="38">
        <f t="shared" si="232"/>
        <v>6</v>
      </c>
      <c r="Z1844" s="38">
        <v>0</v>
      </c>
      <c r="AA1844" s="38">
        <v>0</v>
      </c>
      <c r="AB1844" s="38">
        <f>SUM(N1844:Q1844)</f>
        <v>36.925000000000004</v>
      </c>
      <c r="AC1844" s="38">
        <v>1.407</v>
      </c>
      <c r="AD1844" s="38">
        <v>7</v>
      </c>
      <c r="AE1844" s="38">
        <v>0</v>
      </c>
      <c r="AF1844" s="38">
        <f t="shared" si="241"/>
        <v>5.4054054054054057E-3</v>
      </c>
      <c r="AG1844" s="38">
        <f t="shared" si="233"/>
        <v>0</v>
      </c>
      <c r="AH1844" s="38">
        <v>0</v>
      </c>
      <c r="AI1844" s="38">
        <f t="shared" si="242"/>
        <v>0</v>
      </c>
      <c r="AJ1844" s="38">
        <v>20.68</v>
      </c>
      <c r="AK1844" s="38">
        <f t="shared" si="243"/>
        <v>1.5969111969111969E-2</v>
      </c>
      <c r="AL1844" s="38">
        <v>0</v>
      </c>
      <c r="AM1844" s="38">
        <f t="shared" si="244"/>
        <v>0</v>
      </c>
      <c r="AN1844" s="25"/>
      <c r="AO1844" s="25">
        <f t="shared" si="239"/>
        <v>0</v>
      </c>
      <c r="AP1844" s="25">
        <f t="shared" si="240"/>
        <v>1024.1600000000001</v>
      </c>
      <c r="AQ1844" s="25"/>
      <c r="AR1844" s="25"/>
      <c r="AT1844" s="41"/>
      <c r="AU1844" s="41"/>
      <c r="AV1844" s="41"/>
      <c r="AW1844" s="41"/>
    </row>
    <row r="1845" spans="1:88" s="22" customFormat="1">
      <c r="A1845" s="1">
        <v>1790</v>
      </c>
      <c r="B1845" s="34" t="s">
        <v>2382</v>
      </c>
      <c r="C1845" s="34">
        <v>428</v>
      </c>
      <c r="D1845" s="8">
        <v>3126</v>
      </c>
      <c r="E1845" s="34">
        <v>100</v>
      </c>
      <c r="F1845" s="34" t="s">
        <v>2391</v>
      </c>
      <c r="G1845" s="58">
        <v>0</v>
      </c>
      <c r="H1845" s="58">
        <v>11163</v>
      </c>
      <c r="I1845" s="35">
        <v>11.163</v>
      </c>
      <c r="J1845" s="9">
        <v>2</v>
      </c>
      <c r="K1845" s="34" t="s">
        <v>238</v>
      </c>
      <c r="L1845" s="10">
        <v>42230</v>
      </c>
      <c r="M1845" s="9" t="s">
        <v>191</v>
      </c>
      <c r="N1845" s="38">
        <v>6.65</v>
      </c>
      <c r="O1845" s="38">
        <v>3.75</v>
      </c>
      <c r="P1845" s="38">
        <v>0.625</v>
      </c>
      <c r="Q1845" s="38">
        <v>0.17499999999999999</v>
      </c>
      <c r="R1845" s="38">
        <v>2.4752100000000001</v>
      </c>
      <c r="S1845" s="38">
        <f t="shared" si="231"/>
        <v>2.5</v>
      </c>
      <c r="T1845" s="38">
        <v>9.9250000000000007</v>
      </c>
      <c r="U1845" s="38">
        <v>1.2749999999999999</v>
      </c>
      <c r="V1845" s="38">
        <v>0</v>
      </c>
      <c r="W1845" s="38">
        <v>0</v>
      </c>
      <c r="X1845" s="38">
        <v>6.7085800000000004</v>
      </c>
      <c r="Y1845" s="38">
        <f t="shared" si="232"/>
        <v>6.5</v>
      </c>
      <c r="Z1845" s="38">
        <v>0</v>
      </c>
      <c r="AA1845" s="38">
        <v>0</v>
      </c>
      <c r="AB1845" s="38">
        <f>SUM(N1845:Q1845)</f>
        <v>11.200000000000001</v>
      </c>
      <c r="AC1845" s="38">
        <v>1.31562</v>
      </c>
      <c r="AD1845" s="38">
        <v>2.1</v>
      </c>
      <c r="AE1845" s="38">
        <v>0</v>
      </c>
      <c r="AF1845" s="38">
        <f t="shared" si="241"/>
        <v>5.3748992206396132E-3</v>
      </c>
      <c r="AG1845" s="38">
        <f t="shared" si="233"/>
        <v>0</v>
      </c>
      <c r="AH1845" s="38">
        <v>0</v>
      </c>
      <c r="AI1845" s="38">
        <f t="shared" si="242"/>
        <v>0</v>
      </c>
      <c r="AJ1845" s="38">
        <v>0</v>
      </c>
      <c r="AK1845" s="38">
        <f t="shared" si="243"/>
        <v>0</v>
      </c>
      <c r="AL1845" s="38">
        <v>0</v>
      </c>
      <c r="AM1845" s="38">
        <f t="shared" si="244"/>
        <v>0</v>
      </c>
      <c r="AN1845" s="25"/>
      <c r="AO1845" s="25">
        <f t="shared" si="239"/>
        <v>0</v>
      </c>
      <c r="AP1845" s="25">
        <f t="shared" si="240"/>
        <v>23.442300000000003</v>
      </c>
      <c r="AQ1845" s="25">
        <f>SUM(N1845:Q1845)</f>
        <v>11.200000000000001</v>
      </c>
      <c r="AR1845" s="25">
        <f>SUM(T1845:W1845)</f>
        <v>11.200000000000001</v>
      </c>
      <c r="AT1845" s="41"/>
      <c r="AU1845" s="41"/>
      <c r="AV1845" s="41"/>
      <c r="AW1845" s="41"/>
    </row>
    <row r="1846" spans="1:88">
      <c r="A1846" s="1">
        <v>1673</v>
      </c>
      <c r="B1846" s="34" t="s">
        <v>2272</v>
      </c>
      <c r="C1846" s="34">
        <v>419</v>
      </c>
      <c r="D1846" s="69">
        <v>338</v>
      </c>
      <c r="E1846" s="34">
        <v>102</v>
      </c>
      <c r="F1846" s="34" t="s">
        <v>2277</v>
      </c>
      <c r="G1846" s="58" t="s">
        <v>2278</v>
      </c>
      <c r="H1846" s="58" t="s">
        <v>92</v>
      </c>
      <c r="I1846" s="35">
        <v>8.9440000000000008</v>
      </c>
      <c r="J1846" s="34">
        <v>4</v>
      </c>
      <c r="K1846" s="34" t="s">
        <v>96</v>
      </c>
      <c r="L1846" s="10">
        <v>42243</v>
      </c>
      <c r="M1846" s="9" t="s">
        <v>191</v>
      </c>
      <c r="N1846" s="55">
        <v>5.0750000000000002</v>
      </c>
      <c r="O1846" s="55">
        <v>3.3250000000000002</v>
      </c>
      <c r="P1846" s="55">
        <v>0.5</v>
      </c>
      <c r="Q1846" s="55">
        <v>2.5000000000000001E-2</v>
      </c>
      <c r="R1846" s="55">
        <v>2.5019</v>
      </c>
      <c r="S1846" s="38">
        <f t="shared" si="231"/>
        <v>2.5</v>
      </c>
      <c r="T1846" s="38">
        <v>8.9250000000000007</v>
      </c>
      <c r="U1846" s="38">
        <v>0</v>
      </c>
      <c r="V1846" s="38">
        <v>0</v>
      </c>
      <c r="W1846" s="38">
        <v>0</v>
      </c>
      <c r="X1846" s="38">
        <v>4.2478499999999997</v>
      </c>
      <c r="Y1846" s="38">
        <f t="shared" si="232"/>
        <v>4</v>
      </c>
      <c r="Z1846" s="38">
        <v>0</v>
      </c>
      <c r="AA1846" s="38">
        <v>0</v>
      </c>
      <c r="AB1846" s="38">
        <f>SUM(N1846:Q1846)</f>
        <v>8.9250000000000007</v>
      </c>
      <c r="AC1846" s="38">
        <v>1.3442099999999999</v>
      </c>
      <c r="AD1846" s="38">
        <v>0</v>
      </c>
      <c r="AE1846" s="38">
        <v>3.36</v>
      </c>
      <c r="AF1846" s="38">
        <f t="shared" si="241"/>
        <v>5.3667262969588538E-3</v>
      </c>
      <c r="AG1846" s="38">
        <f t="shared" si="233"/>
        <v>0</v>
      </c>
      <c r="AH1846" s="38">
        <v>0</v>
      </c>
      <c r="AI1846" s="38">
        <f t="shared" si="242"/>
        <v>0</v>
      </c>
      <c r="AJ1846" s="38">
        <v>0</v>
      </c>
      <c r="AK1846" s="38">
        <f t="shared" si="243"/>
        <v>0</v>
      </c>
      <c r="AL1846" s="38">
        <v>0</v>
      </c>
      <c r="AM1846" s="38">
        <f t="shared" si="244"/>
        <v>0</v>
      </c>
      <c r="AN1846" s="25"/>
      <c r="AO1846" s="25">
        <f t="shared" si="239"/>
        <v>1.68</v>
      </c>
      <c r="AP1846" s="25">
        <f t="shared" si="240"/>
        <v>15.025920000000001</v>
      </c>
      <c r="AQ1846" s="25">
        <f>(AD1846+AH1846+AJ1846+AL1846)*I1846</f>
        <v>0</v>
      </c>
      <c r="AR1846" s="25">
        <f>SUM(N1846:Q1846)</f>
        <v>8.9250000000000007</v>
      </c>
      <c r="AS1846" s="25">
        <f>SUM(T1846:W1846)</f>
        <v>8.9250000000000007</v>
      </c>
      <c r="AT1846" s="22"/>
      <c r="AU1846" s="41"/>
      <c r="AV1846" s="41"/>
      <c r="AW1846" s="41"/>
      <c r="AX1846" s="41"/>
      <c r="AY1846" s="22"/>
      <c r="AZ1846" s="22"/>
      <c r="BA1846" s="22"/>
      <c r="BB1846" s="22"/>
      <c r="BC1846" s="22"/>
      <c r="BD1846" s="22"/>
      <c r="BE1846" s="22"/>
      <c r="BF1846" s="22"/>
      <c r="BG1846" s="22"/>
      <c r="BH1846" s="22"/>
      <c r="BI1846" s="22"/>
      <c r="BJ1846" s="22"/>
      <c r="BK1846" s="22"/>
      <c r="BL1846" s="22"/>
      <c r="BM1846" s="22"/>
      <c r="BN1846" s="22"/>
      <c r="BO1846" s="22"/>
      <c r="BP1846" s="22"/>
      <c r="BQ1846" s="22"/>
      <c r="BR1846" s="22"/>
      <c r="BS1846" s="22"/>
      <c r="BT1846" s="22"/>
      <c r="BU1846" s="22"/>
      <c r="BV1846" s="22"/>
      <c r="BW1846" s="22"/>
      <c r="BX1846" s="22"/>
      <c r="BY1846" s="22"/>
      <c r="BZ1846" s="22"/>
      <c r="CA1846" s="22"/>
      <c r="CB1846" s="22"/>
      <c r="CC1846" s="22"/>
      <c r="CD1846" s="22"/>
      <c r="CE1846" s="22"/>
      <c r="CF1846" s="22"/>
      <c r="CG1846" s="22"/>
      <c r="CH1846" s="22"/>
      <c r="CI1846" s="22"/>
      <c r="CJ1846" s="22"/>
    </row>
    <row r="1847" spans="1:88">
      <c r="A1847" s="1">
        <v>2177</v>
      </c>
      <c r="B1847" s="34" t="s">
        <v>2798</v>
      </c>
      <c r="C1847" s="34">
        <v>311</v>
      </c>
      <c r="D1847" s="75">
        <v>414</v>
      </c>
      <c r="E1847" s="8">
        <v>102</v>
      </c>
      <c r="F1847" s="9" t="s">
        <v>2807</v>
      </c>
      <c r="G1847" s="20" t="s">
        <v>2817</v>
      </c>
      <c r="H1847" s="20" t="s">
        <v>2808</v>
      </c>
      <c r="I1847" s="21">
        <v>14.8</v>
      </c>
      <c r="J1847" s="8">
        <v>8</v>
      </c>
      <c r="K1847" s="8" t="s">
        <v>12</v>
      </c>
      <c r="L1847" s="18">
        <v>42147</v>
      </c>
      <c r="M1847" s="9" t="s">
        <v>191</v>
      </c>
      <c r="N1847" s="38">
        <v>9.9</v>
      </c>
      <c r="O1847" s="38">
        <v>2.7749999999999999</v>
      </c>
      <c r="P1847" s="38">
        <v>1.2250000000000001</v>
      </c>
      <c r="Q1847" s="38">
        <v>0.85</v>
      </c>
      <c r="R1847" s="38">
        <v>2.4414400000000001</v>
      </c>
      <c r="S1847" s="38">
        <f t="shared" si="231"/>
        <v>2.5</v>
      </c>
      <c r="T1847" s="38">
        <v>12.9</v>
      </c>
      <c r="U1847" s="38">
        <v>1.2</v>
      </c>
      <c r="V1847" s="38">
        <v>0.6</v>
      </c>
      <c r="W1847" s="38">
        <v>0.05</v>
      </c>
      <c r="X1847" s="38">
        <v>4.9766899999999996</v>
      </c>
      <c r="Y1847" s="38">
        <f t="shared" si="232"/>
        <v>5</v>
      </c>
      <c r="Z1847" s="38">
        <v>0</v>
      </c>
      <c r="AA1847" s="38">
        <v>0</v>
      </c>
      <c r="AB1847" s="38">
        <v>14.75</v>
      </c>
      <c r="AC1847" s="38">
        <v>1.1441399999999999</v>
      </c>
      <c r="AD1847" s="38">
        <v>0.7</v>
      </c>
      <c r="AE1847" s="38">
        <v>4.0999999999999996</v>
      </c>
      <c r="AF1847" s="38">
        <f t="shared" si="241"/>
        <v>5.3088803088803087E-3</v>
      </c>
      <c r="AG1847" s="38">
        <f t="shared" si="233"/>
        <v>0</v>
      </c>
      <c r="AH1847" s="38">
        <v>0.21</v>
      </c>
      <c r="AI1847" s="38">
        <f t="shared" si="242"/>
        <v>4.0540540540540538E-4</v>
      </c>
      <c r="AJ1847" s="38">
        <v>0</v>
      </c>
      <c r="AK1847" s="38">
        <f t="shared" si="243"/>
        <v>0</v>
      </c>
      <c r="AL1847" s="38">
        <v>0</v>
      </c>
      <c r="AM1847" s="38">
        <f t="shared" si="244"/>
        <v>0</v>
      </c>
      <c r="AN1847" s="72"/>
      <c r="AO1847" s="41"/>
      <c r="AP1847" s="41"/>
      <c r="AQ1847" s="41">
        <f>SUM(N1847:Q1847)</f>
        <v>14.75</v>
      </c>
      <c r="AR1847" s="41">
        <f>SUM(T1847:W1847)</f>
        <v>14.75</v>
      </c>
      <c r="AS1847" s="12">
        <f>SUM(Z1847:AB1847)</f>
        <v>14.75</v>
      </c>
      <c r="AU1847" s="1">
        <f>I1847/AQ1847</f>
        <v>1.0033898305084745</v>
      </c>
      <c r="AV1847" s="1">
        <f>I1847/AR1847</f>
        <v>1.0033898305084745</v>
      </c>
      <c r="AW1847" s="1">
        <f>I1847/AS1847</f>
        <v>1.0033898305084745</v>
      </c>
      <c r="AX1847" s="22"/>
      <c r="AY1847" s="22"/>
      <c r="AZ1847" s="22"/>
      <c r="BA1847" s="22"/>
      <c r="BB1847" s="22"/>
      <c r="BC1847" s="22"/>
      <c r="BD1847" s="22"/>
      <c r="BE1847" s="22"/>
      <c r="BF1847" s="22"/>
      <c r="BG1847" s="22"/>
      <c r="BH1847" s="22"/>
      <c r="BI1847" s="22"/>
      <c r="BJ1847" s="22"/>
      <c r="BK1847" s="22"/>
      <c r="BL1847" s="22"/>
      <c r="BM1847" s="22"/>
      <c r="BN1847" s="22"/>
      <c r="BO1847" s="22"/>
      <c r="BP1847" s="22"/>
      <c r="BQ1847" s="22"/>
      <c r="BR1847" s="22"/>
      <c r="BS1847" s="22"/>
      <c r="BT1847" s="22"/>
      <c r="BU1847" s="22"/>
      <c r="BV1847" s="22"/>
      <c r="BW1847" s="22"/>
      <c r="BX1847" s="22"/>
      <c r="BY1847" s="22"/>
      <c r="BZ1847" s="22"/>
      <c r="CA1847" s="22"/>
      <c r="CB1847" s="22"/>
      <c r="CC1847" s="22"/>
      <c r="CD1847" s="22"/>
      <c r="CE1847" s="22"/>
      <c r="CF1847" s="22"/>
      <c r="CG1847" s="22"/>
      <c r="CH1847" s="22"/>
      <c r="CI1847" s="22"/>
      <c r="CJ1847" s="22"/>
    </row>
    <row r="1848" spans="1:88" s="22" customFormat="1">
      <c r="A1848" s="1">
        <v>548</v>
      </c>
      <c r="B1848" s="34" t="s">
        <v>948</v>
      </c>
      <c r="C1848" s="34">
        <v>551</v>
      </c>
      <c r="D1848" s="34">
        <v>12</v>
      </c>
      <c r="E1848" s="34">
        <v>601</v>
      </c>
      <c r="F1848" s="9" t="s">
        <v>949</v>
      </c>
      <c r="G1848" s="118">
        <v>355989</v>
      </c>
      <c r="H1848" s="118">
        <v>322612</v>
      </c>
      <c r="I1848" s="35">
        <v>33.377000000000002</v>
      </c>
      <c r="J1848" s="71">
        <v>4</v>
      </c>
      <c r="K1848" s="34" t="s">
        <v>96</v>
      </c>
      <c r="L1848" s="10">
        <v>42192</v>
      </c>
      <c r="M1848" s="9" t="s">
        <v>191</v>
      </c>
      <c r="N1848" s="38">
        <v>25.58</v>
      </c>
      <c r="O1848" s="38">
        <v>6.36</v>
      </c>
      <c r="P1848" s="38">
        <v>1.96</v>
      </c>
      <c r="Q1848" s="38">
        <v>0.49</v>
      </c>
      <c r="R1848" s="38">
        <v>2.2170000000000001</v>
      </c>
      <c r="S1848" s="38">
        <f t="shared" si="231"/>
        <v>2</v>
      </c>
      <c r="T1848" s="38">
        <v>32.58</v>
      </c>
      <c r="U1848" s="38">
        <v>1.57</v>
      </c>
      <c r="V1848" s="38">
        <v>0.24</v>
      </c>
      <c r="W1848" s="38">
        <v>0</v>
      </c>
      <c r="X1848" s="38">
        <v>6.0460000000000003</v>
      </c>
      <c r="Y1848" s="38">
        <f t="shared" si="232"/>
        <v>6</v>
      </c>
      <c r="Z1848" s="38">
        <v>0</v>
      </c>
      <c r="AA1848" s="38">
        <v>0</v>
      </c>
      <c r="AB1848" s="38">
        <f>T1848+U1848+V1848+W1848</f>
        <v>34.39</v>
      </c>
      <c r="AC1848" s="38">
        <v>1.3069999999999999</v>
      </c>
      <c r="AD1848" s="38">
        <v>0</v>
      </c>
      <c r="AE1848" s="38">
        <v>12.02</v>
      </c>
      <c r="AF1848" s="38">
        <f t="shared" si="241"/>
        <v>5.144689028800842E-3</v>
      </c>
      <c r="AG1848" s="38">
        <f t="shared" si="233"/>
        <v>0</v>
      </c>
      <c r="AH1848" s="38">
        <v>1322</v>
      </c>
      <c r="AI1848" s="38">
        <f t="shared" si="242"/>
        <v>1.1316603820423816</v>
      </c>
      <c r="AJ1848" s="38">
        <v>0</v>
      </c>
      <c r="AK1848" s="38">
        <f t="shared" si="243"/>
        <v>0</v>
      </c>
      <c r="AL1848" s="38">
        <v>272.88</v>
      </c>
      <c r="AM1848" s="38">
        <f t="shared" si="244"/>
        <v>0.23359113846575272</v>
      </c>
      <c r="AN1848" s="25"/>
      <c r="AO1848" s="25">
        <f>AE1848*0.5</f>
        <v>6.01</v>
      </c>
      <c r="AP1848" s="25">
        <f>(AD1848+AH1848+AJ1848+AL1848+AO1848)*I1848</f>
        <v>53432.905530000004</v>
      </c>
      <c r="AQ1848" s="25">
        <f>SUM(N1848:Q1848)</f>
        <v>34.39</v>
      </c>
      <c r="AR1848" s="25">
        <f>SUM(T1848:W1848)</f>
        <v>34.39</v>
      </c>
      <c r="AS1848" s="268">
        <v>34.377000000000002</v>
      </c>
      <c r="AT1848" s="41"/>
      <c r="AU1848" s="41">
        <f>SUM(N1848:Q1848)</f>
        <v>34.39</v>
      </c>
      <c r="AV1848" s="41">
        <f>SUM(T1848:W1848)</f>
        <v>34.39</v>
      </c>
      <c r="AW1848" s="41">
        <f>SUM(Z1848:AB1848)</f>
        <v>34.39</v>
      </c>
      <c r="AY1848" s="22">
        <f>I1848/AU1848</f>
        <v>0.97054376272172149</v>
      </c>
      <c r="AZ1848" s="22">
        <f>I1848/AV1848</f>
        <v>0.97054376272172149</v>
      </c>
      <c r="BA1848" s="22">
        <f>I1848/AW1848</f>
        <v>0.97054376272172149</v>
      </c>
    </row>
    <row r="1849" spans="1:88" s="22" customFormat="1">
      <c r="A1849" s="1">
        <v>352</v>
      </c>
      <c r="B1849" s="74" t="s">
        <v>571</v>
      </c>
      <c r="C1849" s="34">
        <v>512</v>
      </c>
      <c r="D1849" s="75">
        <v>1110</v>
      </c>
      <c r="E1849" s="69">
        <v>100</v>
      </c>
      <c r="F1849" s="76" t="s">
        <v>583</v>
      </c>
      <c r="G1849" s="20" t="s">
        <v>92</v>
      </c>
      <c r="H1849" s="20" t="s">
        <v>584</v>
      </c>
      <c r="I1849" s="21">
        <v>25.974</v>
      </c>
      <c r="J1849" s="8">
        <v>2</v>
      </c>
      <c r="K1849" s="34" t="s">
        <v>238</v>
      </c>
      <c r="L1849" s="18">
        <v>42257</v>
      </c>
      <c r="M1849" s="71" t="s">
        <v>191</v>
      </c>
      <c r="N1849" s="38">
        <v>16.63</v>
      </c>
      <c r="O1849" s="38">
        <v>6.3250000000000002</v>
      </c>
      <c r="P1849" s="38">
        <v>2.2999999999999998</v>
      </c>
      <c r="Q1849" s="38">
        <v>1.2</v>
      </c>
      <c r="R1849" s="38">
        <v>2.5783</v>
      </c>
      <c r="S1849" s="38">
        <f t="shared" si="231"/>
        <v>2.5</v>
      </c>
      <c r="T1849" s="38">
        <v>26.25</v>
      </c>
      <c r="U1849" s="38">
        <v>0.2</v>
      </c>
      <c r="V1849" s="38">
        <v>0</v>
      </c>
      <c r="W1849" s="38">
        <v>0</v>
      </c>
      <c r="X1849" s="38">
        <v>2.4380600000000001</v>
      </c>
      <c r="Y1849" s="38">
        <f t="shared" si="232"/>
        <v>2.5</v>
      </c>
      <c r="Z1849" s="38">
        <v>0</v>
      </c>
      <c r="AA1849" s="38">
        <v>0</v>
      </c>
      <c r="AB1849" s="38">
        <v>26.454999999999998</v>
      </c>
      <c r="AC1849" s="38">
        <v>1.1525399999999999</v>
      </c>
      <c r="AD1849" s="38">
        <v>0</v>
      </c>
      <c r="AE1849" s="38">
        <v>9.1999999999999993</v>
      </c>
      <c r="AF1849" s="38">
        <f t="shared" si="241"/>
        <v>5.0600050600050593E-3</v>
      </c>
      <c r="AG1849" s="38">
        <f t="shared" si="233"/>
        <v>0</v>
      </c>
      <c r="AH1849" s="38">
        <v>77.650000000000006</v>
      </c>
      <c r="AI1849" s="38">
        <f t="shared" si="242"/>
        <v>8.5415085415085426E-2</v>
      </c>
      <c r="AJ1849" s="38">
        <v>0</v>
      </c>
      <c r="AK1849" s="38">
        <f t="shared" si="243"/>
        <v>0</v>
      </c>
      <c r="AL1849" s="38">
        <v>0</v>
      </c>
      <c r="AM1849" s="38">
        <f t="shared" si="244"/>
        <v>0</v>
      </c>
      <c r="AN1849" s="72"/>
      <c r="AO1849" s="41"/>
      <c r="AP1849" s="41"/>
      <c r="AQ1849" s="73"/>
      <c r="AR1849" s="73"/>
      <c r="AS1849" s="73"/>
      <c r="AT1849" s="73"/>
    </row>
    <row r="1850" spans="1:88" s="22" customFormat="1">
      <c r="A1850" s="1">
        <v>890</v>
      </c>
      <c r="B1850" s="34" t="s">
        <v>1271</v>
      </c>
      <c r="C1850" s="34">
        <v>632</v>
      </c>
      <c r="D1850" s="162">
        <v>2396</v>
      </c>
      <c r="E1850" s="34">
        <v>102</v>
      </c>
      <c r="F1850" s="34" t="s">
        <v>1283</v>
      </c>
      <c r="G1850" s="58">
        <v>10000</v>
      </c>
      <c r="H1850" s="58">
        <v>48886</v>
      </c>
      <c r="I1850" s="35">
        <v>38.886000000000003</v>
      </c>
      <c r="J1850" s="9">
        <v>2</v>
      </c>
      <c r="K1850" s="34" t="s">
        <v>238</v>
      </c>
      <c r="L1850" s="10">
        <v>42143</v>
      </c>
      <c r="M1850" s="9" t="s">
        <v>191</v>
      </c>
      <c r="N1850" s="38">
        <v>27.8</v>
      </c>
      <c r="O1850" s="38">
        <v>6.3</v>
      </c>
      <c r="P1850" s="38">
        <v>2.4750000000000001</v>
      </c>
      <c r="Q1850" s="38">
        <v>2.0750000000000002</v>
      </c>
      <c r="R1850" s="38">
        <v>2.3698999999999999</v>
      </c>
      <c r="S1850" s="38">
        <f t="shared" si="231"/>
        <v>2.5</v>
      </c>
      <c r="T1850" s="38">
        <v>33.475000000000001</v>
      </c>
      <c r="U1850" s="38">
        <v>3</v>
      </c>
      <c r="V1850" s="38">
        <v>1</v>
      </c>
      <c r="W1850" s="38">
        <v>1.175</v>
      </c>
      <c r="X1850" s="38">
        <v>4.0177899999999998</v>
      </c>
      <c r="Y1850" s="38">
        <f t="shared" si="232"/>
        <v>4</v>
      </c>
      <c r="Z1850" s="38">
        <v>0</v>
      </c>
      <c r="AA1850" s="38">
        <v>0</v>
      </c>
      <c r="AB1850" s="38">
        <f>N1850+O1850+P1850+Q1850</f>
        <v>38.650000000000006</v>
      </c>
      <c r="AC1850" s="38">
        <v>1.4574199999999999</v>
      </c>
      <c r="AD1850" s="38">
        <v>0</v>
      </c>
      <c r="AE1850" s="38">
        <v>13.66</v>
      </c>
      <c r="AF1850" s="38">
        <v>5.0179999999999999E-3</v>
      </c>
      <c r="AG1850" s="38">
        <f t="shared" si="233"/>
        <v>0</v>
      </c>
      <c r="AH1850" s="38">
        <v>292.39999999999998</v>
      </c>
      <c r="AI1850" s="38">
        <v>0.21484</v>
      </c>
      <c r="AJ1850" s="38">
        <v>0</v>
      </c>
      <c r="AK1850" s="38">
        <v>0</v>
      </c>
      <c r="AL1850" s="38">
        <v>18.27</v>
      </c>
      <c r="AM1850" s="38">
        <v>1.3424E-2</v>
      </c>
      <c r="AN1850" s="25"/>
      <c r="AO1850" s="25">
        <f>AE1850*0.5</f>
        <v>6.83</v>
      </c>
      <c r="AP1850" s="25">
        <f>(AD1850+AH1850+AJ1850+AL1850+AO1850)*I1850</f>
        <v>12346.304999999998</v>
      </c>
      <c r="AQ1850" s="25">
        <f>SUM(N1850:Q1850)</f>
        <v>38.650000000000006</v>
      </c>
      <c r="AR1850" s="25">
        <f>SUM(T1850:W1850)</f>
        <v>38.65</v>
      </c>
      <c r="AT1850" s="41"/>
      <c r="AU1850" s="41"/>
      <c r="AV1850" s="41"/>
      <c r="AW1850" s="41"/>
    </row>
    <row r="1851" spans="1:88" s="22" customFormat="1">
      <c r="A1851" s="1">
        <v>1739</v>
      </c>
      <c r="B1851" s="34" t="s">
        <v>2324</v>
      </c>
      <c r="C1851" s="34">
        <v>423</v>
      </c>
      <c r="D1851" s="8">
        <v>3249</v>
      </c>
      <c r="E1851" s="88">
        <v>100</v>
      </c>
      <c r="F1851" s="34" t="s">
        <v>2334</v>
      </c>
      <c r="G1851" s="58">
        <v>0</v>
      </c>
      <c r="H1851" s="58">
        <v>59454</v>
      </c>
      <c r="I1851" s="35">
        <v>59.454000000000001</v>
      </c>
      <c r="J1851" s="9">
        <v>2</v>
      </c>
      <c r="K1851" s="88" t="s">
        <v>238</v>
      </c>
      <c r="L1851" s="116">
        <v>42234</v>
      </c>
      <c r="M1851" s="9" t="s">
        <v>191</v>
      </c>
      <c r="N1851" s="38">
        <v>31.08</v>
      </c>
      <c r="O1851" s="38">
        <v>17.579999999999998</v>
      </c>
      <c r="P1851" s="38">
        <v>7.4</v>
      </c>
      <c r="Q1851" s="38">
        <v>3.2749999999999999</v>
      </c>
      <c r="R1851" s="38">
        <v>2.84138</v>
      </c>
      <c r="S1851" s="38">
        <f t="shared" si="231"/>
        <v>3</v>
      </c>
      <c r="T1851" s="38">
        <v>52.1</v>
      </c>
      <c r="U1851" s="38">
        <v>6.1749999999999998</v>
      </c>
      <c r="V1851" s="38">
        <v>0.75</v>
      </c>
      <c r="W1851" s="38">
        <v>0.3</v>
      </c>
      <c r="X1851" s="38">
        <v>5.1920200000000003</v>
      </c>
      <c r="Y1851" s="38">
        <f t="shared" si="232"/>
        <v>5</v>
      </c>
      <c r="Z1851" s="38">
        <v>0</v>
      </c>
      <c r="AA1851" s="117">
        <v>0</v>
      </c>
      <c r="AB1851" s="35">
        <v>59.454000000000001</v>
      </c>
      <c r="AC1851" s="117">
        <v>1.30436</v>
      </c>
      <c r="AD1851" s="38">
        <v>0.82</v>
      </c>
      <c r="AE1851" s="38">
        <v>18.96</v>
      </c>
      <c r="AF1851" s="38">
        <v>4.9500000000000004E-3</v>
      </c>
      <c r="AG1851" s="38">
        <f t="shared" si="233"/>
        <v>0</v>
      </c>
      <c r="AH1851" s="38">
        <v>81.790000000000006</v>
      </c>
      <c r="AI1851" s="38">
        <v>3.9309999999999998E-2</v>
      </c>
      <c r="AJ1851" s="38">
        <v>8</v>
      </c>
      <c r="AK1851" s="38">
        <f>AJ1851/(3.5*I1851*1000)*100</f>
        <v>3.8445088399675143E-3</v>
      </c>
      <c r="AL1851" s="38">
        <v>19.48</v>
      </c>
      <c r="AM1851" s="38">
        <v>9.3600000000000003E-3</v>
      </c>
      <c r="AN1851" s="12"/>
      <c r="AO1851" s="12">
        <f>AE1851*0.5</f>
        <v>9.48</v>
      </c>
      <c r="AP1851" s="12">
        <f>(AD1851+AH1851+AJ1851+AL1851+AO1851)*I1851</f>
        <v>7108.9147800000001</v>
      </c>
      <c r="AQ1851" s="136">
        <f>SUM(N1851:Q1851)</f>
        <v>59.334999999999994</v>
      </c>
      <c r="AR1851" s="136">
        <f>SUM(T1851:W1851)</f>
        <v>59.324999999999996</v>
      </c>
      <c r="AS1851" s="1"/>
      <c r="AT1851" s="41"/>
      <c r="AU1851" s="41"/>
      <c r="AV1851" s="41"/>
      <c r="AW1851" s="4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</row>
    <row r="1852" spans="1:88" s="22" customFormat="1">
      <c r="A1852" s="1">
        <v>1511</v>
      </c>
      <c r="B1852" s="34" t="s">
        <v>2069</v>
      </c>
      <c r="C1852" s="34">
        <v>413</v>
      </c>
      <c r="D1852" s="69">
        <v>356</v>
      </c>
      <c r="E1852" s="34">
        <v>100</v>
      </c>
      <c r="F1852" s="34" t="s">
        <v>2082</v>
      </c>
      <c r="G1852" s="58">
        <v>0</v>
      </c>
      <c r="H1852" s="58">
        <v>9401</v>
      </c>
      <c r="I1852" s="35">
        <v>9.4009999999999998</v>
      </c>
      <c r="J1852" s="34">
        <v>2</v>
      </c>
      <c r="K1852" s="34" t="s">
        <v>12</v>
      </c>
      <c r="L1852" s="10">
        <v>42265</v>
      </c>
      <c r="M1852" s="9" t="s">
        <v>191</v>
      </c>
      <c r="N1852" s="38">
        <v>5.4</v>
      </c>
      <c r="O1852" s="38">
        <v>1.7</v>
      </c>
      <c r="P1852" s="38">
        <v>1.575</v>
      </c>
      <c r="Q1852" s="38">
        <v>0.77500000000000002</v>
      </c>
      <c r="R1852" s="38">
        <v>2.69103</v>
      </c>
      <c r="S1852" s="38">
        <f t="shared" si="231"/>
        <v>2.5</v>
      </c>
      <c r="T1852" s="38">
        <v>5.95</v>
      </c>
      <c r="U1852" s="38">
        <v>1.75</v>
      </c>
      <c r="V1852" s="38">
        <v>1.375</v>
      </c>
      <c r="W1852" s="38">
        <v>0.375</v>
      </c>
      <c r="X1852" s="38">
        <v>9.1424800000000008</v>
      </c>
      <c r="Y1852" s="38">
        <f t="shared" si="232"/>
        <v>9</v>
      </c>
      <c r="Z1852" s="38">
        <v>0</v>
      </c>
      <c r="AA1852" s="38">
        <v>0</v>
      </c>
      <c r="AB1852" s="196">
        <v>9.4009999999999998</v>
      </c>
      <c r="AC1852" s="38">
        <v>1.0954600000000001</v>
      </c>
      <c r="AD1852" s="38">
        <v>0</v>
      </c>
      <c r="AE1852" s="38">
        <v>3.23</v>
      </c>
      <c r="AF1852" s="38">
        <f>(AD1852+AE1852*0.5)/(3.5*I1852*1000)*100</f>
        <v>4.9082924308964096E-3</v>
      </c>
      <c r="AG1852" s="38">
        <f t="shared" si="233"/>
        <v>0</v>
      </c>
      <c r="AH1852" s="38">
        <v>0</v>
      </c>
      <c r="AI1852" s="38">
        <f>AH1852/(3.5*I1852*1000)*100</f>
        <v>0</v>
      </c>
      <c r="AJ1852" s="38">
        <v>0</v>
      </c>
      <c r="AK1852" s="38">
        <f>AJ1852/(3.5*I1852*1000)*100</f>
        <v>0</v>
      </c>
      <c r="AL1852" s="38">
        <v>0</v>
      </c>
      <c r="AM1852" s="38">
        <f t="shared" ref="AM1852:AM1857" si="245">AL1852/(3.5*I1852*1000)*100</f>
        <v>0</v>
      </c>
      <c r="AN1852" s="25"/>
      <c r="AO1852" s="25">
        <f>AE1852*0.5</f>
        <v>1.615</v>
      </c>
      <c r="AP1852" s="25">
        <f>(AD1852+AH1852+AJ1852+AL1852+AO1852)*I1852</f>
        <v>15.182615</v>
      </c>
      <c r="AQ1852" s="25">
        <f>(AD1852+AH1852+AJ1852+AL1852)*I1852</f>
        <v>0</v>
      </c>
      <c r="AR1852" s="25">
        <f>SUM(N1852:Q1852)</f>
        <v>9.4500000000000011</v>
      </c>
      <c r="AS1852" s="25">
        <f>SUM(T1852:W1852)</f>
        <v>9.4499999999999993</v>
      </c>
      <c r="AU1852" s="275">
        <v>9.4009999999999998</v>
      </c>
      <c r="AV1852" s="41">
        <f>SUM(N1852:Q1852)</f>
        <v>9.4500000000000011</v>
      </c>
      <c r="AW1852" s="41">
        <f>SUM(T1852:W1852)</f>
        <v>9.4499999999999993</v>
      </c>
      <c r="AX1852" s="41">
        <f>SUM(Z1852:AB1852)</f>
        <v>9.4009999999999998</v>
      </c>
      <c r="AZ1852" s="22">
        <f>I1852/AV1852</f>
        <v>0.99481481481481471</v>
      </c>
      <c r="BA1852" s="22">
        <f>I1852/AW1852</f>
        <v>0.99481481481481482</v>
      </c>
      <c r="BB1852" s="22">
        <f>I1852/AX1852</f>
        <v>1</v>
      </c>
    </row>
    <row r="1853" spans="1:88" s="22" customFormat="1">
      <c r="A1853" s="1">
        <v>1793</v>
      </c>
      <c r="B1853" s="34" t="s">
        <v>2382</v>
      </c>
      <c r="C1853" s="34">
        <v>428</v>
      </c>
      <c r="D1853" s="8">
        <v>3240</v>
      </c>
      <c r="E1853" s="34">
        <v>101</v>
      </c>
      <c r="F1853" s="34" t="s">
        <v>2394</v>
      </c>
      <c r="G1853" s="58" t="s">
        <v>578</v>
      </c>
      <c r="H1853" s="58" t="s">
        <v>2395</v>
      </c>
      <c r="I1853" s="35">
        <v>11.1</v>
      </c>
      <c r="J1853" s="9">
        <v>2</v>
      </c>
      <c r="K1853" s="34" t="s">
        <v>12</v>
      </c>
      <c r="L1853" s="10">
        <v>42232</v>
      </c>
      <c r="M1853" s="9" t="s">
        <v>191</v>
      </c>
      <c r="N1853" s="38">
        <v>4.3499999999999996</v>
      </c>
      <c r="O1853" s="38">
        <v>3.9750000000000001</v>
      </c>
      <c r="P1853" s="38">
        <v>2.25</v>
      </c>
      <c r="Q1853" s="38">
        <v>0.55000000000000004</v>
      </c>
      <c r="R1853" s="38">
        <v>2.8723399999999999</v>
      </c>
      <c r="S1853" s="38">
        <f t="shared" si="231"/>
        <v>3</v>
      </c>
      <c r="T1853" s="38">
        <v>10.574999999999999</v>
      </c>
      <c r="U1853" s="38">
        <v>0.52500000000000002</v>
      </c>
      <c r="V1853" s="38">
        <v>2.5000000000000001E-2</v>
      </c>
      <c r="W1853" s="38">
        <v>0</v>
      </c>
      <c r="X1853" s="38">
        <v>4.3062699999999996</v>
      </c>
      <c r="Y1853" s="38">
        <f t="shared" si="232"/>
        <v>4.5</v>
      </c>
      <c r="Z1853" s="38">
        <v>0</v>
      </c>
      <c r="AA1853" s="38">
        <v>0</v>
      </c>
      <c r="AB1853" s="38">
        <f>SUM(N1853:Q1853)</f>
        <v>11.125</v>
      </c>
      <c r="AC1853" s="38">
        <v>1.0995900000000001</v>
      </c>
      <c r="AD1853" s="38">
        <v>0</v>
      </c>
      <c r="AE1853" s="38">
        <v>3.78</v>
      </c>
      <c r="AF1853" s="38">
        <f>(AD1853+AE1853*0.5)/(3.5*I1853*1000)*100</f>
        <v>4.8648648648648646E-3</v>
      </c>
      <c r="AG1853" s="38">
        <f t="shared" si="233"/>
        <v>0</v>
      </c>
      <c r="AH1853" s="38">
        <v>0</v>
      </c>
      <c r="AI1853" s="38">
        <f>AH1853/(3.5*I1853*1000)*100</f>
        <v>0</v>
      </c>
      <c r="AJ1853" s="38">
        <v>0</v>
      </c>
      <c r="AK1853" s="38">
        <f>AJ1853/(3.5*I1853*1000)*100</f>
        <v>0</v>
      </c>
      <c r="AL1853" s="38">
        <v>0.31</v>
      </c>
      <c r="AM1853" s="38">
        <f t="shared" si="245"/>
        <v>7.9794079794079788E-4</v>
      </c>
      <c r="AN1853" s="25"/>
      <c r="AO1853" s="25">
        <f>AE1853*0.5</f>
        <v>1.89</v>
      </c>
      <c r="AP1853" s="25">
        <f>(AD1853+AH1853+AJ1853+AL1853+AO1853)*I1853</f>
        <v>24.419999999999995</v>
      </c>
      <c r="AQ1853" s="25">
        <f>SUM(N1853:Q1853)</f>
        <v>11.125</v>
      </c>
      <c r="AR1853" s="25">
        <f>SUM(T1853:W1853)</f>
        <v>11.125</v>
      </c>
      <c r="AT1853" s="41"/>
      <c r="AU1853" s="41"/>
      <c r="AV1853" s="41"/>
      <c r="AW1853" s="41"/>
    </row>
    <row r="1854" spans="1:88" s="22" customFormat="1">
      <c r="A1854" s="1">
        <v>384</v>
      </c>
      <c r="B1854" s="67" t="s">
        <v>626</v>
      </c>
      <c r="C1854" s="34">
        <v>517</v>
      </c>
      <c r="D1854" s="68">
        <v>1074</v>
      </c>
      <c r="E1854" s="69">
        <v>102</v>
      </c>
      <c r="F1854" s="88" t="s">
        <v>636</v>
      </c>
      <c r="G1854" s="6" t="s">
        <v>635</v>
      </c>
      <c r="H1854" s="6" t="s">
        <v>637</v>
      </c>
      <c r="I1854" s="7">
        <v>21.420999999999999</v>
      </c>
      <c r="J1854" s="89">
        <v>2</v>
      </c>
      <c r="K1854" s="34" t="s">
        <v>238</v>
      </c>
      <c r="L1854" s="18">
        <v>42261</v>
      </c>
      <c r="M1854" s="71" t="s">
        <v>191</v>
      </c>
      <c r="N1854" s="38">
        <v>17.52</v>
      </c>
      <c r="O1854" s="38">
        <v>2.4500000000000002</v>
      </c>
      <c r="P1854" s="38">
        <v>1.1499999999999999</v>
      </c>
      <c r="Q1854" s="38">
        <v>0.3</v>
      </c>
      <c r="R1854" s="38">
        <v>2.07301</v>
      </c>
      <c r="S1854" s="38">
        <f t="shared" si="231"/>
        <v>2</v>
      </c>
      <c r="T1854" s="38">
        <v>21.2</v>
      </c>
      <c r="U1854" s="38">
        <v>0.23</v>
      </c>
      <c r="V1854" s="38">
        <v>0</v>
      </c>
      <c r="W1854" s="38">
        <v>0</v>
      </c>
      <c r="X1854" s="38">
        <v>2.9352800000000001</v>
      </c>
      <c r="Y1854" s="38">
        <f t="shared" si="232"/>
        <v>3</v>
      </c>
      <c r="Z1854" s="38">
        <v>0</v>
      </c>
      <c r="AA1854" s="38">
        <v>0</v>
      </c>
      <c r="AB1854" s="38">
        <v>21.42</v>
      </c>
      <c r="AC1854" s="38">
        <v>1.13192</v>
      </c>
      <c r="AD1854" s="38">
        <v>0</v>
      </c>
      <c r="AE1854" s="38">
        <v>7.15</v>
      </c>
      <c r="AF1854" s="38">
        <f>(AD1854+AE1854*0.5)/(3.5*I1854*1000)*100</f>
        <v>4.768351484191081E-3</v>
      </c>
      <c r="AG1854" s="38">
        <f t="shared" si="233"/>
        <v>0</v>
      </c>
      <c r="AH1854" s="38">
        <v>86.697999999999993</v>
      </c>
      <c r="AI1854" s="38">
        <f>AH1854/(3.5*I1854*1000)*100</f>
        <v>0.11563819216123029</v>
      </c>
      <c r="AJ1854" s="38">
        <v>0</v>
      </c>
      <c r="AK1854" s="38">
        <f>AJ1854/(3.5*I1854*1000)*100</f>
        <v>0</v>
      </c>
      <c r="AL1854" s="38">
        <v>0</v>
      </c>
      <c r="AM1854" s="38">
        <f t="shared" si="245"/>
        <v>0</v>
      </c>
      <c r="AQ1854" s="25">
        <f>SUM(N1854:Q1854)</f>
        <v>21.419999999999998</v>
      </c>
      <c r="AR1854" s="25">
        <f>SUM(T1854:W1854)</f>
        <v>21.43</v>
      </c>
      <c r="AS1854" s="25">
        <f>SUM(Z1854:AB1854)</f>
        <v>21.42</v>
      </c>
      <c r="AU1854" s="1">
        <f>I1854/AQ1854</f>
        <v>1.000046685340803</v>
      </c>
      <c r="AV1854" s="1">
        <f>I1854/AR1854</f>
        <v>0.99958002799813339</v>
      </c>
      <c r="AW1854" s="1">
        <f>I1854/AS1854</f>
        <v>1.000046685340803</v>
      </c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</row>
    <row r="1855" spans="1:88" s="22" customFormat="1">
      <c r="A1855" s="1">
        <v>723</v>
      </c>
      <c r="B1855" s="34" t="s">
        <v>1123</v>
      </c>
      <c r="C1855" s="34">
        <v>627</v>
      </c>
      <c r="D1855" s="34">
        <v>2038</v>
      </c>
      <c r="E1855" s="34">
        <v>100</v>
      </c>
      <c r="F1855" s="34" t="s">
        <v>1130</v>
      </c>
      <c r="G1855" s="58">
        <v>10446</v>
      </c>
      <c r="H1855" s="58">
        <v>0</v>
      </c>
      <c r="I1855" s="51">
        <v>10.446</v>
      </c>
      <c r="J1855" s="127">
        <v>4</v>
      </c>
      <c r="K1855" s="34" t="s">
        <v>12</v>
      </c>
      <c r="L1855" s="10">
        <v>42177</v>
      </c>
      <c r="M1855" s="9" t="s">
        <v>191</v>
      </c>
      <c r="N1855" s="38">
        <v>4.1749999999999998</v>
      </c>
      <c r="O1855" s="38">
        <v>2.9750000000000001</v>
      </c>
      <c r="P1855" s="38">
        <v>1.9</v>
      </c>
      <c r="Q1855" s="38">
        <v>1.375</v>
      </c>
      <c r="R1855" s="38">
        <v>3.2545799999999998</v>
      </c>
      <c r="S1855" s="38">
        <f t="shared" si="231"/>
        <v>3.5</v>
      </c>
      <c r="T1855" s="38">
        <v>9.0250000000000004</v>
      </c>
      <c r="U1855" s="38">
        <v>0.72499999999999998</v>
      </c>
      <c r="V1855" s="38">
        <v>0.3</v>
      </c>
      <c r="W1855" s="38">
        <v>0.375</v>
      </c>
      <c r="X1855" s="38">
        <v>6.29373</v>
      </c>
      <c r="Y1855" s="38">
        <f t="shared" si="232"/>
        <v>6.5</v>
      </c>
      <c r="Z1855" s="38">
        <v>0</v>
      </c>
      <c r="AA1855" s="38">
        <v>0</v>
      </c>
      <c r="AB1855" s="38">
        <v>10.446</v>
      </c>
      <c r="AC1855" s="38">
        <v>1.17581</v>
      </c>
      <c r="AD1855" s="38">
        <v>0.77</v>
      </c>
      <c r="AE1855" s="38">
        <v>1.88</v>
      </c>
      <c r="AF1855" s="38">
        <v>4.6771149585624018E-3</v>
      </c>
      <c r="AG1855" s="38">
        <f t="shared" si="233"/>
        <v>0</v>
      </c>
      <c r="AH1855" s="38">
        <v>0</v>
      </c>
      <c r="AI1855" s="38">
        <v>0</v>
      </c>
      <c r="AJ1855" s="38">
        <v>0</v>
      </c>
      <c r="AK1855" s="38">
        <v>0</v>
      </c>
      <c r="AL1855" s="38">
        <v>0</v>
      </c>
      <c r="AM1855" s="147">
        <f t="shared" si="245"/>
        <v>0</v>
      </c>
      <c r="AN1855" s="25"/>
      <c r="AO1855" s="25">
        <f>AE1855*0.5</f>
        <v>0.94</v>
      </c>
      <c r="AP1855" s="25">
        <f>(AD1855+AH1855+AJ1855+AL1855+AO1855)*I1855</f>
        <v>17.862659999999998</v>
      </c>
      <c r="AQ1855" s="25">
        <f>SUM(N1855:Q1855)</f>
        <v>10.425000000000001</v>
      </c>
      <c r="AR1855" s="25">
        <f>SUM(T1855:W1855)</f>
        <v>10.425000000000001</v>
      </c>
      <c r="AS1855" s="268">
        <v>10.446</v>
      </c>
      <c r="AT1855" s="41"/>
      <c r="AU1855" s="41"/>
      <c r="AV1855" s="41"/>
      <c r="AW1855" s="41"/>
    </row>
    <row r="1856" spans="1:88" s="22" customFormat="1">
      <c r="A1856" s="1">
        <v>1025</v>
      </c>
      <c r="B1856" s="9" t="s">
        <v>1394</v>
      </c>
      <c r="C1856" s="9">
        <v>617</v>
      </c>
      <c r="D1856" s="8">
        <v>2074</v>
      </c>
      <c r="E1856" s="9">
        <v>103</v>
      </c>
      <c r="F1856" s="9" t="s">
        <v>1425</v>
      </c>
      <c r="G1856" s="20">
        <v>52000</v>
      </c>
      <c r="H1856" s="20">
        <v>63695</v>
      </c>
      <c r="I1856" s="35">
        <v>11.695</v>
      </c>
      <c r="J1856" s="9">
        <v>4</v>
      </c>
      <c r="K1856" s="9" t="s">
        <v>238</v>
      </c>
      <c r="L1856" s="18">
        <v>42128</v>
      </c>
      <c r="M1856" s="9" t="s">
        <v>191</v>
      </c>
      <c r="N1856" s="11">
        <v>6.5750000000000002</v>
      </c>
      <c r="O1856" s="11">
        <v>3.375</v>
      </c>
      <c r="P1856" s="11">
        <v>1.675</v>
      </c>
      <c r="Q1856" s="11">
        <v>0.57499999999999996</v>
      </c>
      <c r="R1856" s="11">
        <v>2.7109000000000001</v>
      </c>
      <c r="S1856" s="38">
        <f t="shared" si="231"/>
        <v>2.5</v>
      </c>
      <c r="T1856" s="11">
        <v>10.15</v>
      </c>
      <c r="U1856" s="11">
        <v>1.5</v>
      </c>
      <c r="V1856" s="11">
        <v>0.35</v>
      </c>
      <c r="W1856" s="11">
        <v>0.2</v>
      </c>
      <c r="X1856" s="11">
        <v>6.5676899999999998</v>
      </c>
      <c r="Y1856" s="38">
        <f t="shared" si="232"/>
        <v>6.5</v>
      </c>
      <c r="Z1856" s="11">
        <v>0</v>
      </c>
      <c r="AA1856" s="11">
        <v>0</v>
      </c>
      <c r="AB1856" s="11">
        <f>SUM(N1856:Q1856)</f>
        <v>12.2</v>
      </c>
      <c r="AC1856" s="11">
        <v>1.40541</v>
      </c>
      <c r="AD1856" s="11">
        <v>1.56</v>
      </c>
      <c r="AE1856" s="11">
        <v>0.7</v>
      </c>
      <c r="AF1856" s="11">
        <f>(AD1856+AE1856*0.5)/(3.5*I1856*1000)*100</f>
        <v>4.6662187748121899E-3</v>
      </c>
      <c r="AG1856" s="38">
        <f t="shared" si="233"/>
        <v>0</v>
      </c>
      <c r="AH1856" s="11">
        <v>38.369999999999997</v>
      </c>
      <c r="AI1856" s="38">
        <f>AH1856/(3.5*I1856*1000)*100</f>
        <v>9.3739693397666857E-2</v>
      </c>
      <c r="AJ1856" s="11">
        <v>10.33</v>
      </c>
      <c r="AK1856" s="38">
        <f>AJ1856/(3.5*I1856*1000)*100</f>
        <v>2.5236670127649175E-2</v>
      </c>
      <c r="AL1856" s="11">
        <v>0</v>
      </c>
      <c r="AM1856" s="38">
        <f t="shared" si="245"/>
        <v>0</v>
      </c>
      <c r="AN1856" s="25"/>
      <c r="AO1856" s="25">
        <f>AE1856*0.5</f>
        <v>0.35</v>
      </c>
      <c r="AP1856" s="25">
        <f>(AD1856+AH1856+AJ1856+AL1856+AO1856)*I1856</f>
        <v>591.88395000000003</v>
      </c>
      <c r="AQ1856" s="25"/>
      <c r="AR1856" s="25"/>
      <c r="AS1856" s="25">
        <f>SUM(N1856:Q1856)</f>
        <v>12.2</v>
      </c>
      <c r="AT1856" s="25">
        <f>SUM(T1856:W1856)</f>
        <v>12.2</v>
      </c>
      <c r="AU1856" s="41"/>
      <c r="AV1856" s="41"/>
      <c r="AW1856" s="41"/>
    </row>
    <row r="1857" spans="1:88">
      <c r="A1857" s="1">
        <v>356</v>
      </c>
      <c r="B1857" s="74" t="s">
        <v>571</v>
      </c>
      <c r="C1857" s="34">
        <v>512</v>
      </c>
      <c r="D1857" s="75">
        <v>1327</v>
      </c>
      <c r="E1857" s="69">
        <v>100</v>
      </c>
      <c r="F1857" s="76" t="s">
        <v>592</v>
      </c>
      <c r="G1857" s="20" t="s">
        <v>92</v>
      </c>
      <c r="H1857" s="20" t="s">
        <v>593</v>
      </c>
      <c r="I1857" s="21">
        <v>44.73</v>
      </c>
      <c r="J1857" s="8">
        <v>2</v>
      </c>
      <c r="K1857" s="34" t="s">
        <v>238</v>
      </c>
      <c r="L1857" s="18">
        <v>42258</v>
      </c>
      <c r="M1857" s="71" t="s">
        <v>191</v>
      </c>
      <c r="N1857" s="38">
        <v>29.93</v>
      </c>
      <c r="O1857" s="38">
        <v>8.0250000000000004</v>
      </c>
      <c r="P1857" s="38">
        <v>4.4000000000000004</v>
      </c>
      <c r="Q1857" s="38">
        <v>2.25</v>
      </c>
      <c r="R1857" s="38">
        <v>2.4459399999999998</v>
      </c>
      <c r="S1857" s="38">
        <f t="shared" si="231"/>
        <v>2.5</v>
      </c>
      <c r="T1857" s="38">
        <v>43.8</v>
      </c>
      <c r="U1857" s="38">
        <v>0.6</v>
      </c>
      <c r="V1857" s="38">
        <v>0.2</v>
      </c>
      <c r="W1857" s="38">
        <v>0</v>
      </c>
      <c r="X1857" s="38">
        <v>2.6099600000000001</v>
      </c>
      <c r="Y1857" s="38">
        <f t="shared" si="232"/>
        <v>2.5</v>
      </c>
      <c r="Z1857" s="38">
        <v>0</v>
      </c>
      <c r="AA1857" s="38">
        <v>0</v>
      </c>
      <c r="AB1857" s="38">
        <v>44.604999999999997</v>
      </c>
      <c r="AC1857" s="38">
        <v>1.22082</v>
      </c>
      <c r="AD1857" s="38">
        <v>0</v>
      </c>
      <c r="AE1857" s="38">
        <v>14.52</v>
      </c>
      <c r="AF1857" s="38">
        <f>(AD1857+AE1857*0.5)/(3.5*I1857*1000)*100</f>
        <v>4.6373478969052419E-3</v>
      </c>
      <c r="AG1857" s="38">
        <f t="shared" si="233"/>
        <v>0</v>
      </c>
      <c r="AH1857" s="38">
        <v>134.58000000000001</v>
      </c>
      <c r="AI1857" s="38">
        <f>AH1857/(3.5*I1857*1000)*100</f>
        <v>8.5963399444284772E-2</v>
      </c>
      <c r="AJ1857" s="38">
        <v>0</v>
      </c>
      <c r="AK1857" s="38">
        <f>AJ1857/(3.5*I1857*1000)*100</f>
        <v>0</v>
      </c>
      <c r="AL1857" s="38">
        <v>1.458</v>
      </c>
      <c r="AM1857" s="38">
        <f t="shared" si="245"/>
        <v>9.3130209830411057E-4</v>
      </c>
      <c r="AN1857" s="72"/>
      <c r="AO1857" s="41"/>
      <c r="AP1857" s="41"/>
      <c r="AQ1857" s="73"/>
      <c r="AR1857" s="73"/>
      <c r="AS1857" s="73"/>
      <c r="AT1857" s="73"/>
      <c r="AU1857" s="22"/>
      <c r="AV1857" s="22"/>
      <c r="AW1857" s="22"/>
      <c r="AX1857" s="22"/>
      <c r="AY1857" s="22"/>
      <c r="AZ1857" s="22"/>
      <c r="BA1857" s="22"/>
      <c r="BB1857" s="22"/>
      <c r="BC1857" s="22"/>
      <c r="BD1857" s="22"/>
      <c r="BE1857" s="22"/>
      <c r="BF1857" s="22"/>
      <c r="BG1857" s="22"/>
      <c r="BH1857" s="22"/>
      <c r="BI1857" s="22"/>
      <c r="BJ1857" s="22"/>
      <c r="BK1857" s="22"/>
      <c r="BL1857" s="22"/>
      <c r="BM1857" s="22"/>
      <c r="BN1857" s="22"/>
      <c r="BO1857" s="22"/>
      <c r="BP1857" s="22"/>
      <c r="BQ1857" s="22"/>
      <c r="BR1857" s="22"/>
      <c r="BS1857" s="22"/>
      <c r="BT1857" s="22"/>
      <c r="BU1857" s="22"/>
      <c r="BV1857" s="22"/>
      <c r="BW1857" s="22"/>
      <c r="BX1857" s="22"/>
      <c r="BY1857" s="22"/>
      <c r="BZ1857" s="22"/>
      <c r="CA1857" s="22"/>
      <c r="CB1857" s="22"/>
      <c r="CC1857" s="22"/>
      <c r="CD1857" s="22"/>
      <c r="CE1857" s="22"/>
      <c r="CF1857" s="22"/>
      <c r="CG1857" s="22"/>
      <c r="CH1857" s="22"/>
      <c r="CI1857" s="22"/>
      <c r="CJ1857" s="22"/>
    </row>
    <row r="1858" spans="1:88">
      <c r="A1858" s="1">
        <v>1209</v>
      </c>
      <c r="B1858" s="34" t="s">
        <v>1674</v>
      </c>
      <c r="C1858" s="34">
        <v>435</v>
      </c>
      <c r="D1858" s="34">
        <v>2256</v>
      </c>
      <c r="E1858" s="34">
        <v>102</v>
      </c>
      <c r="F1858" s="34" t="s">
        <v>1699</v>
      </c>
      <c r="G1858" s="34" t="s">
        <v>1700</v>
      </c>
      <c r="H1858" s="34" t="s">
        <v>1698</v>
      </c>
      <c r="I1858" s="55">
        <v>22.183</v>
      </c>
      <c r="J1858" s="34">
        <v>2</v>
      </c>
      <c r="K1858" s="34" t="s">
        <v>12</v>
      </c>
      <c r="L1858" s="10">
        <v>42282</v>
      </c>
      <c r="M1858" s="9" t="s">
        <v>191</v>
      </c>
      <c r="N1858" s="38">
        <v>18.324999999999999</v>
      </c>
      <c r="O1858" s="38">
        <v>2.6749999999999998</v>
      </c>
      <c r="P1858" s="38">
        <v>1.05</v>
      </c>
      <c r="Q1858" s="38">
        <v>0.22500000000000001</v>
      </c>
      <c r="R1858" s="38">
        <v>1.9528799999999999</v>
      </c>
      <c r="S1858" s="38">
        <f t="shared" si="231"/>
        <v>2</v>
      </c>
      <c r="T1858" s="38">
        <v>21.475000000000001</v>
      </c>
      <c r="U1858" s="38">
        <v>0.8</v>
      </c>
      <c r="V1858" s="38">
        <v>0</v>
      </c>
      <c r="W1858" s="38">
        <v>0</v>
      </c>
      <c r="X1858" s="38">
        <v>3.4543599999999999</v>
      </c>
      <c r="Y1858" s="38">
        <f t="shared" si="232"/>
        <v>3.5</v>
      </c>
      <c r="Z1858" s="38">
        <v>0</v>
      </c>
      <c r="AA1858" s="38">
        <v>0</v>
      </c>
      <c r="AB1858" s="55">
        <v>22.183</v>
      </c>
      <c r="AC1858" s="38">
        <v>1.28156</v>
      </c>
      <c r="AD1858" s="38">
        <v>1.335</v>
      </c>
      <c r="AE1858" s="38">
        <v>4.21</v>
      </c>
      <c r="AF1858" s="38">
        <f>(AD1858+AE1858*0.5)/(3.5*I1858*1000)*100</f>
        <v>4.430677288270941E-3</v>
      </c>
      <c r="AG1858" s="38">
        <f t="shared" si="233"/>
        <v>0</v>
      </c>
      <c r="AH1858" s="38">
        <v>0.26</v>
      </c>
      <c r="AI1858" s="38">
        <v>3.3500000000000001E-4</v>
      </c>
      <c r="AJ1858" s="38">
        <v>0</v>
      </c>
      <c r="AK1858" s="38">
        <v>0</v>
      </c>
      <c r="AL1858" s="38">
        <v>0</v>
      </c>
      <c r="AM1858" s="38">
        <v>0</v>
      </c>
      <c r="AN1858" s="12"/>
    </row>
    <row r="1859" spans="1:88">
      <c r="A1859" s="1">
        <v>376</v>
      </c>
      <c r="B1859" s="71" t="s">
        <v>602</v>
      </c>
      <c r="C1859" s="78">
        <v>514</v>
      </c>
      <c r="D1859" s="79">
        <v>1402</v>
      </c>
      <c r="E1859" s="80">
        <v>100</v>
      </c>
      <c r="F1859" s="78" t="s">
        <v>624</v>
      </c>
      <c r="G1859" s="81" t="s">
        <v>92</v>
      </c>
      <c r="H1859" s="81" t="s">
        <v>625</v>
      </c>
      <c r="I1859" s="78">
        <v>4.0030000000000001</v>
      </c>
      <c r="J1859" s="78">
        <v>2</v>
      </c>
      <c r="K1859" s="78" t="s">
        <v>237</v>
      </c>
      <c r="L1859" s="82">
        <v>42256</v>
      </c>
      <c r="M1859" s="71" t="s">
        <v>191</v>
      </c>
      <c r="N1859" s="83">
        <v>4</v>
      </c>
      <c r="O1859" s="83">
        <v>0</v>
      </c>
      <c r="P1859" s="83">
        <v>0</v>
      </c>
      <c r="Q1859" s="83">
        <v>0</v>
      </c>
      <c r="R1859" s="83">
        <v>1.4650000000000001</v>
      </c>
      <c r="S1859" s="38">
        <f t="shared" ref="S1859:S1922" si="246">ROUND(R1859/5,1)*5</f>
        <v>1.5</v>
      </c>
      <c r="T1859" s="83">
        <v>4</v>
      </c>
      <c r="U1859" s="83">
        <v>0</v>
      </c>
      <c r="V1859" s="83">
        <v>0</v>
      </c>
      <c r="W1859" s="83">
        <v>0</v>
      </c>
      <c r="X1859" s="83">
        <v>2.8115000000000001</v>
      </c>
      <c r="Y1859" s="38">
        <f t="shared" ref="Y1859:Y1922" si="247">ROUND(X1859/5,1)*5</f>
        <v>3</v>
      </c>
      <c r="Z1859" s="83">
        <v>0</v>
      </c>
      <c r="AA1859" s="83">
        <v>0</v>
      </c>
      <c r="AB1859" s="83">
        <v>4</v>
      </c>
      <c r="AC1859" s="83">
        <v>1.069</v>
      </c>
      <c r="AD1859" s="83">
        <v>0</v>
      </c>
      <c r="AE1859" s="83">
        <v>1.24</v>
      </c>
      <c r="AF1859" s="83">
        <f>(AD1859+AE1859*0.5)/(3.5*I1859*1000)*100</f>
        <v>4.4252524892045252E-3</v>
      </c>
      <c r="AG1859" s="38">
        <f t="shared" ref="AG1859:AG1922" si="248">ROUND(AF1859,1)</f>
        <v>0</v>
      </c>
      <c r="AH1859" s="83">
        <v>87.68</v>
      </c>
      <c r="AI1859" s="83">
        <f>AH1859/(3.5*I1859*1000)*100</f>
        <v>0.62581635202169805</v>
      </c>
      <c r="AJ1859" s="83">
        <v>0</v>
      </c>
      <c r="AK1859" s="83">
        <f>AJ1859/(3.5*I1859*1000)*100</f>
        <v>0</v>
      </c>
      <c r="AL1859" s="83">
        <v>0</v>
      </c>
      <c r="AM1859" s="83">
        <f>AL1859/(3.5*I1859*1000)*100</f>
        <v>0</v>
      </c>
      <c r="AN1859" s="84"/>
      <c r="AO1859" s="41"/>
      <c r="AP1859" s="41"/>
      <c r="AQ1859" s="85"/>
      <c r="AR1859" s="86"/>
      <c r="AS1859" s="86"/>
      <c r="AT1859" s="86"/>
      <c r="AU1859" s="86"/>
      <c r="AV1859" s="86"/>
      <c r="AW1859" s="86"/>
      <c r="AX1859" s="86"/>
      <c r="AY1859" s="86"/>
      <c r="AZ1859" s="86"/>
      <c r="BA1859" s="86"/>
      <c r="BB1859" s="86"/>
      <c r="BC1859" s="86"/>
      <c r="BD1859" s="86"/>
      <c r="BE1859" s="86"/>
      <c r="BF1859" s="86"/>
      <c r="BG1859" s="86"/>
      <c r="BH1859" s="86"/>
      <c r="BI1859" s="86"/>
      <c r="BJ1859" s="86"/>
      <c r="BK1859" s="86"/>
      <c r="BL1859" s="86"/>
      <c r="BM1859" s="86"/>
      <c r="BN1859" s="86"/>
      <c r="BO1859" s="86"/>
      <c r="BP1859" s="86"/>
      <c r="BQ1859" s="86"/>
      <c r="BR1859" s="86"/>
      <c r="BS1859" s="86"/>
      <c r="BT1859" s="86"/>
      <c r="BU1859" s="86"/>
      <c r="BV1859" s="86"/>
      <c r="BW1859" s="86"/>
      <c r="BX1859" s="86"/>
      <c r="BY1859" s="86"/>
      <c r="BZ1859" s="86"/>
      <c r="CA1859" s="86"/>
      <c r="CB1859" s="86"/>
      <c r="CC1859" s="86"/>
      <c r="CD1859" s="86"/>
      <c r="CE1859" s="86"/>
      <c r="CF1859" s="86"/>
      <c r="CG1859" s="86"/>
      <c r="CH1859" s="86"/>
      <c r="CI1859" s="86"/>
      <c r="CJ1859" s="86"/>
    </row>
    <row r="1860" spans="1:88">
      <c r="A1860" s="1">
        <v>205</v>
      </c>
      <c r="B1860" s="34" t="s">
        <v>383</v>
      </c>
      <c r="C1860" s="34">
        <v>535</v>
      </c>
      <c r="D1860" s="34">
        <v>1186</v>
      </c>
      <c r="E1860" s="34">
        <v>100</v>
      </c>
      <c r="F1860" s="34" t="s">
        <v>399</v>
      </c>
      <c r="G1860" s="20">
        <v>0</v>
      </c>
      <c r="H1860" s="20">
        <v>6521</v>
      </c>
      <c r="I1860" s="35">
        <v>6.5209999999999999</v>
      </c>
      <c r="J1860" s="36">
        <v>2</v>
      </c>
      <c r="K1860" s="34" t="s">
        <v>238</v>
      </c>
      <c r="L1860" s="18">
        <v>42209</v>
      </c>
      <c r="M1860" s="9" t="s">
        <v>191</v>
      </c>
      <c r="N1860" s="38">
        <v>5.4</v>
      </c>
      <c r="O1860" s="38">
        <v>1</v>
      </c>
      <c r="P1860" s="38">
        <v>0.08</v>
      </c>
      <c r="Q1860" s="38">
        <v>0.05</v>
      </c>
      <c r="R1860" s="38">
        <v>2.1340400000000002</v>
      </c>
      <c r="S1860" s="38">
        <f t="shared" si="246"/>
        <v>2</v>
      </c>
      <c r="T1860" s="38">
        <v>6.17</v>
      </c>
      <c r="U1860" s="38">
        <v>0.25</v>
      </c>
      <c r="V1860" s="38">
        <v>0.08</v>
      </c>
      <c r="W1860" s="38">
        <v>0.03</v>
      </c>
      <c r="X1860" s="38">
        <v>4.5698400000000001</v>
      </c>
      <c r="Y1860" s="38">
        <f t="shared" si="247"/>
        <v>4.5</v>
      </c>
      <c r="Z1860" s="38">
        <v>0</v>
      </c>
      <c r="AA1860" s="38">
        <v>0</v>
      </c>
      <c r="AB1860" s="38">
        <v>6.53</v>
      </c>
      <c r="AC1860" s="38">
        <v>1.1818299999999999</v>
      </c>
      <c r="AD1860" s="38">
        <v>1</v>
      </c>
      <c r="AE1860" s="38">
        <v>0</v>
      </c>
      <c r="AF1860" s="38">
        <f>(AD1860+AE1860*0.5)/(3.5*I1860*1000)*100</f>
        <v>4.3814489451661663E-3</v>
      </c>
      <c r="AG1860" s="38">
        <f t="shared" si="248"/>
        <v>0</v>
      </c>
      <c r="AH1860" s="38">
        <v>0</v>
      </c>
      <c r="AI1860" s="38">
        <f>AH1860/(3.5*I1860*1000)*100</f>
        <v>0</v>
      </c>
      <c r="AJ1860" s="38">
        <v>0</v>
      </c>
      <c r="AK1860" s="38">
        <f>AJ1860/(3.5*I1860*1000)*100</f>
        <v>0</v>
      </c>
      <c r="AL1860" s="38">
        <v>1</v>
      </c>
      <c r="AM1860" s="38">
        <f>AL1860/(3.5*I1860*1000)*100</f>
        <v>4.3814489451661663E-3</v>
      </c>
      <c r="AN1860" s="25"/>
      <c r="AO1860" s="25"/>
      <c r="AP1860" s="25">
        <f>AE1860*0.5</f>
        <v>0</v>
      </c>
      <c r="AQ1860" s="25">
        <f>(AD1860+AH1860+AJ1860+AL1860+AP1860)*I1860</f>
        <v>13.042</v>
      </c>
      <c r="AR1860" s="25"/>
      <c r="AS1860" s="25"/>
      <c r="AT1860" s="25"/>
      <c r="AU1860" s="41">
        <f>SUM(N1860:Q1860)</f>
        <v>6.53</v>
      </c>
      <c r="AV1860" s="41">
        <f>SUM(T1860:W1860)</f>
        <v>6.53</v>
      </c>
      <c r="AW1860" s="41">
        <f>SUM(Z1860:AB1860)</f>
        <v>6.53</v>
      </c>
      <c r="AX1860" s="41"/>
      <c r="AY1860" s="22">
        <f>I1860/AU1860</f>
        <v>0.99862174578866758</v>
      </c>
      <c r="AZ1860" s="22">
        <f>I1860/AV1860</f>
        <v>0.99862174578866758</v>
      </c>
      <c r="BA1860" s="22">
        <f>I1860/AW1860</f>
        <v>0.99862174578866758</v>
      </c>
      <c r="BB1860" s="22"/>
      <c r="BC1860" s="22"/>
      <c r="BD1860" s="22"/>
      <c r="BE1860" s="22"/>
      <c r="BF1860" s="22"/>
      <c r="BG1860" s="22"/>
      <c r="BH1860" s="22"/>
      <c r="BI1860" s="22"/>
      <c r="BJ1860" s="22"/>
      <c r="BK1860" s="22"/>
      <c r="BL1860" s="22"/>
      <c r="BM1860" s="22"/>
      <c r="BN1860" s="22"/>
      <c r="BO1860" s="22"/>
      <c r="BP1860" s="22"/>
      <c r="BQ1860" s="22"/>
      <c r="BR1860" s="22"/>
      <c r="BS1860" s="22"/>
      <c r="BT1860" s="22"/>
      <c r="BU1860" s="22"/>
      <c r="BV1860" s="22"/>
      <c r="BW1860" s="22"/>
      <c r="BX1860" s="22"/>
      <c r="BY1860" s="22"/>
      <c r="BZ1860" s="22"/>
      <c r="CA1860" s="22"/>
      <c r="CB1860" s="22"/>
      <c r="CC1860" s="22"/>
      <c r="CD1860" s="22"/>
      <c r="CE1860" s="22"/>
      <c r="CF1860" s="22"/>
      <c r="CG1860" s="22"/>
      <c r="CH1860" s="22"/>
      <c r="CI1860" s="22"/>
      <c r="CJ1860" s="22"/>
    </row>
    <row r="1861" spans="1:88">
      <c r="A1861" s="1">
        <v>912</v>
      </c>
      <c r="B1861" s="34" t="s">
        <v>1302</v>
      </c>
      <c r="C1861" s="34">
        <v>636</v>
      </c>
      <c r="D1861" s="162">
        <v>2236</v>
      </c>
      <c r="E1861" s="34">
        <v>100</v>
      </c>
      <c r="F1861" s="34" t="s">
        <v>1306</v>
      </c>
      <c r="G1861" s="58">
        <v>0</v>
      </c>
      <c r="H1861" s="58">
        <v>15550</v>
      </c>
      <c r="I1861" s="35">
        <v>15.55</v>
      </c>
      <c r="J1861" s="163">
        <v>2</v>
      </c>
      <c r="K1861" s="34" t="s">
        <v>238</v>
      </c>
      <c r="L1861" s="10">
        <v>42137</v>
      </c>
      <c r="M1861" s="9" t="s">
        <v>191</v>
      </c>
      <c r="N1861" s="38">
        <v>4.2249999999999996</v>
      </c>
      <c r="O1861" s="38">
        <v>6.4249999999999998</v>
      </c>
      <c r="P1861" s="38">
        <v>3.5750000000000002</v>
      </c>
      <c r="Q1861" s="38">
        <v>1.25</v>
      </c>
      <c r="R1861" s="38">
        <v>3.2830699999999999</v>
      </c>
      <c r="S1861" s="38">
        <f t="shared" si="246"/>
        <v>3.5</v>
      </c>
      <c r="T1861" s="38">
        <v>15.074999999999999</v>
      </c>
      <c r="U1861" s="38">
        <v>0.4</v>
      </c>
      <c r="V1861" s="38">
        <v>0</v>
      </c>
      <c r="W1861" s="38">
        <v>0</v>
      </c>
      <c r="X1861" s="38">
        <v>4.2533700000000003</v>
      </c>
      <c r="Y1861" s="38">
        <f t="shared" si="247"/>
        <v>4.5</v>
      </c>
      <c r="Z1861" s="38">
        <v>0</v>
      </c>
      <c r="AA1861" s="38">
        <v>0</v>
      </c>
      <c r="AB1861" s="38">
        <f>N1861+O1861+P1861+Q1861</f>
        <v>15.474999999999998</v>
      </c>
      <c r="AC1861" s="38">
        <v>1.9884299999999999</v>
      </c>
      <c r="AD1861" s="38">
        <v>0</v>
      </c>
      <c r="AE1861" s="38">
        <v>4.75</v>
      </c>
      <c r="AF1861" s="38">
        <v>4.3600000000000002E-3</v>
      </c>
      <c r="AG1861" s="38">
        <f t="shared" si="248"/>
        <v>0</v>
      </c>
      <c r="AH1861" s="38">
        <v>1031.1099999999999</v>
      </c>
      <c r="AI1861" s="38">
        <v>1.89455</v>
      </c>
      <c r="AJ1861" s="38">
        <v>3886.54</v>
      </c>
      <c r="AK1861" s="38">
        <v>7.1410929999999997</v>
      </c>
      <c r="AL1861" s="38">
        <v>54.99</v>
      </c>
      <c r="AM1861" s="38">
        <v>0.10104</v>
      </c>
      <c r="AN1861" s="25"/>
      <c r="AO1861" s="25">
        <f>AE1861*0.5</f>
        <v>2.375</v>
      </c>
      <c r="AP1861" s="25">
        <f>(AD1861+AH1861+AJ1861+AL1861+AO1861)*I1861</f>
        <v>77361.48324999999</v>
      </c>
      <c r="AQ1861" s="25"/>
      <c r="AR1861" s="25"/>
      <c r="AS1861" s="25">
        <f>SUM(N1861:Q1861)</f>
        <v>15.474999999999998</v>
      </c>
      <c r="AT1861" s="25">
        <f>SUM(T1861:W1861)</f>
        <v>15.475</v>
      </c>
      <c r="AU1861" s="22"/>
      <c r="AV1861" s="41"/>
      <c r="AW1861" s="41"/>
      <c r="AX1861" s="41"/>
      <c r="AY1861" s="41"/>
      <c r="AZ1861" s="22"/>
      <c r="BA1861" s="22"/>
      <c r="BB1861" s="22"/>
      <c r="BC1861" s="22"/>
      <c r="BD1861" s="22"/>
      <c r="BE1861" s="22"/>
      <c r="BF1861" s="22"/>
      <c r="BG1861" s="22"/>
      <c r="BH1861" s="22"/>
      <c r="BI1861" s="22"/>
      <c r="BJ1861" s="22"/>
      <c r="BK1861" s="22"/>
      <c r="BL1861" s="22"/>
      <c r="BM1861" s="22"/>
      <c r="BN1861" s="22"/>
      <c r="BO1861" s="22"/>
      <c r="BP1861" s="22"/>
      <c r="BQ1861" s="22"/>
      <c r="BR1861" s="22"/>
      <c r="BS1861" s="22"/>
      <c r="BT1861" s="22"/>
      <c r="BU1861" s="22"/>
      <c r="BV1861" s="22"/>
      <c r="BW1861" s="22"/>
      <c r="BX1861" s="22"/>
      <c r="BY1861" s="22"/>
      <c r="BZ1861" s="22"/>
      <c r="CA1861" s="22"/>
      <c r="CB1861" s="22"/>
      <c r="CC1861" s="22"/>
      <c r="CD1861" s="22"/>
      <c r="CE1861" s="22"/>
      <c r="CF1861" s="22"/>
      <c r="CG1861" s="22"/>
      <c r="CH1861" s="22"/>
      <c r="CI1861" s="22"/>
      <c r="CJ1861" s="22"/>
    </row>
    <row r="1862" spans="1:88">
      <c r="A1862" s="1">
        <v>603</v>
      </c>
      <c r="B1862" s="34" t="s">
        <v>994</v>
      </c>
      <c r="C1862" s="34">
        <v>554</v>
      </c>
      <c r="D1862" s="34">
        <v>2016</v>
      </c>
      <c r="E1862" s="34">
        <v>100</v>
      </c>
      <c r="F1862" s="9" t="s">
        <v>1005</v>
      </c>
      <c r="G1862" s="118">
        <v>500</v>
      </c>
      <c r="H1862" s="118">
        <v>53800</v>
      </c>
      <c r="I1862" s="35">
        <v>53.3</v>
      </c>
      <c r="J1862" s="71">
        <v>2</v>
      </c>
      <c r="K1862" s="34" t="s">
        <v>237</v>
      </c>
      <c r="L1862" s="10">
        <v>42180</v>
      </c>
      <c r="M1862" s="9" t="s">
        <v>191</v>
      </c>
      <c r="N1862" s="38">
        <v>21.25</v>
      </c>
      <c r="O1862" s="38">
        <v>18.29</v>
      </c>
      <c r="P1862" s="38">
        <v>9.49</v>
      </c>
      <c r="Q1862" s="38">
        <v>4.2699999999999996</v>
      </c>
      <c r="R1862" s="38">
        <v>3.4580000000000002</v>
      </c>
      <c r="S1862" s="38">
        <f t="shared" si="246"/>
        <v>3.5</v>
      </c>
      <c r="T1862" s="38">
        <v>50.31</v>
      </c>
      <c r="U1862" s="38">
        <v>1.91</v>
      </c>
      <c r="V1862" s="38">
        <v>0.8</v>
      </c>
      <c r="W1862" s="38">
        <v>0.28000000000000003</v>
      </c>
      <c r="X1862" s="38">
        <v>5.0880000000000001</v>
      </c>
      <c r="Y1862" s="38">
        <f t="shared" si="247"/>
        <v>5</v>
      </c>
      <c r="Z1862" s="38">
        <v>0</v>
      </c>
      <c r="AA1862" s="38">
        <v>0</v>
      </c>
      <c r="AB1862" s="38">
        <v>53.3</v>
      </c>
      <c r="AC1862" s="38">
        <v>1.0920000000000001</v>
      </c>
      <c r="AD1862" s="38">
        <v>8</v>
      </c>
      <c r="AE1862" s="38">
        <v>0</v>
      </c>
      <c r="AF1862" s="38">
        <v>4.2883945322969722E-3</v>
      </c>
      <c r="AG1862" s="38">
        <f t="shared" si="248"/>
        <v>0</v>
      </c>
      <c r="AH1862" s="38">
        <v>0</v>
      </c>
      <c r="AI1862" s="38">
        <v>0</v>
      </c>
      <c r="AJ1862" s="38">
        <v>140</v>
      </c>
      <c r="AK1862" s="38">
        <v>7.5046904315197005E-2</v>
      </c>
      <c r="AL1862" s="38">
        <v>0</v>
      </c>
      <c r="AM1862" s="38">
        <f t="shared" ref="AM1862:AM1871" si="249">AL1862/(3.5*I1862*1000)*100</f>
        <v>0</v>
      </c>
      <c r="AN1862" s="60"/>
      <c r="AO1862" s="60">
        <f>AE1862*0.5</f>
        <v>0</v>
      </c>
      <c r="AP1862" s="60">
        <f>(AD1862+AH1862+AJ1862+AL1862+AO1862)*I1862</f>
        <v>7888.4</v>
      </c>
      <c r="AQ1862" s="25">
        <f>SUM(N1862:Q1862)</f>
        <v>53.3</v>
      </c>
      <c r="AR1862" s="25">
        <f>SUM(T1862:W1862)</f>
        <v>53.3</v>
      </c>
      <c r="AS1862" s="268">
        <v>53.3</v>
      </c>
      <c r="AT1862" s="40"/>
      <c r="AU1862" s="41">
        <f>SUM(N1862:Q1862)</f>
        <v>53.3</v>
      </c>
      <c r="AV1862" s="41">
        <f>SUM(T1862:W1862)</f>
        <v>53.3</v>
      </c>
      <c r="AW1862" s="41">
        <f>SUM(Z1862:AB1862)</f>
        <v>53.3</v>
      </c>
      <c r="AX1862" s="22"/>
      <c r="AY1862" s="22">
        <f>I1862/AU1862</f>
        <v>1</v>
      </c>
      <c r="AZ1862" s="22">
        <f>I1862/AV1862</f>
        <v>1</v>
      </c>
      <c r="BA1862" s="22">
        <f>I1862/AW1862</f>
        <v>1</v>
      </c>
      <c r="BB1862" s="61"/>
      <c r="BC1862" s="61"/>
      <c r="BD1862" s="61"/>
      <c r="BE1862" s="61"/>
      <c r="BF1862" s="61"/>
      <c r="BG1862" s="61"/>
      <c r="BH1862" s="61"/>
      <c r="BI1862" s="61"/>
      <c r="BJ1862" s="61"/>
      <c r="BK1862" s="61"/>
      <c r="BL1862" s="61"/>
      <c r="BM1862" s="61"/>
      <c r="BN1862" s="61"/>
      <c r="BO1862" s="61"/>
      <c r="BP1862" s="61"/>
      <c r="BQ1862" s="61"/>
      <c r="BR1862" s="61"/>
      <c r="BS1862" s="61"/>
      <c r="BT1862" s="61"/>
      <c r="BU1862" s="61"/>
      <c r="BV1862" s="61"/>
      <c r="BW1862" s="61"/>
      <c r="BX1862" s="61"/>
      <c r="BY1862" s="61"/>
      <c r="BZ1862" s="61"/>
      <c r="CA1862" s="61"/>
      <c r="CB1862" s="61"/>
      <c r="CC1862" s="61"/>
      <c r="CD1862" s="61"/>
      <c r="CE1862" s="61"/>
      <c r="CF1862" s="61"/>
      <c r="CG1862" s="61"/>
      <c r="CH1862" s="61"/>
      <c r="CI1862" s="61"/>
      <c r="CJ1862" s="61"/>
    </row>
    <row r="1863" spans="1:88">
      <c r="A1863" s="1">
        <v>2003</v>
      </c>
      <c r="B1863" s="34" t="s">
        <v>2646</v>
      </c>
      <c r="C1863" s="34">
        <v>325</v>
      </c>
      <c r="D1863" s="75">
        <v>420</v>
      </c>
      <c r="E1863" s="8">
        <v>101</v>
      </c>
      <c r="F1863" s="34" t="s">
        <v>2647</v>
      </c>
      <c r="G1863" s="58" t="s">
        <v>2648</v>
      </c>
      <c r="H1863" s="58">
        <v>33841</v>
      </c>
      <c r="I1863" s="21">
        <v>2.4289999999999998</v>
      </c>
      <c r="J1863" s="8">
        <v>4</v>
      </c>
      <c r="K1863" s="8" t="s">
        <v>96</v>
      </c>
      <c r="L1863" s="18">
        <v>42117</v>
      </c>
      <c r="M1863" s="9" t="s">
        <v>191</v>
      </c>
      <c r="N1863" s="38">
        <v>1.58</v>
      </c>
      <c r="O1863" s="38">
        <v>0.34</v>
      </c>
      <c r="P1863" s="38">
        <v>0.19</v>
      </c>
      <c r="Q1863" s="38">
        <v>0.32</v>
      </c>
      <c r="R1863" s="38">
        <v>2.8142</v>
      </c>
      <c r="S1863" s="38">
        <f t="shared" si="246"/>
        <v>3</v>
      </c>
      <c r="T1863" s="38">
        <v>2.4300000000000002</v>
      </c>
      <c r="U1863" s="38">
        <v>0</v>
      </c>
      <c r="V1863" s="38">
        <v>0</v>
      </c>
      <c r="W1863" s="38">
        <v>0</v>
      </c>
      <c r="X1863" s="38">
        <v>3.0486800000000001</v>
      </c>
      <c r="Y1863" s="38">
        <f t="shared" si="247"/>
        <v>3</v>
      </c>
      <c r="Z1863" s="38">
        <v>0</v>
      </c>
      <c r="AA1863" s="38">
        <v>0</v>
      </c>
      <c r="AB1863" s="38">
        <v>2.4300000000000002</v>
      </c>
      <c r="AC1863" s="38">
        <v>1.31985</v>
      </c>
      <c r="AD1863" s="38">
        <v>0.08</v>
      </c>
      <c r="AE1863" s="38">
        <v>0.56000000000000005</v>
      </c>
      <c r="AF1863" s="38">
        <f>(AD1863+AE1863*0.5)/(3.5*I1863*1000)*100</f>
        <v>4.2345468446744697E-3</v>
      </c>
      <c r="AG1863" s="38">
        <f t="shared" si="248"/>
        <v>0</v>
      </c>
      <c r="AH1863" s="38">
        <v>7.12</v>
      </c>
      <c r="AI1863" s="38">
        <f>AH1863/(3.5*I1863*1000)*100</f>
        <v>8.3749926483561721E-2</v>
      </c>
      <c r="AJ1863" s="38">
        <v>1.04</v>
      </c>
      <c r="AK1863" s="38">
        <f>AJ1863/(3.5*I1863*1000)*100</f>
        <v>1.2233135329059577E-2</v>
      </c>
      <c r="AL1863" s="38">
        <v>0</v>
      </c>
      <c r="AM1863" s="38">
        <f t="shared" si="249"/>
        <v>0</v>
      </c>
      <c r="AN1863" s="12"/>
      <c r="AO1863" s="12"/>
      <c r="AQ1863" s="41">
        <f>SUM(N1863:Q1863)</f>
        <v>2.4300000000000002</v>
      </c>
      <c r="AR1863" s="41">
        <f>SUM(T1863:W1863)</f>
        <v>2.4300000000000002</v>
      </c>
      <c r="AS1863" s="12">
        <f>SUM(Z1863:AB1863)</f>
        <v>2.4300000000000002</v>
      </c>
      <c r="AU1863" s="1">
        <f>I1863/AQ1863</f>
        <v>0.999588477366255</v>
      </c>
      <c r="AV1863" s="1">
        <f>I1863/AR1863</f>
        <v>0.999588477366255</v>
      </c>
      <c r="AW1863" s="1">
        <f>I1863/AS1863</f>
        <v>0.999588477366255</v>
      </c>
    </row>
    <row r="1864" spans="1:88">
      <c r="A1864" s="1">
        <v>1959</v>
      </c>
      <c r="B1864" s="34" t="s">
        <v>2586</v>
      </c>
      <c r="C1864" s="34">
        <v>321</v>
      </c>
      <c r="D1864" s="75">
        <v>4140</v>
      </c>
      <c r="E1864" s="8">
        <v>100</v>
      </c>
      <c r="F1864" s="34" t="s">
        <v>2604</v>
      </c>
      <c r="G1864" s="58">
        <v>633</v>
      </c>
      <c r="H1864" s="58">
        <v>21650</v>
      </c>
      <c r="I1864" s="21">
        <v>21.016999999999999</v>
      </c>
      <c r="J1864" s="8">
        <v>2</v>
      </c>
      <c r="K1864" s="8" t="s">
        <v>238</v>
      </c>
      <c r="L1864" s="18">
        <v>42124</v>
      </c>
      <c r="M1864" s="9" t="s">
        <v>191</v>
      </c>
      <c r="N1864" s="26">
        <v>15.15</v>
      </c>
      <c r="O1864" s="26">
        <v>4.4749999999999996</v>
      </c>
      <c r="P1864" s="26">
        <v>1</v>
      </c>
      <c r="Q1864" s="26">
        <v>0.32500000000000001</v>
      </c>
      <c r="R1864" s="26">
        <v>2.3290000000000002</v>
      </c>
      <c r="S1864" s="38">
        <f t="shared" si="246"/>
        <v>2.5</v>
      </c>
      <c r="T1864" s="38">
        <v>20.824999999999999</v>
      </c>
      <c r="U1864" s="38">
        <v>0.1</v>
      </c>
      <c r="V1864" s="38">
        <v>2.5000000000000001E-2</v>
      </c>
      <c r="W1864" s="38">
        <v>0</v>
      </c>
      <c r="X1864" s="38">
        <v>2.4529999999999998</v>
      </c>
      <c r="Y1864" s="38">
        <f t="shared" si="247"/>
        <v>2.5</v>
      </c>
      <c r="Z1864" s="38">
        <v>0</v>
      </c>
      <c r="AA1864" s="38">
        <v>0</v>
      </c>
      <c r="AB1864" s="38">
        <v>20.95</v>
      </c>
      <c r="AC1864" s="38">
        <v>1.284</v>
      </c>
      <c r="AD1864" s="38">
        <v>2.4533399999999999</v>
      </c>
      <c r="AE1864" s="38">
        <v>1.2843899999999999</v>
      </c>
      <c r="AF1864" s="38">
        <f>(AD1864+AE1864*0.5)/(3.5*I1864*1000)*100</f>
        <v>4.2082056022675523E-3</v>
      </c>
      <c r="AG1864" s="38">
        <f t="shared" si="248"/>
        <v>0</v>
      </c>
      <c r="AH1864" s="38">
        <v>29.78</v>
      </c>
      <c r="AI1864" s="38">
        <f>AH1864/(3.5*I1864*1000)*100</f>
        <v>4.048423385150797E-2</v>
      </c>
      <c r="AJ1864" s="38">
        <v>1.52</v>
      </c>
      <c r="AK1864" s="38">
        <v>2.0663544477599769E-3</v>
      </c>
      <c r="AL1864" s="38">
        <v>11.16</v>
      </c>
      <c r="AM1864" s="38">
        <f t="shared" si="249"/>
        <v>1.5171391866448249E-2</v>
      </c>
      <c r="AN1864" s="73"/>
      <c r="AO1864" s="72"/>
      <c r="AP1864" s="41"/>
      <c r="AQ1864" s="41"/>
      <c r="AR1864" s="73"/>
      <c r="AS1864" s="73"/>
      <c r="AT1864" s="73"/>
      <c r="AU1864" s="73"/>
      <c r="AV1864" s="73"/>
      <c r="AW1864" s="73"/>
      <c r="AX1864" s="73"/>
      <c r="AY1864" s="73"/>
      <c r="AZ1864" s="22"/>
      <c r="BA1864" s="22"/>
      <c r="BB1864" s="22"/>
      <c r="BC1864" s="22"/>
      <c r="BD1864" s="22"/>
      <c r="BE1864" s="22"/>
      <c r="BF1864" s="22"/>
      <c r="BG1864" s="22"/>
      <c r="BH1864" s="22"/>
      <c r="BI1864" s="22"/>
      <c r="BJ1864" s="22"/>
      <c r="BK1864" s="22"/>
      <c r="BL1864" s="22"/>
      <c r="BM1864" s="22"/>
      <c r="BN1864" s="22"/>
      <c r="BO1864" s="22"/>
      <c r="BP1864" s="22"/>
      <c r="BQ1864" s="22"/>
      <c r="BR1864" s="22"/>
      <c r="BS1864" s="22"/>
      <c r="BT1864" s="22"/>
      <c r="BU1864" s="22"/>
      <c r="BV1864" s="22"/>
      <c r="BW1864" s="22"/>
      <c r="BX1864" s="22"/>
      <c r="BY1864" s="22"/>
      <c r="BZ1864" s="22"/>
      <c r="CA1864" s="22"/>
      <c r="CB1864" s="22"/>
      <c r="CC1864" s="22"/>
      <c r="CD1864" s="22"/>
      <c r="CE1864" s="22"/>
      <c r="CF1864" s="22"/>
      <c r="CG1864" s="22"/>
      <c r="CH1864" s="22"/>
      <c r="CI1864" s="22"/>
      <c r="CJ1864" s="22"/>
    </row>
    <row r="1865" spans="1:88">
      <c r="A1865" s="1">
        <v>458</v>
      </c>
      <c r="B1865" s="74" t="s">
        <v>780</v>
      </c>
      <c r="C1865" s="34">
        <v>515</v>
      </c>
      <c r="D1865" s="34">
        <v>12</v>
      </c>
      <c r="E1865" s="34">
        <v>502</v>
      </c>
      <c r="F1865" s="34" t="s">
        <v>781</v>
      </c>
      <c r="G1865" s="34" t="s">
        <v>782</v>
      </c>
      <c r="H1865" s="34" t="s">
        <v>783</v>
      </c>
      <c r="I1865" s="55">
        <v>70.257000000000005</v>
      </c>
      <c r="J1865" s="5" t="s">
        <v>238</v>
      </c>
      <c r="K1865" s="34">
        <v>1</v>
      </c>
      <c r="L1865" s="10">
        <v>42269</v>
      </c>
      <c r="M1865" s="9" t="s">
        <v>191</v>
      </c>
      <c r="N1865" s="38">
        <v>50.274999999999999</v>
      </c>
      <c r="O1865" s="38">
        <v>15.75</v>
      </c>
      <c r="P1865" s="38">
        <v>4.25</v>
      </c>
      <c r="Q1865" s="38">
        <v>0</v>
      </c>
      <c r="R1865" s="38">
        <v>3.258</v>
      </c>
      <c r="S1865" s="38">
        <f t="shared" si="246"/>
        <v>3.5</v>
      </c>
      <c r="T1865" s="38">
        <v>64.025000000000006</v>
      </c>
      <c r="U1865" s="38">
        <v>6.25</v>
      </c>
      <c r="V1865" s="38">
        <v>0</v>
      </c>
      <c r="W1865" s="38">
        <v>0</v>
      </c>
      <c r="X1865" s="38">
        <v>2.931</v>
      </c>
      <c r="Y1865" s="38">
        <f t="shared" si="247"/>
        <v>3</v>
      </c>
      <c r="Z1865" s="38">
        <v>0</v>
      </c>
      <c r="AA1865" s="38">
        <v>0</v>
      </c>
      <c r="AB1865" s="38">
        <v>70.275000000000006</v>
      </c>
      <c r="AC1865" s="38">
        <v>1.1200000000000001</v>
      </c>
      <c r="AD1865" s="38">
        <v>3.84</v>
      </c>
      <c r="AE1865" s="38">
        <v>12.8</v>
      </c>
      <c r="AF1865" s="38">
        <f>(AD1865+AE1865*0.5)/(3.5*I1865*1000)*100</f>
        <v>4.1643028961018619E-3</v>
      </c>
      <c r="AG1865" s="38">
        <f t="shared" si="248"/>
        <v>0</v>
      </c>
      <c r="AH1865" s="38">
        <v>2.4500000000000002</v>
      </c>
      <c r="AI1865" s="38">
        <f>AH1865/(3.5*I1865*1000)*100</f>
        <v>9.9634200150874636E-4</v>
      </c>
      <c r="AJ1865" s="38">
        <v>5.8</v>
      </c>
      <c r="AK1865" s="38">
        <f>AJ1865/(3.5*I1865*1000)*100</f>
        <v>2.3586871872451954E-3</v>
      </c>
      <c r="AL1865" s="38">
        <v>1</v>
      </c>
      <c r="AM1865" s="38">
        <f t="shared" si="249"/>
        <v>4.0667020469744745E-4</v>
      </c>
      <c r="AN1865" s="41"/>
      <c r="AO1865" s="41"/>
      <c r="AP1865" s="114"/>
      <c r="AQ1865" s="73"/>
      <c r="AR1865" s="73"/>
      <c r="AS1865" s="73"/>
      <c r="AT1865" s="22"/>
      <c r="AU1865" s="22"/>
      <c r="AV1865" s="22"/>
      <c r="AW1865" s="22"/>
      <c r="AX1865" s="22"/>
      <c r="AY1865" s="22"/>
      <c r="AZ1865" s="22"/>
      <c r="BA1865" s="22"/>
      <c r="BB1865" s="22"/>
      <c r="BC1865" s="22"/>
      <c r="BD1865" s="22"/>
      <c r="BE1865" s="22"/>
      <c r="BF1865" s="22"/>
      <c r="BG1865" s="22"/>
      <c r="BH1865" s="22"/>
      <c r="BI1865" s="22"/>
      <c r="BJ1865" s="22"/>
      <c r="BK1865" s="22"/>
      <c r="BL1865" s="22"/>
      <c r="BM1865" s="22"/>
      <c r="BN1865" s="22"/>
      <c r="BO1865" s="22"/>
      <c r="BP1865" s="22"/>
      <c r="BQ1865" s="22"/>
      <c r="BR1865" s="22"/>
      <c r="BS1865" s="22"/>
      <c r="BT1865" s="22"/>
      <c r="BU1865" s="22"/>
      <c r="BV1865" s="22"/>
      <c r="BW1865" s="22"/>
      <c r="BX1865" s="22"/>
      <c r="BY1865" s="22"/>
      <c r="BZ1865" s="22"/>
      <c r="CA1865" s="22"/>
      <c r="CB1865" s="22"/>
      <c r="CC1865" s="22"/>
      <c r="CD1865" s="22"/>
      <c r="CE1865" s="22"/>
      <c r="CF1865" s="22"/>
      <c r="CG1865" s="22"/>
      <c r="CH1865" s="22"/>
      <c r="CI1865" s="22"/>
      <c r="CJ1865" s="22"/>
    </row>
    <row r="1866" spans="1:88">
      <c r="A1866" s="1">
        <v>1822</v>
      </c>
      <c r="B1866" s="34" t="s">
        <v>2382</v>
      </c>
      <c r="C1866" s="34">
        <v>428</v>
      </c>
      <c r="D1866" s="8">
        <v>3702</v>
      </c>
      <c r="E1866" s="34">
        <v>500</v>
      </c>
      <c r="F1866" s="34" t="s">
        <v>2406</v>
      </c>
      <c r="G1866" s="58" t="s">
        <v>2412</v>
      </c>
      <c r="H1866" s="58" t="s">
        <v>2411</v>
      </c>
      <c r="I1866" s="35">
        <v>6.5</v>
      </c>
      <c r="J1866" s="9">
        <v>2</v>
      </c>
      <c r="K1866" s="34" t="s">
        <v>12</v>
      </c>
      <c r="L1866" s="10">
        <v>42232</v>
      </c>
      <c r="M1866" s="9" t="s">
        <v>191</v>
      </c>
      <c r="N1866" s="38">
        <v>5.7</v>
      </c>
      <c r="O1866" s="38">
        <v>0.67500000000000004</v>
      </c>
      <c r="P1866" s="38">
        <v>0.2</v>
      </c>
      <c r="Q1866" s="38">
        <v>0</v>
      </c>
      <c r="R1866" s="38">
        <v>1.899</v>
      </c>
      <c r="S1866" s="38">
        <f t="shared" si="246"/>
        <v>2</v>
      </c>
      <c r="T1866" s="38">
        <v>6.5</v>
      </c>
      <c r="U1866" s="38">
        <v>7.4999999999999997E-2</v>
      </c>
      <c r="V1866" s="38">
        <v>0</v>
      </c>
      <c r="W1866" s="38">
        <v>0</v>
      </c>
      <c r="X1866" s="38">
        <v>4.9349999999999996</v>
      </c>
      <c r="Y1866" s="38">
        <f t="shared" si="247"/>
        <v>5</v>
      </c>
      <c r="Z1866" s="38">
        <v>0</v>
      </c>
      <c r="AA1866" s="38">
        <v>0</v>
      </c>
      <c r="AB1866" s="38">
        <f>SUM(N1866:Q1866)</f>
        <v>6.5750000000000002</v>
      </c>
      <c r="AC1866" s="38">
        <v>1.0920000000000001</v>
      </c>
      <c r="AD1866" s="38">
        <v>0</v>
      </c>
      <c r="AE1866" s="38">
        <v>1.84</v>
      </c>
      <c r="AF1866" s="38">
        <f>(AD1866+AE1866*0.5)/(3.5*I1866*1000)*100</f>
        <v>4.0439560439560441E-3</v>
      </c>
      <c r="AG1866" s="38">
        <f t="shared" si="248"/>
        <v>0</v>
      </c>
      <c r="AH1866" s="38">
        <v>0</v>
      </c>
      <c r="AI1866" s="38">
        <f>AH1866/(3.5*I1866*1000)*100</f>
        <v>0</v>
      </c>
      <c r="AJ1866" s="38">
        <v>0</v>
      </c>
      <c r="AK1866" s="38">
        <f>AJ1866/(3.5*I1866*1000)*100</f>
        <v>0</v>
      </c>
      <c r="AL1866" s="38">
        <v>0</v>
      </c>
      <c r="AM1866" s="38">
        <f t="shared" si="249"/>
        <v>0</v>
      </c>
      <c r="AN1866" s="25"/>
      <c r="AO1866" s="25">
        <f>AE1866*0.5</f>
        <v>0.92</v>
      </c>
      <c r="AP1866" s="25">
        <f>(AD1866+AH1866+AJ1866+AL1866+AO1866)*I1866</f>
        <v>5.98</v>
      </c>
      <c r="AQ1866" s="25"/>
      <c r="AR1866" s="25"/>
      <c r="AS1866" s="22"/>
      <c r="AT1866" s="41"/>
      <c r="AU1866" s="41"/>
      <c r="AV1866" s="41"/>
      <c r="AW1866" s="41"/>
      <c r="AX1866" s="22"/>
      <c r="AY1866" s="22"/>
      <c r="AZ1866" s="22"/>
      <c r="BA1866" s="22"/>
      <c r="BB1866" s="22"/>
      <c r="BC1866" s="22"/>
      <c r="BD1866" s="22"/>
      <c r="BE1866" s="22"/>
      <c r="BF1866" s="22"/>
      <c r="BG1866" s="22"/>
      <c r="BH1866" s="22"/>
      <c r="BI1866" s="22"/>
      <c r="BJ1866" s="22"/>
      <c r="BK1866" s="22"/>
      <c r="BL1866" s="22"/>
      <c r="BM1866" s="22"/>
      <c r="BN1866" s="22"/>
      <c r="BO1866" s="22"/>
      <c r="BP1866" s="22"/>
      <c r="BQ1866" s="22"/>
      <c r="BR1866" s="22"/>
      <c r="BS1866" s="22"/>
      <c r="BT1866" s="22"/>
      <c r="BU1866" s="22"/>
      <c r="BV1866" s="22"/>
      <c r="BW1866" s="22"/>
      <c r="BX1866" s="22"/>
      <c r="BY1866" s="22"/>
      <c r="BZ1866" s="22"/>
      <c r="CA1866" s="22"/>
      <c r="CB1866" s="22"/>
      <c r="CC1866" s="22"/>
      <c r="CD1866" s="22"/>
      <c r="CE1866" s="22"/>
      <c r="CF1866" s="22"/>
      <c r="CG1866" s="22"/>
      <c r="CH1866" s="22"/>
      <c r="CI1866" s="22"/>
      <c r="CJ1866" s="22"/>
    </row>
    <row r="1867" spans="1:88">
      <c r="A1867" s="1">
        <v>1659</v>
      </c>
      <c r="B1867" s="34" t="s">
        <v>2251</v>
      </c>
      <c r="C1867" s="34">
        <v>418</v>
      </c>
      <c r="D1867" s="69">
        <v>345</v>
      </c>
      <c r="E1867" s="34">
        <v>100</v>
      </c>
      <c r="F1867" s="34" t="s">
        <v>2258</v>
      </c>
      <c r="G1867" s="58" t="s">
        <v>2259</v>
      </c>
      <c r="H1867" s="58" t="s">
        <v>2260</v>
      </c>
      <c r="I1867" s="35">
        <v>8.56</v>
      </c>
      <c r="J1867" s="34">
        <v>4</v>
      </c>
      <c r="K1867" s="34" t="s">
        <v>237</v>
      </c>
      <c r="L1867" s="10">
        <v>42244</v>
      </c>
      <c r="M1867" s="9" t="s">
        <v>191</v>
      </c>
      <c r="N1867" s="55">
        <v>6.3250000000000002</v>
      </c>
      <c r="O1867" s="55">
        <v>1.55</v>
      </c>
      <c r="P1867" s="55">
        <v>0.57499999999999996</v>
      </c>
      <c r="Q1867" s="55">
        <v>0.125</v>
      </c>
      <c r="R1867" s="55">
        <v>2.1699099999999998</v>
      </c>
      <c r="S1867" s="38">
        <f t="shared" si="246"/>
        <v>2</v>
      </c>
      <c r="T1867" s="38">
        <v>7.75</v>
      </c>
      <c r="U1867" s="38">
        <v>0.82499999999999996</v>
      </c>
      <c r="V1867" s="38">
        <v>0</v>
      </c>
      <c r="W1867" s="38">
        <v>0</v>
      </c>
      <c r="X1867" s="38">
        <v>6.2169800000000004</v>
      </c>
      <c r="Y1867" s="38">
        <f t="shared" si="247"/>
        <v>6</v>
      </c>
      <c r="Z1867" s="38">
        <v>0</v>
      </c>
      <c r="AA1867" s="38">
        <v>0</v>
      </c>
      <c r="AB1867" s="38">
        <f>SUM(N1867:Q1867)</f>
        <v>8.5749999999999993</v>
      </c>
      <c r="AC1867" s="38">
        <v>1.0774999999999999</v>
      </c>
      <c r="AD1867" s="38">
        <v>0</v>
      </c>
      <c r="AE1867" s="38">
        <v>2.38</v>
      </c>
      <c r="AF1867" s="38">
        <f>(AD1867+AE1867*0.5)/(3.5*I1867*1000)*100</f>
        <v>3.9719626168224298E-3</v>
      </c>
      <c r="AG1867" s="38">
        <f t="shared" si="248"/>
        <v>0</v>
      </c>
      <c r="AH1867" s="38">
        <v>0</v>
      </c>
      <c r="AI1867" s="38">
        <f>AH1867/(3.5*I1867*1000)*100</f>
        <v>0</v>
      </c>
      <c r="AJ1867" s="38">
        <v>0</v>
      </c>
      <c r="AK1867" s="38">
        <f>AJ1867/(3.5*I1867*1000)*100</f>
        <v>0</v>
      </c>
      <c r="AL1867" s="38">
        <v>0</v>
      </c>
      <c r="AM1867" s="38">
        <f t="shared" si="249"/>
        <v>0</v>
      </c>
      <c r="AN1867" s="25"/>
      <c r="AO1867" s="25">
        <f>AE1867*0.5</f>
        <v>1.19</v>
      </c>
      <c r="AP1867" s="25">
        <f>(AD1867+AH1867+AJ1867+AL1867+AO1867)*I1867</f>
        <v>10.186400000000001</v>
      </c>
      <c r="AQ1867" s="25">
        <f>(AD1867+AH1867+AJ1867+AL1867)*I1867</f>
        <v>0</v>
      </c>
      <c r="AR1867" s="25">
        <f>SUM(N1867:Q1867)</f>
        <v>8.5749999999999993</v>
      </c>
      <c r="AS1867" s="25">
        <f>SUM(T1867:W1867)</f>
        <v>8.5749999999999993</v>
      </c>
      <c r="AT1867" s="22"/>
      <c r="AU1867" s="41"/>
      <c r="AV1867" s="41"/>
      <c r="AW1867" s="41"/>
      <c r="AX1867" s="41"/>
      <c r="AY1867" s="22"/>
      <c r="AZ1867" s="22"/>
      <c r="BA1867" s="22"/>
      <c r="BB1867" s="22"/>
      <c r="BC1867" s="22"/>
      <c r="BD1867" s="22"/>
      <c r="BE1867" s="22"/>
      <c r="BF1867" s="22"/>
      <c r="BG1867" s="22"/>
      <c r="BH1867" s="22"/>
      <c r="BI1867" s="22"/>
      <c r="BJ1867" s="22"/>
      <c r="BK1867" s="22"/>
      <c r="BL1867" s="22"/>
      <c r="BM1867" s="22"/>
      <c r="BN1867" s="22"/>
      <c r="BO1867" s="22"/>
      <c r="BP1867" s="22"/>
      <c r="BQ1867" s="22"/>
      <c r="BR1867" s="22"/>
      <c r="BS1867" s="22"/>
      <c r="BT1867" s="22"/>
      <c r="BU1867" s="22"/>
      <c r="BV1867" s="22"/>
      <c r="BW1867" s="22"/>
      <c r="BX1867" s="22"/>
      <c r="BY1867" s="22"/>
      <c r="BZ1867" s="22"/>
      <c r="CA1867" s="22"/>
      <c r="CB1867" s="22"/>
      <c r="CC1867" s="22"/>
      <c r="CD1867" s="22"/>
      <c r="CE1867" s="22"/>
      <c r="CF1867" s="22"/>
      <c r="CG1867" s="22"/>
      <c r="CH1867" s="22"/>
      <c r="CI1867" s="22"/>
      <c r="CJ1867" s="22"/>
    </row>
    <row r="1868" spans="1:88" s="22" customFormat="1">
      <c r="A1868" s="1">
        <v>2071</v>
      </c>
      <c r="B1868" s="34" t="s">
        <v>2715</v>
      </c>
      <c r="C1868" s="34">
        <v>329</v>
      </c>
      <c r="D1868" s="75">
        <v>4009</v>
      </c>
      <c r="E1868" s="8">
        <v>203</v>
      </c>
      <c r="F1868" s="34" t="s">
        <v>2717</v>
      </c>
      <c r="G1868" s="58">
        <v>110352</v>
      </c>
      <c r="H1868" s="58">
        <v>119437</v>
      </c>
      <c r="I1868" s="21">
        <v>9.0850000000000009</v>
      </c>
      <c r="J1868" s="8">
        <v>2</v>
      </c>
      <c r="K1868" s="8" t="s">
        <v>238</v>
      </c>
      <c r="L1868" s="18">
        <v>42121</v>
      </c>
      <c r="M1868" s="9" t="s">
        <v>191</v>
      </c>
      <c r="N1868" s="38">
        <v>5.75</v>
      </c>
      <c r="O1868" s="38">
        <v>2.25</v>
      </c>
      <c r="P1868" s="38">
        <v>0.625</v>
      </c>
      <c r="Q1868" s="38">
        <v>0.35</v>
      </c>
      <c r="R1868" s="38">
        <v>2.3740100000000002</v>
      </c>
      <c r="S1868" s="38">
        <f t="shared" si="246"/>
        <v>2.5</v>
      </c>
      <c r="T1868" s="38">
        <v>8.6999999999999993</v>
      </c>
      <c r="U1868" s="38">
        <v>0.2</v>
      </c>
      <c r="V1868" s="38">
        <v>7.4999999999999997E-2</v>
      </c>
      <c r="W1868" s="38">
        <v>0</v>
      </c>
      <c r="X1868" s="38">
        <v>4.7862200000000001</v>
      </c>
      <c r="Y1868" s="38">
        <f t="shared" si="247"/>
        <v>5</v>
      </c>
      <c r="Z1868" s="38">
        <v>0</v>
      </c>
      <c r="AA1868" s="38">
        <v>0</v>
      </c>
      <c r="AB1868" s="38">
        <v>8.9749999999999996</v>
      </c>
      <c r="AC1868" s="38">
        <v>1.21702</v>
      </c>
      <c r="AD1868" s="38">
        <v>0</v>
      </c>
      <c r="AE1868" s="38">
        <v>2.48</v>
      </c>
      <c r="AF1868" s="38">
        <v>3.8996776476138057E-3</v>
      </c>
      <c r="AG1868" s="38">
        <f t="shared" si="248"/>
        <v>0</v>
      </c>
      <c r="AH1868" s="38">
        <v>1.28</v>
      </c>
      <c r="AI1868" s="38">
        <v>4.0254737007626379E-3</v>
      </c>
      <c r="AJ1868" s="38">
        <v>0</v>
      </c>
      <c r="AK1868" s="38">
        <v>0</v>
      </c>
      <c r="AL1868" s="38">
        <v>0</v>
      </c>
      <c r="AM1868" s="38">
        <f t="shared" si="249"/>
        <v>0</v>
      </c>
      <c r="AN1868" s="12"/>
      <c r="AO1868" s="12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</row>
    <row r="1869" spans="1:88" s="22" customFormat="1">
      <c r="A1869" s="1">
        <v>378</v>
      </c>
      <c r="B1869" s="67" t="s">
        <v>626</v>
      </c>
      <c r="C1869" s="34">
        <v>517</v>
      </c>
      <c r="D1869" s="68">
        <v>101</v>
      </c>
      <c r="E1869" s="69">
        <v>100</v>
      </c>
      <c r="F1869" s="88" t="s">
        <v>627</v>
      </c>
      <c r="G1869" s="6" t="s">
        <v>92</v>
      </c>
      <c r="H1869" s="6" t="s">
        <v>574</v>
      </c>
      <c r="I1869" s="7">
        <v>16.163</v>
      </c>
      <c r="J1869" s="89">
        <v>2</v>
      </c>
      <c r="K1869" s="34" t="s">
        <v>238</v>
      </c>
      <c r="L1869" s="18">
        <v>42261</v>
      </c>
      <c r="M1869" s="71" t="s">
        <v>191</v>
      </c>
      <c r="N1869" s="38">
        <v>8.4700000000000006</v>
      </c>
      <c r="O1869" s="38">
        <v>4.8600000000000003</v>
      </c>
      <c r="P1869" s="38">
        <v>1.9</v>
      </c>
      <c r="Q1869" s="38">
        <v>0.93</v>
      </c>
      <c r="R1869" s="38">
        <v>2.8337699999999999</v>
      </c>
      <c r="S1869" s="38">
        <f t="shared" si="246"/>
        <v>3</v>
      </c>
      <c r="T1869" s="38">
        <v>15.91</v>
      </c>
      <c r="U1869" s="38">
        <v>0.25</v>
      </c>
      <c r="V1869" s="38">
        <v>0</v>
      </c>
      <c r="W1869" s="38">
        <v>0</v>
      </c>
      <c r="X1869" s="38">
        <v>3.08202</v>
      </c>
      <c r="Y1869" s="38">
        <f t="shared" si="247"/>
        <v>3</v>
      </c>
      <c r="Z1869" s="38">
        <v>0</v>
      </c>
      <c r="AA1869" s="38">
        <v>0</v>
      </c>
      <c r="AB1869" s="38">
        <v>16.16</v>
      </c>
      <c r="AC1869" s="38">
        <v>1.0728500000000001</v>
      </c>
      <c r="AD1869" s="38">
        <v>0</v>
      </c>
      <c r="AE1869" s="38">
        <v>4.3680000000000003</v>
      </c>
      <c r="AF1869" s="38">
        <f>(AD1869+AE1869*0.5)/(3.5*I1869*1000)*100</f>
        <v>3.8606694301800406E-3</v>
      </c>
      <c r="AG1869" s="38">
        <f t="shared" si="248"/>
        <v>0</v>
      </c>
      <c r="AH1869" s="38">
        <v>77.257999999999996</v>
      </c>
      <c r="AI1869" s="38">
        <f>AH1869/(3.5*I1869*1000)*100</f>
        <v>0.1365694133868359</v>
      </c>
      <c r="AJ1869" s="38">
        <v>0</v>
      </c>
      <c r="AK1869" s="38">
        <f>AJ1869/(3.5*I1869*1000)*100</f>
        <v>0</v>
      </c>
      <c r="AL1869" s="38">
        <v>0</v>
      </c>
      <c r="AM1869" s="38">
        <f t="shared" si="249"/>
        <v>0</v>
      </c>
      <c r="AQ1869" s="25">
        <f>SUM(N1869:Q1869)</f>
        <v>16.160000000000004</v>
      </c>
      <c r="AR1869" s="25">
        <f>SUM(T1869:W1869)</f>
        <v>16.16</v>
      </c>
      <c r="AS1869" s="25">
        <f>SUM(Z1869:AB1869)</f>
        <v>16.16</v>
      </c>
      <c r="AU1869" s="1">
        <f>I1869/AQ1869</f>
        <v>1.0001856435643561</v>
      </c>
      <c r="AV1869" s="1">
        <f>I1869/AR1869</f>
        <v>1.0001856435643564</v>
      </c>
      <c r="AW1869" s="1">
        <f>I1869/AS1869</f>
        <v>1.0001856435643564</v>
      </c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</row>
    <row r="1870" spans="1:88" s="22" customFormat="1">
      <c r="A1870" s="1">
        <v>201</v>
      </c>
      <c r="B1870" s="34" t="s">
        <v>383</v>
      </c>
      <c r="C1870" s="34">
        <v>535</v>
      </c>
      <c r="D1870" s="34">
        <v>1093</v>
      </c>
      <c r="E1870" s="34">
        <v>100</v>
      </c>
      <c r="F1870" s="34" t="s">
        <v>394</v>
      </c>
      <c r="G1870" s="20" t="s">
        <v>92</v>
      </c>
      <c r="H1870" s="20" t="s">
        <v>395</v>
      </c>
      <c r="I1870" s="35">
        <v>40.427</v>
      </c>
      <c r="J1870" s="36">
        <v>2</v>
      </c>
      <c r="K1870" s="34" t="s">
        <v>12</v>
      </c>
      <c r="L1870" s="18">
        <v>42199</v>
      </c>
      <c r="M1870" s="9" t="s">
        <v>191</v>
      </c>
      <c r="N1870" s="38">
        <v>21.58</v>
      </c>
      <c r="O1870" s="38">
        <v>8.0299999999999994</v>
      </c>
      <c r="P1870" s="38">
        <v>6.17</v>
      </c>
      <c r="Q1870" s="38">
        <v>4.6500000000000004</v>
      </c>
      <c r="R1870" s="38">
        <v>3.15</v>
      </c>
      <c r="S1870" s="38">
        <f t="shared" si="246"/>
        <v>3</v>
      </c>
      <c r="T1870" s="38">
        <v>36.36</v>
      </c>
      <c r="U1870" s="38">
        <v>2.71</v>
      </c>
      <c r="V1870" s="38">
        <v>0.74</v>
      </c>
      <c r="W1870" s="38">
        <v>0.64</v>
      </c>
      <c r="X1870" s="38">
        <v>5.5289999999999999</v>
      </c>
      <c r="Y1870" s="38">
        <f t="shared" si="247"/>
        <v>5.5</v>
      </c>
      <c r="Z1870" s="38">
        <v>0</v>
      </c>
      <c r="AA1870" s="38">
        <v>0</v>
      </c>
      <c r="AB1870" s="38">
        <v>40.43</v>
      </c>
      <c r="AC1870" s="38">
        <v>1.3939999999999999</v>
      </c>
      <c r="AD1870" s="38">
        <v>5.28</v>
      </c>
      <c r="AE1870" s="38">
        <v>0</v>
      </c>
      <c r="AF1870" s="38">
        <f>(AD1870+AE1870*0.5)/(3.5*I1870*1000)*100</f>
        <v>3.731593807533155E-3</v>
      </c>
      <c r="AG1870" s="38">
        <f t="shared" si="248"/>
        <v>0</v>
      </c>
      <c r="AH1870" s="38">
        <v>346.59</v>
      </c>
      <c r="AI1870" s="38">
        <f>AH1870/(3.5*I1870*1000)*100</f>
        <v>0.2449494503319917</v>
      </c>
      <c r="AJ1870" s="38">
        <v>58.09</v>
      </c>
      <c r="AK1870" s="38">
        <f>AJ1870/(3.5*I1870*1000)*100</f>
        <v>4.1054599295378975E-2</v>
      </c>
      <c r="AL1870" s="38">
        <v>130.22</v>
      </c>
      <c r="AM1870" s="38">
        <f t="shared" si="249"/>
        <v>9.2031845760789294E-2</v>
      </c>
      <c r="AN1870" s="25"/>
      <c r="AO1870" s="25"/>
      <c r="AP1870" s="25">
        <f>AE1870*0.5</f>
        <v>0</v>
      </c>
      <c r="AQ1870" s="25">
        <f>(AD1870+AH1870+AJ1870+AL1870+AP1870)*I1870</f>
        <v>21837.856859999996</v>
      </c>
      <c r="AR1870" s="25"/>
      <c r="AS1870" s="25"/>
      <c r="AT1870" s="25"/>
      <c r="AU1870" s="41">
        <f>SUM(N1870:Q1870)</f>
        <v>40.43</v>
      </c>
      <c r="AV1870" s="41">
        <f>SUM(T1870:W1870)</f>
        <v>40.450000000000003</v>
      </c>
      <c r="AW1870" s="41">
        <f>SUM(Z1870:AB1870)</f>
        <v>40.43</v>
      </c>
      <c r="AX1870" s="41"/>
      <c r="AY1870" s="22">
        <f>I1870/AU1870</f>
        <v>0.99992579767499379</v>
      </c>
      <c r="AZ1870" s="22">
        <f>I1870/AV1870</f>
        <v>0.99943139678615567</v>
      </c>
      <c r="BA1870" s="22">
        <f>I1870/AW1870</f>
        <v>0.99992579767499379</v>
      </c>
    </row>
    <row r="1871" spans="1:88" s="22" customFormat="1">
      <c r="A1871" s="1">
        <v>815</v>
      </c>
      <c r="B1871" s="34" t="s">
        <v>1204</v>
      </c>
      <c r="C1871" s="34">
        <v>647</v>
      </c>
      <c r="D1871" s="8">
        <v>214</v>
      </c>
      <c r="E1871" s="34">
        <v>100</v>
      </c>
      <c r="F1871" s="34" t="s">
        <v>1207</v>
      </c>
      <c r="G1871" s="58">
        <v>12500</v>
      </c>
      <c r="H1871" s="58">
        <v>1000</v>
      </c>
      <c r="I1871" s="35">
        <v>11.5</v>
      </c>
      <c r="J1871" s="9">
        <v>4</v>
      </c>
      <c r="K1871" s="34" t="s">
        <v>12</v>
      </c>
      <c r="L1871" s="10">
        <v>42153</v>
      </c>
      <c r="M1871" s="9" t="s">
        <v>191</v>
      </c>
      <c r="N1871" s="38">
        <v>7.2</v>
      </c>
      <c r="O1871" s="38">
        <v>2.2999999999999998</v>
      </c>
      <c r="P1871" s="38">
        <v>1.2749999999999999</v>
      </c>
      <c r="Q1871" s="38">
        <v>0.7</v>
      </c>
      <c r="R1871" s="38">
        <v>2.8239999999999998</v>
      </c>
      <c r="S1871" s="38">
        <f t="shared" si="246"/>
        <v>3</v>
      </c>
      <c r="T1871" s="38">
        <v>9.65</v>
      </c>
      <c r="U1871" s="38">
        <v>1.55</v>
      </c>
      <c r="V1871" s="38">
        <v>0.25</v>
      </c>
      <c r="W1871" s="38">
        <v>2.5000000000000001E-2</v>
      </c>
      <c r="X1871" s="38">
        <v>6.6849999999999996</v>
      </c>
      <c r="Y1871" s="38">
        <f t="shared" si="247"/>
        <v>6.5</v>
      </c>
      <c r="Z1871" s="38">
        <v>0</v>
      </c>
      <c r="AA1871" s="38">
        <v>0</v>
      </c>
      <c r="AB1871" s="38">
        <f>N1871+O1871+P1871+Q1871</f>
        <v>11.475</v>
      </c>
      <c r="AC1871" s="38">
        <v>1.1020000000000001</v>
      </c>
      <c r="AD1871" s="38">
        <v>0</v>
      </c>
      <c r="AE1871" s="38">
        <v>3</v>
      </c>
      <c r="AF1871" s="38">
        <f>(AD1871+AE1871*0.5)/(3.5*I1871*1000)*100</f>
        <v>3.7267080745341614E-3</v>
      </c>
      <c r="AG1871" s="38">
        <f t="shared" si="248"/>
        <v>0</v>
      </c>
      <c r="AH1871" s="38">
        <v>1616</v>
      </c>
      <c r="AI1871" s="38">
        <f>AH1871/(3.5*I1871*1000)*100</f>
        <v>4.0149068322981369</v>
      </c>
      <c r="AJ1871" s="38">
        <v>10</v>
      </c>
      <c r="AK1871" s="38">
        <f>AJ1871/(3.5*I1871*1000)*100</f>
        <v>2.4844720496894412E-2</v>
      </c>
      <c r="AL1871" s="38">
        <v>0</v>
      </c>
      <c r="AM1871" s="38">
        <f t="shared" si="249"/>
        <v>0</v>
      </c>
      <c r="AN1871" s="25"/>
      <c r="AO1871" s="25">
        <f>AE1871*0.5</f>
        <v>1.5</v>
      </c>
      <c r="AP1871" s="25">
        <f>(AD1871+AH1871+AJ1871+AL1871+AO1871)*I1871</f>
        <v>18716.25</v>
      </c>
      <c r="AQ1871" s="25">
        <f>SUM(N1871:Q1871)</f>
        <v>11.475</v>
      </c>
      <c r="AR1871" s="25">
        <f>SUM(T1871:W1871)</f>
        <v>11.475000000000001</v>
      </c>
      <c r="AS1871" s="268">
        <v>25</v>
      </c>
      <c r="AT1871" s="41"/>
      <c r="AU1871" s="41"/>
      <c r="AV1871" s="41"/>
      <c r="AW1871" s="41"/>
    </row>
    <row r="1872" spans="1:88">
      <c r="A1872" s="1">
        <v>979</v>
      </c>
      <c r="B1872" s="9" t="s">
        <v>1359</v>
      </c>
      <c r="C1872" s="9">
        <v>612</v>
      </c>
      <c r="D1872" s="8">
        <v>2311</v>
      </c>
      <c r="E1872" s="9">
        <v>100</v>
      </c>
      <c r="F1872" s="9" t="s">
        <v>1378</v>
      </c>
      <c r="G1872" s="20">
        <v>10212</v>
      </c>
      <c r="H1872" s="20">
        <v>0</v>
      </c>
      <c r="I1872" s="35">
        <v>10.212</v>
      </c>
      <c r="J1872" s="9">
        <v>2</v>
      </c>
      <c r="K1872" s="9" t="s">
        <v>12</v>
      </c>
      <c r="L1872" s="18">
        <v>42116</v>
      </c>
      <c r="M1872" s="9" t="s">
        <v>191</v>
      </c>
      <c r="N1872" s="11">
        <v>9.1750000000000007</v>
      </c>
      <c r="O1872" s="11">
        <v>0.625</v>
      </c>
      <c r="P1872" s="11">
        <v>7.4999999999999997E-2</v>
      </c>
      <c r="Q1872" s="11">
        <v>0.15</v>
      </c>
      <c r="R1872" s="11">
        <v>0.31391999999999998</v>
      </c>
      <c r="S1872" s="38">
        <f t="shared" si="246"/>
        <v>0.5</v>
      </c>
      <c r="T1872" s="11">
        <v>10</v>
      </c>
      <c r="U1872" s="11">
        <v>2.5000000000000001E-2</v>
      </c>
      <c r="V1872" s="11">
        <v>0</v>
      </c>
      <c r="W1872" s="11">
        <v>0.11891</v>
      </c>
      <c r="X1872" s="11">
        <v>2.5603600000000002</v>
      </c>
      <c r="Y1872" s="38">
        <f t="shared" si="247"/>
        <v>2.5</v>
      </c>
      <c r="Z1872" s="11">
        <v>0</v>
      </c>
      <c r="AA1872" s="11">
        <v>0</v>
      </c>
      <c r="AB1872" s="11">
        <f>SUM(N1872:Q1872)</f>
        <v>10.025</v>
      </c>
      <c r="AC1872" s="11">
        <v>1.0390200000000001</v>
      </c>
      <c r="AD1872" s="11">
        <v>0.78</v>
      </c>
      <c r="AE1872" s="11">
        <v>0</v>
      </c>
      <c r="AF1872" s="11">
        <v>3.7100000000000002E-3</v>
      </c>
      <c r="AG1872" s="38">
        <f t="shared" si="248"/>
        <v>0</v>
      </c>
      <c r="AH1872" s="11">
        <v>66</v>
      </c>
      <c r="AI1872" s="11">
        <v>0.31391999999999998</v>
      </c>
      <c r="AJ1872" s="11">
        <v>0</v>
      </c>
      <c r="AK1872" s="11">
        <v>0</v>
      </c>
      <c r="AL1872" s="11">
        <v>25</v>
      </c>
      <c r="AM1872" s="11">
        <v>0.11891</v>
      </c>
      <c r="AN1872" s="72"/>
      <c r="AO1872" s="72"/>
      <c r="AP1872" s="72">
        <f>AE1872*0.5</f>
        <v>0</v>
      </c>
      <c r="AQ1872" s="25">
        <f>(AD1871+AH1871+AJ1871+AL1871+AP1872)*I1871</f>
        <v>18699</v>
      </c>
      <c r="AR1872" s="25"/>
      <c r="AS1872" s="25"/>
      <c r="AT1872" s="25"/>
      <c r="AU1872" s="25">
        <f>SUM(N1872:Q1872)</f>
        <v>10.025</v>
      </c>
      <c r="AV1872" s="41">
        <f>SUM(T1872:W1872)</f>
        <v>10.14391</v>
      </c>
      <c r="AW1872" s="41"/>
      <c r="AX1872" s="41"/>
      <c r="AY1872" s="41"/>
      <c r="AZ1872" s="22"/>
    </row>
    <row r="1873" spans="1:88">
      <c r="A1873" s="1">
        <v>981</v>
      </c>
      <c r="B1873" s="9" t="s">
        <v>1359</v>
      </c>
      <c r="C1873" s="9">
        <v>612</v>
      </c>
      <c r="D1873" s="8">
        <v>2434</v>
      </c>
      <c r="E1873" s="9">
        <v>100</v>
      </c>
      <c r="F1873" s="9" t="s">
        <v>1379</v>
      </c>
      <c r="G1873" s="20">
        <v>6007</v>
      </c>
      <c r="H1873" s="20">
        <v>0</v>
      </c>
      <c r="I1873" s="35">
        <v>6.0069999999999997</v>
      </c>
      <c r="J1873" s="9">
        <v>4</v>
      </c>
      <c r="K1873" s="9" t="s">
        <v>96</v>
      </c>
      <c r="L1873" s="18">
        <v>42116</v>
      </c>
      <c r="M1873" s="9" t="s">
        <v>191</v>
      </c>
      <c r="N1873" s="11">
        <v>5.2</v>
      </c>
      <c r="O1873" s="11">
        <v>0.42499999999999999</v>
      </c>
      <c r="P1873" s="11">
        <v>0.22500000000000001</v>
      </c>
      <c r="Q1873" s="11">
        <v>0.15</v>
      </c>
      <c r="R1873" s="11">
        <v>2.0672199999999998</v>
      </c>
      <c r="S1873" s="38">
        <f t="shared" si="246"/>
        <v>2</v>
      </c>
      <c r="T1873" s="11">
        <v>5.9749999999999996</v>
      </c>
      <c r="U1873" s="11">
        <v>2.5000000000000001E-2</v>
      </c>
      <c r="V1873" s="11">
        <v>0</v>
      </c>
      <c r="W1873" s="11">
        <v>0</v>
      </c>
      <c r="X1873" s="11">
        <v>3.51546</v>
      </c>
      <c r="Y1873" s="38">
        <f t="shared" si="247"/>
        <v>3.5</v>
      </c>
      <c r="Z1873" s="11">
        <v>0</v>
      </c>
      <c r="AA1873" s="11">
        <v>0</v>
      </c>
      <c r="AB1873" s="11">
        <f>SUM(N1873:Q1873)</f>
        <v>6</v>
      </c>
      <c r="AC1873" s="11">
        <v>1.1569700000000001</v>
      </c>
      <c r="AD1873" s="11">
        <v>0.78</v>
      </c>
      <c r="AE1873" s="11">
        <v>0</v>
      </c>
      <c r="AF1873" s="11">
        <v>3.7100000000000002E-3</v>
      </c>
      <c r="AG1873" s="38">
        <f t="shared" si="248"/>
        <v>0</v>
      </c>
      <c r="AH1873" s="11">
        <v>66</v>
      </c>
      <c r="AI1873" s="11">
        <v>0.31391999999999998</v>
      </c>
      <c r="AJ1873" s="11">
        <v>0</v>
      </c>
      <c r="AK1873" s="11">
        <v>0</v>
      </c>
      <c r="AL1873" s="11">
        <v>25</v>
      </c>
      <c r="AM1873" s="11">
        <v>0.11891</v>
      </c>
      <c r="AN1873" s="72"/>
      <c r="AO1873" s="72"/>
      <c r="AP1873" s="72">
        <f>AE1873*0.5</f>
        <v>0</v>
      </c>
      <c r="AQ1873" s="25">
        <f>(AD1872+AH1872+AJ1872+AL1872+AP1873)*I1872</f>
        <v>937.25735999999995</v>
      </c>
      <c r="AR1873" s="25"/>
      <c r="AS1873" s="25"/>
      <c r="AT1873" s="25"/>
      <c r="AU1873" s="25">
        <f>SUM(N1873:Q1873)</f>
        <v>6</v>
      </c>
      <c r="AV1873" s="41">
        <f>SUM(T1873:W1873)</f>
        <v>6</v>
      </c>
      <c r="AW1873" s="41"/>
      <c r="AX1873" s="41"/>
      <c r="AY1873" s="41"/>
      <c r="AZ1873" s="22"/>
      <c r="BA1873" s="22"/>
      <c r="BB1873" s="22"/>
      <c r="BC1873" s="22"/>
      <c r="BD1873" s="22"/>
      <c r="BE1873" s="22"/>
      <c r="BF1873" s="22"/>
      <c r="BG1873" s="22"/>
      <c r="BH1873" s="22"/>
      <c r="BI1873" s="22"/>
      <c r="BJ1873" s="22"/>
      <c r="BK1873" s="22"/>
      <c r="BL1873" s="22"/>
      <c r="BM1873" s="22"/>
      <c r="BN1873" s="22"/>
      <c r="BO1873" s="22"/>
      <c r="BP1873" s="22"/>
      <c r="BQ1873" s="22"/>
      <c r="BR1873" s="22"/>
      <c r="BS1873" s="22"/>
      <c r="BT1873" s="22"/>
      <c r="BU1873" s="22"/>
      <c r="BV1873" s="22"/>
      <c r="BW1873" s="22"/>
      <c r="BX1873" s="22"/>
      <c r="BY1873" s="22"/>
      <c r="BZ1873" s="22"/>
      <c r="CA1873" s="22"/>
      <c r="CB1873" s="22"/>
      <c r="CC1873" s="22"/>
      <c r="CD1873" s="22"/>
      <c r="CE1873" s="22"/>
      <c r="CF1873" s="22"/>
      <c r="CG1873" s="22"/>
      <c r="CH1873" s="22"/>
      <c r="CI1873" s="22"/>
      <c r="CJ1873" s="22"/>
    </row>
    <row r="1874" spans="1:88">
      <c r="A1874" s="1">
        <v>2143</v>
      </c>
      <c r="B1874" s="34" t="s">
        <v>2780</v>
      </c>
      <c r="C1874" s="34">
        <v>327</v>
      </c>
      <c r="D1874" s="75">
        <v>4009</v>
      </c>
      <c r="E1874" s="8">
        <v>300</v>
      </c>
      <c r="F1874" s="9" t="s">
        <v>2784</v>
      </c>
      <c r="G1874" s="20">
        <v>150887</v>
      </c>
      <c r="H1874" s="20">
        <v>119437</v>
      </c>
      <c r="I1874" s="21">
        <v>31.45</v>
      </c>
      <c r="J1874" s="9">
        <v>2</v>
      </c>
      <c r="K1874" s="9" t="s">
        <v>12</v>
      </c>
      <c r="L1874" s="18">
        <v>42135</v>
      </c>
      <c r="M1874" s="9" t="s">
        <v>191</v>
      </c>
      <c r="N1874" s="38">
        <v>23.2</v>
      </c>
      <c r="O1874" s="38">
        <v>5.9749999999999996</v>
      </c>
      <c r="P1874" s="38">
        <v>1.6</v>
      </c>
      <c r="Q1874" s="38">
        <v>0.47499999999999998</v>
      </c>
      <c r="R1874" s="38">
        <v>2.2408800000000002</v>
      </c>
      <c r="S1874" s="38">
        <f t="shared" si="246"/>
        <v>2</v>
      </c>
      <c r="T1874" s="38">
        <v>29.774999999999999</v>
      </c>
      <c r="U1874" s="38">
        <v>1.2250000000000001</v>
      </c>
      <c r="V1874" s="38">
        <v>0.2</v>
      </c>
      <c r="W1874" s="38">
        <v>0.05</v>
      </c>
      <c r="X1874" s="38">
        <v>4.8422599999999996</v>
      </c>
      <c r="Y1874" s="38">
        <f t="shared" si="247"/>
        <v>5</v>
      </c>
      <c r="Z1874" s="38">
        <v>0</v>
      </c>
      <c r="AA1874" s="38">
        <v>0</v>
      </c>
      <c r="AB1874" s="38">
        <v>31.25</v>
      </c>
      <c r="AC1874" s="38">
        <v>1.24919</v>
      </c>
      <c r="AD1874" s="38">
        <v>0</v>
      </c>
      <c r="AE1874" s="38">
        <v>8</v>
      </c>
      <c r="AF1874" s="38">
        <f>(AD1874+AE1874*0.5)/(3.5*I1874*1000)*100</f>
        <v>3.6338859868271633E-3</v>
      </c>
      <c r="AG1874" s="38">
        <f t="shared" si="248"/>
        <v>0</v>
      </c>
      <c r="AH1874" s="38">
        <v>0</v>
      </c>
      <c r="AI1874" s="38">
        <f>AH1874/(3.5*I1874*1000)*100</f>
        <v>0</v>
      </c>
      <c r="AJ1874" s="38">
        <v>0</v>
      </c>
      <c r="AK1874" s="38">
        <f>AJ1874/(3.5*I1874*1000)*100</f>
        <v>0</v>
      </c>
      <c r="AL1874" s="38">
        <v>0</v>
      </c>
      <c r="AM1874" s="38">
        <f>AL1874/(3.5*I1874*1000)*100</f>
        <v>0</v>
      </c>
      <c r="AN1874" s="25"/>
      <c r="AO1874" s="25"/>
      <c r="AP1874" s="22"/>
      <c r="AQ1874" s="22"/>
      <c r="AR1874" s="22"/>
      <c r="AS1874" s="22"/>
      <c r="AT1874" s="22"/>
      <c r="AU1874" s="22"/>
      <c r="AV1874" s="22"/>
      <c r="AW1874" s="22"/>
      <c r="AX1874" s="22"/>
      <c r="AY1874" s="22"/>
      <c r="AZ1874" s="22"/>
      <c r="BA1874" s="22"/>
      <c r="BB1874" s="22"/>
      <c r="BC1874" s="22"/>
      <c r="BD1874" s="22"/>
      <c r="BE1874" s="22"/>
      <c r="BF1874" s="22"/>
      <c r="BG1874" s="22"/>
      <c r="BH1874" s="22"/>
      <c r="BI1874" s="22"/>
      <c r="BJ1874" s="22"/>
      <c r="BK1874" s="22"/>
      <c r="BL1874" s="22"/>
      <c r="BM1874" s="22"/>
      <c r="BN1874" s="22"/>
      <c r="BO1874" s="22"/>
      <c r="BP1874" s="22"/>
      <c r="BQ1874" s="22"/>
      <c r="BR1874" s="22"/>
      <c r="BS1874" s="22"/>
      <c r="BT1874" s="22"/>
      <c r="BU1874" s="22"/>
      <c r="BV1874" s="22"/>
      <c r="BW1874" s="22"/>
      <c r="BX1874" s="22"/>
      <c r="BY1874" s="22"/>
      <c r="BZ1874" s="22"/>
      <c r="CA1874" s="22"/>
      <c r="CB1874" s="22"/>
      <c r="CC1874" s="22"/>
      <c r="CD1874" s="22"/>
      <c r="CE1874" s="22"/>
      <c r="CF1874" s="22"/>
      <c r="CG1874" s="22"/>
      <c r="CH1874" s="22"/>
      <c r="CI1874" s="22"/>
      <c r="CJ1874" s="22"/>
    </row>
    <row r="1875" spans="1:88">
      <c r="A1875" s="1">
        <v>299</v>
      </c>
      <c r="B1875" s="34" t="s">
        <v>509</v>
      </c>
      <c r="C1875" s="34">
        <v>642</v>
      </c>
      <c r="D1875" s="34">
        <v>2355</v>
      </c>
      <c r="E1875" s="34">
        <v>100</v>
      </c>
      <c r="F1875" s="34" t="s">
        <v>527</v>
      </c>
      <c r="G1875" s="58">
        <v>0</v>
      </c>
      <c r="H1875" s="58">
        <v>23934</v>
      </c>
      <c r="I1875" s="35">
        <v>23.934000000000001</v>
      </c>
      <c r="J1875" s="62">
        <v>2</v>
      </c>
      <c r="K1875" s="34" t="s">
        <v>238</v>
      </c>
      <c r="L1875" s="10">
        <v>42161</v>
      </c>
      <c r="M1875" s="9" t="s">
        <v>191</v>
      </c>
      <c r="N1875" s="38">
        <v>16.524999999999999</v>
      </c>
      <c r="O1875" s="38">
        <v>5.0750000000000002</v>
      </c>
      <c r="P1875" s="38">
        <v>1.825</v>
      </c>
      <c r="Q1875" s="38">
        <v>0.4</v>
      </c>
      <c r="R1875" s="38">
        <v>2.34023</v>
      </c>
      <c r="S1875" s="38">
        <f t="shared" si="246"/>
        <v>2.5</v>
      </c>
      <c r="T1875" s="38">
        <v>23</v>
      </c>
      <c r="U1875" s="38">
        <v>0.625</v>
      </c>
      <c r="V1875" s="38">
        <v>0.17499999999999999</v>
      </c>
      <c r="W1875" s="38">
        <v>2.5000000000000001E-2</v>
      </c>
      <c r="X1875" s="38">
        <v>5.0485100000000003</v>
      </c>
      <c r="Y1875" s="38">
        <f t="shared" si="247"/>
        <v>5</v>
      </c>
      <c r="Z1875" s="38">
        <v>0</v>
      </c>
      <c r="AA1875" s="38">
        <v>0</v>
      </c>
      <c r="AB1875" s="38">
        <f>T1875+U1875+V1875+W1875</f>
        <v>23.824999999999999</v>
      </c>
      <c r="AC1875" s="38">
        <v>1.23729</v>
      </c>
      <c r="AD1875" s="38">
        <v>0</v>
      </c>
      <c r="AE1875" s="38">
        <v>6</v>
      </c>
      <c r="AF1875" s="38">
        <v>3.5812770834079428E-3</v>
      </c>
      <c r="AG1875" s="38">
        <f t="shared" si="248"/>
        <v>0</v>
      </c>
      <c r="AH1875" s="38">
        <v>0</v>
      </c>
      <c r="AI1875" s="38">
        <v>0</v>
      </c>
      <c r="AJ1875" s="38">
        <v>0</v>
      </c>
      <c r="AK1875" s="38">
        <v>0</v>
      </c>
      <c r="AL1875" s="38">
        <v>0</v>
      </c>
      <c r="AM1875" s="38">
        <v>0</v>
      </c>
      <c r="AN1875" s="60"/>
      <c r="AO1875" s="60"/>
      <c r="AP1875" s="60">
        <f>AE1875*0.5</f>
        <v>3</v>
      </c>
      <c r="AQ1875" s="64">
        <f>(AD1875+AH1875+AJ1875+AL1875+AP1875)*I1875</f>
        <v>71.802000000000007</v>
      </c>
      <c r="AR1875" s="60"/>
      <c r="AS1875" s="25">
        <f>SUM(N1875:Q1875)</f>
        <v>23.824999999999996</v>
      </c>
      <c r="AT1875" s="25"/>
      <c r="AU1875" s="41">
        <f>SUM(N1875:Q1875)</f>
        <v>23.824999999999996</v>
      </c>
      <c r="AV1875" s="41">
        <f>SUM(T1875:W1875)</f>
        <v>23.824999999999999</v>
      </c>
      <c r="AW1875" s="41">
        <f>SUM(Z1875:AB1875)</f>
        <v>23.824999999999999</v>
      </c>
      <c r="AX1875" s="22"/>
      <c r="AY1875" s="22">
        <f>I1875/AU1875</f>
        <v>1.0045750262329487</v>
      </c>
      <c r="AZ1875" s="22">
        <f>I1875/AV1875</f>
        <v>1.0045750262329487</v>
      </c>
      <c r="BA1875" s="22">
        <f>I1875/AW1875</f>
        <v>1.0045750262329487</v>
      </c>
      <c r="BB1875" s="64"/>
      <c r="BC1875" s="64"/>
      <c r="BD1875" s="64"/>
      <c r="BE1875" s="64"/>
      <c r="BF1875" s="64"/>
      <c r="BG1875" s="64"/>
      <c r="BH1875" s="64"/>
      <c r="BI1875" s="64"/>
      <c r="BJ1875" s="64"/>
      <c r="BK1875" s="64"/>
      <c r="BL1875" s="64"/>
      <c r="BM1875" s="64"/>
      <c r="BN1875" s="64"/>
      <c r="BO1875" s="64"/>
      <c r="BP1875" s="64"/>
      <c r="BQ1875" s="64"/>
      <c r="BR1875" s="64"/>
      <c r="BS1875" s="64"/>
      <c r="BT1875" s="64"/>
      <c r="BU1875" s="64"/>
      <c r="BV1875" s="64"/>
      <c r="BW1875" s="64"/>
      <c r="BX1875" s="64"/>
      <c r="BY1875" s="64"/>
      <c r="BZ1875" s="64"/>
      <c r="CA1875" s="64"/>
      <c r="CB1875" s="64"/>
      <c r="CC1875" s="64"/>
      <c r="CD1875" s="64"/>
      <c r="CE1875" s="64"/>
      <c r="CF1875" s="64"/>
      <c r="CG1875" s="64"/>
      <c r="CH1875" s="64"/>
      <c r="CI1875" s="64"/>
      <c r="CJ1875" s="64"/>
    </row>
    <row r="1876" spans="1:88">
      <c r="A1876" s="1">
        <v>355</v>
      </c>
      <c r="B1876" s="74" t="s">
        <v>571</v>
      </c>
      <c r="C1876" s="34">
        <v>512</v>
      </c>
      <c r="D1876" s="75">
        <v>1175</v>
      </c>
      <c r="E1876" s="69">
        <v>200</v>
      </c>
      <c r="F1876" s="76" t="s">
        <v>589</v>
      </c>
      <c r="G1876" s="20" t="s">
        <v>590</v>
      </c>
      <c r="H1876" s="20" t="s">
        <v>591</v>
      </c>
      <c r="I1876" s="21">
        <v>60</v>
      </c>
      <c r="J1876" s="8">
        <v>2</v>
      </c>
      <c r="K1876" s="34" t="s">
        <v>12</v>
      </c>
      <c r="L1876" s="18">
        <v>42258</v>
      </c>
      <c r="M1876" s="71" t="s">
        <v>191</v>
      </c>
      <c r="N1876" s="38">
        <f>73.9*0.501</f>
        <v>37.023900000000005</v>
      </c>
      <c r="O1876" s="38">
        <f>30*0.501</f>
        <v>15.03</v>
      </c>
      <c r="P1876" s="38">
        <f>9.9*0.501</f>
        <v>4.9599000000000002</v>
      </c>
      <c r="Q1876" s="38">
        <f>6.05*0.501</f>
        <v>3.03105</v>
      </c>
      <c r="R1876" s="38">
        <v>2.65876</v>
      </c>
      <c r="S1876" s="38">
        <f t="shared" si="246"/>
        <v>2.5</v>
      </c>
      <c r="T1876" s="38">
        <f>116.7*0.501</f>
        <v>58.466700000000003</v>
      </c>
      <c r="U1876" s="38">
        <f>2.05*0.501</f>
        <v>1.02705</v>
      </c>
      <c r="V1876" s="38">
        <f>0.45*0.501</f>
        <v>0.22545000000000001</v>
      </c>
      <c r="W1876" s="38">
        <f>0.65*0.501</f>
        <v>0.32565</v>
      </c>
      <c r="X1876" s="38">
        <v>2.6746099999999999</v>
      </c>
      <c r="Y1876" s="38">
        <f t="shared" si="247"/>
        <v>2.5</v>
      </c>
      <c r="Z1876" s="38">
        <v>0</v>
      </c>
      <c r="AA1876" s="38">
        <v>0</v>
      </c>
      <c r="AB1876" s="38">
        <v>60.044850000000004</v>
      </c>
      <c r="AC1876" s="38">
        <v>1.3286899999999999</v>
      </c>
      <c r="AD1876" s="38">
        <v>0</v>
      </c>
      <c r="AE1876" s="38">
        <v>14.954000000000001</v>
      </c>
      <c r="AF1876" s="38">
        <f t="shared" ref="AF1876:AF1881" si="250">(AD1876+AE1876*0.5)/(3.5*I1876*1000)*100</f>
        <v>3.5604761904761903E-3</v>
      </c>
      <c r="AG1876" s="38">
        <f t="shared" si="248"/>
        <v>0</v>
      </c>
      <c r="AH1876" s="38">
        <v>57.15</v>
      </c>
      <c r="AI1876" s="38">
        <f t="shared" ref="AI1876:AI1881" si="251">AH1876/(3.5*I1876*1000)*100</f>
        <v>2.7214285714285715E-2</v>
      </c>
      <c r="AJ1876" s="38">
        <v>0</v>
      </c>
      <c r="AK1876" s="38">
        <f t="shared" ref="AK1876:AK1881" si="252">AJ1876/(3.5*I1876*1000)*100</f>
        <v>0</v>
      </c>
      <c r="AL1876" s="38">
        <v>0</v>
      </c>
      <c r="AM1876" s="38">
        <f t="shared" ref="AM1876:AM1881" si="253">AL1876/(3.5*I1876*1000)*100</f>
        <v>0</v>
      </c>
      <c r="AN1876" s="72"/>
      <c r="AO1876" s="41"/>
      <c r="AP1876" s="41"/>
      <c r="AQ1876" s="73"/>
      <c r="AR1876" s="73"/>
      <c r="AS1876" s="73"/>
      <c r="AT1876" s="73"/>
      <c r="AU1876" s="22"/>
      <c r="AV1876" s="22"/>
      <c r="AW1876" s="22"/>
      <c r="AX1876" s="22"/>
      <c r="AY1876" s="22"/>
      <c r="AZ1876" s="22"/>
      <c r="BA1876" s="22"/>
      <c r="BB1876" s="22"/>
      <c r="BC1876" s="22"/>
      <c r="BD1876" s="22"/>
      <c r="BE1876" s="22"/>
      <c r="BF1876" s="22"/>
      <c r="BG1876" s="22"/>
      <c r="BH1876" s="22"/>
      <c r="BI1876" s="22"/>
      <c r="BJ1876" s="22"/>
      <c r="BK1876" s="22"/>
      <c r="BL1876" s="22"/>
      <c r="BM1876" s="22"/>
      <c r="BN1876" s="22"/>
      <c r="BO1876" s="22"/>
      <c r="BP1876" s="22"/>
      <c r="BQ1876" s="22"/>
      <c r="BR1876" s="22"/>
      <c r="BS1876" s="22"/>
      <c r="BT1876" s="22"/>
      <c r="BU1876" s="22"/>
      <c r="BV1876" s="22"/>
      <c r="BW1876" s="22"/>
      <c r="BX1876" s="22"/>
      <c r="BY1876" s="22"/>
      <c r="BZ1876" s="22"/>
      <c r="CA1876" s="22"/>
      <c r="CB1876" s="22"/>
      <c r="CC1876" s="22"/>
      <c r="CD1876" s="22"/>
      <c r="CE1876" s="22"/>
      <c r="CF1876" s="22"/>
      <c r="CG1876" s="22"/>
      <c r="CH1876" s="22"/>
      <c r="CI1876" s="22"/>
      <c r="CJ1876" s="22"/>
    </row>
    <row r="1877" spans="1:88">
      <c r="A1877" s="1">
        <v>389</v>
      </c>
      <c r="B1877" s="67" t="s">
        <v>626</v>
      </c>
      <c r="C1877" s="34">
        <v>517</v>
      </c>
      <c r="D1877" s="68">
        <v>1116</v>
      </c>
      <c r="E1877" s="69">
        <v>102</v>
      </c>
      <c r="F1877" s="88" t="s">
        <v>646</v>
      </c>
      <c r="G1877" s="6" t="s">
        <v>192</v>
      </c>
      <c r="H1877" s="6" t="s">
        <v>647</v>
      </c>
      <c r="I1877" s="7">
        <v>18.881</v>
      </c>
      <c r="J1877" s="89">
        <v>2</v>
      </c>
      <c r="K1877" s="34" t="s">
        <v>238</v>
      </c>
      <c r="L1877" s="18">
        <v>42261</v>
      </c>
      <c r="M1877" s="71" t="s">
        <v>191</v>
      </c>
      <c r="N1877" s="38">
        <v>12.38</v>
      </c>
      <c r="O1877" s="38">
        <v>3.86</v>
      </c>
      <c r="P1877" s="38">
        <v>2.0099999999999998</v>
      </c>
      <c r="Q1877" s="38">
        <v>0.63</v>
      </c>
      <c r="R1877" s="38">
        <v>2.4221900000000001</v>
      </c>
      <c r="S1877" s="38">
        <f t="shared" si="246"/>
        <v>2.5</v>
      </c>
      <c r="T1877" s="38">
        <v>18.53</v>
      </c>
      <c r="U1877" s="38">
        <v>0.35</v>
      </c>
      <c r="V1877" s="38">
        <v>0</v>
      </c>
      <c r="W1877" s="38">
        <v>0</v>
      </c>
      <c r="X1877" s="38">
        <v>2.6246399999999999</v>
      </c>
      <c r="Y1877" s="38">
        <f t="shared" si="247"/>
        <v>2.5</v>
      </c>
      <c r="Z1877" s="38">
        <v>0</v>
      </c>
      <c r="AA1877" s="38">
        <v>0</v>
      </c>
      <c r="AB1877" s="38">
        <v>18.88</v>
      </c>
      <c r="AC1877" s="38">
        <v>1.1827399999999999</v>
      </c>
      <c r="AD1877" s="38">
        <v>0</v>
      </c>
      <c r="AE1877" s="38">
        <v>4.68</v>
      </c>
      <c r="AF1877" s="38">
        <f t="shared" si="250"/>
        <v>3.5409746759781182E-3</v>
      </c>
      <c r="AG1877" s="38">
        <f t="shared" si="248"/>
        <v>0</v>
      </c>
      <c r="AH1877" s="38">
        <v>153.26</v>
      </c>
      <c r="AI1877" s="38">
        <f t="shared" si="251"/>
        <v>0.23191870890615657</v>
      </c>
      <c r="AJ1877" s="38">
        <v>0</v>
      </c>
      <c r="AK1877" s="38">
        <f t="shared" si="252"/>
        <v>0</v>
      </c>
      <c r="AL1877" s="38">
        <v>0</v>
      </c>
      <c r="AM1877" s="38">
        <f t="shared" si="253"/>
        <v>0</v>
      </c>
      <c r="AN1877" s="22"/>
      <c r="AO1877" s="22"/>
      <c r="AP1877" s="22"/>
      <c r="AQ1877" s="25">
        <f>SUM(N1877:Q1877)</f>
        <v>18.88</v>
      </c>
      <c r="AR1877" s="25">
        <f>SUM(T1877:W1877)</f>
        <v>18.880000000000003</v>
      </c>
      <c r="AS1877" s="25">
        <f>SUM(Z1877:AB1877)</f>
        <v>18.88</v>
      </c>
      <c r="AT1877" s="22"/>
      <c r="AU1877" s="1">
        <f>I1877/AQ1877</f>
        <v>1.000052966101695</v>
      </c>
      <c r="AV1877" s="1">
        <f>I1877/AR1877</f>
        <v>1.0000529661016948</v>
      </c>
      <c r="AW1877" s="1">
        <f>I1877/AS1877</f>
        <v>1.000052966101695</v>
      </c>
    </row>
    <row r="1878" spans="1:88">
      <c r="A1878" s="1">
        <v>83</v>
      </c>
      <c r="B1878" s="4" t="s">
        <v>44</v>
      </c>
      <c r="C1878" s="14">
        <v>524</v>
      </c>
      <c r="D1878" s="19">
        <v>1274</v>
      </c>
      <c r="E1878" s="16">
        <v>100</v>
      </c>
      <c r="F1878" s="14" t="s">
        <v>206</v>
      </c>
      <c r="G1878" s="20" t="s">
        <v>107</v>
      </c>
      <c r="H1878" s="20" t="s">
        <v>92</v>
      </c>
      <c r="I1878" s="21">
        <v>29.225000000000001</v>
      </c>
      <c r="J1878" s="8">
        <v>2</v>
      </c>
      <c r="K1878" s="9" t="s">
        <v>12</v>
      </c>
      <c r="L1878" s="18">
        <v>42226</v>
      </c>
      <c r="M1878" s="9" t="s">
        <v>191</v>
      </c>
      <c r="N1878" s="11">
        <v>11.1</v>
      </c>
      <c r="O1878" s="11">
        <v>10.5</v>
      </c>
      <c r="P1878" s="11">
        <v>5.4</v>
      </c>
      <c r="Q1878" s="11">
        <v>2.25</v>
      </c>
      <c r="R1878" s="11">
        <v>3.0848</v>
      </c>
      <c r="S1878" s="38">
        <f t="shared" si="246"/>
        <v>3</v>
      </c>
      <c r="T1878" s="11">
        <v>26.5</v>
      </c>
      <c r="U1878" s="11">
        <v>2.1</v>
      </c>
      <c r="V1878" s="11">
        <v>0.47499999999999998</v>
      </c>
      <c r="W1878" s="11">
        <v>0.17499999999999999</v>
      </c>
      <c r="X1878" s="11">
        <v>4.7395699999999996</v>
      </c>
      <c r="Y1878" s="38">
        <f t="shared" si="247"/>
        <v>4.5</v>
      </c>
      <c r="Z1878" s="11">
        <v>0</v>
      </c>
      <c r="AA1878" s="11">
        <v>0</v>
      </c>
      <c r="AB1878" s="11">
        <v>29.25</v>
      </c>
      <c r="AC1878" s="11">
        <v>1.27003</v>
      </c>
      <c r="AD1878" s="11">
        <v>3.57</v>
      </c>
      <c r="AE1878" s="11">
        <v>0</v>
      </c>
      <c r="AF1878" s="11">
        <f t="shared" si="250"/>
        <v>3.490162532078699E-3</v>
      </c>
      <c r="AG1878" s="38">
        <f t="shared" si="248"/>
        <v>0</v>
      </c>
      <c r="AH1878" s="11">
        <v>5.87</v>
      </c>
      <c r="AI1878" s="11">
        <f t="shared" si="251"/>
        <v>5.7387266283759003E-3</v>
      </c>
      <c r="AJ1878" s="11">
        <v>0</v>
      </c>
      <c r="AK1878" s="11">
        <f t="shared" si="252"/>
        <v>0</v>
      </c>
      <c r="AL1878" s="11">
        <v>0</v>
      </c>
      <c r="AM1878" s="11">
        <f t="shared" si="253"/>
        <v>0</v>
      </c>
      <c r="AN1878" s="25"/>
      <c r="AO1878" s="25"/>
      <c r="AP1878" s="22"/>
      <c r="AQ1878" s="22"/>
      <c r="AR1878" s="22"/>
      <c r="AS1878" s="22"/>
      <c r="AT1878" s="22"/>
      <c r="AU1878" s="22"/>
      <c r="AV1878" s="22"/>
      <c r="AW1878" s="22"/>
      <c r="AX1878" s="22"/>
      <c r="AY1878" s="22"/>
      <c r="AZ1878" s="22"/>
      <c r="BA1878" s="22"/>
      <c r="BB1878" s="22"/>
      <c r="BC1878" s="22"/>
      <c r="BD1878" s="22"/>
      <c r="BE1878" s="22"/>
      <c r="BF1878" s="22"/>
      <c r="BG1878" s="22"/>
      <c r="BH1878" s="22"/>
      <c r="BI1878" s="22"/>
      <c r="BJ1878" s="22"/>
      <c r="BK1878" s="22"/>
      <c r="BL1878" s="22"/>
      <c r="BM1878" s="22"/>
      <c r="BN1878" s="22"/>
      <c r="BO1878" s="22"/>
      <c r="BP1878" s="22"/>
      <c r="BQ1878" s="22"/>
      <c r="BR1878" s="22"/>
      <c r="BS1878" s="22"/>
      <c r="BT1878" s="22"/>
      <c r="BU1878" s="22"/>
      <c r="BV1878" s="22"/>
      <c r="BW1878" s="22"/>
      <c r="BX1878" s="22"/>
      <c r="BY1878" s="22"/>
      <c r="BZ1878" s="22"/>
      <c r="CA1878" s="22"/>
      <c r="CB1878" s="22"/>
      <c r="CC1878" s="22"/>
      <c r="CD1878" s="22"/>
      <c r="CE1878" s="22"/>
      <c r="CF1878" s="22"/>
      <c r="CG1878" s="22"/>
      <c r="CH1878" s="22"/>
      <c r="CI1878" s="22"/>
      <c r="CJ1878" s="22"/>
    </row>
    <row r="1879" spans="1:88">
      <c r="A1879" s="1">
        <v>204</v>
      </c>
      <c r="B1879" s="34" t="s">
        <v>383</v>
      </c>
      <c r="C1879" s="34">
        <v>535</v>
      </c>
      <c r="D1879" s="34">
        <v>1179</v>
      </c>
      <c r="E1879" s="34">
        <v>100</v>
      </c>
      <c r="F1879" s="34" t="s">
        <v>398</v>
      </c>
      <c r="G1879" s="20">
        <v>0</v>
      </c>
      <c r="H1879" s="20">
        <v>31087</v>
      </c>
      <c r="I1879" s="35">
        <v>31.087</v>
      </c>
      <c r="J1879" s="36">
        <v>2</v>
      </c>
      <c r="K1879" s="34" t="s">
        <v>238</v>
      </c>
      <c r="L1879" s="18">
        <v>42209</v>
      </c>
      <c r="M1879" s="9" t="s">
        <v>191</v>
      </c>
      <c r="N1879" s="38">
        <v>13.21</v>
      </c>
      <c r="O1879" s="38">
        <v>10.14</v>
      </c>
      <c r="P1879" s="38">
        <v>5.43</v>
      </c>
      <c r="Q1879" s="38">
        <v>2.31</v>
      </c>
      <c r="R1879" s="38">
        <v>3.0263399999999998</v>
      </c>
      <c r="S1879" s="38">
        <f t="shared" si="246"/>
        <v>3</v>
      </c>
      <c r="T1879" s="38">
        <v>25.79</v>
      </c>
      <c r="U1879" s="38">
        <v>3.6</v>
      </c>
      <c r="V1879" s="38">
        <v>1.06</v>
      </c>
      <c r="W1879" s="38">
        <v>0.65</v>
      </c>
      <c r="X1879" s="38">
        <v>6.3905200000000004</v>
      </c>
      <c r="Y1879" s="38">
        <f t="shared" si="247"/>
        <v>6.5</v>
      </c>
      <c r="Z1879" s="38">
        <v>0</v>
      </c>
      <c r="AA1879" s="38">
        <v>0</v>
      </c>
      <c r="AB1879" s="38">
        <v>31.09</v>
      </c>
      <c r="AC1879" s="38">
        <v>1.3783700000000001</v>
      </c>
      <c r="AD1879" s="38">
        <v>0</v>
      </c>
      <c r="AE1879" s="38">
        <v>7.58</v>
      </c>
      <c r="AF1879" s="38">
        <f t="shared" si="250"/>
        <v>3.4833118115519118E-3</v>
      </c>
      <c r="AG1879" s="38">
        <f t="shared" si="248"/>
        <v>0</v>
      </c>
      <c r="AH1879" s="38">
        <v>119</v>
      </c>
      <c r="AI1879" s="38">
        <f t="shared" si="251"/>
        <v>0.10937047640492811</v>
      </c>
      <c r="AJ1879" s="38">
        <v>0</v>
      </c>
      <c r="AK1879" s="38">
        <f t="shared" si="252"/>
        <v>0</v>
      </c>
      <c r="AL1879" s="38">
        <v>22</v>
      </c>
      <c r="AM1879" s="38">
        <f t="shared" si="253"/>
        <v>2.0219751940406875E-2</v>
      </c>
      <c r="AN1879" s="25"/>
      <c r="AO1879" s="25"/>
      <c r="AP1879" s="25">
        <f>AE1879*0.5</f>
        <v>3.79</v>
      </c>
      <c r="AQ1879" s="25">
        <f>(AD1879+AH1879+AJ1879+AL1879+AP1879)*I1879</f>
        <v>4501.08673</v>
      </c>
      <c r="AR1879" s="25"/>
      <c r="AS1879" s="25"/>
      <c r="AT1879" s="25"/>
      <c r="AU1879" s="41">
        <f>SUM(N1879:Q1879)</f>
        <v>31.09</v>
      </c>
      <c r="AV1879" s="41">
        <f>SUM(T1879:W1879)</f>
        <v>31.099999999999998</v>
      </c>
      <c r="AW1879" s="41">
        <f>SUM(Z1879:AB1879)</f>
        <v>31.09</v>
      </c>
      <c r="AX1879" s="41"/>
      <c r="AY1879" s="22">
        <f>I1879/AU1879</f>
        <v>0.9999035059504664</v>
      </c>
      <c r="AZ1879" s="22">
        <f>I1879/AV1879</f>
        <v>0.99958199356913191</v>
      </c>
      <c r="BA1879" s="22">
        <f>I1879/AW1879</f>
        <v>0.9999035059504664</v>
      </c>
      <c r="BB1879" s="22"/>
      <c r="BC1879" s="22"/>
      <c r="BD1879" s="22"/>
      <c r="BE1879" s="22"/>
      <c r="BF1879" s="22"/>
      <c r="BG1879" s="22"/>
      <c r="BH1879" s="22"/>
      <c r="BI1879" s="22"/>
      <c r="BJ1879" s="22"/>
      <c r="BK1879" s="22"/>
      <c r="BL1879" s="22"/>
      <c r="BM1879" s="22"/>
      <c r="BN1879" s="22"/>
      <c r="BO1879" s="22"/>
      <c r="BP1879" s="22"/>
      <c r="BQ1879" s="22"/>
      <c r="BR1879" s="22"/>
      <c r="BS1879" s="22"/>
      <c r="BT1879" s="22"/>
      <c r="BU1879" s="22"/>
      <c r="BV1879" s="22"/>
      <c r="BW1879" s="22"/>
      <c r="BX1879" s="22"/>
      <c r="BY1879" s="22"/>
      <c r="BZ1879" s="22"/>
      <c r="CA1879" s="22"/>
      <c r="CB1879" s="22"/>
      <c r="CC1879" s="22"/>
      <c r="CD1879" s="22"/>
      <c r="CE1879" s="22"/>
      <c r="CF1879" s="22"/>
      <c r="CG1879" s="22"/>
      <c r="CH1879" s="22"/>
      <c r="CI1879" s="22"/>
      <c r="CJ1879" s="22"/>
    </row>
    <row r="1880" spans="1:88">
      <c r="A1880" s="1">
        <v>708</v>
      </c>
      <c r="B1880" s="34" t="s">
        <v>1106</v>
      </c>
      <c r="C1880" s="34">
        <v>626</v>
      </c>
      <c r="D1880" s="34">
        <v>2179</v>
      </c>
      <c r="E1880" s="34">
        <v>100</v>
      </c>
      <c r="F1880" s="34" t="s">
        <v>1117</v>
      </c>
      <c r="G1880" s="58">
        <v>0</v>
      </c>
      <c r="H1880" s="58">
        <v>18423</v>
      </c>
      <c r="I1880" s="35">
        <v>18.422999999999998</v>
      </c>
      <c r="J1880" s="127">
        <v>2</v>
      </c>
      <c r="K1880" s="34" t="s">
        <v>238</v>
      </c>
      <c r="L1880" s="10">
        <v>42174</v>
      </c>
      <c r="M1880" s="9" t="s">
        <v>191</v>
      </c>
      <c r="N1880" s="38">
        <v>12.25</v>
      </c>
      <c r="O1880" s="38">
        <v>4.05</v>
      </c>
      <c r="P1880" s="38">
        <v>1.35</v>
      </c>
      <c r="Q1880" s="38">
        <v>0.3</v>
      </c>
      <c r="R1880" s="38">
        <v>2.31223</v>
      </c>
      <c r="S1880" s="38">
        <f t="shared" si="246"/>
        <v>2.5</v>
      </c>
      <c r="T1880" s="38">
        <v>17.899999999999999</v>
      </c>
      <c r="U1880" s="38">
        <v>0.05</v>
      </c>
      <c r="V1880" s="38">
        <v>0</v>
      </c>
      <c r="W1880" s="38">
        <v>0</v>
      </c>
      <c r="X1880" s="38">
        <v>3.7770800000000002</v>
      </c>
      <c r="Y1880" s="38">
        <f t="shared" si="247"/>
        <v>4</v>
      </c>
      <c r="Z1880" s="38">
        <v>0</v>
      </c>
      <c r="AA1880" s="38">
        <v>0</v>
      </c>
      <c r="AB1880" s="38">
        <f>N1880+O1880+P1880+Q1880</f>
        <v>17.950000000000003</v>
      </c>
      <c r="AC1880" s="38">
        <v>1.3775999999999999</v>
      </c>
      <c r="AD1880" s="38">
        <v>2.14</v>
      </c>
      <c r="AE1880" s="38">
        <v>0</v>
      </c>
      <c r="AF1880" s="38">
        <f t="shared" si="250"/>
        <v>3.3188328254278427E-3</v>
      </c>
      <c r="AG1880" s="38">
        <f t="shared" si="248"/>
        <v>0</v>
      </c>
      <c r="AH1880" s="38">
        <v>0</v>
      </c>
      <c r="AI1880" s="38">
        <f t="shared" si="251"/>
        <v>0</v>
      </c>
      <c r="AJ1880" s="38">
        <v>0</v>
      </c>
      <c r="AK1880" s="38">
        <f t="shared" si="252"/>
        <v>0</v>
      </c>
      <c r="AL1880" s="38">
        <v>0</v>
      </c>
      <c r="AM1880" s="38">
        <f t="shared" si="253"/>
        <v>0</v>
      </c>
      <c r="AN1880" s="25"/>
      <c r="AO1880" s="25">
        <f>AE1880*0.5</f>
        <v>0</v>
      </c>
      <c r="AP1880" s="25">
        <f>(AD1880+AH1880+AJ1880+AL1880+AO1880)*I1880</f>
        <v>39.425219999999996</v>
      </c>
      <c r="AQ1880" s="25">
        <f>SUM(N1880:Q1880)</f>
        <v>17.950000000000003</v>
      </c>
      <c r="AR1880" s="25">
        <f>SUM(T1880:W1880)</f>
        <v>17.95</v>
      </c>
      <c r="AS1880" s="268">
        <v>18.422999999999998</v>
      </c>
      <c r="AT1880" s="41"/>
      <c r="AU1880" s="41"/>
      <c r="AV1880" s="41"/>
      <c r="AW1880" s="41"/>
      <c r="AX1880" s="22"/>
      <c r="AY1880" s="22"/>
      <c r="AZ1880" s="22"/>
      <c r="BA1880" s="22"/>
      <c r="BB1880" s="22"/>
      <c r="BC1880" s="22"/>
      <c r="BD1880" s="22"/>
      <c r="BE1880" s="22"/>
      <c r="BF1880" s="22"/>
      <c r="BG1880" s="22"/>
      <c r="BH1880" s="22"/>
      <c r="BI1880" s="22"/>
      <c r="BJ1880" s="22"/>
      <c r="BK1880" s="22"/>
      <c r="BL1880" s="22"/>
      <c r="BM1880" s="22"/>
      <c r="BN1880" s="22"/>
      <c r="BO1880" s="22"/>
      <c r="BP1880" s="22"/>
      <c r="BQ1880" s="22"/>
      <c r="BR1880" s="22"/>
      <c r="BS1880" s="22"/>
      <c r="BT1880" s="22"/>
      <c r="BU1880" s="22"/>
      <c r="BV1880" s="22"/>
      <c r="BW1880" s="22"/>
      <c r="BX1880" s="22"/>
      <c r="BY1880" s="22"/>
      <c r="BZ1880" s="22"/>
      <c r="CA1880" s="22"/>
      <c r="CB1880" s="22"/>
      <c r="CC1880" s="22"/>
      <c r="CD1880" s="22"/>
      <c r="CE1880" s="22"/>
      <c r="CF1880" s="22"/>
      <c r="CG1880" s="22"/>
      <c r="CH1880" s="22"/>
      <c r="CI1880" s="22"/>
      <c r="CJ1880" s="22"/>
    </row>
    <row r="1881" spans="1:88">
      <c r="A1881" s="1">
        <v>756</v>
      </c>
      <c r="B1881" s="34" t="s">
        <v>1106</v>
      </c>
      <c r="C1881" s="34">
        <v>626</v>
      </c>
      <c r="D1881" s="34">
        <v>2179</v>
      </c>
      <c r="E1881" s="34">
        <v>100</v>
      </c>
      <c r="F1881" s="34" t="s">
        <v>1117</v>
      </c>
      <c r="G1881" s="58">
        <v>0</v>
      </c>
      <c r="H1881" s="58">
        <v>18423</v>
      </c>
      <c r="I1881" s="35">
        <v>18.422999999999998</v>
      </c>
      <c r="J1881" s="127">
        <v>2</v>
      </c>
      <c r="K1881" s="34" t="s">
        <v>238</v>
      </c>
      <c r="L1881" s="10">
        <v>42174</v>
      </c>
      <c r="M1881" s="9" t="s">
        <v>191</v>
      </c>
      <c r="N1881" s="38">
        <v>12.25</v>
      </c>
      <c r="O1881" s="38">
        <v>4.05</v>
      </c>
      <c r="P1881" s="38">
        <v>1.35</v>
      </c>
      <c r="Q1881" s="38">
        <v>0.3</v>
      </c>
      <c r="R1881" s="38">
        <v>2.31223</v>
      </c>
      <c r="S1881" s="38">
        <f t="shared" si="246"/>
        <v>2.5</v>
      </c>
      <c r="T1881" s="38">
        <v>17.899999999999999</v>
      </c>
      <c r="U1881" s="38">
        <v>0.05</v>
      </c>
      <c r="V1881" s="38">
        <v>0</v>
      </c>
      <c r="W1881" s="38">
        <v>0</v>
      </c>
      <c r="X1881" s="38">
        <v>3.7770800000000002</v>
      </c>
      <c r="Y1881" s="38">
        <f t="shared" si="247"/>
        <v>4</v>
      </c>
      <c r="Z1881" s="38">
        <v>0</v>
      </c>
      <c r="AA1881" s="38">
        <v>0</v>
      </c>
      <c r="AB1881" s="38">
        <f>N1881+O1881+P1881+Q1881</f>
        <v>17.950000000000003</v>
      </c>
      <c r="AC1881" s="38">
        <v>1.3775999999999999</v>
      </c>
      <c r="AD1881" s="38">
        <v>2.14</v>
      </c>
      <c r="AE1881" s="38">
        <v>0</v>
      </c>
      <c r="AF1881" s="38">
        <f t="shared" si="250"/>
        <v>3.3188328254278427E-3</v>
      </c>
      <c r="AG1881" s="38">
        <f t="shared" si="248"/>
        <v>0</v>
      </c>
      <c r="AH1881" s="38">
        <v>0</v>
      </c>
      <c r="AI1881" s="38">
        <f t="shared" si="251"/>
        <v>0</v>
      </c>
      <c r="AJ1881" s="38">
        <v>0</v>
      </c>
      <c r="AK1881" s="38">
        <f t="shared" si="252"/>
        <v>0</v>
      </c>
      <c r="AL1881" s="38">
        <v>0</v>
      </c>
      <c r="AM1881" s="38">
        <f t="shared" si="253"/>
        <v>0</v>
      </c>
      <c r="AN1881" s="25"/>
      <c r="AO1881" s="25">
        <f>AE1881*0.5</f>
        <v>0</v>
      </c>
      <c r="AP1881" s="25">
        <f>(AD1881+AH1881+AJ1881+AL1881+AO1881)*I1881</f>
        <v>39.425219999999996</v>
      </c>
      <c r="AQ1881" s="25">
        <f>SUM(N1881:Q1881)</f>
        <v>17.950000000000003</v>
      </c>
      <c r="AR1881" s="25">
        <f>SUM(T1881:W1881)</f>
        <v>17.95</v>
      </c>
      <c r="AS1881" s="268">
        <v>18.422999999999998</v>
      </c>
      <c r="AT1881" s="41"/>
      <c r="AU1881" s="41"/>
      <c r="AV1881" s="41"/>
      <c r="AW1881" s="41"/>
      <c r="AX1881" s="22"/>
      <c r="AY1881" s="22"/>
      <c r="AZ1881" s="22"/>
      <c r="BA1881" s="22"/>
      <c r="BB1881" s="22"/>
      <c r="BC1881" s="22"/>
      <c r="BD1881" s="22"/>
      <c r="BE1881" s="22"/>
      <c r="BF1881" s="22"/>
      <c r="BG1881" s="22"/>
      <c r="BH1881" s="22"/>
      <c r="BI1881" s="22"/>
      <c r="BJ1881" s="22"/>
      <c r="BK1881" s="22"/>
      <c r="BL1881" s="22"/>
      <c r="BM1881" s="22"/>
      <c r="BN1881" s="22"/>
      <c r="BO1881" s="22"/>
      <c r="BP1881" s="22"/>
      <c r="BQ1881" s="22"/>
      <c r="BR1881" s="22"/>
      <c r="BS1881" s="22"/>
      <c r="BT1881" s="22"/>
      <c r="BU1881" s="22"/>
      <c r="BV1881" s="22"/>
      <c r="BW1881" s="22"/>
      <c r="BX1881" s="22"/>
      <c r="BY1881" s="22"/>
      <c r="BZ1881" s="22"/>
      <c r="CA1881" s="22"/>
      <c r="CB1881" s="22"/>
      <c r="CC1881" s="22"/>
      <c r="CD1881" s="22"/>
      <c r="CE1881" s="22"/>
      <c r="CF1881" s="22"/>
      <c r="CG1881" s="22"/>
      <c r="CH1881" s="22"/>
      <c r="CI1881" s="22"/>
      <c r="CJ1881" s="22"/>
    </row>
    <row r="1882" spans="1:88">
      <c r="A1882" s="1">
        <v>868</v>
      </c>
      <c r="B1882" s="34" t="s">
        <v>1259</v>
      </c>
      <c r="C1882" s="34">
        <v>631</v>
      </c>
      <c r="D1882" s="8">
        <v>212</v>
      </c>
      <c r="E1882" s="69">
        <v>602</v>
      </c>
      <c r="F1882" s="34" t="s">
        <v>1261</v>
      </c>
      <c r="G1882" s="58">
        <v>583575</v>
      </c>
      <c r="H1882" s="58">
        <v>563148</v>
      </c>
      <c r="I1882" s="35">
        <v>20.427</v>
      </c>
      <c r="J1882" s="9">
        <v>4</v>
      </c>
      <c r="K1882" s="34" t="s">
        <v>96</v>
      </c>
      <c r="L1882" s="10">
        <v>42139</v>
      </c>
      <c r="M1882" s="9" t="s">
        <v>191</v>
      </c>
      <c r="N1882" s="38">
        <v>16.3</v>
      </c>
      <c r="O1882" s="38">
        <v>2.625</v>
      </c>
      <c r="P1882" s="38">
        <v>0.77500000000000002</v>
      </c>
      <c r="Q1882" s="38">
        <v>0.7</v>
      </c>
      <c r="R1882" s="38">
        <v>2.2016499999999999</v>
      </c>
      <c r="S1882" s="38">
        <f t="shared" si="246"/>
        <v>2</v>
      </c>
      <c r="T1882" s="38">
        <v>16.45</v>
      </c>
      <c r="U1882" s="38">
        <v>3.7749999999999999</v>
      </c>
      <c r="V1882" s="38">
        <v>0.17499999999999999</v>
      </c>
      <c r="W1882" s="38">
        <v>0</v>
      </c>
      <c r="X1882" s="38">
        <v>7.5600500000000004</v>
      </c>
      <c r="Y1882" s="38">
        <f t="shared" si="247"/>
        <v>7.5</v>
      </c>
      <c r="Z1882" s="38">
        <v>0</v>
      </c>
      <c r="AA1882" s="38">
        <v>0</v>
      </c>
      <c r="AB1882" s="38">
        <f>N1882+O1882+P1882+Q1882</f>
        <v>20.399999999999999</v>
      </c>
      <c r="AC1882" s="38">
        <v>1.2561</v>
      </c>
      <c r="AD1882" s="38">
        <v>0</v>
      </c>
      <c r="AE1882" s="38">
        <v>4.71</v>
      </c>
      <c r="AF1882" s="38">
        <v>3.29E-3</v>
      </c>
      <c r="AG1882" s="38">
        <f t="shared" si="248"/>
        <v>0</v>
      </c>
      <c r="AH1882" s="38">
        <v>0</v>
      </c>
      <c r="AI1882" s="38">
        <v>0</v>
      </c>
      <c r="AJ1882" s="38">
        <v>0</v>
      </c>
      <c r="AK1882" s="38">
        <v>0</v>
      </c>
      <c r="AL1882" s="38">
        <v>0</v>
      </c>
      <c r="AM1882" s="38">
        <v>0</v>
      </c>
      <c r="AN1882" s="25"/>
      <c r="AO1882" s="25">
        <f>AE1882*0.5</f>
        <v>2.355</v>
      </c>
      <c r="AP1882" s="25">
        <f>(AD1882+AH1882+AJ1882+AL1882+AO1882)*I1882</f>
        <v>48.105584999999998</v>
      </c>
      <c r="AQ1882" s="25"/>
      <c r="AR1882" s="25"/>
      <c r="AS1882" s="25">
        <f>SUM(N1882:Q1882)</f>
        <v>20.399999999999999</v>
      </c>
      <c r="AT1882" s="25">
        <f>SUM(T1882:W1882)</f>
        <v>20.399999999999999</v>
      </c>
      <c r="AU1882" s="25"/>
      <c r="AV1882" s="22"/>
      <c r="AW1882" s="41"/>
      <c r="AX1882" s="41"/>
      <c r="AY1882" s="41"/>
      <c r="AZ1882" s="41"/>
      <c r="BA1882" s="22"/>
      <c r="BB1882" s="22"/>
      <c r="BC1882" s="22"/>
      <c r="BD1882" s="22"/>
      <c r="BE1882" s="22"/>
      <c r="BF1882" s="22"/>
      <c r="BG1882" s="22"/>
      <c r="BH1882" s="22"/>
      <c r="BI1882" s="22"/>
      <c r="BJ1882" s="22"/>
      <c r="BK1882" s="22"/>
      <c r="BL1882" s="22"/>
      <c r="BM1882" s="22"/>
      <c r="BN1882" s="22"/>
      <c r="BO1882" s="22"/>
      <c r="BP1882" s="22"/>
      <c r="BQ1882" s="22"/>
      <c r="BR1882" s="22"/>
      <c r="BS1882" s="22"/>
      <c r="BT1882" s="22"/>
      <c r="BU1882" s="22"/>
      <c r="BV1882" s="22"/>
      <c r="BW1882" s="22"/>
      <c r="BX1882" s="22"/>
      <c r="BY1882" s="22"/>
      <c r="BZ1882" s="22"/>
      <c r="CA1882" s="22"/>
      <c r="CB1882" s="22"/>
      <c r="CC1882" s="22"/>
      <c r="CD1882" s="22"/>
      <c r="CE1882" s="22"/>
      <c r="CF1882" s="22"/>
      <c r="CG1882" s="22"/>
      <c r="CH1882" s="22"/>
      <c r="CI1882" s="22"/>
      <c r="CJ1882" s="22"/>
    </row>
    <row r="1883" spans="1:88">
      <c r="A1883" s="1">
        <v>966</v>
      </c>
      <c r="B1883" s="9" t="s">
        <v>1359</v>
      </c>
      <c r="C1883" s="9">
        <v>612</v>
      </c>
      <c r="D1883" s="8">
        <v>2148</v>
      </c>
      <c r="E1883" s="9">
        <v>101</v>
      </c>
      <c r="F1883" s="9" t="s">
        <v>1364</v>
      </c>
      <c r="G1883" s="20" t="s">
        <v>1365</v>
      </c>
      <c r="H1883" s="20" t="s">
        <v>92</v>
      </c>
      <c r="I1883" s="35">
        <v>19.3</v>
      </c>
      <c r="J1883" s="9">
        <v>4</v>
      </c>
      <c r="K1883" s="9" t="s">
        <v>96</v>
      </c>
      <c r="L1883" s="18">
        <v>42115</v>
      </c>
      <c r="M1883" s="9" t="s">
        <v>191</v>
      </c>
      <c r="N1883" s="11">
        <v>10.9</v>
      </c>
      <c r="O1883" s="11">
        <v>5.25</v>
      </c>
      <c r="P1883" s="11">
        <v>2.4</v>
      </c>
      <c r="Q1883" s="11">
        <v>0.67500000000000004</v>
      </c>
      <c r="R1883" s="11">
        <v>2.28416</v>
      </c>
      <c r="S1883" s="38">
        <f t="shared" si="246"/>
        <v>2.5</v>
      </c>
      <c r="T1883" s="11">
        <v>13.65</v>
      </c>
      <c r="U1883" s="11">
        <v>4.1749999999999998</v>
      </c>
      <c r="V1883" s="11">
        <v>1.1499999999999999</v>
      </c>
      <c r="W1883" s="11">
        <v>0.25</v>
      </c>
      <c r="X1883" s="11">
        <v>7.7167399999999997</v>
      </c>
      <c r="Y1883" s="38">
        <f t="shared" si="247"/>
        <v>7.5</v>
      </c>
      <c r="Z1883" s="11">
        <v>0</v>
      </c>
      <c r="AA1883" s="11">
        <v>0</v>
      </c>
      <c r="AB1883" s="11">
        <f>SUM(N1883:Q1883)</f>
        <v>19.224999999999998</v>
      </c>
      <c r="AC1883" s="11">
        <v>1.1635200000000001</v>
      </c>
      <c r="AD1883" s="11">
        <v>2.2000000000000002</v>
      </c>
      <c r="AE1883" s="11">
        <v>0</v>
      </c>
      <c r="AF1883" s="11">
        <v>3.2599999999999999E-3</v>
      </c>
      <c r="AG1883" s="38">
        <f t="shared" si="248"/>
        <v>0</v>
      </c>
      <c r="AH1883" s="11">
        <v>46</v>
      </c>
      <c r="AI1883" s="11">
        <v>6.8099999999999994E-2</v>
      </c>
      <c r="AJ1883" s="11">
        <v>0</v>
      </c>
      <c r="AK1883" s="11">
        <v>0</v>
      </c>
      <c r="AL1883" s="11">
        <v>0</v>
      </c>
      <c r="AM1883" s="11">
        <v>0</v>
      </c>
      <c r="AN1883" s="72"/>
      <c r="AO1883" s="72"/>
      <c r="AP1883" s="72">
        <f>AE1883*0.5</f>
        <v>0</v>
      </c>
      <c r="AQ1883" s="25">
        <f>(AD1882+AH1882+AJ1882+AL1882+AP1883)*I1882</f>
        <v>0</v>
      </c>
      <c r="AR1883" s="25"/>
      <c r="AS1883" s="25"/>
      <c r="AT1883" s="25"/>
      <c r="AU1883" s="25">
        <f>SUM(N1883:Q1883)</f>
        <v>19.224999999999998</v>
      </c>
      <c r="AV1883" s="41">
        <f>SUM(T1883:W1883)</f>
        <v>19.224999999999998</v>
      </c>
      <c r="AW1883" s="41"/>
      <c r="AX1883" s="41"/>
      <c r="AY1883" s="41"/>
      <c r="AZ1883" s="22"/>
    </row>
    <row r="1884" spans="1:88">
      <c r="A1884" s="1">
        <v>383</v>
      </c>
      <c r="B1884" s="67" t="s">
        <v>626</v>
      </c>
      <c r="C1884" s="34">
        <v>517</v>
      </c>
      <c r="D1884" s="68">
        <v>1074</v>
      </c>
      <c r="E1884" s="69">
        <v>101</v>
      </c>
      <c r="F1884" s="88" t="s">
        <v>634</v>
      </c>
      <c r="G1884" s="6" t="s">
        <v>635</v>
      </c>
      <c r="H1884" s="6" t="s">
        <v>92</v>
      </c>
      <c r="I1884" s="7">
        <v>23.094000000000001</v>
      </c>
      <c r="J1884" s="89">
        <v>2</v>
      </c>
      <c r="K1884" s="34" t="s">
        <v>96</v>
      </c>
      <c r="L1884" s="18">
        <v>42262</v>
      </c>
      <c r="M1884" s="71" t="s">
        <v>191</v>
      </c>
      <c r="N1884" s="38">
        <v>13.66</v>
      </c>
      <c r="O1884" s="38">
        <v>5.73</v>
      </c>
      <c r="P1884" s="38">
        <v>2.4700000000000002</v>
      </c>
      <c r="Q1884" s="38">
        <v>1.23</v>
      </c>
      <c r="R1884" s="38">
        <v>2.5581999999999998</v>
      </c>
      <c r="S1884" s="38">
        <f t="shared" si="246"/>
        <v>2.5</v>
      </c>
      <c r="T1884" s="38">
        <v>21.27</v>
      </c>
      <c r="U1884" s="38">
        <v>1.2</v>
      </c>
      <c r="V1884" s="38">
        <v>0.35</v>
      </c>
      <c r="W1884" s="38">
        <v>0.27</v>
      </c>
      <c r="X1884" s="38">
        <v>4.9070200000000002</v>
      </c>
      <c r="Y1884" s="38">
        <f t="shared" si="247"/>
        <v>5</v>
      </c>
      <c r="Z1884" s="38">
        <v>0</v>
      </c>
      <c r="AA1884" s="38">
        <v>0</v>
      </c>
      <c r="AB1884" s="38">
        <v>23.09</v>
      </c>
      <c r="AC1884" s="38">
        <v>1.13171</v>
      </c>
      <c r="AD1884" s="38">
        <v>0</v>
      </c>
      <c r="AE1884" s="38">
        <v>5.2149999999999999</v>
      </c>
      <c r="AF1884" s="38">
        <f>(AD1884+AE1884*0.5)/(3.5*I1884*1000)*100</f>
        <v>3.2259461331947685E-3</v>
      </c>
      <c r="AG1884" s="38">
        <f t="shared" si="248"/>
        <v>0</v>
      </c>
      <c r="AH1884" s="38">
        <v>82.957999999999998</v>
      </c>
      <c r="AI1884" s="38">
        <f>AH1884/(3.5*I1884*1000)*100</f>
        <v>0.10263395563473504</v>
      </c>
      <c r="AJ1884" s="38">
        <v>0</v>
      </c>
      <c r="AK1884" s="38">
        <f>AJ1884/(3.5*I1884*1000)*100</f>
        <v>0</v>
      </c>
      <c r="AL1884" s="38">
        <v>0</v>
      </c>
      <c r="AM1884" s="38">
        <f>AL1884/(3.5*I1884*1000)*100</f>
        <v>0</v>
      </c>
      <c r="AN1884" s="22"/>
      <c r="AO1884" s="22"/>
      <c r="AP1884" s="22"/>
      <c r="AQ1884" s="25">
        <f>SUM(N1884:Q1884)</f>
        <v>23.09</v>
      </c>
      <c r="AR1884" s="25">
        <f>SUM(T1884:W1884)</f>
        <v>23.09</v>
      </c>
      <c r="AS1884" s="25">
        <f>SUM(Z1884:AB1884)</f>
        <v>23.09</v>
      </c>
      <c r="AT1884" s="22"/>
      <c r="AU1884" s="1">
        <f>I1884/AQ1884</f>
        <v>1.0001732351667389</v>
      </c>
      <c r="AV1884" s="1">
        <f>I1884/AR1884</f>
        <v>1.0001732351667389</v>
      </c>
      <c r="AW1884" s="1">
        <f>I1884/AS1884</f>
        <v>1.0001732351667389</v>
      </c>
    </row>
    <row r="1885" spans="1:88">
      <c r="A1885" s="1">
        <v>816</v>
      </c>
      <c r="B1885" s="34" t="s">
        <v>1204</v>
      </c>
      <c r="C1885" s="34">
        <v>647</v>
      </c>
      <c r="D1885" s="8">
        <v>214</v>
      </c>
      <c r="E1885" s="34">
        <v>100</v>
      </c>
      <c r="F1885" s="34" t="s">
        <v>1207</v>
      </c>
      <c r="G1885" s="58">
        <v>28000</v>
      </c>
      <c r="H1885" s="58">
        <v>14500</v>
      </c>
      <c r="I1885" s="35">
        <v>13.5</v>
      </c>
      <c r="J1885" s="9">
        <v>4</v>
      </c>
      <c r="K1885" s="34" t="s">
        <v>12</v>
      </c>
      <c r="L1885" s="10">
        <v>42154</v>
      </c>
      <c r="M1885" s="9" t="s">
        <v>191</v>
      </c>
      <c r="N1885" s="38">
        <v>10.275</v>
      </c>
      <c r="O1885" s="38">
        <v>2.4500000000000002</v>
      </c>
      <c r="P1885" s="38">
        <v>0.55000000000000004</v>
      </c>
      <c r="Q1885" s="38">
        <v>0.2</v>
      </c>
      <c r="R1885" s="38">
        <v>2.8410000000000002</v>
      </c>
      <c r="S1885" s="38">
        <f t="shared" si="246"/>
        <v>3</v>
      </c>
      <c r="T1885" s="38">
        <v>13.2</v>
      </c>
      <c r="U1885" s="38">
        <v>0.22500000000000001</v>
      </c>
      <c r="V1885" s="38">
        <v>0</v>
      </c>
      <c r="W1885" s="38">
        <v>0.05</v>
      </c>
      <c r="X1885" s="38">
        <v>5.25</v>
      </c>
      <c r="Y1885" s="38">
        <f t="shared" si="247"/>
        <v>5.5</v>
      </c>
      <c r="Z1885" s="38">
        <v>0</v>
      </c>
      <c r="AA1885" s="38">
        <v>0</v>
      </c>
      <c r="AB1885" s="38">
        <f>N1885+O1885+P1885+Q1885</f>
        <v>13.475000000000001</v>
      </c>
      <c r="AC1885" s="38">
        <v>1.0920000000000001</v>
      </c>
      <c r="AD1885" s="38">
        <v>0</v>
      </c>
      <c r="AE1885" s="38">
        <v>3</v>
      </c>
      <c r="AF1885" s="38">
        <f>(AD1885+AE1885*0.5)/(3.5*I1885*1000)*100</f>
        <v>3.1746031746031746E-3</v>
      </c>
      <c r="AG1885" s="38">
        <f t="shared" si="248"/>
        <v>0</v>
      </c>
      <c r="AH1885" s="38">
        <v>0</v>
      </c>
      <c r="AI1885" s="38">
        <f>AH1885/(3.5*I1885*1000)*100</f>
        <v>0</v>
      </c>
      <c r="AJ1885" s="38">
        <v>14</v>
      </c>
      <c r="AK1885" s="38">
        <f>AJ1885/(3.5*I1885*1000)*100</f>
        <v>2.9629629629629631E-2</v>
      </c>
      <c r="AL1885" s="38">
        <v>0</v>
      </c>
      <c r="AM1885" s="38">
        <f>AL1885/(3.5*I1885*1000)*100</f>
        <v>0</v>
      </c>
      <c r="AN1885" s="25"/>
      <c r="AO1885" s="25">
        <f>AE1885*0.5</f>
        <v>1.5</v>
      </c>
      <c r="AP1885" s="25">
        <f>(AD1885+AH1885+AJ1885+AL1885+AO1885)*I1885</f>
        <v>209.25</v>
      </c>
      <c r="AQ1885" s="25">
        <f>SUM(N1885:Q1885)</f>
        <v>13.475000000000001</v>
      </c>
      <c r="AR1885" s="25">
        <f>SUM(T1885:W1885)</f>
        <v>13.475</v>
      </c>
      <c r="AS1885" s="268">
        <v>25</v>
      </c>
      <c r="AT1885" s="41"/>
      <c r="AU1885" s="41"/>
      <c r="AV1885" s="41"/>
      <c r="AW1885" s="41"/>
      <c r="AX1885" s="22"/>
      <c r="AY1885" s="22"/>
      <c r="AZ1885" s="22"/>
      <c r="BA1885" s="22"/>
      <c r="BB1885" s="22"/>
      <c r="BC1885" s="22"/>
      <c r="BD1885" s="22"/>
      <c r="BE1885" s="22"/>
      <c r="BF1885" s="22"/>
      <c r="BG1885" s="22"/>
      <c r="BH1885" s="22"/>
      <c r="BI1885" s="22"/>
      <c r="BJ1885" s="22"/>
      <c r="BK1885" s="22"/>
      <c r="BL1885" s="22"/>
      <c r="BM1885" s="22"/>
      <c r="BN1885" s="22"/>
      <c r="BO1885" s="22"/>
      <c r="BP1885" s="22"/>
      <c r="BQ1885" s="22"/>
      <c r="BR1885" s="22"/>
      <c r="BS1885" s="22"/>
      <c r="BT1885" s="22"/>
      <c r="BU1885" s="22"/>
      <c r="BV1885" s="22"/>
      <c r="BW1885" s="22"/>
      <c r="BX1885" s="22"/>
      <c r="BY1885" s="22"/>
      <c r="BZ1885" s="22"/>
      <c r="CA1885" s="22"/>
      <c r="CB1885" s="22"/>
      <c r="CC1885" s="22"/>
      <c r="CD1885" s="22"/>
      <c r="CE1885" s="22"/>
      <c r="CF1885" s="22"/>
      <c r="CG1885" s="22"/>
      <c r="CH1885" s="22"/>
      <c r="CI1885" s="22"/>
      <c r="CJ1885" s="22"/>
    </row>
    <row r="1886" spans="1:88">
      <c r="A1886" s="1">
        <v>867</v>
      </c>
      <c r="B1886" s="34" t="s">
        <v>1259</v>
      </c>
      <c r="C1886" s="34">
        <v>631</v>
      </c>
      <c r="D1886" s="8">
        <v>212</v>
      </c>
      <c r="E1886" s="69">
        <v>602</v>
      </c>
      <c r="F1886" s="34" t="s">
        <v>1261</v>
      </c>
      <c r="G1886" s="58">
        <v>563148</v>
      </c>
      <c r="H1886" s="58">
        <v>583575</v>
      </c>
      <c r="I1886" s="35">
        <v>20.427</v>
      </c>
      <c r="J1886" s="9">
        <v>4</v>
      </c>
      <c r="K1886" s="34" t="s">
        <v>237</v>
      </c>
      <c r="L1886" s="10">
        <v>42139</v>
      </c>
      <c r="M1886" s="9" t="s">
        <v>191</v>
      </c>
      <c r="N1886" s="38">
        <v>16.574999999999999</v>
      </c>
      <c r="O1886" s="38">
        <v>2.5499999999999998</v>
      </c>
      <c r="P1886" s="38">
        <v>0.67500000000000004</v>
      </c>
      <c r="Q1886" s="38">
        <v>0.5</v>
      </c>
      <c r="R1886" s="38">
        <v>2.1316299999999999</v>
      </c>
      <c r="S1886" s="38">
        <f t="shared" si="246"/>
        <v>2</v>
      </c>
      <c r="T1886" s="38">
        <v>17.574999999999999</v>
      </c>
      <c r="U1886" s="38">
        <v>2.5249999999999999</v>
      </c>
      <c r="V1886" s="38">
        <v>0.17499999999999999</v>
      </c>
      <c r="W1886" s="38">
        <v>2.5000000000000001E-2</v>
      </c>
      <c r="X1886" s="38">
        <v>7.5402300000000002</v>
      </c>
      <c r="Y1886" s="38">
        <f t="shared" si="247"/>
        <v>7.5</v>
      </c>
      <c r="Z1886" s="38">
        <v>0</v>
      </c>
      <c r="AA1886" s="38">
        <v>0</v>
      </c>
      <c r="AB1886" s="38">
        <f>N1886+O1886+P1886+Q1886</f>
        <v>20.3</v>
      </c>
      <c r="AC1886" s="38">
        <v>1.2981400000000001</v>
      </c>
      <c r="AD1886" s="38">
        <v>0</v>
      </c>
      <c r="AE1886" s="38">
        <v>4.47</v>
      </c>
      <c r="AF1886" s="38">
        <v>3.13E-3</v>
      </c>
      <c r="AG1886" s="38">
        <f t="shared" si="248"/>
        <v>0</v>
      </c>
      <c r="AH1886" s="38">
        <v>0</v>
      </c>
      <c r="AI1886" s="38">
        <v>0</v>
      </c>
      <c r="AJ1886" s="38">
        <v>0</v>
      </c>
      <c r="AK1886" s="38">
        <v>0</v>
      </c>
      <c r="AL1886" s="38">
        <v>0</v>
      </c>
      <c r="AM1886" s="38">
        <v>0</v>
      </c>
      <c r="AN1886" s="25"/>
      <c r="AO1886" s="25">
        <f>AE1886*0.5</f>
        <v>2.2349999999999999</v>
      </c>
      <c r="AP1886" s="25">
        <f>(AD1886+AH1886+AJ1886+AL1886+AO1886)*I1886</f>
        <v>45.654344999999999</v>
      </c>
      <c r="AQ1886" s="25"/>
      <c r="AR1886" s="25"/>
      <c r="AS1886" s="25">
        <f>SUM(N1886:Q1886)</f>
        <v>20.3</v>
      </c>
      <c r="AT1886" s="25">
        <f>SUM(T1886:W1886)</f>
        <v>20.299999999999997</v>
      </c>
      <c r="AU1886" s="25"/>
      <c r="AV1886" s="22"/>
      <c r="AW1886" s="41"/>
      <c r="AX1886" s="41"/>
      <c r="AY1886" s="41"/>
      <c r="AZ1886" s="41"/>
      <c r="BA1886" s="22"/>
      <c r="BB1886" s="22"/>
      <c r="BC1886" s="22"/>
      <c r="BD1886" s="22"/>
      <c r="BE1886" s="22"/>
      <c r="BF1886" s="22"/>
      <c r="BG1886" s="22"/>
      <c r="BH1886" s="22"/>
      <c r="BI1886" s="22"/>
      <c r="BJ1886" s="22"/>
      <c r="BK1886" s="22"/>
      <c r="BL1886" s="22"/>
      <c r="BM1886" s="22"/>
      <c r="BN1886" s="22"/>
      <c r="BO1886" s="22"/>
      <c r="BP1886" s="22"/>
      <c r="BQ1886" s="22"/>
      <c r="BR1886" s="22"/>
      <c r="BS1886" s="22"/>
      <c r="BT1886" s="22"/>
      <c r="BU1886" s="22"/>
      <c r="BV1886" s="22"/>
      <c r="BW1886" s="22"/>
      <c r="BX1886" s="22"/>
      <c r="BY1886" s="22"/>
      <c r="BZ1886" s="22"/>
      <c r="CA1886" s="22"/>
      <c r="CB1886" s="22"/>
      <c r="CC1886" s="22"/>
      <c r="CD1886" s="22"/>
      <c r="CE1886" s="22"/>
      <c r="CF1886" s="22"/>
      <c r="CG1886" s="22"/>
      <c r="CH1886" s="22"/>
      <c r="CI1886" s="22"/>
      <c r="CJ1886" s="22"/>
    </row>
    <row r="1887" spans="1:88">
      <c r="A1887" s="1">
        <v>651</v>
      </c>
      <c r="B1887" s="34" t="s">
        <v>1050</v>
      </c>
      <c r="C1887" s="34">
        <v>621</v>
      </c>
      <c r="D1887" s="34">
        <v>2322</v>
      </c>
      <c r="E1887" s="34">
        <v>203</v>
      </c>
      <c r="F1887" s="34" t="s">
        <v>1059</v>
      </c>
      <c r="G1887" s="58">
        <v>87292</v>
      </c>
      <c r="H1887" s="58">
        <v>110692</v>
      </c>
      <c r="I1887" s="35">
        <v>23.4</v>
      </c>
      <c r="J1887" s="127">
        <v>2</v>
      </c>
      <c r="K1887" s="34" t="s">
        <v>238</v>
      </c>
      <c r="L1887" s="10">
        <v>42172</v>
      </c>
      <c r="M1887" s="9" t="s">
        <v>191</v>
      </c>
      <c r="N1887" s="38">
        <v>18.579999999999998</v>
      </c>
      <c r="O1887" s="38">
        <v>3.8</v>
      </c>
      <c r="P1887" s="38">
        <v>0.77500000000000002</v>
      </c>
      <c r="Q1887" s="38">
        <v>0.45</v>
      </c>
      <c r="R1887" s="38">
        <v>2.0659299999999998</v>
      </c>
      <c r="S1887" s="38">
        <f t="shared" si="246"/>
        <v>2</v>
      </c>
      <c r="T1887" s="38">
        <v>23.25</v>
      </c>
      <c r="U1887" s="38">
        <v>0.35</v>
      </c>
      <c r="V1887" s="38">
        <v>0</v>
      </c>
      <c r="W1887" s="38">
        <v>0</v>
      </c>
      <c r="X1887" s="38">
        <v>4.4053699999999996</v>
      </c>
      <c r="Y1887" s="38">
        <f t="shared" si="247"/>
        <v>4.5</v>
      </c>
      <c r="Z1887" s="38">
        <v>0</v>
      </c>
      <c r="AA1887" s="38">
        <v>0</v>
      </c>
      <c r="AB1887" s="38">
        <f>T1887+U1887+V1887+W1887</f>
        <v>23.6</v>
      </c>
      <c r="AC1887" s="38">
        <v>1.0995299999999999</v>
      </c>
      <c r="AD1887" s="38">
        <v>2.54</v>
      </c>
      <c r="AE1887" s="38">
        <v>0</v>
      </c>
      <c r="AF1887" s="38">
        <v>3.1013431013431018E-3</v>
      </c>
      <c r="AG1887" s="38">
        <f t="shared" si="248"/>
        <v>0</v>
      </c>
      <c r="AH1887" s="38">
        <v>1.06</v>
      </c>
      <c r="AI1887" s="38">
        <v>1.2942612942612947E-3</v>
      </c>
      <c r="AJ1887" s="38">
        <v>0</v>
      </c>
      <c r="AK1887" s="55">
        <v>0</v>
      </c>
      <c r="AL1887" s="55">
        <v>0</v>
      </c>
      <c r="AM1887" s="55">
        <v>0</v>
      </c>
      <c r="AN1887" s="25">
        <f>SUM(N1887:Q1887)</f>
        <v>23.604999999999997</v>
      </c>
      <c r="AO1887" s="25">
        <f>SUM(T1887:W1887)</f>
        <v>23.6</v>
      </c>
      <c r="AP1887" s="22"/>
      <c r="AQ1887" s="41"/>
      <c r="AR1887" s="41"/>
      <c r="AS1887" s="41"/>
      <c r="AT1887" s="41"/>
      <c r="AU1887" s="22"/>
      <c r="AV1887" s="22"/>
      <c r="AW1887" s="22"/>
      <c r="AX1887" s="22"/>
      <c r="AY1887" s="22"/>
      <c r="AZ1887" s="22"/>
      <c r="BA1887" s="22"/>
      <c r="BB1887" s="22"/>
      <c r="BC1887" s="22"/>
      <c r="BD1887" s="22"/>
      <c r="BE1887" s="22"/>
      <c r="BF1887" s="22"/>
      <c r="BG1887" s="22"/>
      <c r="BH1887" s="22"/>
      <c r="BI1887" s="22"/>
      <c r="BJ1887" s="22"/>
      <c r="BK1887" s="22"/>
      <c r="BL1887" s="22"/>
      <c r="BM1887" s="22"/>
      <c r="BN1887" s="22"/>
      <c r="BO1887" s="22"/>
      <c r="BP1887" s="22"/>
      <c r="BQ1887" s="22"/>
      <c r="BR1887" s="22"/>
      <c r="BS1887" s="22"/>
      <c r="BT1887" s="22"/>
      <c r="BU1887" s="22"/>
      <c r="BV1887" s="22"/>
      <c r="BW1887" s="22"/>
      <c r="BX1887" s="22"/>
      <c r="BY1887" s="22"/>
      <c r="BZ1887" s="22"/>
      <c r="CA1887" s="22"/>
      <c r="CB1887" s="22"/>
      <c r="CC1887" s="22"/>
      <c r="CD1887" s="22"/>
      <c r="CE1887" s="22"/>
      <c r="CF1887" s="22"/>
      <c r="CG1887" s="22"/>
      <c r="CH1887" s="22"/>
      <c r="CI1887" s="22"/>
      <c r="CJ1887" s="22"/>
    </row>
    <row r="1888" spans="1:88">
      <c r="A1888" s="1">
        <v>1681</v>
      </c>
      <c r="B1888" s="34" t="s">
        <v>2279</v>
      </c>
      <c r="C1888" s="34">
        <v>421</v>
      </c>
      <c r="D1888" s="8">
        <v>314</v>
      </c>
      <c r="E1888" s="34">
        <v>102</v>
      </c>
      <c r="F1888" s="34" t="s">
        <v>2282</v>
      </c>
      <c r="G1888" s="58" t="s">
        <v>2283</v>
      </c>
      <c r="H1888" s="58" t="s">
        <v>499</v>
      </c>
      <c r="I1888" s="35">
        <v>13.025</v>
      </c>
      <c r="J1888" s="9">
        <v>4</v>
      </c>
      <c r="K1888" s="34" t="s">
        <v>237</v>
      </c>
      <c r="L1888" s="10">
        <v>42227</v>
      </c>
      <c r="M1888" s="9" t="s">
        <v>191</v>
      </c>
      <c r="N1888" s="38">
        <v>6.5250000000000004</v>
      </c>
      <c r="O1888" s="38">
        <v>3.3</v>
      </c>
      <c r="P1888" s="38">
        <v>2.85</v>
      </c>
      <c r="Q1888" s="38">
        <v>0.375</v>
      </c>
      <c r="R1888" s="38">
        <v>2.4749400000000001</v>
      </c>
      <c r="S1888" s="38">
        <f t="shared" si="246"/>
        <v>2.5</v>
      </c>
      <c r="T1888" s="38">
        <v>12.4</v>
      </c>
      <c r="U1888" s="38">
        <v>0.625</v>
      </c>
      <c r="V1888" s="38">
        <v>2.5000000000000001E-2</v>
      </c>
      <c r="W1888" s="38">
        <v>0</v>
      </c>
      <c r="X1888" s="38">
        <v>5.9853399999999999</v>
      </c>
      <c r="Y1888" s="38">
        <f t="shared" si="247"/>
        <v>6</v>
      </c>
      <c r="Z1888" s="38">
        <v>0</v>
      </c>
      <c r="AA1888" s="38">
        <v>0</v>
      </c>
      <c r="AB1888" s="38">
        <v>13.025</v>
      </c>
      <c r="AC1888" s="38">
        <v>1.3024800000000001</v>
      </c>
      <c r="AD1888" s="38">
        <v>0</v>
      </c>
      <c r="AE1888" s="38">
        <v>2.8</v>
      </c>
      <c r="AF1888" s="38">
        <f>(AD1888+AE1888*0.5)/(3.5*I1888*1000)*100</f>
        <v>3.0710172744721686E-3</v>
      </c>
      <c r="AG1888" s="38">
        <f t="shared" si="248"/>
        <v>0</v>
      </c>
      <c r="AH1888" s="38">
        <v>0</v>
      </c>
      <c r="AI1888" s="38">
        <f>AH1888/(3.5*I1888*1000)*100</f>
        <v>0</v>
      </c>
      <c r="AJ1888" s="38">
        <v>6</v>
      </c>
      <c r="AK1888" s="38">
        <f>AJ1888/(3.5*I1888*1000)*100</f>
        <v>1.3161502604880722E-2</v>
      </c>
      <c r="AL1888" s="38">
        <v>0</v>
      </c>
      <c r="AM1888" s="38">
        <f>AL1888/(3.5*I1888*1000)*100</f>
        <v>0</v>
      </c>
      <c r="AN1888" s="25"/>
      <c r="AO1888" s="25">
        <f>AE1888*0.5</f>
        <v>1.4</v>
      </c>
      <c r="AP1888" s="25">
        <f>(AD1888+AH1888+AJ1888+AL1888+AO1888)*I1888</f>
        <v>96.385000000000005</v>
      </c>
      <c r="AQ1888" s="25">
        <f>SUM(N1888:Q1888)</f>
        <v>13.049999999999999</v>
      </c>
      <c r="AR1888" s="25">
        <f>SUM(T1888:W1888)</f>
        <v>13.05</v>
      </c>
      <c r="AS1888" s="22"/>
      <c r="AT1888" s="41"/>
      <c r="AU1888" s="41"/>
      <c r="AV1888" s="41"/>
      <c r="AW1888" s="41"/>
      <c r="AX1888" s="22"/>
      <c r="AY1888" s="22"/>
      <c r="AZ1888" s="22"/>
      <c r="BA1888" s="22"/>
      <c r="BB1888" s="22"/>
      <c r="BC1888" s="22"/>
      <c r="BD1888" s="22"/>
      <c r="BE1888" s="22"/>
      <c r="BF1888" s="22"/>
      <c r="BG1888" s="22"/>
      <c r="BH1888" s="22"/>
      <c r="BI1888" s="22"/>
      <c r="BJ1888" s="22"/>
      <c r="BK1888" s="22"/>
      <c r="BL1888" s="22"/>
      <c r="BM1888" s="22"/>
      <c r="BN1888" s="22"/>
      <c r="BO1888" s="22"/>
      <c r="BP1888" s="22"/>
      <c r="BQ1888" s="22"/>
      <c r="BR1888" s="22"/>
      <c r="BS1888" s="22"/>
      <c r="BT1888" s="22"/>
      <c r="BU1888" s="22"/>
      <c r="BV1888" s="22"/>
      <c r="BW1888" s="22"/>
      <c r="BX1888" s="22"/>
      <c r="BY1888" s="22"/>
      <c r="BZ1888" s="22"/>
      <c r="CA1888" s="22"/>
      <c r="CB1888" s="22"/>
      <c r="CC1888" s="22"/>
      <c r="CD1888" s="22"/>
      <c r="CE1888" s="22"/>
      <c r="CF1888" s="22"/>
      <c r="CG1888" s="22"/>
      <c r="CH1888" s="22"/>
      <c r="CI1888" s="22"/>
      <c r="CJ1888" s="22"/>
    </row>
    <row r="1889" spans="1:88">
      <c r="A1889" s="1">
        <v>391</v>
      </c>
      <c r="B1889" s="67" t="s">
        <v>626</v>
      </c>
      <c r="C1889" s="34">
        <v>517</v>
      </c>
      <c r="D1889" s="68">
        <v>1242</v>
      </c>
      <c r="E1889" s="69">
        <v>100</v>
      </c>
      <c r="F1889" s="88" t="s">
        <v>649</v>
      </c>
      <c r="G1889" s="6" t="s">
        <v>92</v>
      </c>
      <c r="H1889" s="6" t="s">
        <v>650</v>
      </c>
      <c r="I1889" s="7">
        <v>35.692999999999998</v>
      </c>
      <c r="J1889" s="89">
        <v>2</v>
      </c>
      <c r="K1889" s="34" t="s">
        <v>238</v>
      </c>
      <c r="L1889" s="18">
        <v>42262</v>
      </c>
      <c r="M1889" s="71" t="s">
        <v>191</v>
      </c>
      <c r="N1889" s="38">
        <v>18.21</v>
      </c>
      <c r="O1889" s="38">
        <v>10.92</v>
      </c>
      <c r="P1889" s="38">
        <v>4.8499999999999996</v>
      </c>
      <c r="Q1889" s="38">
        <v>1.71</v>
      </c>
      <c r="R1889" s="38">
        <v>2.7865099999999998</v>
      </c>
      <c r="S1889" s="38">
        <f t="shared" si="246"/>
        <v>3</v>
      </c>
      <c r="T1889" s="38">
        <v>29.16</v>
      </c>
      <c r="U1889" s="38">
        <v>4.38</v>
      </c>
      <c r="V1889" s="38">
        <v>1.51</v>
      </c>
      <c r="W1889" s="38">
        <v>0.64</v>
      </c>
      <c r="X1889" s="38">
        <v>6.01898</v>
      </c>
      <c r="Y1889" s="38">
        <f t="shared" si="247"/>
        <v>6</v>
      </c>
      <c r="Z1889" s="38">
        <v>0</v>
      </c>
      <c r="AA1889" s="38">
        <v>0</v>
      </c>
      <c r="AB1889" s="38">
        <v>35.69</v>
      </c>
      <c r="AC1889" s="38">
        <v>1.1611199999999999</v>
      </c>
      <c r="AD1889" s="38">
        <v>0</v>
      </c>
      <c r="AE1889" s="38">
        <v>7.5</v>
      </c>
      <c r="AF1889" s="38">
        <f>(AD1889+AE1889*0.5)/(3.5*I1889*1000)*100</f>
        <v>3.0017890662835051E-3</v>
      </c>
      <c r="AG1889" s="38">
        <f t="shared" si="248"/>
        <v>0</v>
      </c>
      <c r="AH1889" s="38">
        <v>55.68</v>
      </c>
      <c r="AI1889" s="38">
        <f>AH1889/(3.5*I1889*1000)*100</f>
        <v>4.4570564056177479E-2</v>
      </c>
      <c r="AJ1889" s="38">
        <v>0</v>
      </c>
      <c r="AK1889" s="38">
        <f>AJ1889/(3.5*I1889*1000)*100</f>
        <v>0</v>
      </c>
      <c r="AL1889" s="38">
        <v>0</v>
      </c>
      <c r="AM1889" s="38">
        <f>AL1889/(3.5*I1889*1000)*100</f>
        <v>0</v>
      </c>
      <c r="AN1889" s="22"/>
      <c r="AO1889" s="22"/>
      <c r="AP1889" s="22"/>
      <c r="AQ1889" s="25">
        <f>SUM(N1889:Q1889)</f>
        <v>35.690000000000005</v>
      </c>
      <c r="AR1889" s="25">
        <f>SUM(T1889:W1889)</f>
        <v>35.69</v>
      </c>
      <c r="AS1889" s="25">
        <f>SUM(Z1889:AB1889)</f>
        <v>35.69</v>
      </c>
      <c r="AT1889" s="22"/>
      <c r="AU1889" s="1">
        <f>I1889/AQ1889</f>
        <v>1.0000840571588678</v>
      </c>
      <c r="AV1889" s="1">
        <f>I1889/AR1889</f>
        <v>1.0000840571588681</v>
      </c>
      <c r="AW1889" s="1">
        <f>I1889/AS1889</f>
        <v>1.0000840571588681</v>
      </c>
    </row>
    <row r="1890" spans="1:88">
      <c r="A1890" s="1">
        <v>658</v>
      </c>
      <c r="B1890" s="34" t="s">
        <v>1062</v>
      </c>
      <c r="C1890" s="34">
        <v>623</v>
      </c>
      <c r="D1890" s="34">
        <v>216</v>
      </c>
      <c r="E1890" s="34">
        <v>101</v>
      </c>
      <c r="F1890" s="9" t="s">
        <v>1068</v>
      </c>
      <c r="G1890" s="20">
        <v>0</v>
      </c>
      <c r="H1890" s="20">
        <v>8355</v>
      </c>
      <c r="I1890" s="35">
        <v>8.3550000000000004</v>
      </c>
      <c r="J1890" s="34">
        <v>4</v>
      </c>
      <c r="K1890" s="34" t="s">
        <v>237</v>
      </c>
      <c r="L1890" s="10">
        <v>42166</v>
      </c>
      <c r="M1890" s="9" t="s">
        <v>191</v>
      </c>
      <c r="N1890" s="38">
        <v>6.86</v>
      </c>
      <c r="O1890" s="38">
        <v>0.73</v>
      </c>
      <c r="P1890" s="38">
        <v>0.6</v>
      </c>
      <c r="Q1890" s="38">
        <v>0.18</v>
      </c>
      <c r="R1890" s="38">
        <v>2.0006200000000001</v>
      </c>
      <c r="S1890" s="38">
        <f t="shared" si="246"/>
        <v>2</v>
      </c>
      <c r="T1890" s="38">
        <v>8.36</v>
      </c>
      <c r="U1890" s="38">
        <v>0</v>
      </c>
      <c r="V1890" s="38">
        <v>0</v>
      </c>
      <c r="W1890" s="38">
        <v>0</v>
      </c>
      <c r="X1890" s="38">
        <v>2.6179299999999999</v>
      </c>
      <c r="Y1890" s="38">
        <f t="shared" si="247"/>
        <v>2.5</v>
      </c>
      <c r="Z1890" s="38">
        <v>0</v>
      </c>
      <c r="AA1890" s="38">
        <v>0</v>
      </c>
      <c r="AB1890" s="38">
        <v>8.36</v>
      </c>
      <c r="AC1890" s="38">
        <v>1.19618</v>
      </c>
      <c r="AD1890" s="38">
        <v>0</v>
      </c>
      <c r="AE1890" s="38">
        <v>1.74</v>
      </c>
      <c r="AF1890" s="38">
        <v>2.98E-3</v>
      </c>
      <c r="AG1890" s="38">
        <f t="shared" si="248"/>
        <v>0</v>
      </c>
      <c r="AH1890" s="38">
        <v>0</v>
      </c>
      <c r="AI1890" s="38">
        <v>0</v>
      </c>
      <c r="AJ1890" s="38">
        <v>0</v>
      </c>
      <c r="AK1890" s="38">
        <v>0</v>
      </c>
      <c r="AL1890" s="38">
        <v>0</v>
      </c>
      <c r="AM1890" s="38">
        <v>0</v>
      </c>
      <c r="AN1890" s="25"/>
      <c r="AO1890" s="1">
        <f>AE1890*0.5</f>
        <v>0.87</v>
      </c>
      <c r="AP1890" s="25">
        <f>(AD1890+AH1890+AJ1890+AL1890+AO1890)*I1890</f>
        <v>7.2688500000000005</v>
      </c>
      <c r="AQ1890" s="25">
        <f>SUM(N1890:Q1890)</f>
        <v>8.3699999999999992</v>
      </c>
      <c r="AR1890" s="25">
        <f>SUM(T1890:W1890)</f>
        <v>8.36</v>
      </c>
      <c r="AS1890" s="22"/>
      <c r="AT1890" s="41"/>
      <c r="AU1890" s="41">
        <f>SUM(N1890:Q1890)</f>
        <v>8.3699999999999992</v>
      </c>
      <c r="AV1890" s="41">
        <f>SUM(T1890:W1890)</f>
        <v>8.36</v>
      </c>
      <c r="AW1890" s="41">
        <f>SUM(Z1890:AB1890)</f>
        <v>8.36</v>
      </c>
      <c r="AX1890" s="22"/>
      <c r="AY1890" s="22">
        <f>I1890/AU1890</f>
        <v>0.99820788530465965</v>
      </c>
      <c r="AZ1890" s="22">
        <f>I1890/AV1890</f>
        <v>0.99940191387559818</v>
      </c>
      <c r="BA1890" s="22">
        <f>I1890/AW1890</f>
        <v>0.99940191387559818</v>
      </c>
      <c r="BB1890" s="22"/>
      <c r="BC1890" s="22"/>
      <c r="BD1890" s="22"/>
      <c r="BE1890" s="22"/>
      <c r="BF1890" s="22"/>
      <c r="BG1890" s="22"/>
      <c r="BH1890" s="22"/>
      <c r="BI1890" s="22"/>
      <c r="BJ1890" s="22"/>
      <c r="BK1890" s="22"/>
      <c r="BL1890" s="22"/>
      <c r="BM1890" s="22"/>
      <c r="BN1890" s="22"/>
      <c r="BO1890" s="22"/>
      <c r="BP1890" s="22"/>
      <c r="BQ1890" s="22"/>
      <c r="BR1890" s="22"/>
      <c r="BS1890" s="22"/>
      <c r="BT1890" s="22"/>
      <c r="BU1890" s="22"/>
      <c r="BV1890" s="22"/>
      <c r="BW1890" s="22"/>
      <c r="BX1890" s="22"/>
      <c r="BY1890" s="22"/>
      <c r="BZ1890" s="22"/>
      <c r="CA1890" s="22"/>
      <c r="CB1890" s="22"/>
      <c r="CC1890" s="22"/>
      <c r="CD1890" s="22"/>
      <c r="CE1890" s="22"/>
      <c r="CF1890" s="22"/>
      <c r="CG1890" s="22"/>
      <c r="CH1890" s="22"/>
      <c r="CI1890" s="22"/>
      <c r="CJ1890" s="22"/>
    </row>
    <row r="1891" spans="1:88">
      <c r="A1891" s="1">
        <v>994</v>
      </c>
      <c r="B1891" s="34" t="s">
        <v>1380</v>
      </c>
      <c r="C1891" s="34">
        <v>614</v>
      </c>
      <c r="D1891" s="168">
        <v>2421</v>
      </c>
      <c r="E1891" s="34">
        <v>101</v>
      </c>
      <c r="F1891" s="34" t="s">
        <v>1392</v>
      </c>
      <c r="G1891" s="58">
        <v>1000</v>
      </c>
      <c r="H1891" s="58">
        <v>28250</v>
      </c>
      <c r="I1891" s="35">
        <v>27.25</v>
      </c>
      <c r="J1891" s="9">
        <v>2</v>
      </c>
      <c r="K1891" s="34" t="s">
        <v>238</v>
      </c>
      <c r="L1891" s="10">
        <v>42125</v>
      </c>
      <c r="M1891" s="9" t="s">
        <v>191</v>
      </c>
      <c r="N1891" s="38">
        <v>23.425000000000001</v>
      </c>
      <c r="O1891" s="38">
        <v>2.0249999999999999</v>
      </c>
      <c r="P1891" s="38">
        <v>0.625</v>
      </c>
      <c r="Q1891" s="38">
        <v>0.67500000000000004</v>
      </c>
      <c r="R1891" s="38">
        <v>1.91273</v>
      </c>
      <c r="S1891" s="38">
        <f t="shared" si="246"/>
        <v>2</v>
      </c>
      <c r="T1891" s="38">
        <v>25.625</v>
      </c>
      <c r="U1891" s="38">
        <v>0.72499999999999998</v>
      </c>
      <c r="V1891" s="38">
        <v>0.25</v>
      </c>
      <c r="W1891" s="38">
        <v>0.15</v>
      </c>
      <c r="X1891" s="38">
        <v>3.7478400000000001</v>
      </c>
      <c r="Y1891" s="38">
        <f t="shared" si="247"/>
        <v>3.5</v>
      </c>
      <c r="Z1891" s="38">
        <v>0</v>
      </c>
      <c r="AA1891" s="38">
        <v>0</v>
      </c>
      <c r="AB1891" s="38">
        <f>SUM(N1891:Q1891)</f>
        <v>26.75</v>
      </c>
      <c r="AC1891" s="38">
        <v>1.42347</v>
      </c>
      <c r="AD1891" s="38">
        <v>2.81</v>
      </c>
      <c r="AE1891" s="38">
        <v>0</v>
      </c>
      <c r="AF1891" s="11">
        <f>(AD1891+AE1891*0.5)/(3.5*I1891*1000)*100</f>
        <v>2.946264744429882E-3</v>
      </c>
      <c r="AG1891" s="38">
        <f t="shared" si="248"/>
        <v>0</v>
      </c>
      <c r="AH1891" s="38">
        <v>4.58</v>
      </c>
      <c r="AI1891" s="38">
        <f>AH1891/(3.5*I1891*1000)*100</f>
        <v>4.802096985583224E-3</v>
      </c>
      <c r="AJ1891" s="38">
        <v>0</v>
      </c>
      <c r="AK1891" s="38">
        <f>AJ1891/(3.5*I1891*1000)*100</f>
        <v>0</v>
      </c>
      <c r="AL1891" s="38">
        <v>0</v>
      </c>
      <c r="AM1891" s="38">
        <f>AL1891/(3.5*I1891*1000)*100</f>
        <v>0</v>
      </c>
      <c r="AN1891" s="25"/>
      <c r="AO1891" s="25">
        <f>(AD1891+AH1891+AJ1891+AL1891)*I1891</f>
        <v>201.37750000000003</v>
      </c>
      <c r="AP1891" s="25"/>
      <c r="AQ1891" s="25">
        <f>SUM(N1891:Q1891)</f>
        <v>26.75</v>
      </c>
      <c r="AR1891" s="25">
        <f>SUM(T1891:W1891)</f>
        <v>26.75</v>
      </c>
      <c r="AS1891" s="268">
        <v>27.25</v>
      </c>
      <c r="AT1891" s="41"/>
      <c r="AU1891" s="41"/>
      <c r="AV1891" s="41"/>
    </row>
    <row r="1892" spans="1:88">
      <c r="A1892" s="1">
        <v>1524</v>
      </c>
      <c r="B1892" s="34" t="s">
        <v>2069</v>
      </c>
      <c r="C1892" s="34">
        <v>413</v>
      </c>
      <c r="D1892" s="69">
        <v>34770</v>
      </c>
      <c r="E1892" s="34">
        <v>100</v>
      </c>
      <c r="F1892" s="34" t="s">
        <v>2097</v>
      </c>
      <c r="G1892" s="58">
        <v>0</v>
      </c>
      <c r="H1892" s="58">
        <v>14510</v>
      </c>
      <c r="I1892" s="35">
        <v>14.51</v>
      </c>
      <c r="J1892" s="34">
        <v>4</v>
      </c>
      <c r="K1892" s="34" t="s">
        <v>237</v>
      </c>
      <c r="L1892" s="10">
        <v>42265</v>
      </c>
      <c r="M1892" s="9" t="s">
        <v>191</v>
      </c>
      <c r="N1892" s="38">
        <v>12.3</v>
      </c>
      <c r="O1892" s="38">
        <v>1.55</v>
      </c>
      <c r="P1892" s="38">
        <v>0.67500000000000004</v>
      </c>
      <c r="Q1892" s="38">
        <v>0.27500000000000002</v>
      </c>
      <c r="R1892" s="38">
        <v>2.66866</v>
      </c>
      <c r="S1892" s="38">
        <f t="shared" si="246"/>
        <v>2.5</v>
      </c>
      <c r="T1892" s="38">
        <v>14.55</v>
      </c>
      <c r="U1892" s="38">
        <v>0.25</v>
      </c>
      <c r="V1892" s="38">
        <v>0</v>
      </c>
      <c r="W1892" s="38">
        <v>0</v>
      </c>
      <c r="X1892" s="38">
        <v>5.9361899999999999</v>
      </c>
      <c r="Y1892" s="38">
        <f t="shared" si="247"/>
        <v>6</v>
      </c>
      <c r="Z1892" s="38">
        <v>0</v>
      </c>
      <c r="AA1892" s="38">
        <v>0</v>
      </c>
      <c r="AB1892" s="196">
        <v>14.51</v>
      </c>
      <c r="AC1892" s="38">
        <v>1.08022</v>
      </c>
      <c r="AD1892" s="38">
        <v>0</v>
      </c>
      <c r="AE1892" s="38">
        <v>2.81</v>
      </c>
      <c r="AF1892" s="38">
        <f>(AD1892+AE1892*0.5)/(3.5*I1892*1000)*100</f>
        <v>2.7665649305897411E-3</v>
      </c>
      <c r="AG1892" s="38">
        <f t="shared" si="248"/>
        <v>0</v>
      </c>
      <c r="AH1892" s="38">
        <v>0</v>
      </c>
      <c r="AI1892" s="38">
        <f>AH1892/(3.5*I1892*1000)*100</f>
        <v>0</v>
      </c>
      <c r="AJ1892" s="38">
        <v>0</v>
      </c>
      <c r="AK1892" s="38">
        <f>AJ1892/(3.5*I1892*1000)*100</f>
        <v>0</v>
      </c>
      <c r="AL1892" s="38">
        <v>0</v>
      </c>
      <c r="AM1892" s="38">
        <f>AL1892/(3.5*I1892*1000)*100</f>
        <v>0</v>
      </c>
      <c r="AN1892" s="25"/>
      <c r="AO1892" s="25">
        <f>AE1892*0.5</f>
        <v>1.405</v>
      </c>
      <c r="AP1892" s="25">
        <f>(AD1892+AH1892+AJ1892+AL1892+AO1892)*I1892</f>
        <v>20.38655</v>
      </c>
      <c r="AQ1892" s="25">
        <f>(AD1892+AH1892+AJ1892+AL1892)*I1892</f>
        <v>0</v>
      </c>
      <c r="AR1892" s="25">
        <f>SUM(N1892:Q1892)</f>
        <v>14.800000000000002</v>
      </c>
      <c r="AS1892" s="25">
        <f>SUM(T1892:W1892)</f>
        <v>14.8</v>
      </c>
      <c r="AT1892" s="22"/>
      <c r="AU1892" s="275">
        <v>14.51</v>
      </c>
      <c r="AV1892" s="41">
        <f>SUM(N1892:Q1892)</f>
        <v>14.800000000000002</v>
      </c>
      <c r="AW1892" s="41">
        <f>SUM(T1892:W1892)</f>
        <v>14.8</v>
      </c>
      <c r="AX1892" s="41">
        <f>SUM(Z1892:AB1892)</f>
        <v>14.51</v>
      </c>
      <c r="AY1892" s="22"/>
      <c r="AZ1892" s="22">
        <f>I1892/AV1892</f>
        <v>0.98040540540540522</v>
      </c>
      <c r="BA1892" s="22">
        <f>I1892/AW1892</f>
        <v>0.98040540540540533</v>
      </c>
      <c r="BB1892" s="22">
        <f>I1892/AX1892</f>
        <v>1</v>
      </c>
      <c r="BC1892" s="22"/>
      <c r="BD1892" s="22"/>
      <c r="BE1892" s="22"/>
      <c r="BF1892" s="22"/>
      <c r="BG1892" s="22"/>
      <c r="BH1892" s="22"/>
      <c r="BI1892" s="22"/>
      <c r="BJ1892" s="22"/>
      <c r="BK1892" s="22"/>
      <c r="BL1892" s="22"/>
      <c r="BM1892" s="22"/>
      <c r="BN1892" s="22"/>
      <c r="BO1892" s="22"/>
      <c r="BP1892" s="22"/>
      <c r="BQ1892" s="22"/>
      <c r="BR1892" s="22"/>
      <c r="BS1892" s="22"/>
      <c r="BT1892" s="22"/>
      <c r="BU1892" s="22"/>
      <c r="BV1892" s="22"/>
      <c r="BW1892" s="22"/>
      <c r="BX1892" s="22"/>
      <c r="BY1892" s="22"/>
      <c r="BZ1892" s="22"/>
      <c r="CA1892" s="22"/>
      <c r="CB1892" s="22"/>
      <c r="CC1892" s="22"/>
      <c r="CD1892" s="22"/>
      <c r="CE1892" s="22"/>
      <c r="CF1892" s="22"/>
      <c r="CG1892" s="22"/>
      <c r="CH1892" s="22"/>
      <c r="CI1892" s="22"/>
      <c r="CJ1892" s="22"/>
    </row>
    <row r="1893" spans="1:88">
      <c r="A1893" s="1">
        <v>240</v>
      </c>
      <c r="B1893" s="34" t="s">
        <v>436</v>
      </c>
      <c r="C1893" s="34">
        <v>537</v>
      </c>
      <c r="D1893" s="34">
        <v>1173</v>
      </c>
      <c r="E1893" s="34">
        <v>100</v>
      </c>
      <c r="F1893" s="34" t="s">
        <v>456</v>
      </c>
      <c r="G1893" s="20" t="s">
        <v>457</v>
      </c>
      <c r="H1893" s="20" t="s">
        <v>92</v>
      </c>
      <c r="I1893" s="35">
        <v>47.133000000000003</v>
      </c>
      <c r="J1893" s="33">
        <v>2</v>
      </c>
      <c r="K1893" s="34" t="s">
        <v>12</v>
      </c>
      <c r="L1893" s="10">
        <v>42200</v>
      </c>
      <c r="M1893" s="9" t="s">
        <v>191</v>
      </c>
      <c r="N1893" s="38">
        <v>44.19</v>
      </c>
      <c r="O1893" s="38">
        <v>2.04</v>
      </c>
      <c r="P1893" s="38">
        <v>0.75</v>
      </c>
      <c r="Q1893" s="38">
        <v>0.15</v>
      </c>
      <c r="R1893" s="38">
        <v>1.6679999999999999</v>
      </c>
      <c r="S1893" s="38">
        <f t="shared" si="246"/>
        <v>1.5</v>
      </c>
      <c r="T1893" s="38">
        <v>46.58</v>
      </c>
      <c r="U1893" s="38">
        <v>0.55000000000000004</v>
      </c>
      <c r="V1893" s="38">
        <v>0</v>
      </c>
      <c r="W1893" s="38">
        <v>0</v>
      </c>
      <c r="X1893" s="38">
        <v>4.0789999999999997</v>
      </c>
      <c r="Y1893" s="38">
        <f t="shared" si="247"/>
        <v>4</v>
      </c>
      <c r="Z1893" s="38">
        <v>0</v>
      </c>
      <c r="AA1893" s="38">
        <v>0.03</v>
      </c>
      <c r="AB1893" s="38">
        <v>47.11</v>
      </c>
      <c r="AC1893" s="38">
        <v>1.1619999999999999</v>
      </c>
      <c r="AD1893" s="38">
        <v>3</v>
      </c>
      <c r="AE1893" s="38">
        <v>2.5</v>
      </c>
      <c r="AF1893" s="38">
        <v>2.5762962558838055E-3</v>
      </c>
      <c r="AG1893" s="38">
        <f t="shared" si="248"/>
        <v>0</v>
      </c>
      <c r="AH1893" s="38">
        <v>0</v>
      </c>
      <c r="AI1893" s="38">
        <v>0</v>
      </c>
      <c r="AJ1893" s="38">
        <v>0</v>
      </c>
      <c r="AK1893" s="55">
        <v>0</v>
      </c>
      <c r="AL1893" s="55">
        <v>0</v>
      </c>
      <c r="AM1893" s="55">
        <v>0</v>
      </c>
      <c r="AN1893" s="40"/>
      <c r="AO1893" s="25"/>
      <c r="AP1893" s="25"/>
      <c r="AQ1893" s="268"/>
      <c r="AR1893" s="41"/>
      <c r="AS1893" s="41"/>
      <c r="AT1893" s="41"/>
      <c r="AU1893" s="41">
        <f>SUM(N1893:Q1893)</f>
        <v>47.129999999999995</v>
      </c>
      <c r="AV1893" s="41">
        <f>SUM(T1893:W1893)</f>
        <v>47.129999999999995</v>
      </c>
      <c r="AW1893" s="41">
        <f>SUM(Z1893:AB1893)</f>
        <v>47.14</v>
      </c>
      <c r="AX1893" s="22"/>
      <c r="AY1893" s="22">
        <f>I1893/AU1893</f>
        <v>1.0000636537237431</v>
      </c>
      <c r="AZ1893" s="22">
        <f>I1893/AV1893</f>
        <v>1.0000636537237431</v>
      </c>
      <c r="BA1893" s="22">
        <f>I1893/AW1893</f>
        <v>0.999851506151888</v>
      </c>
      <c r="BB1893" s="22"/>
      <c r="BC1893" s="22"/>
      <c r="BD1893" s="22"/>
      <c r="BE1893" s="22"/>
      <c r="BF1893" s="22"/>
      <c r="BG1893" s="22"/>
      <c r="BH1893" s="22"/>
      <c r="BI1893" s="22"/>
      <c r="BJ1893" s="22"/>
      <c r="BK1893" s="22"/>
      <c r="BL1893" s="22"/>
      <c r="BM1893" s="22"/>
      <c r="BN1893" s="22"/>
      <c r="BO1893" s="22"/>
      <c r="BP1893" s="22"/>
      <c r="BQ1893" s="22"/>
      <c r="BR1893" s="22"/>
      <c r="BS1893" s="22"/>
      <c r="BT1893" s="22"/>
      <c r="BU1893" s="22"/>
      <c r="BV1893" s="22"/>
      <c r="BW1893" s="22"/>
      <c r="BX1893" s="22"/>
      <c r="BY1893" s="22"/>
      <c r="BZ1893" s="22"/>
      <c r="CA1893" s="22"/>
      <c r="CB1893" s="22"/>
      <c r="CC1893" s="22"/>
      <c r="CD1893" s="22"/>
      <c r="CE1893" s="22"/>
      <c r="CF1893" s="22"/>
      <c r="CG1893" s="22"/>
      <c r="CH1893" s="22"/>
      <c r="CI1893" s="22"/>
      <c r="CJ1893" s="22"/>
    </row>
    <row r="1894" spans="1:88">
      <c r="A1894" s="1">
        <v>704</v>
      </c>
      <c r="B1894" s="34" t="s">
        <v>1106</v>
      </c>
      <c r="C1894" s="34">
        <v>626</v>
      </c>
      <c r="D1894" s="34">
        <v>2054</v>
      </c>
      <c r="E1894" s="34">
        <v>100</v>
      </c>
      <c r="F1894" s="34" t="s">
        <v>1113</v>
      </c>
      <c r="G1894" s="58">
        <v>0</v>
      </c>
      <c r="H1894" s="58">
        <v>33742</v>
      </c>
      <c r="I1894" s="35">
        <v>33.741999999999997</v>
      </c>
      <c r="J1894" s="127">
        <v>2</v>
      </c>
      <c r="K1894" s="34" t="s">
        <v>238</v>
      </c>
      <c r="L1894" s="10">
        <v>42177</v>
      </c>
      <c r="M1894" s="9" t="s">
        <v>191</v>
      </c>
      <c r="N1894" s="38">
        <v>19.3</v>
      </c>
      <c r="O1894" s="38">
        <v>10.175000000000001</v>
      </c>
      <c r="P1894" s="38">
        <v>3.0249999999999999</v>
      </c>
      <c r="Q1894" s="38">
        <v>1.05</v>
      </c>
      <c r="R1894" s="38">
        <v>2.5562999999999998</v>
      </c>
      <c r="S1894" s="38">
        <f t="shared" si="246"/>
        <v>2.5</v>
      </c>
      <c r="T1894" s="38">
        <v>32.75</v>
      </c>
      <c r="U1894" s="38">
        <v>0.55000000000000004</v>
      </c>
      <c r="V1894" s="38">
        <v>0.125</v>
      </c>
      <c r="W1894" s="38">
        <v>0.125</v>
      </c>
      <c r="X1894" s="38">
        <v>3.3558599999999998</v>
      </c>
      <c r="Y1894" s="38">
        <f t="shared" si="247"/>
        <v>3.5</v>
      </c>
      <c r="Z1894" s="38">
        <v>0</v>
      </c>
      <c r="AA1894" s="38">
        <v>0</v>
      </c>
      <c r="AB1894" s="38">
        <f>N1894+O1894+P1894+Q1894</f>
        <v>33.549999999999997</v>
      </c>
      <c r="AC1894" s="38">
        <v>1.19675</v>
      </c>
      <c r="AD1894" s="38">
        <v>3.04</v>
      </c>
      <c r="AE1894" s="38">
        <v>0</v>
      </c>
      <c r="AF1894" s="38">
        <f>(AD1894+AE1894*0.5)/(3.5*I1894*1000)*100</f>
        <v>2.5741551436530988E-3</v>
      </c>
      <c r="AG1894" s="38">
        <f t="shared" si="248"/>
        <v>0</v>
      </c>
      <c r="AH1894" s="38">
        <v>15.88</v>
      </c>
      <c r="AI1894" s="38">
        <f>AH1894/(3.5*I1894*1000)*100</f>
        <v>1.3446573579345793E-2</v>
      </c>
      <c r="AJ1894" s="38">
        <v>0</v>
      </c>
      <c r="AK1894" s="38">
        <f>AJ1894/(3.5*I1894*1000)*100</f>
        <v>0</v>
      </c>
      <c r="AL1894" s="38">
        <v>0</v>
      </c>
      <c r="AM1894" s="38">
        <f>AL1894/(3.5*I1894*1000)*100</f>
        <v>0</v>
      </c>
      <c r="AN1894" s="25"/>
      <c r="AO1894" s="25">
        <f>AE1894*0.5</f>
        <v>0</v>
      </c>
      <c r="AP1894" s="25">
        <f>(AD1894+AH1894+AJ1894+AL1894+AO1894)*I1894</f>
        <v>638.39864</v>
      </c>
      <c r="AQ1894" s="25">
        <f>SUM(N1894:Q1894)</f>
        <v>33.549999999999997</v>
      </c>
      <c r="AR1894" s="25">
        <f>SUM(T1894:W1894)</f>
        <v>33.549999999999997</v>
      </c>
      <c r="AS1894" s="268">
        <v>33.741999999999997</v>
      </c>
      <c r="AT1894" s="41"/>
      <c r="AU1894" s="41"/>
      <c r="AV1894" s="41"/>
      <c r="AW1894" s="41"/>
      <c r="AX1894" s="22"/>
      <c r="AY1894" s="22"/>
      <c r="AZ1894" s="22"/>
      <c r="BA1894" s="22"/>
      <c r="BB1894" s="22"/>
      <c r="BC1894" s="22"/>
      <c r="BD1894" s="22"/>
      <c r="BE1894" s="22"/>
      <c r="BF1894" s="22"/>
      <c r="BG1894" s="22"/>
      <c r="BH1894" s="22"/>
      <c r="BI1894" s="22"/>
      <c r="BJ1894" s="22"/>
      <c r="BK1894" s="22"/>
      <c r="BL1894" s="22"/>
      <c r="BM1894" s="22"/>
      <c r="BN1894" s="22"/>
      <c r="BO1894" s="22"/>
      <c r="BP1894" s="22"/>
      <c r="BQ1894" s="22"/>
      <c r="BR1894" s="22"/>
      <c r="BS1894" s="22"/>
      <c r="BT1894" s="22"/>
      <c r="BU1894" s="22"/>
      <c r="BV1894" s="22"/>
      <c r="BW1894" s="22"/>
      <c r="BX1894" s="22"/>
      <c r="BY1894" s="22"/>
      <c r="BZ1894" s="22"/>
      <c r="CA1894" s="22"/>
      <c r="CB1894" s="22"/>
      <c r="CC1894" s="22"/>
      <c r="CD1894" s="22"/>
      <c r="CE1894" s="22"/>
      <c r="CF1894" s="22"/>
      <c r="CG1894" s="22"/>
      <c r="CH1894" s="22"/>
      <c r="CI1894" s="22"/>
      <c r="CJ1894" s="22"/>
    </row>
    <row r="1895" spans="1:88" s="22" customFormat="1">
      <c r="A1895" s="1">
        <v>752</v>
      </c>
      <c r="B1895" s="34" t="s">
        <v>1106</v>
      </c>
      <c r="C1895" s="34">
        <v>626</v>
      </c>
      <c r="D1895" s="34">
        <v>2054</v>
      </c>
      <c r="E1895" s="34">
        <v>100</v>
      </c>
      <c r="F1895" s="34" t="s">
        <v>1113</v>
      </c>
      <c r="G1895" s="58">
        <v>0</v>
      </c>
      <c r="H1895" s="58">
        <v>33742</v>
      </c>
      <c r="I1895" s="35">
        <v>33.741999999999997</v>
      </c>
      <c r="J1895" s="127">
        <v>2</v>
      </c>
      <c r="K1895" s="34" t="s">
        <v>238</v>
      </c>
      <c r="L1895" s="10">
        <v>42177</v>
      </c>
      <c r="M1895" s="9" t="s">
        <v>191</v>
      </c>
      <c r="N1895" s="38">
        <v>19.3</v>
      </c>
      <c r="O1895" s="38">
        <v>10.175000000000001</v>
      </c>
      <c r="P1895" s="38">
        <v>3.0249999999999999</v>
      </c>
      <c r="Q1895" s="38">
        <v>1.05</v>
      </c>
      <c r="R1895" s="38">
        <v>2.5562999999999998</v>
      </c>
      <c r="S1895" s="38">
        <f t="shared" si="246"/>
        <v>2.5</v>
      </c>
      <c r="T1895" s="38">
        <v>32.75</v>
      </c>
      <c r="U1895" s="38">
        <v>0.55000000000000004</v>
      </c>
      <c r="V1895" s="38">
        <v>0.125</v>
      </c>
      <c r="W1895" s="38">
        <v>0.125</v>
      </c>
      <c r="X1895" s="38">
        <v>3.3558599999999998</v>
      </c>
      <c r="Y1895" s="38">
        <f t="shared" si="247"/>
        <v>3.5</v>
      </c>
      <c r="Z1895" s="38">
        <v>0</v>
      </c>
      <c r="AA1895" s="38">
        <v>0</v>
      </c>
      <c r="AB1895" s="38">
        <f>N1895+O1895+P1895+Q1895</f>
        <v>33.549999999999997</v>
      </c>
      <c r="AC1895" s="38">
        <v>1.19675</v>
      </c>
      <c r="AD1895" s="38">
        <v>3.04</v>
      </c>
      <c r="AE1895" s="38">
        <v>0</v>
      </c>
      <c r="AF1895" s="38">
        <f>(AD1895+AE1895*0.5)/(3.5*I1895*1000)*100</f>
        <v>2.5741551436530988E-3</v>
      </c>
      <c r="AG1895" s="38">
        <f t="shared" si="248"/>
        <v>0</v>
      </c>
      <c r="AH1895" s="38">
        <v>15.88</v>
      </c>
      <c r="AI1895" s="38">
        <f>AH1895/(3.5*I1895*1000)*100</f>
        <v>1.3446573579345793E-2</v>
      </c>
      <c r="AJ1895" s="38">
        <v>0</v>
      </c>
      <c r="AK1895" s="38">
        <f>AJ1895/(3.5*I1895*1000)*100</f>
        <v>0</v>
      </c>
      <c r="AL1895" s="38">
        <v>0</v>
      </c>
      <c r="AM1895" s="38">
        <f>AL1895/(3.5*I1895*1000)*100</f>
        <v>0</v>
      </c>
      <c r="AN1895" s="25"/>
      <c r="AO1895" s="25">
        <f>AE1895*0.5</f>
        <v>0</v>
      </c>
      <c r="AP1895" s="25">
        <f>(AD1895+AH1895+AJ1895+AL1895+AO1895)*I1895</f>
        <v>638.39864</v>
      </c>
      <c r="AQ1895" s="25">
        <f>SUM(N1895:Q1895)</f>
        <v>33.549999999999997</v>
      </c>
      <c r="AR1895" s="25">
        <f>SUM(T1895:W1895)</f>
        <v>33.549999999999997</v>
      </c>
      <c r="AS1895" s="268">
        <v>33.741999999999997</v>
      </c>
      <c r="AT1895" s="41"/>
      <c r="AU1895" s="41"/>
      <c r="AV1895" s="41"/>
      <c r="AW1895" s="41"/>
    </row>
    <row r="1896" spans="1:88" s="22" customFormat="1">
      <c r="A1896" s="1">
        <v>951</v>
      </c>
      <c r="B1896" s="34" t="s">
        <v>1329</v>
      </c>
      <c r="C1896" s="34">
        <v>611</v>
      </c>
      <c r="D1896" s="161">
        <v>2226</v>
      </c>
      <c r="E1896" s="34">
        <v>100</v>
      </c>
      <c r="F1896" s="34" t="s">
        <v>1350</v>
      </c>
      <c r="G1896" s="58">
        <v>0</v>
      </c>
      <c r="H1896" s="58">
        <v>60605</v>
      </c>
      <c r="I1896" s="35">
        <v>60.604999999999997</v>
      </c>
      <c r="J1896" s="71">
        <v>2</v>
      </c>
      <c r="K1896" s="34" t="s">
        <v>238</v>
      </c>
      <c r="L1896" s="10">
        <v>42119</v>
      </c>
      <c r="M1896" s="9" t="s">
        <v>191</v>
      </c>
      <c r="N1896" s="38">
        <v>40.274999999999999</v>
      </c>
      <c r="O1896" s="38">
        <v>14.975</v>
      </c>
      <c r="P1896" s="38">
        <v>4.125</v>
      </c>
      <c r="Q1896" s="38">
        <v>0.92500000000000004</v>
      </c>
      <c r="R1896" s="38">
        <v>2.1541800000000002</v>
      </c>
      <c r="S1896" s="38">
        <f t="shared" si="246"/>
        <v>2</v>
      </c>
      <c r="T1896" s="38">
        <v>57.225000000000001</v>
      </c>
      <c r="U1896" s="38">
        <v>2.4750000000000001</v>
      </c>
      <c r="V1896" s="38">
        <v>0.57499999999999996</v>
      </c>
      <c r="W1896" s="38">
        <v>2.5000000000000001E-2</v>
      </c>
      <c r="X1896" s="38">
        <v>4.6234099999999998</v>
      </c>
      <c r="Y1896" s="38">
        <f t="shared" si="247"/>
        <v>4.5</v>
      </c>
      <c r="Z1896" s="38">
        <v>0</v>
      </c>
      <c r="AA1896" s="38">
        <v>0</v>
      </c>
      <c r="AB1896" s="38">
        <v>60.604999999999997</v>
      </c>
      <c r="AC1896" s="38">
        <v>1.3347</v>
      </c>
      <c r="AD1896" s="38">
        <v>5.43</v>
      </c>
      <c r="AE1896" s="38">
        <v>0</v>
      </c>
      <c r="AF1896" s="38">
        <f>(AD1896+AE1896*0.5)/(3.5*I1896*1000)*100</f>
        <v>2.5599019411411132E-3</v>
      </c>
      <c r="AG1896" s="38">
        <f t="shared" si="248"/>
        <v>0</v>
      </c>
      <c r="AH1896" s="38">
        <v>7.04</v>
      </c>
      <c r="AI1896" s="38">
        <f>AH1896/(3.5*I1896*1000)*100</f>
        <v>3.3189152238735612E-3</v>
      </c>
      <c r="AJ1896" s="38">
        <v>0</v>
      </c>
      <c r="AK1896" s="38">
        <f>AJ1896/(3.5*I1896*1000)*100</f>
        <v>0</v>
      </c>
      <c r="AL1896" s="38">
        <v>0</v>
      </c>
      <c r="AM1896" s="38">
        <f>AL1896/(3.5*I1896*1000)*100</f>
        <v>0</v>
      </c>
      <c r="AN1896" s="25"/>
      <c r="AO1896" s="25">
        <f>AE1896*0.5</f>
        <v>0</v>
      </c>
      <c r="AP1896" s="25">
        <f>(AD1896+AH1896+AJ1896+AL1896+AO1896)*I1896</f>
        <v>755.74434999999994</v>
      </c>
      <c r="AQ1896" s="25"/>
      <c r="AR1896" s="25">
        <f>SUM(N1896:Q1896)</f>
        <v>60.3</v>
      </c>
      <c r="AS1896" s="25">
        <f>SUM(T1896:W1896)</f>
        <v>60.300000000000004</v>
      </c>
      <c r="AT1896" s="268">
        <v>60.604999999999997</v>
      </c>
      <c r="AU1896" s="41"/>
      <c r="AV1896" s="41"/>
      <c r="AW1896" s="41"/>
    </row>
    <row r="1897" spans="1:88" s="22" customFormat="1">
      <c r="A1897" s="1">
        <v>1040</v>
      </c>
      <c r="B1897" s="9" t="s">
        <v>1394</v>
      </c>
      <c r="C1897" s="9">
        <v>617</v>
      </c>
      <c r="D1897" s="8">
        <v>2378</v>
      </c>
      <c r="E1897" s="9">
        <v>200</v>
      </c>
      <c r="F1897" s="9" t="s">
        <v>1439</v>
      </c>
      <c r="G1897" s="20">
        <v>20040</v>
      </c>
      <c r="H1897" s="20">
        <v>43425</v>
      </c>
      <c r="I1897" s="35">
        <v>21.83</v>
      </c>
      <c r="J1897" s="9">
        <v>2</v>
      </c>
      <c r="K1897" s="9" t="s">
        <v>238</v>
      </c>
      <c r="L1897" s="18">
        <v>42129</v>
      </c>
      <c r="M1897" s="9" t="s">
        <v>191</v>
      </c>
      <c r="N1897" s="11">
        <v>14.2</v>
      </c>
      <c r="O1897" s="11">
        <v>7.3250000000000002</v>
      </c>
      <c r="P1897" s="11">
        <v>1.5</v>
      </c>
      <c r="Q1897" s="11">
        <v>0.25</v>
      </c>
      <c r="R1897" s="11">
        <v>2.41811</v>
      </c>
      <c r="S1897" s="38">
        <f t="shared" si="246"/>
        <v>2.5</v>
      </c>
      <c r="T1897" s="11">
        <v>20.675000000000001</v>
      </c>
      <c r="U1897" s="11">
        <v>2.1</v>
      </c>
      <c r="V1897" s="11">
        <v>0.47499999999999998</v>
      </c>
      <c r="W1897" s="11">
        <v>2.5000000000000001E-2</v>
      </c>
      <c r="X1897" s="11">
        <v>5.0559399999999997</v>
      </c>
      <c r="Y1897" s="38">
        <f t="shared" si="247"/>
        <v>5</v>
      </c>
      <c r="Z1897" s="11">
        <v>0</v>
      </c>
      <c r="AA1897" s="11">
        <v>0</v>
      </c>
      <c r="AB1897" s="11">
        <f>SUM(N1897:Q1897)</f>
        <v>23.274999999999999</v>
      </c>
      <c r="AC1897" s="11">
        <v>1.32721</v>
      </c>
      <c r="AD1897" s="11">
        <v>0</v>
      </c>
      <c r="AE1897" s="11">
        <v>3.75</v>
      </c>
      <c r="AF1897" s="11">
        <f>(AD1897+AE1897*0.5)/(3.5*I1897*1000)*100</f>
        <v>2.4540278777566912E-3</v>
      </c>
      <c r="AG1897" s="38">
        <f t="shared" si="248"/>
        <v>0</v>
      </c>
      <c r="AH1897" s="11">
        <v>9.5399999999999991</v>
      </c>
      <c r="AI1897" s="38">
        <f>AH1897/(3.5*I1897*1000)*100</f>
        <v>1.2486093842026045E-2</v>
      </c>
      <c r="AJ1897" s="11">
        <v>57.92</v>
      </c>
      <c r="AK1897" s="38">
        <f>AJ1897/(3.5*I1897*1000)*100</f>
        <v>7.580655716248938E-2</v>
      </c>
      <c r="AL1897" s="11">
        <v>0</v>
      </c>
      <c r="AM1897" s="38">
        <f>AL1897/(3.5*I1897*1000)*100</f>
        <v>0</v>
      </c>
      <c r="AN1897" s="25"/>
      <c r="AO1897" s="25">
        <f>AE1897*0.5</f>
        <v>1.875</v>
      </c>
      <c r="AP1897" s="25">
        <f>(AD1897+AH1897+AJ1897+AL1897+AO1897)*I1897</f>
        <v>1513.58305</v>
      </c>
      <c r="AQ1897" s="25"/>
      <c r="AR1897" s="25"/>
      <c r="AS1897" s="25">
        <f>SUM(N1897:Q1897)</f>
        <v>23.274999999999999</v>
      </c>
      <c r="AT1897" s="25">
        <f>SUM(T1897:W1897)</f>
        <v>23.275000000000002</v>
      </c>
      <c r="AU1897" s="41"/>
      <c r="AV1897" s="41"/>
      <c r="AW1897" s="41"/>
    </row>
    <row r="1898" spans="1:88" s="22" customFormat="1">
      <c r="A1898" s="1">
        <v>1726</v>
      </c>
      <c r="B1898" s="34" t="s">
        <v>2308</v>
      </c>
      <c r="C1898" s="34">
        <v>422</v>
      </c>
      <c r="D1898" s="8">
        <v>3702</v>
      </c>
      <c r="E1898" s="34">
        <v>401</v>
      </c>
      <c r="F1898" s="34" t="s">
        <v>2321</v>
      </c>
      <c r="G1898" s="58" t="s">
        <v>2323</v>
      </c>
      <c r="H1898" s="58" t="s">
        <v>129</v>
      </c>
      <c r="I1898" s="206">
        <v>13</v>
      </c>
      <c r="J1898" s="9">
        <v>2</v>
      </c>
      <c r="K1898" s="34" t="s">
        <v>238</v>
      </c>
      <c r="L1898" s="10">
        <v>42231</v>
      </c>
      <c r="M1898" s="9" t="s">
        <v>191</v>
      </c>
      <c r="N1898" s="38">
        <v>4.7300000000000004</v>
      </c>
      <c r="O1898" s="38">
        <v>3.15</v>
      </c>
      <c r="P1898" s="38">
        <v>2.12</v>
      </c>
      <c r="Q1898" s="38">
        <v>3</v>
      </c>
      <c r="R1898" s="38">
        <v>4.2933000000000003</v>
      </c>
      <c r="S1898" s="38">
        <f t="shared" si="246"/>
        <v>4.5</v>
      </c>
      <c r="T1898" s="38">
        <v>10.130000000000001</v>
      </c>
      <c r="U1898" s="38">
        <v>1.22</v>
      </c>
      <c r="V1898" s="38">
        <v>0.55000000000000004</v>
      </c>
      <c r="W1898" s="38">
        <v>1.1200000000000001</v>
      </c>
      <c r="X1898" s="38">
        <v>10.759</v>
      </c>
      <c r="Y1898" s="38">
        <f t="shared" si="247"/>
        <v>11</v>
      </c>
      <c r="Z1898" s="38">
        <v>0</v>
      </c>
      <c r="AA1898" s="38">
        <v>0</v>
      </c>
      <c r="AB1898" s="206">
        <v>13</v>
      </c>
      <c r="AC1898" s="38">
        <v>1.78881</v>
      </c>
      <c r="AD1898" s="38">
        <v>1.03</v>
      </c>
      <c r="AE1898" s="38">
        <v>0</v>
      </c>
      <c r="AF1898" s="38">
        <v>2.32E-3</v>
      </c>
      <c r="AG1898" s="38">
        <f t="shared" si="248"/>
        <v>0</v>
      </c>
      <c r="AH1898" s="38">
        <v>83.56</v>
      </c>
      <c r="AI1898" s="38">
        <v>0.18798999999999999</v>
      </c>
      <c r="AJ1898" s="38">
        <v>253</v>
      </c>
      <c r="AK1898" s="38">
        <v>0.56917899999999999</v>
      </c>
      <c r="AL1898" s="38">
        <v>60.38</v>
      </c>
      <c r="AM1898" s="55">
        <v>0.13583999999999999</v>
      </c>
      <c r="AO1898" s="22">
        <f>AE1898*0.5</f>
        <v>0</v>
      </c>
      <c r="AP1898" s="41">
        <f>(AD1898+AH1898+AJ1898+AL1898+AO1898)*I1898</f>
        <v>5173.6100000000006</v>
      </c>
      <c r="AQ1898" s="25">
        <f>SUM(N1898:Q1898)</f>
        <v>13</v>
      </c>
      <c r="AR1898" s="25">
        <f>SUM(T1898:W1898)</f>
        <v>13.020000000000003</v>
      </c>
      <c r="AS1898" s="268">
        <v>13.127000000000001</v>
      </c>
      <c r="AU1898" s="25">
        <f>AS1898-AQ1898</f>
        <v>0.12700000000000067</v>
      </c>
      <c r="AV1898" s="41">
        <f>SUM(N1898:Q1898)</f>
        <v>13</v>
      </c>
      <c r="AW1898" s="41">
        <f>SUM(T1898:W1898)</f>
        <v>13.020000000000003</v>
      </c>
      <c r="AX1898" s="41">
        <f>SUM(Z1898:AB1898)</f>
        <v>13</v>
      </c>
      <c r="AZ1898" s="22">
        <f>I1898/AV1898</f>
        <v>1</v>
      </c>
      <c r="BA1898" s="22">
        <f>I1898/AW1898</f>
        <v>0.99846390168970789</v>
      </c>
      <c r="BB1898" s="22">
        <f>I1898/AX1898</f>
        <v>1</v>
      </c>
    </row>
    <row r="1899" spans="1:88" s="22" customFormat="1">
      <c r="A1899" s="1">
        <v>350</v>
      </c>
      <c r="B1899" s="74" t="s">
        <v>571</v>
      </c>
      <c r="C1899" s="34">
        <v>512</v>
      </c>
      <c r="D1899" s="75">
        <v>1107</v>
      </c>
      <c r="E1899" s="69">
        <v>102</v>
      </c>
      <c r="F1899" s="76" t="s">
        <v>579</v>
      </c>
      <c r="G1899" s="20" t="s">
        <v>578</v>
      </c>
      <c r="H1899" s="20" t="s">
        <v>580</v>
      </c>
      <c r="I1899" s="21">
        <v>42.277000000000001</v>
      </c>
      <c r="J1899" s="8">
        <v>2</v>
      </c>
      <c r="K1899" s="34" t="s">
        <v>238</v>
      </c>
      <c r="L1899" s="18">
        <v>42258</v>
      </c>
      <c r="M1899" s="71" t="s">
        <v>191</v>
      </c>
      <c r="N1899" s="38">
        <f>23.72745*0.747</f>
        <v>17.724405149999999</v>
      </c>
      <c r="O1899" s="38">
        <f>12.45005*0.747</f>
        <v>9.3001873499999999</v>
      </c>
      <c r="P1899" s="38">
        <f>19.1382765531062*0.747</f>
        <v>14.296292585170331</v>
      </c>
      <c r="Q1899" s="38">
        <f>1.2974*0.747</f>
        <v>0.96915780000000007</v>
      </c>
      <c r="R1899" s="38">
        <v>2.5915699999999999</v>
      </c>
      <c r="S1899" s="38">
        <f t="shared" si="246"/>
        <v>2.5</v>
      </c>
      <c r="T1899" s="38">
        <v>41.791249999999998</v>
      </c>
      <c r="U1899" s="38">
        <v>0.42414999999999997</v>
      </c>
      <c r="V1899" s="38">
        <v>2.495E-2</v>
      </c>
      <c r="W1899" s="38">
        <v>0</v>
      </c>
      <c r="X1899" s="38">
        <v>2.5569299999999999</v>
      </c>
      <c r="Y1899" s="38">
        <f t="shared" si="247"/>
        <v>2.5</v>
      </c>
      <c r="Z1899" s="38">
        <v>0</v>
      </c>
      <c r="AA1899" s="38">
        <v>0</v>
      </c>
      <c r="AB1899" s="38">
        <v>42.29004288517033</v>
      </c>
      <c r="AC1899" s="38">
        <v>1.2710600000000001</v>
      </c>
      <c r="AD1899" s="38">
        <v>0</v>
      </c>
      <c r="AE1899" s="38">
        <v>6.47</v>
      </c>
      <c r="AF1899" s="38">
        <f>(AD1899+AE1899*0.5)/(3.5*I1899*1000)*100</f>
        <v>2.1862613579149755E-3</v>
      </c>
      <c r="AG1899" s="38">
        <f t="shared" si="248"/>
        <v>0</v>
      </c>
      <c r="AH1899" s="38">
        <v>76.325000000000003</v>
      </c>
      <c r="AI1899" s="38">
        <f>AH1899/(3.5*I1899*1000)*100</f>
        <v>5.1581575932878057E-2</v>
      </c>
      <c r="AJ1899" s="38">
        <v>0</v>
      </c>
      <c r="AK1899" s="38">
        <f>AJ1899/(3.5*I1899*1000)*100</f>
        <v>0</v>
      </c>
      <c r="AL1899" s="38">
        <v>0</v>
      </c>
      <c r="AM1899" s="38">
        <f>AL1899/(3.5*I1899*1000)*100</f>
        <v>0</v>
      </c>
      <c r="AN1899" s="72"/>
      <c r="AO1899" s="41"/>
      <c r="AP1899" s="41"/>
      <c r="AQ1899" s="73"/>
      <c r="AR1899" s="73"/>
      <c r="AS1899" s="73"/>
      <c r="AT1899" s="73"/>
    </row>
    <row r="1900" spans="1:88" s="22" customFormat="1">
      <c r="A1900" s="1">
        <v>245</v>
      </c>
      <c r="B1900" s="34" t="s">
        <v>436</v>
      </c>
      <c r="C1900" s="34">
        <v>537</v>
      </c>
      <c r="D1900" s="34">
        <v>1290</v>
      </c>
      <c r="E1900" s="34">
        <v>101</v>
      </c>
      <c r="F1900" s="34" t="s">
        <v>462</v>
      </c>
      <c r="G1900" s="20">
        <v>0</v>
      </c>
      <c r="H1900" s="20">
        <v>74167</v>
      </c>
      <c r="I1900" s="35">
        <v>74.167000000000002</v>
      </c>
      <c r="J1900" s="33">
        <v>2</v>
      </c>
      <c r="K1900" s="34" t="s">
        <v>12</v>
      </c>
      <c r="L1900" s="10">
        <v>42200</v>
      </c>
      <c r="M1900" s="9" t="s">
        <v>191</v>
      </c>
      <c r="N1900" s="38">
        <v>52.75</v>
      </c>
      <c r="O1900" s="38">
        <v>14.83</v>
      </c>
      <c r="P1900" s="38">
        <v>6.13</v>
      </c>
      <c r="Q1900" s="38">
        <v>0.56000000000000005</v>
      </c>
      <c r="R1900" s="38">
        <v>2.31548</v>
      </c>
      <c r="S1900" s="38">
        <f t="shared" si="246"/>
        <v>2.5</v>
      </c>
      <c r="T1900" s="38">
        <v>71.38</v>
      </c>
      <c r="U1900" s="38">
        <v>2.79</v>
      </c>
      <c r="V1900" s="38">
        <v>0</v>
      </c>
      <c r="W1900" s="38">
        <v>0</v>
      </c>
      <c r="X1900" s="38">
        <v>4.7741400000000001</v>
      </c>
      <c r="Y1900" s="38">
        <f t="shared" si="247"/>
        <v>5</v>
      </c>
      <c r="Z1900" s="38">
        <v>6.95</v>
      </c>
      <c r="AA1900" s="38">
        <v>58.61</v>
      </c>
      <c r="AB1900" s="38">
        <v>8.6999999999999993</v>
      </c>
      <c r="AC1900" s="38">
        <v>1.1701299999999999</v>
      </c>
      <c r="AD1900" s="38">
        <v>0</v>
      </c>
      <c r="AE1900" s="38">
        <v>11.31</v>
      </c>
      <c r="AF1900" s="38">
        <v>2.1784813808220444E-3</v>
      </c>
      <c r="AG1900" s="38">
        <f t="shared" si="248"/>
        <v>0</v>
      </c>
      <c r="AH1900" s="38">
        <v>0</v>
      </c>
      <c r="AI1900" s="38">
        <v>0</v>
      </c>
      <c r="AJ1900" s="38">
        <v>0</v>
      </c>
      <c r="AK1900" s="55">
        <v>0</v>
      </c>
      <c r="AL1900" s="55">
        <v>0</v>
      </c>
      <c r="AM1900" s="55">
        <v>0</v>
      </c>
      <c r="AN1900" s="40"/>
      <c r="AO1900" s="25">
        <f>SUM(N1900:Q1900)</f>
        <v>74.27</v>
      </c>
      <c r="AP1900" s="25">
        <f>SUM(T1900:W1900)</f>
        <v>74.17</v>
      </c>
      <c r="AQ1900" s="268">
        <v>74.167000000000002</v>
      </c>
      <c r="AR1900" s="41"/>
      <c r="AS1900" s="41"/>
      <c r="AT1900" s="41"/>
      <c r="AU1900" s="41">
        <f>SUM(N1900:Q1900)</f>
        <v>74.27</v>
      </c>
      <c r="AV1900" s="41">
        <f>SUM(T1900:W1900)</f>
        <v>74.17</v>
      </c>
      <c r="AW1900" s="41">
        <f>SUM(Z1900:AB1900)</f>
        <v>74.260000000000005</v>
      </c>
      <c r="AY1900" s="22">
        <f>I1900/AU1900</f>
        <v>0.99861316817018997</v>
      </c>
      <c r="AZ1900" s="22">
        <f>I1900/AV1900</f>
        <v>0.99995955237966838</v>
      </c>
      <c r="BA1900" s="22">
        <f>I1900/AW1900</f>
        <v>0.9987476434150282</v>
      </c>
    </row>
    <row r="1901" spans="1:88" s="22" customFormat="1">
      <c r="A1901" s="1">
        <v>696</v>
      </c>
      <c r="B1901" s="34" t="s">
        <v>1106</v>
      </c>
      <c r="C1901" s="34">
        <v>626</v>
      </c>
      <c r="D1901" s="34">
        <v>202</v>
      </c>
      <c r="E1901" s="34">
        <v>100</v>
      </c>
      <c r="F1901" s="34" t="s">
        <v>1107</v>
      </c>
      <c r="G1901" s="58">
        <v>2250</v>
      </c>
      <c r="H1901" s="58">
        <v>25660</v>
      </c>
      <c r="I1901" s="35">
        <v>23.41</v>
      </c>
      <c r="J1901" s="127">
        <v>2</v>
      </c>
      <c r="K1901" s="34" t="s">
        <v>238</v>
      </c>
      <c r="L1901" s="10">
        <v>42177</v>
      </c>
      <c r="M1901" s="9" t="s">
        <v>191</v>
      </c>
      <c r="N1901" s="38">
        <v>17.625</v>
      </c>
      <c r="O1901" s="38">
        <v>3.6</v>
      </c>
      <c r="P1901" s="38">
        <v>1.2</v>
      </c>
      <c r="Q1901" s="38">
        <v>0.82499999999999996</v>
      </c>
      <c r="R1901" s="38">
        <v>2.5653800000000002</v>
      </c>
      <c r="S1901" s="38">
        <f t="shared" si="246"/>
        <v>2.5</v>
      </c>
      <c r="T1901" s="38">
        <v>22.975000000000001</v>
      </c>
      <c r="U1901" s="38">
        <v>0.27500000000000002</v>
      </c>
      <c r="V1901" s="38">
        <v>0</v>
      </c>
      <c r="W1901" s="38">
        <v>0</v>
      </c>
      <c r="X1901" s="38">
        <v>4.32111</v>
      </c>
      <c r="Y1901" s="38">
        <f t="shared" si="247"/>
        <v>4.5</v>
      </c>
      <c r="Z1901" s="38">
        <v>0</v>
      </c>
      <c r="AA1901" s="38">
        <v>0</v>
      </c>
      <c r="AB1901" s="38">
        <f>N1901+O1901+P1901+Q1901</f>
        <v>23.25</v>
      </c>
      <c r="AC1901" s="38">
        <v>1.2440800000000001</v>
      </c>
      <c r="AD1901" s="38">
        <v>0</v>
      </c>
      <c r="AE1901" s="38">
        <v>3.49</v>
      </c>
      <c r="AF1901" s="38">
        <f>(AD1901+AE1901*0.5)/(3.5*I1901*1000)*100</f>
        <v>2.1297369866357481E-3</v>
      </c>
      <c r="AG1901" s="38">
        <f t="shared" si="248"/>
        <v>0</v>
      </c>
      <c r="AH1901" s="38">
        <v>0</v>
      </c>
      <c r="AI1901" s="38">
        <f>AH1901/(3.5*I1901*1000)*100</f>
        <v>0</v>
      </c>
      <c r="AJ1901" s="38">
        <v>0</v>
      </c>
      <c r="AK1901" s="38">
        <f>AJ1901/(3.5*I1901*1000)*100</f>
        <v>0</v>
      </c>
      <c r="AL1901" s="38">
        <v>0</v>
      </c>
      <c r="AM1901" s="38">
        <f>AL1901/(3.5*I1901*1000)*100</f>
        <v>0</v>
      </c>
      <c r="AN1901" s="25"/>
      <c r="AO1901" s="25">
        <f>AE1901*0.5</f>
        <v>1.7450000000000001</v>
      </c>
      <c r="AP1901" s="25">
        <f>(AD1901+AH1901+AJ1901+AL1901+AO1901)*I1901</f>
        <v>40.850450000000002</v>
      </c>
      <c r="AQ1901" s="25">
        <f>SUM(N1901:Q1901)</f>
        <v>23.25</v>
      </c>
      <c r="AR1901" s="25">
        <f>SUM(T1901:W1901)</f>
        <v>23.25</v>
      </c>
      <c r="AS1901" s="268">
        <v>23.41</v>
      </c>
      <c r="AT1901" s="41"/>
      <c r="AU1901" s="41"/>
      <c r="AV1901" s="41"/>
      <c r="AW1901" s="41"/>
    </row>
    <row r="1902" spans="1:88" s="22" customFormat="1">
      <c r="A1902" s="1">
        <v>744</v>
      </c>
      <c r="B1902" s="34" t="s">
        <v>1106</v>
      </c>
      <c r="C1902" s="34">
        <v>626</v>
      </c>
      <c r="D1902" s="34">
        <v>202</v>
      </c>
      <c r="E1902" s="34">
        <v>100</v>
      </c>
      <c r="F1902" s="34" t="s">
        <v>1107</v>
      </c>
      <c r="G1902" s="58">
        <v>2250</v>
      </c>
      <c r="H1902" s="58">
        <v>25660</v>
      </c>
      <c r="I1902" s="35">
        <v>23.41</v>
      </c>
      <c r="J1902" s="127">
        <v>2</v>
      </c>
      <c r="K1902" s="34" t="s">
        <v>238</v>
      </c>
      <c r="L1902" s="10">
        <v>42177</v>
      </c>
      <c r="M1902" s="9" t="s">
        <v>191</v>
      </c>
      <c r="N1902" s="38">
        <v>17.625</v>
      </c>
      <c r="O1902" s="38">
        <v>3.6</v>
      </c>
      <c r="P1902" s="38">
        <v>1.2</v>
      </c>
      <c r="Q1902" s="38">
        <v>0.82499999999999996</v>
      </c>
      <c r="R1902" s="38">
        <v>2.5653800000000002</v>
      </c>
      <c r="S1902" s="38">
        <f t="shared" si="246"/>
        <v>2.5</v>
      </c>
      <c r="T1902" s="38">
        <v>22.975000000000001</v>
      </c>
      <c r="U1902" s="38">
        <v>0.27500000000000002</v>
      </c>
      <c r="V1902" s="38">
        <v>0</v>
      </c>
      <c r="W1902" s="38">
        <v>0</v>
      </c>
      <c r="X1902" s="38">
        <v>4.32111</v>
      </c>
      <c r="Y1902" s="38">
        <f t="shared" si="247"/>
        <v>4.5</v>
      </c>
      <c r="Z1902" s="38">
        <v>0</v>
      </c>
      <c r="AA1902" s="38">
        <v>0</v>
      </c>
      <c r="AB1902" s="38">
        <f>N1902+O1902+P1902+Q1902</f>
        <v>23.25</v>
      </c>
      <c r="AC1902" s="38">
        <v>1.2440800000000001</v>
      </c>
      <c r="AD1902" s="38">
        <v>0</v>
      </c>
      <c r="AE1902" s="38">
        <v>3.49</v>
      </c>
      <c r="AF1902" s="38">
        <f>(AD1902+AE1902*0.5)/(3.5*I1902*1000)*100</f>
        <v>2.1297369866357481E-3</v>
      </c>
      <c r="AG1902" s="38">
        <f t="shared" si="248"/>
        <v>0</v>
      </c>
      <c r="AH1902" s="38">
        <v>0</v>
      </c>
      <c r="AI1902" s="38">
        <f>AH1902/(3.5*I1902*1000)*100</f>
        <v>0</v>
      </c>
      <c r="AJ1902" s="38">
        <v>0</v>
      </c>
      <c r="AK1902" s="38">
        <f>AJ1902/(3.5*I1902*1000)*100</f>
        <v>0</v>
      </c>
      <c r="AL1902" s="38">
        <v>0</v>
      </c>
      <c r="AM1902" s="38">
        <f>AL1902/(3.5*I1902*1000)*100</f>
        <v>0</v>
      </c>
      <c r="AN1902" s="25"/>
      <c r="AO1902" s="25">
        <f>AE1902*0.5</f>
        <v>1.7450000000000001</v>
      </c>
      <c r="AP1902" s="25">
        <f>(AD1902+AH1902+AJ1902+AL1902+AO1902)*I1902</f>
        <v>40.850450000000002</v>
      </c>
      <c r="AQ1902" s="25">
        <f>SUM(N1902:Q1902)</f>
        <v>23.25</v>
      </c>
      <c r="AR1902" s="25">
        <f>SUM(T1902:W1902)</f>
        <v>23.25</v>
      </c>
      <c r="AS1902" s="268">
        <v>23.41</v>
      </c>
      <c r="AT1902" s="41"/>
      <c r="AU1902" s="41"/>
      <c r="AV1902" s="41"/>
      <c r="AW1902" s="41"/>
    </row>
    <row r="1903" spans="1:88" s="22" customFormat="1">
      <c r="A1903" s="1">
        <v>649</v>
      </c>
      <c r="B1903" s="34" t="s">
        <v>1050</v>
      </c>
      <c r="C1903" s="34">
        <v>621</v>
      </c>
      <c r="D1903" s="34">
        <v>2322</v>
      </c>
      <c r="E1903" s="34">
        <v>201</v>
      </c>
      <c r="F1903" s="34" t="s">
        <v>1057</v>
      </c>
      <c r="G1903" s="58">
        <v>42396</v>
      </c>
      <c r="H1903" s="58">
        <v>77292</v>
      </c>
      <c r="I1903" s="35">
        <v>33.450000000000003</v>
      </c>
      <c r="J1903" s="127">
        <v>2</v>
      </c>
      <c r="K1903" s="34" t="s">
        <v>238</v>
      </c>
      <c r="L1903" s="10">
        <v>42172</v>
      </c>
      <c r="M1903" s="9" t="s">
        <v>191</v>
      </c>
      <c r="N1903" s="38">
        <v>26.45</v>
      </c>
      <c r="O1903" s="38">
        <v>5.875</v>
      </c>
      <c r="P1903" s="38">
        <v>1.85</v>
      </c>
      <c r="Q1903" s="38">
        <v>0.72499999999999998</v>
      </c>
      <c r="R1903" s="38">
        <v>2.6589999999999998</v>
      </c>
      <c r="S1903" s="38">
        <f t="shared" si="246"/>
        <v>2.5</v>
      </c>
      <c r="T1903" s="38">
        <v>34.375</v>
      </c>
      <c r="U1903" s="38">
        <v>0.47499999999999998</v>
      </c>
      <c r="V1903" s="38">
        <v>0.05</v>
      </c>
      <c r="W1903" s="38">
        <v>0</v>
      </c>
      <c r="X1903" s="38">
        <v>3.5880000000000001</v>
      </c>
      <c r="Y1903" s="38">
        <f t="shared" si="247"/>
        <v>3.5</v>
      </c>
      <c r="Z1903" s="38">
        <v>2.5000000000000001E-2</v>
      </c>
      <c r="AA1903" s="38">
        <v>0</v>
      </c>
      <c r="AB1903" s="38">
        <v>34.875</v>
      </c>
      <c r="AC1903" s="38">
        <v>1.1020000000000001</v>
      </c>
      <c r="AD1903" s="38">
        <v>2.54</v>
      </c>
      <c r="AE1903" s="38">
        <v>0</v>
      </c>
      <c r="AF1903" s="38">
        <v>2.0796489159625336E-3</v>
      </c>
      <c r="AG1903" s="38">
        <f t="shared" si="248"/>
        <v>0</v>
      </c>
      <c r="AH1903" s="38">
        <v>1.06</v>
      </c>
      <c r="AI1903" s="38">
        <v>8.6788498067727786E-4</v>
      </c>
      <c r="AJ1903" s="38">
        <v>0</v>
      </c>
      <c r="AK1903" s="55">
        <v>0</v>
      </c>
      <c r="AL1903" s="55">
        <v>0</v>
      </c>
      <c r="AM1903" s="55">
        <v>0</v>
      </c>
      <c r="AN1903" s="25">
        <f>SUM(N1903:Q1903)</f>
        <v>34.900000000000006</v>
      </c>
      <c r="AO1903" s="25">
        <f>SUM(T1903:W1903)</f>
        <v>34.9</v>
      </c>
      <c r="AQ1903" s="41"/>
      <c r="AR1903" s="41"/>
      <c r="AS1903" s="41"/>
      <c r="AT1903" s="41"/>
    </row>
    <row r="1904" spans="1:88">
      <c r="A1904" s="1">
        <v>2092</v>
      </c>
      <c r="B1904" s="34" t="s">
        <v>2732</v>
      </c>
      <c r="C1904" s="34">
        <v>323</v>
      </c>
      <c r="D1904" s="75">
        <v>4151</v>
      </c>
      <c r="E1904" s="8">
        <v>400</v>
      </c>
      <c r="F1904" s="9" t="s">
        <v>2739</v>
      </c>
      <c r="G1904" s="20" t="s">
        <v>2740</v>
      </c>
      <c r="H1904" s="20" t="s">
        <v>2741</v>
      </c>
      <c r="I1904" s="21">
        <v>28</v>
      </c>
      <c r="J1904" s="9">
        <v>2</v>
      </c>
      <c r="K1904" s="34" t="s">
        <v>238</v>
      </c>
      <c r="L1904" s="18">
        <v>42131</v>
      </c>
      <c r="M1904" s="9" t="s">
        <v>191</v>
      </c>
      <c r="N1904" s="38">
        <v>23.95</v>
      </c>
      <c r="O1904" s="38">
        <v>2.17</v>
      </c>
      <c r="P1904" s="38">
        <v>1.25</v>
      </c>
      <c r="Q1904" s="38">
        <v>0.64</v>
      </c>
      <c r="R1904" s="38">
        <v>1.95414</v>
      </c>
      <c r="S1904" s="38">
        <f t="shared" si="246"/>
        <v>2</v>
      </c>
      <c r="T1904" s="38">
        <v>26.11</v>
      </c>
      <c r="U1904" s="38">
        <v>1.3</v>
      </c>
      <c r="V1904" s="38">
        <v>0.41</v>
      </c>
      <c r="W1904" s="38">
        <v>0.18</v>
      </c>
      <c r="X1904" s="38">
        <v>4.8673099999999998</v>
      </c>
      <c r="Y1904" s="38">
        <f t="shared" si="247"/>
        <v>5</v>
      </c>
      <c r="Z1904" s="38">
        <v>0</v>
      </c>
      <c r="AA1904" s="38">
        <v>0</v>
      </c>
      <c r="AB1904" s="38">
        <v>28</v>
      </c>
      <c r="AC1904" s="38">
        <v>1.2776099999999999</v>
      </c>
      <c r="AD1904" s="38">
        <v>1.63</v>
      </c>
      <c r="AE1904" s="38">
        <v>0.59</v>
      </c>
      <c r="AF1904" s="38">
        <f>(AD1904+AE1904*0.5)/(3.5*I1904*1000)*100</f>
        <v>1.964285714285714E-3</v>
      </c>
      <c r="AG1904" s="38">
        <f t="shared" si="248"/>
        <v>0</v>
      </c>
      <c r="AH1904" s="38">
        <v>2.6</v>
      </c>
      <c r="AI1904" s="38">
        <f>AH1904/(3.5*I1904*1000)*100</f>
        <v>2.6530612244897961E-3</v>
      </c>
      <c r="AJ1904" s="38">
        <v>0</v>
      </c>
      <c r="AK1904" s="38">
        <v>0</v>
      </c>
      <c r="AL1904" s="38">
        <v>0</v>
      </c>
      <c r="AM1904" s="38">
        <f>AL1904/(3.5*I1904*1000)*100</f>
        <v>0</v>
      </c>
      <c r="AN1904" s="25"/>
      <c r="AO1904" s="25"/>
      <c r="AP1904" s="22"/>
      <c r="AQ1904" s="41">
        <f>SUM(N1904:Q1904)</f>
        <v>28.009999999999998</v>
      </c>
      <c r="AR1904" s="41">
        <f>SUM(T1904:W1904)</f>
        <v>28</v>
      </c>
      <c r="AS1904" s="12">
        <f>SUM(Z1904:AB1904)</f>
        <v>28</v>
      </c>
      <c r="AU1904" s="1">
        <f>I1904/AQ1904</f>
        <v>0.99964298464834001</v>
      </c>
      <c r="AV1904" s="1">
        <f>I1904/AR1904</f>
        <v>1</v>
      </c>
      <c r="AW1904" s="1">
        <f>I1904/AS1904</f>
        <v>1</v>
      </c>
      <c r="AX1904" s="22"/>
      <c r="AY1904" s="22"/>
      <c r="AZ1904" s="22"/>
      <c r="BA1904" s="22"/>
      <c r="BB1904" s="22"/>
      <c r="BC1904" s="22"/>
      <c r="BD1904" s="22"/>
      <c r="BE1904" s="22"/>
      <c r="BF1904" s="22"/>
      <c r="BG1904" s="22"/>
      <c r="BH1904" s="22"/>
      <c r="BI1904" s="22"/>
      <c r="BJ1904" s="22"/>
      <c r="BK1904" s="22"/>
      <c r="BL1904" s="22"/>
      <c r="BM1904" s="22"/>
      <c r="BN1904" s="22"/>
      <c r="BO1904" s="22"/>
      <c r="BP1904" s="22"/>
      <c r="BQ1904" s="22"/>
      <c r="BR1904" s="22"/>
      <c r="BS1904" s="22"/>
      <c r="BT1904" s="22"/>
      <c r="BU1904" s="22"/>
      <c r="BV1904" s="22"/>
      <c r="BW1904" s="22"/>
      <c r="BX1904" s="22"/>
      <c r="BY1904" s="22"/>
      <c r="BZ1904" s="22"/>
      <c r="CA1904" s="22"/>
      <c r="CB1904" s="22"/>
      <c r="CC1904" s="22"/>
      <c r="CD1904" s="22"/>
      <c r="CE1904" s="22"/>
      <c r="CF1904" s="22"/>
      <c r="CG1904" s="22"/>
      <c r="CH1904" s="22"/>
      <c r="CI1904" s="22"/>
      <c r="CJ1904" s="22"/>
    </row>
    <row r="1905" spans="1:88">
      <c r="A1905" s="1">
        <v>1064</v>
      </c>
      <c r="B1905" s="88" t="s">
        <v>1464</v>
      </c>
      <c r="C1905" s="88">
        <v>619</v>
      </c>
      <c r="D1905" s="8">
        <v>348</v>
      </c>
      <c r="E1905" s="88">
        <v>101</v>
      </c>
      <c r="F1905" s="34" t="s">
        <v>1465</v>
      </c>
      <c r="G1905" s="58" t="s">
        <v>1466</v>
      </c>
      <c r="H1905" s="58" t="s">
        <v>92</v>
      </c>
      <c r="I1905" s="35">
        <v>45.87</v>
      </c>
      <c r="J1905" s="9">
        <v>2</v>
      </c>
      <c r="K1905" s="88" t="s">
        <v>12</v>
      </c>
      <c r="L1905" s="116">
        <v>42093</v>
      </c>
      <c r="M1905" s="9" t="s">
        <v>191</v>
      </c>
      <c r="N1905" s="117">
        <v>39.32</v>
      </c>
      <c r="O1905" s="117">
        <v>4.3899999999999997</v>
      </c>
      <c r="P1905" s="117">
        <v>1.48</v>
      </c>
      <c r="Q1905" s="117">
        <v>0.7</v>
      </c>
      <c r="R1905" s="117">
        <v>2.3432400000000002</v>
      </c>
      <c r="S1905" s="38">
        <f t="shared" si="246"/>
        <v>2.5</v>
      </c>
      <c r="T1905" s="117">
        <v>43.13</v>
      </c>
      <c r="U1905" s="117">
        <v>2.69</v>
      </c>
      <c r="V1905" s="117">
        <v>0.03</v>
      </c>
      <c r="W1905" s="117">
        <v>0.03</v>
      </c>
      <c r="X1905" s="117">
        <v>5.3079400000000003</v>
      </c>
      <c r="Y1905" s="38">
        <f t="shared" si="247"/>
        <v>5.5</v>
      </c>
      <c r="Z1905" s="117">
        <v>0</v>
      </c>
      <c r="AA1905" s="117">
        <v>0</v>
      </c>
      <c r="AB1905" s="117">
        <v>45.87</v>
      </c>
      <c r="AC1905" s="117">
        <v>1.13974</v>
      </c>
      <c r="AD1905" s="38">
        <v>3.07</v>
      </c>
      <c r="AE1905" s="38">
        <v>0</v>
      </c>
      <c r="AF1905" s="169">
        <f>(AD1905+AE1905*0.5)/(3.5*I1905*1000)*100</f>
        <v>1.9122364446105453E-3</v>
      </c>
      <c r="AG1905" s="38">
        <f t="shared" si="248"/>
        <v>0</v>
      </c>
      <c r="AH1905" s="38">
        <v>0</v>
      </c>
      <c r="AI1905" s="99">
        <f>AH1905/(3.5*I1905*1000)*100</f>
        <v>0</v>
      </c>
      <c r="AJ1905" s="38">
        <v>0</v>
      </c>
      <c r="AK1905" s="99">
        <f>AJ1905/(3.5*I1905*1000)*100</f>
        <v>0</v>
      </c>
      <c r="AL1905" s="38">
        <v>0</v>
      </c>
      <c r="AM1905" s="99">
        <f>AL1905/(3.5*I1905*1000)*100</f>
        <v>0</v>
      </c>
      <c r="AN1905" s="12"/>
      <c r="AO1905" s="12"/>
      <c r="AP1905" s="12">
        <f>AE1905*0.5</f>
        <v>0</v>
      </c>
      <c r="AQ1905" s="12">
        <f>(AD1905+AH1905+AJ1905+AL1905+AP1905)*I1905</f>
        <v>140.82089999999999</v>
      </c>
      <c r="AR1905" s="12"/>
      <c r="AS1905" s="25">
        <f>SUM(N1905:Q1905)</f>
        <v>45.89</v>
      </c>
      <c r="AT1905" s="22">
        <f>SUM(T1905:W1905)</f>
        <v>45.88</v>
      </c>
      <c r="AU1905" s="268">
        <v>45.87</v>
      </c>
      <c r="AV1905" s="41">
        <f>SUM(N1905:Q1905)</f>
        <v>45.89</v>
      </c>
      <c r="AW1905" s="41">
        <f>SUM(T1905:W1905)</f>
        <v>45.88</v>
      </c>
      <c r="AX1905" s="41">
        <f>SUM(Z1905:AB1905)</f>
        <v>45.87</v>
      </c>
      <c r="AY1905" s="22"/>
      <c r="AZ1905" s="22">
        <f>I1905/AV1905</f>
        <v>0.99956417520156893</v>
      </c>
      <c r="BA1905" s="22">
        <f>I1905/AW1905</f>
        <v>0.99978204010462068</v>
      </c>
      <c r="BB1905" s="22">
        <f>I1905/AX1905</f>
        <v>1</v>
      </c>
    </row>
    <row r="1906" spans="1:88">
      <c r="A1906" s="1">
        <v>913</v>
      </c>
      <c r="B1906" s="34" t="s">
        <v>1302</v>
      </c>
      <c r="C1906" s="34">
        <v>636</v>
      </c>
      <c r="D1906" s="162">
        <v>2335</v>
      </c>
      <c r="E1906" s="34">
        <v>100</v>
      </c>
      <c r="F1906" s="34" t="s">
        <v>1307</v>
      </c>
      <c r="G1906" s="58">
        <v>29720</v>
      </c>
      <c r="H1906" s="58">
        <v>0</v>
      </c>
      <c r="I1906" s="35">
        <v>29.72</v>
      </c>
      <c r="J1906" s="163">
        <v>2</v>
      </c>
      <c r="K1906" s="34" t="s">
        <v>12</v>
      </c>
      <c r="L1906" s="10">
        <v>42137</v>
      </c>
      <c r="M1906" s="9" t="s">
        <v>191</v>
      </c>
      <c r="N1906" s="147">
        <v>17.804733944954126</v>
      </c>
      <c r="O1906" s="147">
        <v>8.6433394495412834</v>
      </c>
      <c r="P1906" s="147">
        <v>2.344880733944954</v>
      </c>
      <c r="Q1906" s="147">
        <v>0.92704587155963292</v>
      </c>
      <c r="R1906" s="38">
        <v>2.2200000000000002</v>
      </c>
      <c r="S1906" s="38">
        <f t="shared" si="246"/>
        <v>2</v>
      </c>
      <c r="T1906" s="147">
        <v>29.22921100917431</v>
      </c>
      <c r="U1906" s="147">
        <v>0.49078899082568805</v>
      </c>
      <c r="V1906" s="147">
        <v>0</v>
      </c>
      <c r="W1906" s="147">
        <v>0</v>
      </c>
      <c r="X1906" s="38">
        <v>2.8050000000000002</v>
      </c>
      <c r="Y1906" s="38">
        <f t="shared" si="247"/>
        <v>3</v>
      </c>
      <c r="Z1906" s="38">
        <v>0</v>
      </c>
      <c r="AA1906" s="38">
        <v>0</v>
      </c>
      <c r="AB1906" s="38">
        <v>29.72</v>
      </c>
      <c r="AC1906" s="38">
        <v>1.4139999999999999</v>
      </c>
      <c r="AD1906" s="38">
        <v>1.79</v>
      </c>
      <c r="AE1906" s="38">
        <v>0</v>
      </c>
      <c r="AF1906" s="38">
        <v>1.8699999999999999E-3</v>
      </c>
      <c r="AG1906" s="38">
        <f t="shared" si="248"/>
        <v>0</v>
      </c>
      <c r="AH1906" s="38">
        <v>122.31</v>
      </c>
      <c r="AI1906" s="38">
        <v>0.12757199999999999</v>
      </c>
      <c r="AJ1906" s="38">
        <v>1335.96</v>
      </c>
      <c r="AK1906" s="38">
        <v>1.3934299999999999</v>
      </c>
      <c r="AL1906" s="38">
        <v>0</v>
      </c>
      <c r="AM1906" s="38">
        <v>0</v>
      </c>
      <c r="AN1906" s="25"/>
      <c r="AO1906" s="25">
        <f>AE1906*0.5</f>
        <v>0</v>
      </c>
      <c r="AP1906" s="25">
        <f>(AD1906+AH1906+AJ1906+AL1906+AO1906)*I1906</f>
        <v>43392.983199999995</v>
      </c>
      <c r="AQ1906" s="25"/>
      <c r="AR1906" s="25"/>
      <c r="AS1906" s="25">
        <f>SUM(N1906:Q1906)</f>
        <v>29.719999999999995</v>
      </c>
      <c r="AT1906" s="25">
        <f>SUM(T1906:W1906)</f>
        <v>29.72</v>
      </c>
      <c r="AU1906" s="22"/>
      <c r="AV1906" s="41"/>
      <c r="AW1906" s="41"/>
      <c r="AX1906" s="41"/>
      <c r="AY1906" s="41"/>
      <c r="AZ1906" s="22"/>
      <c r="BA1906" s="22"/>
      <c r="BB1906" s="22"/>
      <c r="BC1906" s="22"/>
      <c r="BD1906" s="22"/>
      <c r="BE1906" s="22"/>
      <c r="BF1906" s="22"/>
      <c r="BG1906" s="22"/>
      <c r="BH1906" s="22"/>
      <c r="BI1906" s="22"/>
      <c r="BJ1906" s="22"/>
      <c r="BK1906" s="22"/>
      <c r="BL1906" s="22"/>
      <c r="BM1906" s="22"/>
      <c r="BN1906" s="22"/>
      <c r="BO1906" s="22"/>
      <c r="BP1906" s="22"/>
      <c r="BQ1906" s="22"/>
      <c r="BR1906" s="22"/>
      <c r="BS1906" s="22"/>
      <c r="BT1906" s="22"/>
      <c r="BU1906" s="22"/>
      <c r="BV1906" s="22"/>
      <c r="BW1906" s="22"/>
      <c r="BX1906" s="22"/>
      <c r="BY1906" s="22"/>
      <c r="BZ1906" s="22"/>
      <c r="CA1906" s="22"/>
      <c r="CB1906" s="22"/>
      <c r="CC1906" s="22"/>
      <c r="CD1906" s="22"/>
      <c r="CE1906" s="22"/>
      <c r="CF1906" s="22"/>
      <c r="CG1906" s="22"/>
      <c r="CH1906" s="22"/>
      <c r="CI1906" s="22"/>
      <c r="CJ1906" s="22"/>
    </row>
    <row r="1907" spans="1:88" s="22" customFormat="1">
      <c r="A1907" s="1">
        <v>922</v>
      </c>
      <c r="B1907" s="34" t="s">
        <v>1309</v>
      </c>
      <c r="C1907" s="34">
        <v>638</v>
      </c>
      <c r="D1907" s="8">
        <v>2086</v>
      </c>
      <c r="E1907" s="34">
        <v>201</v>
      </c>
      <c r="F1907" s="34" t="s">
        <v>1316</v>
      </c>
      <c r="G1907" s="58">
        <v>26315</v>
      </c>
      <c r="H1907" s="58">
        <v>95475</v>
      </c>
      <c r="I1907" s="35">
        <v>69.16</v>
      </c>
      <c r="J1907" s="9">
        <v>2</v>
      </c>
      <c r="K1907" s="34" t="s">
        <v>238</v>
      </c>
      <c r="L1907" s="10">
        <v>42138</v>
      </c>
      <c r="M1907" s="9" t="s">
        <v>191</v>
      </c>
      <c r="N1907" s="38">
        <v>51.825000000000003</v>
      </c>
      <c r="O1907" s="38">
        <v>11.925000000000001</v>
      </c>
      <c r="P1907" s="38">
        <v>4</v>
      </c>
      <c r="Q1907" s="38">
        <v>1.5249999999999999</v>
      </c>
      <c r="R1907" s="38">
        <v>2.2719299999999998</v>
      </c>
      <c r="S1907" s="38">
        <f t="shared" si="246"/>
        <v>2.5</v>
      </c>
      <c r="T1907" s="38">
        <v>66.224999999999994</v>
      </c>
      <c r="U1907" s="38">
        <v>2.35</v>
      </c>
      <c r="V1907" s="38">
        <v>0.55000000000000004</v>
      </c>
      <c r="W1907" s="38">
        <v>0.15</v>
      </c>
      <c r="X1907" s="38">
        <v>4.9559100000000003</v>
      </c>
      <c r="Y1907" s="38">
        <f t="shared" si="247"/>
        <v>5</v>
      </c>
      <c r="Z1907" s="38">
        <v>0</v>
      </c>
      <c r="AA1907" s="38">
        <v>0</v>
      </c>
      <c r="AB1907" s="38">
        <f>N1907+O1907+P1907+Q1907</f>
        <v>69.275000000000006</v>
      </c>
      <c r="AC1907" s="38">
        <v>1.3201400000000001</v>
      </c>
      <c r="AD1907" s="38">
        <v>4.51</v>
      </c>
      <c r="AE1907" s="38">
        <v>0</v>
      </c>
      <c r="AF1907" s="38">
        <v>1.8600000000000001E-3</v>
      </c>
      <c r="AG1907" s="38">
        <f t="shared" si="248"/>
        <v>0</v>
      </c>
      <c r="AH1907" s="38">
        <v>0</v>
      </c>
      <c r="AI1907" s="38">
        <v>0</v>
      </c>
      <c r="AJ1907" s="38">
        <v>0</v>
      </c>
      <c r="AK1907" s="38">
        <v>0</v>
      </c>
      <c r="AL1907" s="38">
        <v>0</v>
      </c>
      <c r="AM1907" s="38">
        <v>0</v>
      </c>
      <c r="AN1907" s="40"/>
      <c r="AO1907" s="40"/>
      <c r="AP1907" s="40">
        <f>AE1907*0.5</f>
        <v>0</v>
      </c>
      <c r="AQ1907" s="25">
        <f>(AD1907+AH1907+AJ1907+AL1907+AP1907)*I1907</f>
        <v>311.91159999999996</v>
      </c>
      <c r="AR1907" s="25"/>
      <c r="AS1907" s="25"/>
      <c r="AT1907" s="25">
        <f>SUM(N1907:Q1907)</f>
        <v>69.275000000000006</v>
      </c>
      <c r="AU1907" s="25">
        <f>SUM(T1907:W1907)</f>
        <v>69.274999999999991</v>
      </c>
      <c r="AW1907" s="41"/>
      <c r="AX1907" s="41"/>
      <c r="AY1907" s="41"/>
      <c r="AZ1907" s="41"/>
    </row>
    <row r="1908" spans="1:88">
      <c r="A1908" s="1">
        <v>766</v>
      </c>
      <c r="B1908" s="34" t="s">
        <v>1149</v>
      </c>
      <c r="C1908" s="34">
        <v>622</v>
      </c>
      <c r="D1908" s="8">
        <v>2040</v>
      </c>
      <c r="E1908" s="34">
        <v>101</v>
      </c>
      <c r="F1908" s="34" t="s">
        <v>1157</v>
      </c>
      <c r="G1908" s="58">
        <v>39686</v>
      </c>
      <c r="H1908" s="58">
        <v>1372</v>
      </c>
      <c r="I1908" s="35">
        <v>38.314</v>
      </c>
      <c r="J1908" s="9">
        <v>2</v>
      </c>
      <c r="K1908" s="34" t="s">
        <v>12</v>
      </c>
      <c r="L1908" s="10">
        <v>42151</v>
      </c>
      <c r="M1908" s="9" t="s">
        <v>191</v>
      </c>
      <c r="N1908" s="38">
        <v>32.225000000000001</v>
      </c>
      <c r="O1908" s="38">
        <v>3.7250000000000001</v>
      </c>
      <c r="P1908" s="38">
        <v>1.3</v>
      </c>
      <c r="Q1908" s="38">
        <v>0.95</v>
      </c>
      <c r="R1908" s="38">
        <v>2.573</v>
      </c>
      <c r="S1908" s="38">
        <f t="shared" si="246"/>
        <v>2.5</v>
      </c>
      <c r="T1908" s="38">
        <v>27.02</v>
      </c>
      <c r="U1908" s="38">
        <v>8.2100000000000009</v>
      </c>
      <c r="V1908" s="38">
        <v>2.21</v>
      </c>
      <c r="W1908" s="38">
        <v>0.88</v>
      </c>
      <c r="X1908" s="38">
        <v>7.4160000000000004</v>
      </c>
      <c r="Y1908" s="38">
        <f t="shared" si="247"/>
        <v>7.5</v>
      </c>
      <c r="Z1908" s="38">
        <v>0</v>
      </c>
      <c r="AA1908" s="38">
        <v>0</v>
      </c>
      <c r="AB1908" s="38">
        <v>38.31</v>
      </c>
      <c r="AC1908" s="38">
        <v>1.17</v>
      </c>
      <c r="AD1908" s="38">
        <v>0</v>
      </c>
      <c r="AE1908" s="38">
        <v>4.9000000000000004</v>
      </c>
      <c r="AF1908" s="38">
        <f>(AD1908+AE1908*0.5)/(3.5*I1908*1000)*100</f>
        <v>1.8270084042386594E-3</v>
      </c>
      <c r="AG1908" s="38">
        <f t="shared" si="248"/>
        <v>0</v>
      </c>
      <c r="AH1908" s="38">
        <v>4946</v>
      </c>
      <c r="AI1908" s="38">
        <f>AH1908/(3.5*I1908*1000)*100</f>
        <v>3.6883198234140449</v>
      </c>
      <c r="AJ1908" s="38">
        <v>1323</v>
      </c>
      <c r="AK1908" s="38">
        <f>AJ1908/(3.5*I1908*1000)*100</f>
        <v>0.98658453828887605</v>
      </c>
      <c r="AL1908" s="38">
        <v>135</v>
      </c>
      <c r="AM1908" s="38">
        <f>AL1908/(3.5*I1908*1000)*100</f>
        <v>0.10067189166213023</v>
      </c>
      <c r="AN1908" s="25"/>
      <c r="AO1908" s="25">
        <f>AE1908*0.5</f>
        <v>2.4500000000000002</v>
      </c>
      <c r="AP1908" s="25">
        <f>(AD1908+AH1908+AJ1908+AL1908+AO1908)*I1908</f>
        <v>245456.72529999999</v>
      </c>
      <c r="AQ1908" s="25">
        <f>SUM(N1908:Q1908)</f>
        <v>38.200000000000003</v>
      </c>
      <c r="AR1908" s="25">
        <f>SUM(T1908:W1908)</f>
        <v>38.320000000000007</v>
      </c>
      <c r="AS1908" s="268">
        <v>38.314</v>
      </c>
      <c r="AT1908" s="41"/>
      <c r="AU1908" s="41">
        <f>SUM(N1908:Q1908)</f>
        <v>38.200000000000003</v>
      </c>
      <c r="AV1908" s="41">
        <f>SUM(T1908:W1908)</f>
        <v>38.320000000000007</v>
      </c>
      <c r="AW1908" s="41">
        <f>SUM(Z1908:AB1908)</f>
        <v>38.31</v>
      </c>
      <c r="AX1908" s="22"/>
      <c r="AY1908" s="22">
        <f>I1908/AU1908</f>
        <v>1.0029842931937172</v>
      </c>
      <c r="AZ1908" s="22">
        <f>I1908/AV1908</f>
        <v>0.99984342379958224</v>
      </c>
      <c r="BA1908" s="22">
        <f>I1908/AW1908</f>
        <v>1.0001044113808404</v>
      </c>
      <c r="BB1908" s="22"/>
      <c r="BC1908" s="22"/>
      <c r="BD1908" s="22"/>
      <c r="BE1908" s="22"/>
      <c r="BF1908" s="22"/>
      <c r="BG1908" s="22"/>
      <c r="BH1908" s="22"/>
      <c r="BI1908" s="22"/>
      <c r="BJ1908" s="22"/>
      <c r="BK1908" s="22"/>
      <c r="BL1908" s="22"/>
      <c r="BM1908" s="22"/>
      <c r="BN1908" s="22"/>
      <c r="BO1908" s="22"/>
      <c r="BP1908" s="22"/>
      <c r="BQ1908" s="22"/>
      <c r="BR1908" s="22"/>
      <c r="BS1908" s="22"/>
      <c r="BT1908" s="22"/>
      <c r="BU1908" s="22"/>
      <c r="BV1908" s="22"/>
      <c r="BW1908" s="22"/>
      <c r="BX1908" s="22"/>
      <c r="BY1908" s="22"/>
      <c r="BZ1908" s="22"/>
      <c r="CA1908" s="22"/>
      <c r="CB1908" s="22"/>
      <c r="CC1908" s="22"/>
      <c r="CD1908" s="22"/>
      <c r="CE1908" s="22"/>
      <c r="CF1908" s="22"/>
      <c r="CG1908" s="22"/>
      <c r="CH1908" s="22"/>
      <c r="CI1908" s="22"/>
      <c r="CJ1908" s="22"/>
    </row>
    <row r="1909" spans="1:88">
      <c r="A1909" s="1">
        <v>923</v>
      </c>
      <c r="B1909" s="34" t="s">
        <v>1309</v>
      </c>
      <c r="C1909" s="34">
        <v>638</v>
      </c>
      <c r="D1909" s="8">
        <v>2086</v>
      </c>
      <c r="E1909" s="34">
        <v>202</v>
      </c>
      <c r="F1909" s="34" t="s">
        <v>1317</v>
      </c>
      <c r="G1909" s="58">
        <v>95475</v>
      </c>
      <c r="H1909" s="58">
        <v>110006</v>
      </c>
      <c r="I1909" s="35">
        <v>14.531000000000001</v>
      </c>
      <c r="J1909" s="9">
        <v>2</v>
      </c>
      <c r="K1909" s="34" t="s">
        <v>238</v>
      </c>
      <c r="L1909" s="10">
        <v>42138</v>
      </c>
      <c r="M1909" s="9" t="s">
        <v>191</v>
      </c>
      <c r="N1909" s="38">
        <v>8.9</v>
      </c>
      <c r="O1909" s="38">
        <v>2.9</v>
      </c>
      <c r="P1909" s="38">
        <v>1.2250000000000001</v>
      </c>
      <c r="Q1909" s="38">
        <v>0.875</v>
      </c>
      <c r="R1909" s="38">
        <v>2.5486</v>
      </c>
      <c r="S1909" s="38">
        <f t="shared" si="246"/>
        <v>2.5</v>
      </c>
      <c r="T1909" s="38">
        <v>13.4</v>
      </c>
      <c r="U1909" s="38">
        <v>0.47499999999999998</v>
      </c>
      <c r="V1909" s="38">
        <v>2.5000000000000001E-2</v>
      </c>
      <c r="W1909" s="38">
        <v>0</v>
      </c>
      <c r="X1909" s="38">
        <v>5.0164799999999996</v>
      </c>
      <c r="Y1909" s="38">
        <f t="shared" si="247"/>
        <v>5</v>
      </c>
      <c r="Z1909" s="38">
        <v>0</v>
      </c>
      <c r="AA1909" s="38">
        <v>0</v>
      </c>
      <c r="AB1909" s="38">
        <f>N1909+O1909+P1909+Q1909</f>
        <v>13.9</v>
      </c>
      <c r="AC1909" s="38">
        <v>1.66639</v>
      </c>
      <c r="AD1909" s="38">
        <v>0.92</v>
      </c>
      <c r="AE1909" s="38">
        <v>0</v>
      </c>
      <c r="AF1909" s="38">
        <v>1.81E-3</v>
      </c>
      <c r="AG1909" s="38">
        <f t="shared" si="248"/>
        <v>0</v>
      </c>
      <c r="AH1909" s="38">
        <v>0</v>
      </c>
      <c r="AI1909" s="38">
        <v>0</v>
      </c>
      <c r="AJ1909" s="38">
        <v>0</v>
      </c>
      <c r="AK1909" s="38">
        <v>0</v>
      </c>
      <c r="AL1909" s="38">
        <v>0</v>
      </c>
      <c r="AM1909" s="38">
        <v>0</v>
      </c>
      <c r="AN1909" s="40"/>
      <c r="AO1909" s="40"/>
      <c r="AP1909" s="40">
        <f>AE1909*0.5</f>
        <v>0</v>
      </c>
      <c r="AQ1909" s="25">
        <f>(AD1909+AH1909+AJ1909+AL1909+AP1909)*I1909</f>
        <v>13.368520000000002</v>
      </c>
      <c r="AR1909" s="25"/>
      <c r="AS1909" s="25"/>
      <c r="AT1909" s="25">
        <f>SUM(N1909:Q1909)</f>
        <v>13.9</v>
      </c>
      <c r="AU1909" s="25">
        <f>SUM(T1909:W1909)</f>
        <v>13.9</v>
      </c>
      <c r="AV1909" s="22"/>
      <c r="AW1909" s="41"/>
      <c r="AX1909" s="41"/>
      <c r="AY1909" s="41"/>
      <c r="AZ1909" s="41"/>
      <c r="BA1909" s="22"/>
      <c r="BB1909" s="22"/>
      <c r="BC1909" s="22"/>
      <c r="BD1909" s="22"/>
      <c r="BE1909" s="22"/>
      <c r="BF1909" s="22"/>
      <c r="BG1909" s="22"/>
      <c r="BH1909" s="22"/>
      <c r="BI1909" s="22"/>
      <c r="BJ1909" s="22"/>
      <c r="BK1909" s="22"/>
      <c r="BL1909" s="22"/>
      <c r="BM1909" s="22"/>
      <c r="BN1909" s="22"/>
      <c r="BO1909" s="22"/>
      <c r="BP1909" s="22"/>
      <c r="BQ1909" s="22"/>
      <c r="BR1909" s="22"/>
      <c r="BS1909" s="22"/>
      <c r="BT1909" s="22"/>
      <c r="BU1909" s="22"/>
      <c r="BV1909" s="22"/>
      <c r="BW1909" s="22"/>
      <c r="BX1909" s="22"/>
      <c r="BY1909" s="22"/>
      <c r="BZ1909" s="22"/>
      <c r="CA1909" s="22"/>
      <c r="CB1909" s="22"/>
      <c r="CC1909" s="22"/>
      <c r="CD1909" s="22"/>
      <c r="CE1909" s="22"/>
      <c r="CF1909" s="22"/>
      <c r="CG1909" s="22"/>
      <c r="CH1909" s="22"/>
      <c r="CI1909" s="22"/>
      <c r="CJ1909" s="22"/>
    </row>
    <row r="1910" spans="1:88">
      <c r="A1910" s="1">
        <v>767</v>
      </c>
      <c r="B1910" s="34" t="s">
        <v>1149</v>
      </c>
      <c r="C1910" s="34">
        <v>622</v>
      </c>
      <c r="D1910" s="8">
        <v>2040</v>
      </c>
      <c r="E1910" s="34">
        <v>101</v>
      </c>
      <c r="F1910" s="34" t="s">
        <v>1158</v>
      </c>
      <c r="G1910" s="58">
        <v>79462</v>
      </c>
      <c r="H1910" s="58">
        <v>39686</v>
      </c>
      <c r="I1910" s="35">
        <v>39.776000000000003</v>
      </c>
      <c r="J1910" s="9">
        <v>2</v>
      </c>
      <c r="K1910" s="34" t="s">
        <v>12</v>
      </c>
      <c r="L1910" s="10">
        <v>42151</v>
      </c>
      <c r="M1910" s="9" t="s">
        <v>191</v>
      </c>
      <c r="N1910" s="38">
        <v>27.3</v>
      </c>
      <c r="O1910" s="38">
        <v>7.2750000000000004</v>
      </c>
      <c r="P1910" s="38">
        <v>2.95</v>
      </c>
      <c r="Q1910" s="38">
        <v>0.72499999999999998</v>
      </c>
      <c r="R1910" s="38">
        <v>2.8279999999999998</v>
      </c>
      <c r="S1910" s="38">
        <f t="shared" si="246"/>
        <v>3</v>
      </c>
      <c r="T1910" s="38">
        <v>35.72</v>
      </c>
      <c r="U1910" s="38">
        <v>2.27</v>
      </c>
      <c r="V1910" s="38">
        <v>1.0900000000000001</v>
      </c>
      <c r="W1910" s="38">
        <v>0.71</v>
      </c>
      <c r="X1910" s="38">
        <v>7.8449999999999998</v>
      </c>
      <c r="Y1910" s="38">
        <f t="shared" si="247"/>
        <v>8</v>
      </c>
      <c r="Z1910" s="38">
        <v>0</v>
      </c>
      <c r="AA1910" s="38">
        <v>0</v>
      </c>
      <c r="AB1910" s="38">
        <v>39.78</v>
      </c>
      <c r="AC1910" s="38">
        <v>1.1499999999999999</v>
      </c>
      <c r="AD1910" s="38">
        <v>0</v>
      </c>
      <c r="AE1910" s="38">
        <v>5</v>
      </c>
      <c r="AF1910" s="38">
        <f>(AD1910+AE1910*0.5)/(3.5*I1910*1000)*100</f>
        <v>1.7957706010803356E-3</v>
      </c>
      <c r="AG1910" s="38">
        <f t="shared" si="248"/>
        <v>0</v>
      </c>
      <c r="AH1910" s="38">
        <v>5047</v>
      </c>
      <c r="AI1910" s="38">
        <f>AH1910/(3.5*I1910*1000)*100</f>
        <v>3.6253016894609815</v>
      </c>
      <c r="AJ1910" s="38">
        <v>1350</v>
      </c>
      <c r="AK1910" s="38">
        <f>AJ1910/(3.5*I1910*1000)*100</f>
        <v>0.9697161245833813</v>
      </c>
      <c r="AL1910" s="38">
        <v>138</v>
      </c>
      <c r="AM1910" s="38">
        <f>AL1910/(3.5*I1910*1000)*100</f>
        <v>9.912653717963453E-2</v>
      </c>
      <c r="AN1910" s="25"/>
      <c r="AO1910" s="25">
        <f>AE1910*0.5</f>
        <v>2.5</v>
      </c>
      <c r="AP1910" s="25">
        <f>(AD1910+AH1910+AJ1910+AL1910+AO1910)*I1910</f>
        <v>260035.60000000003</v>
      </c>
      <c r="AQ1910" s="25">
        <f>SUM(N1910:Q1910)</f>
        <v>38.250000000000007</v>
      </c>
      <c r="AR1910" s="25">
        <f>SUM(T1910:W1910)</f>
        <v>39.790000000000006</v>
      </c>
      <c r="AS1910" s="268">
        <v>39.776000000000003</v>
      </c>
      <c r="AT1910" s="41"/>
      <c r="AU1910" s="41">
        <f>SUM(N1910:Q1910)</f>
        <v>38.250000000000007</v>
      </c>
      <c r="AV1910" s="41">
        <f>SUM(T1910:W1910)</f>
        <v>39.790000000000006</v>
      </c>
      <c r="AW1910" s="41">
        <f>SUM(Z1910:AB1910)</f>
        <v>39.78</v>
      </c>
      <c r="AX1910" s="22"/>
      <c r="AY1910" s="22">
        <f>I1910/AU1910</f>
        <v>1.0398954248366012</v>
      </c>
      <c r="AZ1910" s="22">
        <f>I1910/AV1910</f>
        <v>0.99964815280221153</v>
      </c>
      <c r="BA1910" s="22">
        <f>I1910/AW1910</f>
        <v>0.99989944695827049</v>
      </c>
      <c r="BB1910" s="22"/>
      <c r="BC1910" s="22"/>
      <c r="BD1910" s="22"/>
      <c r="BE1910" s="22"/>
      <c r="BF1910" s="22"/>
      <c r="BG1910" s="22"/>
      <c r="BH1910" s="22"/>
      <c r="BI1910" s="22"/>
      <c r="BJ1910" s="22"/>
      <c r="BK1910" s="22"/>
      <c r="BL1910" s="22"/>
      <c r="BM1910" s="22"/>
      <c r="BN1910" s="22"/>
      <c r="BO1910" s="22"/>
      <c r="BP1910" s="22"/>
      <c r="BQ1910" s="22"/>
      <c r="BR1910" s="22"/>
      <c r="BS1910" s="22"/>
      <c r="BT1910" s="22"/>
      <c r="BU1910" s="22"/>
      <c r="BV1910" s="22"/>
      <c r="BW1910" s="22"/>
      <c r="BX1910" s="22"/>
      <c r="BY1910" s="22"/>
      <c r="BZ1910" s="22"/>
      <c r="CA1910" s="22"/>
      <c r="CB1910" s="22"/>
      <c r="CC1910" s="22"/>
      <c r="CD1910" s="22"/>
      <c r="CE1910" s="22"/>
      <c r="CF1910" s="22"/>
      <c r="CG1910" s="22"/>
      <c r="CH1910" s="22"/>
      <c r="CI1910" s="22"/>
      <c r="CJ1910" s="22"/>
    </row>
    <row r="1911" spans="1:88">
      <c r="A1911" s="1">
        <v>837</v>
      </c>
      <c r="B1911" s="34" t="s">
        <v>1231</v>
      </c>
      <c r="C1911" s="34">
        <v>615</v>
      </c>
      <c r="D1911" s="34">
        <v>24</v>
      </c>
      <c r="E1911" s="34">
        <v>402</v>
      </c>
      <c r="F1911" s="34" t="s">
        <v>1233</v>
      </c>
      <c r="G1911" s="58">
        <v>191746</v>
      </c>
      <c r="H1911" s="58">
        <v>240719</v>
      </c>
      <c r="I1911" s="35">
        <v>48.972999999999999</v>
      </c>
      <c r="J1911" s="71">
        <v>4</v>
      </c>
      <c r="K1911" s="34" t="s">
        <v>238</v>
      </c>
      <c r="L1911" s="10">
        <v>42134</v>
      </c>
      <c r="M1911" s="9" t="s">
        <v>191</v>
      </c>
      <c r="N1911" s="38">
        <v>31.5</v>
      </c>
      <c r="O1911" s="38">
        <v>10.15</v>
      </c>
      <c r="P1911" s="38">
        <v>5.1749999999999998</v>
      </c>
      <c r="Q1911" s="38">
        <v>1.8</v>
      </c>
      <c r="R1911" s="38">
        <v>2.4157799999999998</v>
      </c>
      <c r="S1911" s="38">
        <f t="shared" si="246"/>
        <v>2.5</v>
      </c>
      <c r="T1911" s="38">
        <v>46.975000000000001</v>
      </c>
      <c r="U1911" s="38">
        <v>1.55</v>
      </c>
      <c r="V1911" s="38">
        <v>7.4999999999999997E-2</v>
      </c>
      <c r="W1911" s="38">
        <v>2.5000000000000001E-2</v>
      </c>
      <c r="X1911" s="38">
        <v>4.6844099999999997</v>
      </c>
      <c r="Y1911" s="38">
        <f t="shared" si="247"/>
        <v>4.5</v>
      </c>
      <c r="Z1911" s="38">
        <v>0</v>
      </c>
      <c r="AA1911" s="38">
        <v>0</v>
      </c>
      <c r="AB1911" s="38">
        <f>N1911+O1911+P1911+Q1911</f>
        <v>48.624999999999993</v>
      </c>
      <c r="AC1911" s="38">
        <v>1.14639</v>
      </c>
      <c r="AD1911" s="38">
        <v>2.89</v>
      </c>
      <c r="AE1911" s="38">
        <v>0</v>
      </c>
      <c r="AF1911" s="38">
        <v>1.6900000000000001E-3</v>
      </c>
      <c r="AG1911" s="38">
        <f t="shared" si="248"/>
        <v>0</v>
      </c>
      <c r="AH1911" s="38">
        <v>153.94</v>
      </c>
      <c r="AI1911" s="38">
        <v>8.9810000000000001E-2</v>
      </c>
      <c r="AJ1911" s="38">
        <v>0</v>
      </c>
      <c r="AK1911" s="38">
        <v>0</v>
      </c>
      <c r="AL1911" s="38">
        <v>0</v>
      </c>
      <c r="AM1911" s="38">
        <v>0</v>
      </c>
      <c r="AN1911" s="25"/>
      <c r="AO1911" s="25">
        <f>AE1911*0.5</f>
        <v>0</v>
      </c>
      <c r="AP1911" s="25">
        <f>(AD1911+AH1911+AJ1911+AL1911+AO1911)*I1911</f>
        <v>7680.4355899999991</v>
      </c>
      <c r="AQ1911" s="25">
        <f>SUM(N1911:Q1911)</f>
        <v>48.624999999999993</v>
      </c>
      <c r="AR1911" s="25">
        <f>SUM(T1911:W1911)</f>
        <v>48.625</v>
      </c>
      <c r="AS1911" s="268">
        <v>48.972999999999999</v>
      </c>
      <c r="AT1911" s="41"/>
      <c r="AU1911" s="41"/>
      <c r="AV1911" s="41"/>
      <c r="AW1911" s="41"/>
      <c r="AX1911" s="22"/>
      <c r="AY1911" s="22"/>
      <c r="AZ1911" s="22"/>
      <c r="BA1911" s="22"/>
      <c r="BB1911" s="22"/>
      <c r="BC1911" s="22"/>
      <c r="BD1911" s="22"/>
      <c r="BE1911" s="22"/>
      <c r="BF1911" s="22"/>
      <c r="BG1911" s="22"/>
      <c r="BH1911" s="22"/>
      <c r="BI1911" s="22"/>
      <c r="BJ1911" s="22"/>
      <c r="BK1911" s="22"/>
      <c r="BL1911" s="22"/>
      <c r="BM1911" s="22"/>
      <c r="BN1911" s="22"/>
      <c r="BO1911" s="22"/>
      <c r="BP1911" s="22"/>
      <c r="BQ1911" s="22"/>
      <c r="BR1911" s="22"/>
      <c r="BS1911" s="22"/>
      <c r="BT1911" s="22"/>
      <c r="BU1911" s="22"/>
      <c r="BV1911" s="22"/>
      <c r="BW1911" s="22"/>
      <c r="BX1911" s="22"/>
      <c r="BY1911" s="22"/>
      <c r="BZ1911" s="22"/>
      <c r="CA1911" s="22"/>
      <c r="CB1911" s="22"/>
      <c r="CC1911" s="22"/>
      <c r="CD1911" s="22"/>
      <c r="CE1911" s="22"/>
      <c r="CF1911" s="22"/>
      <c r="CG1911" s="22"/>
      <c r="CH1911" s="22"/>
      <c r="CI1911" s="22"/>
      <c r="CJ1911" s="22"/>
    </row>
    <row r="1912" spans="1:88">
      <c r="A1912" s="1">
        <v>644</v>
      </c>
      <c r="B1912" s="34" t="s">
        <v>1050</v>
      </c>
      <c r="C1912" s="34">
        <v>621</v>
      </c>
      <c r="D1912" s="34">
        <v>2039</v>
      </c>
      <c r="E1912" s="34">
        <v>100</v>
      </c>
      <c r="F1912" s="34" t="s">
        <v>1052</v>
      </c>
      <c r="G1912" s="58">
        <v>0</v>
      </c>
      <c r="H1912" s="58">
        <v>40634</v>
      </c>
      <c r="I1912" s="35">
        <v>40.634</v>
      </c>
      <c r="J1912" s="127">
        <v>2</v>
      </c>
      <c r="K1912" s="34" t="s">
        <v>238</v>
      </c>
      <c r="L1912" s="10">
        <v>42172</v>
      </c>
      <c r="M1912" s="9" t="s">
        <v>191</v>
      </c>
      <c r="N1912" s="38">
        <v>22.95</v>
      </c>
      <c r="O1912" s="38">
        <v>10.525</v>
      </c>
      <c r="P1912" s="38">
        <v>5.4749999999999996</v>
      </c>
      <c r="Q1912" s="38">
        <v>1.85</v>
      </c>
      <c r="R1912" s="38">
        <v>2.7035499999999999</v>
      </c>
      <c r="S1912" s="38">
        <f t="shared" si="246"/>
        <v>2.5</v>
      </c>
      <c r="T1912" s="38">
        <v>37.524999999999999</v>
      </c>
      <c r="U1912" s="38">
        <v>2.2999999999999998</v>
      </c>
      <c r="V1912" s="38">
        <v>0.67500000000000004</v>
      </c>
      <c r="W1912" s="38">
        <v>0.3</v>
      </c>
      <c r="X1912" s="38">
        <v>4.6771799999999999</v>
      </c>
      <c r="Y1912" s="38">
        <f t="shared" si="247"/>
        <v>4.5</v>
      </c>
      <c r="Z1912" s="38">
        <v>0</v>
      </c>
      <c r="AA1912" s="38">
        <v>0</v>
      </c>
      <c r="AB1912" s="38">
        <f>T1912+U1912+V1912+W1912</f>
        <v>40.79999999999999</v>
      </c>
      <c r="AC1912" s="38">
        <v>1.02159</v>
      </c>
      <c r="AD1912" s="38">
        <v>0</v>
      </c>
      <c r="AE1912" s="38">
        <v>4.51</v>
      </c>
      <c r="AF1912" s="38">
        <v>1.5855827983602751E-3</v>
      </c>
      <c r="AG1912" s="38">
        <f t="shared" si="248"/>
        <v>0</v>
      </c>
      <c r="AH1912" s="38">
        <v>11.32</v>
      </c>
      <c r="AI1912" s="38">
        <v>7.95955533367553E-3</v>
      </c>
      <c r="AJ1912" s="38">
        <v>0</v>
      </c>
      <c r="AK1912" s="55">
        <v>0</v>
      </c>
      <c r="AL1912" s="55">
        <v>12.47</v>
      </c>
      <c r="AM1912" s="55">
        <v>8.7681674037927426E-3</v>
      </c>
      <c r="AN1912" s="25">
        <f>SUM(N1912:Q1912)</f>
        <v>40.800000000000004</v>
      </c>
      <c r="AO1912" s="25">
        <f>SUM(T1912:W1912)</f>
        <v>40.79999999999999</v>
      </c>
      <c r="AP1912" s="22"/>
      <c r="AQ1912" s="41"/>
      <c r="AR1912" s="41"/>
      <c r="AS1912" s="41"/>
      <c r="AT1912" s="41"/>
      <c r="AU1912" s="22"/>
      <c r="AV1912" s="22"/>
      <c r="AW1912" s="22"/>
      <c r="AX1912" s="22"/>
      <c r="AY1912" s="22"/>
      <c r="AZ1912" s="22"/>
      <c r="BA1912" s="22"/>
      <c r="BB1912" s="22"/>
      <c r="BC1912" s="22"/>
      <c r="BD1912" s="22"/>
      <c r="BE1912" s="22"/>
      <c r="BF1912" s="22"/>
      <c r="BG1912" s="22"/>
      <c r="BH1912" s="22"/>
      <c r="BI1912" s="22"/>
      <c r="BJ1912" s="22"/>
      <c r="BK1912" s="22"/>
      <c r="BL1912" s="22"/>
      <c r="BM1912" s="22"/>
      <c r="BN1912" s="22"/>
      <c r="BO1912" s="22"/>
      <c r="BP1912" s="22"/>
      <c r="BQ1912" s="22"/>
      <c r="BR1912" s="22"/>
      <c r="BS1912" s="22"/>
      <c r="BT1912" s="22"/>
      <c r="BU1912" s="22"/>
      <c r="BV1912" s="22"/>
      <c r="BW1912" s="22"/>
      <c r="BX1912" s="22"/>
      <c r="BY1912" s="22"/>
      <c r="BZ1912" s="22"/>
      <c r="CA1912" s="22"/>
      <c r="CB1912" s="22"/>
      <c r="CC1912" s="22"/>
      <c r="CD1912" s="22"/>
      <c r="CE1912" s="22"/>
      <c r="CF1912" s="22"/>
      <c r="CG1912" s="22"/>
      <c r="CH1912" s="22"/>
      <c r="CI1912" s="22"/>
      <c r="CJ1912" s="22"/>
    </row>
    <row r="1913" spans="1:88">
      <c r="A1913" s="1">
        <v>732</v>
      </c>
      <c r="B1913" s="34" t="s">
        <v>1123</v>
      </c>
      <c r="C1913" s="34">
        <v>627</v>
      </c>
      <c r="D1913" s="34">
        <v>2389</v>
      </c>
      <c r="E1913" s="34">
        <v>100</v>
      </c>
      <c r="F1913" s="34" t="s">
        <v>1137</v>
      </c>
      <c r="G1913" s="58">
        <v>0</v>
      </c>
      <c r="H1913" s="58">
        <v>38519</v>
      </c>
      <c r="I1913" s="51">
        <v>38.518999999999998</v>
      </c>
      <c r="J1913" s="127">
        <v>2</v>
      </c>
      <c r="K1913" s="34" t="s">
        <v>238</v>
      </c>
      <c r="L1913" s="10">
        <v>42177</v>
      </c>
      <c r="M1913" s="9" t="s">
        <v>191</v>
      </c>
      <c r="N1913" s="38">
        <v>23.55</v>
      </c>
      <c r="O1913" s="38">
        <v>9.2249999999999996</v>
      </c>
      <c r="P1913" s="38">
        <v>3.5</v>
      </c>
      <c r="Q1913" s="38">
        <v>2.375</v>
      </c>
      <c r="R1913" s="38">
        <v>2.6617000000000002</v>
      </c>
      <c r="S1913" s="38">
        <f t="shared" si="246"/>
        <v>2.5</v>
      </c>
      <c r="T1913" s="38">
        <v>35.950000000000003</v>
      </c>
      <c r="U1913" s="38">
        <v>2.125</v>
      </c>
      <c r="V1913" s="38">
        <v>0.5</v>
      </c>
      <c r="W1913" s="38">
        <v>7.4999999999999997E-2</v>
      </c>
      <c r="X1913" s="38">
        <v>5.0158300000000002</v>
      </c>
      <c r="Y1913" s="38">
        <f t="shared" si="247"/>
        <v>5</v>
      </c>
      <c r="Z1913" s="38">
        <v>0</v>
      </c>
      <c r="AA1913" s="38">
        <v>0</v>
      </c>
      <c r="AB1913" s="38">
        <v>38.518999999999998</v>
      </c>
      <c r="AC1913" s="38">
        <v>1.17116</v>
      </c>
      <c r="AD1913" s="38">
        <v>0</v>
      </c>
      <c r="AE1913" s="38">
        <v>4.04</v>
      </c>
      <c r="AF1913" s="38">
        <v>1.4983329191901585E-3</v>
      </c>
      <c r="AG1913" s="38">
        <f t="shared" si="248"/>
        <v>0</v>
      </c>
      <c r="AH1913" s="38">
        <v>0</v>
      </c>
      <c r="AI1913" s="38">
        <v>0</v>
      </c>
      <c r="AJ1913" s="38">
        <v>0</v>
      </c>
      <c r="AK1913" s="38">
        <v>0</v>
      </c>
      <c r="AL1913" s="38">
        <v>0.61</v>
      </c>
      <c r="AM1913" s="145">
        <f t="shared" ref="AM1913:AM1919" si="254">AL1913/(3.5*I1913*1000)*100</f>
        <v>4.5246687163663201E-4</v>
      </c>
      <c r="AN1913" s="25"/>
      <c r="AO1913" s="25">
        <f>AE1913*0.5</f>
        <v>2.02</v>
      </c>
      <c r="AP1913" s="25">
        <f>(AD1913+AH1913+AJ1913+AL1913+AO1913)*I1913</f>
        <v>101.30497</v>
      </c>
      <c r="AQ1913" s="25">
        <f>SUM(N1913:Q1913)</f>
        <v>38.65</v>
      </c>
      <c r="AR1913" s="25">
        <f>SUM(T1913:W1913)</f>
        <v>38.650000000000006</v>
      </c>
      <c r="AS1913" s="268">
        <v>38.518999999999998</v>
      </c>
      <c r="AT1913" s="41"/>
      <c r="AU1913" s="41"/>
      <c r="AV1913" s="41"/>
      <c r="AW1913" s="41"/>
      <c r="AX1913" s="22"/>
      <c r="AY1913" s="22"/>
      <c r="AZ1913" s="22"/>
      <c r="BA1913" s="22"/>
      <c r="BB1913" s="22"/>
      <c r="BC1913" s="22"/>
      <c r="BD1913" s="22"/>
      <c r="BE1913" s="22"/>
      <c r="BF1913" s="22"/>
      <c r="BG1913" s="22"/>
      <c r="BH1913" s="22"/>
      <c r="BI1913" s="22"/>
      <c r="BJ1913" s="22"/>
      <c r="BK1913" s="22"/>
      <c r="BL1913" s="22"/>
      <c r="BM1913" s="22"/>
      <c r="BN1913" s="22"/>
      <c r="BO1913" s="22"/>
      <c r="BP1913" s="22"/>
      <c r="BQ1913" s="22"/>
      <c r="BR1913" s="22"/>
      <c r="BS1913" s="22"/>
      <c r="BT1913" s="22"/>
      <c r="BU1913" s="22"/>
      <c r="BV1913" s="22"/>
      <c r="BW1913" s="22"/>
      <c r="BX1913" s="22"/>
      <c r="BY1913" s="22"/>
      <c r="BZ1913" s="22"/>
      <c r="CA1913" s="22"/>
      <c r="CB1913" s="22"/>
      <c r="CC1913" s="22"/>
      <c r="CD1913" s="22"/>
      <c r="CE1913" s="22"/>
      <c r="CF1913" s="22"/>
      <c r="CG1913" s="22"/>
      <c r="CH1913" s="22"/>
      <c r="CI1913" s="22"/>
      <c r="CJ1913" s="22"/>
    </row>
    <row r="1914" spans="1:88">
      <c r="A1914" s="1">
        <v>51</v>
      </c>
      <c r="B1914" s="4" t="s">
        <v>37</v>
      </c>
      <c r="C1914" s="14">
        <v>523</v>
      </c>
      <c r="D1914" s="19">
        <v>1048</v>
      </c>
      <c r="E1914" s="16">
        <v>100</v>
      </c>
      <c r="F1914" s="14" t="s">
        <v>119</v>
      </c>
      <c r="G1914" s="20" t="s">
        <v>92</v>
      </c>
      <c r="H1914" s="20" t="s">
        <v>104</v>
      </c>
      <c r="I1914" s="8">
        <v>53.216999999999999</v>
      </c>
      <c r="J1914" s="8">
        <v>2</v>
      </c>
      <c r="K1914" s="9" t="s">
        <v>238</v>
      </c>
      <c r="L1914" s="18">
        <v>42223</v>
      </c>
      <c r="M1914" s="9" t="s">
        <v>191</v>
      </c>
      <c r="N1914" s="26">
        <v>20.625</v>
      </c>
      <c r="O1914" s="26">
        <v>16.675000000000001</v>
      </c>
      <c r="P1914" s="26">
        <v>9.5749999999999993</v>
      </c>
      <c r="Q1914" s="26">
        <v>5.8250000000000002</v>
      </c>
      <c r="R1914" s="26">
        <v>3.1660900000000001</v>
      </c>
      <c r="S1914" s="38">
        <f t="shared" si="246"/>
        <v>3</v>
      </c>
      <c r="T1914" s="26">
        <v>49.95</v>
      </c>
      <c r="U1914" s="26">
        <v>2.4</v>
      </c>
      <c r="V1914" s="26">
        <v>0.32500000000000001</v>
      </c>
      <c r="W1914" s="26">
        <v>2.5000000000000001E-2</v>
      </c>
      <c r="X1914" s="26">
        <v>4.0938299999999996</v>
      </c>
      <c r="Y1914" s="38">
        <f t="shared" si="247"/>
        <v>4</v>
      </c>
      <c r="Z1914" s="26">
        <v>0</v>
      </c>
      <c r="AA1914" s="26">
        <v>0</v>
      </c>
      <c r="AB1914" s="26">
        <f>SUM(N1914:Q1914)</f>
        <v>52.7</v>
      </c>
      <c r="AC1914" s="26">
        <v>1.30525</v>
      </c>
      <c r="AD1914" s="26">
        <v>2.63</v>
      </c>
      <c r="AE1914" s="26">
        <v>0</v>
      </c>
      <c r="AF1914" s="26">
        <f>(AD1914+AE1914*0.5)/(3.5*I1914*1000)*100</f>
        <v>1.4120085150019193E-3</v>
      </c>
      <c r="AG1914" s="38">
        <f t="shared" si="248"/>
        <v>0</v>
      </c>
      <c r="AH1914" s="26">
        <v>68.144999999999996</v>
      </c>
      <c r="AI1914" s="26">
        <f>AH1914/(3.5*I1914*1000)*100</f>
        <v>3.6586053328823497E-2</v>
      </c>
      <c r="AJ1914" s="26">
        <v>0</v>
      </c>
      <c r="AK1914" s="26">
        <f>AJ1914/(3.5*I1914*1000)*100</f>
        <v>0</v>
      </c>
      <c r="AL1914" s="26">
        <v>1.3</v>
      </c>
      <c r="AM1914" s="26">
        <f t="shared" si="254"/>
        <v>6.9795097699714651E-4</v>
      </c>
      <c r="AN1914" s="22"/>
      <c r="AO1914" s="25"/>
      <c r="AP1914" s="25"/>
      <c r="AQ1914" s="22"/>
      <c r="AR1914" s="22"/>
      <c r="AS1914" s="22"/>
      <c r="AT1914" s="22"/>
      <c r="AU1914" s="22"/>
      <c r="AV1914" s="22"/>
      <c r="AW1914" s="22"/>
      <c r="AX1914" s="22"/>
      <c r="AY1914" s="22"/>
      <c r="AZ1914" s="22"/>
      <c r="BA1914" s="22"/>
      <c r="BB1914" s="22"/>
      <c r="BC1914" s="22"/>
      <c r="BD1914" s="22"/>
      <c r="BE1914" s="22"/>
      <c r="BF1914" s="22"/>
      <c r="BG1914" s="22"/>
      <c r="BH1914" s="22"/>
      <c r="BI1914" s="22"/>
      <c r="BJ1914" s="22"/>
      <c r="BK1914" s="22"/>
      <c r="BL1914" s="22"/>
      <c r="BM1914" s="22"/>
      <c r="BN1914" s="22"/>
      <c r="BO1914" s="22"/>
      <c r="BP1914" s="22"/>
      <c r="BQ1914" s="22"/>
      <c r="BR1914" s="22"/>
      <c r="BS1914" s="22"/>
      <c r="BT1914" s="22"/>
      <c r="BU1914" s="22"/>
      <c r="BV1914" s="22"/>
      <c r="BW1914" s="22"/>
      <c r="BX1914" s="22"/>
      <c r="BY1914" s="22"/>
      <c r="BZ1914" s="22"/>
      <c r="CA1914" s="22"/>
      <c r="CB1914" s="22"/>
      <c r="CC1914" s="22"/>
      <c r="CD1914" s="22"/>
      <c r="CE1914" s="22"/>
      <c r="CF1914" s="22"/>
      <c r="CG1914" s="22"/>
      <c r="CH1914" s="22"/>
      <c r="CI1914" s="22"/>
      <c r="CJ1914" s="22"/>
    </row>
    <row r="1915" spans="1:88">
      <c r="A1915" s="1">
        <v>1966</v>
      </c>
      <c r="B1915" s="34" t="s">
        <v>2586</v>
      </c>
      <c r="C1915" s="34">
        <v>321</v>
      </c>
      <c r="D1915" s="75">
        <v>4238</v>
      </c>
      <c r="E1915" s="8">
        <v>100</v>
      </c>
      <c r="F1915" s="34" t="s">
        <v>2611</v>
      </c>
      <c r="G1915" s="58">
        <v>0</v>
      </c>
      <c r="H1915" s="58">
        <v>20511</v>
      </c>
      <c r="I1915" s="21">
        <v>20.510999999999999</v>
      </c>
      <c r="J1915" s="8">
        <v>2</v>
      </c>
      <c r="K1915" s="8" t="s">
        <v>238</v>
      </c>
      <c r="L1915" s="18">
        <v>42123</v>
      </c>
      <c r="M1915" s="9" t="s">
        <v>191</v>
      </c>
      <c r="N1915" s="38">
        <v>15.425000000000001</v>
      </c>
      <c r="O1915" s="38">
        <v>3.35</v>
      </c>
      <c r="P1915" s="38">
        <v>1.2250000000000001</v>
      </c>
      <c r="Q1915" s="38">
        <v>0.42499999999999999</v>
      </c>
      <c r="R1915" s="38">
        <v>2.1815199999999999</v>
      </c>
      <c r="S1915" s="38">
        <f t="shared" si="246"/>
        <v>2</v>
      </c>
      <c r="T1915" s="38">
        <v>20.175000000000001</v>
      </c>
      <c r="U1915" s="38">
        <v>0.22500000000000001</v>
      </c>
      <c r="V1915" s="38">
        <v>2.5000000000000001E-2</v>
      </c>
      <c r="W1915" s="38">
        <v>0</v>
      </c>
      <c r="X1915" s="38">
        <v>2.9082300000000001</v>
      </c>
      <c r="Y1915" s="38">
        <f t="shared" si="247"/>
        <v>3</v>
      </c>
      <c r="Z1915" s="187">
        <v>0</v>
      </c>
      <c r="AA1915" s="187">
        <v>0</v>
      </c>
      <c r="AB1915" s="38">
        <v>20.425000000000001</v>
      </c>
      <c r="AC1915" s="38">
        <v>1.44808</v>
      </c>
      <c r="AD1915" s="38">
        <v>0</v>
      </c>
      <c r="AE1915" s="38">
        <v>2</v>
      </c>
      <c r="AF1915" s="38">
        <f>(AD1915+AE1915*0.5)/(3.5*I1915*1000)*100</f>
        <v>1.3929807699004715E-3</v>
      </c>
      <c r="AG1915" s="38">
        <f t="shared" si="248"/>
        <v>0</v>
      </c>
      <c r="AH1915" s="38">
        <v>0</v>
      </c>
      <c r="AI1915" s="38">
        <f>AH1915/(3.5*I1915*1000)*100</f>
        <v>0</v>
      </c>
      <c r="AJ1915" s="38">
        <v>0</v>
      </c>
      <c r="AK1915" s="38">
        <f>AH1915/(3.5*L1915*1000)*100</f>
        <v>0</v>
      </c>
      <c r="AL1915" s="38">
        <v>0</v>
      </c>
      <c r="AM1915" s="38">
        <f t="shared" si="254"/>
        <v>0</v>
      </c>
      <c r="AN1915" s="73"/>
      <c r="AO1915" s="72"/>
      <c r="AP1915" s="41"/>
      <c r="AQ1915" s="41"/>
      <c r="AR1915" s="73"/>
      <c r="AS1915" s="73"/>
      <c r="AT1915" s="73"/>
      <c r="AU1915" s="73"/>
      <c r="AV1915" s="73"/>
      <c r="AW1915" s="73"/>
      <c r="AX1915" s="73"/>
      <c r="AY1915" s="73"/>
    </row>
    <row r="1916" spans="1:88">
      <c r="A1916" s="1">
        <v>325</v>
      </c>
      <c r="B1916" s="34" t="s">
        <v>557</v>
      </c>
      <c r="C1916" s="34">
        <v>646</v>
      </c>
      <c r="D1916" s="34">
        <v>211</v>
      </c>
      <c r="E1916" s="34">
        <v>101</v>
      </c>
      <c r="F1916" s="34" t="s">
        <v>558</v>
      </c>
      <c r="G1916" s="58">
        <v>44000</v>
      </c>
      <c r="H1916" s="58">
        <v>0</v>
      </c>
      <c r="I1916" s="35">
        <v>44</v>
      </c>
      <c r="J1916" s="62">
        <v>4</v>
      </c>
      <c r="K1916" s="34" t="s">
        <v>238</v>
      </c>
      <c r="L1916" s="10">
        <v>42165</v>
      </c>
      <c r="M1916" s="9" t="s">
        <v>191</v>
      </c>
      <c r="N1916" s="38">
        <v>28.4</v>
      </c>
      <c r="O1916" s="38">
        <v>7.7249999999999996</v>
      </c>
      <c r="P1916" s="38">
        <v>4.8499999999999996</v>
      </c>
      <c r="Q1916" s="38">
        <v>2.8250000000000002</v>
      </c>
      <c r="R1916" s="38">
        <v>3.6635800000000001</v>
      </c>
      <c r="S1916" s="38">
        <f t="shared" si="246"/>
        <v>3.5</v>
      </c>
      <c r="T1916" s="38">
        <v>40.799999999999997</v>
      </c>
      <c r="U1916" s="38">
        <v>2.125</v>
      </c>
      <c r="V1916" s="38">
        <v>0.82499999999999996</v>
      </c>
      <c r="W1916" s="38">
        <v>0.05</v>
      </c>
      <c r="X1916" s="38">
        <v>5.0673700000000004</v>
      </c>
      <c r="Y1916" s="38">
        <f t="shared" si="247"/>
        <v>5</v>
      </c>
      <c r="Z1916" s="38">
        <v>0</v>
      </c>
      <c r="AA1916" s="38">
        <v>0</v>
      </c>
      <c r="AB1916" s="38">
        <f>T1916+U1916+V1916+W1916</f>
        <v>43.8</v>
      </c>
      <c r="AC1916" s="38">
        <v>1.1786099999999999</v>
      </c>
      <c r="AD1916" s="38">
        <v>2</v>
      </c>
      <c r="AE1916" s="38">
        <v>0</v>
      </c>
      <c r="AF1916" s="38">
        <f>(AD1916+AE1916*0.5)/(3.5*I1916*1000)*100</f>
        <v>1.2987012987012987E-3</v>
      </c>
      <c r="AG1916" s="38">
        <f t="shared" si="248"/>
        <v>0</v>
      </c>
      <c r="AH1916" s="38">
        <v>0</v>
      </c>
      <c r="AI1916" s="38">
        <f>AH1916/(3.5*I1916*1000)*100</f>
        <v>0</v>
      </c>
      <c r="AJ1916" s="38">
        <v>1201.0899999999999</v>
      </c>
      <c r="AK1916" s="38">
        <f>AJ1916/(3.5*I1916*1000)*100</f>
        <v>0.7799285714285713</v>
      </c>
      <c r="AL1916" s="38">
        <v>0</v>
      </c>
      <c r="AM1916" s="38">
        <f t="shared" si="254"/>
        <v>0</v>
      </c>
      <c r="AN1916" s="25"/>
      <c r="AO1916" s="25">
        <f>AE1916*0.5</f>
        <v>0</v>
      </c>
      <c r="AP1916" s="25">
        <f>(AD1916+AH1916+AJ1916+AL1916+AO1916)*I1916</f>
        <v>52935.96</v>
      </c>
      <c r="AQ1916" s="25">
        <f>SUM(N1916:Q1916)</f>
        <v>43.800000000000004</v>
      </c>
      <c r="AR1916" s="25">
        <f>SUM(T1916:W1916)</f>
        <v>43.8</v>
      </c>
      <c r="AS1916" s="22"/>
      <c r="AT1916" s="41"/>
      <c r="AU1916" s="41">
        <f>SUM(N1916:Q1916)</f>
        <v>43.800000000000004</v>
      </c>
      <c r="AV1916" s="41">
        <f>SUM(T1916:W1916)</f>
        <v>43.8</v>
      </c>
      <c r="AW1916" s="41">
        <f>SUM(Z1916:AB1916)</f>
        <v>43.8</v>
      </c>
      <c r="AX1916" s="22"/>
      <c r="AY1916" s="22">
        <f>I1916/AU1916</f>
        <v>1.004566210045662</v>
      </c>
      <c r="AZ1916" s="22">
        <f>I1916/AV1916</f>
        <v>1.0045662100456623</v>
      </c>
      <c r="BA1916" s="22">
        <f>I1916/AW1916</f>
        <v>1.0045662100456623</v>
      </c>
      <c r="BB1916" s="22"/>
      <c r="BC1916" s="22"/>
      <c r="BD1916" s="22"/>
      <c r="BE1916" s="22"/>
      <c r="BF1916" s="22"/>
      <c r="BG1916" s="22"/>
      <c r="BH1916" s="22"/>
      <c r="BI1916" s="22"/>
      <c r="BJ1916" s="22"/>
      <c r="BK1916" s="22"/>
      <c r="BL1916" s="22"/>
      <c r="BM1916" s="22"/>
      <c r="BN1916" s="22"/>
      <c r="BO1916" s="22"/>
      <c r="BP1916" s="22"/>
      <c r="BQ1916" s="22"/>
      <c r="BR1916" s="22"/>
      <c r="BS1916" s="22"/>
      <c r="BT1916" s="22"/>
      <c r="BU1916" s="22"/>
      <c r="BV1916" s="22"/>
      <c r="BW1916" s="22"/>
      <c r="BX1916" s="22"/>
      <c r="BY1916" s="22"/>
      <c r="BZ1916" s="22"/>
      <c r="CA1916" s="22"/>
      <c r="CB1916" s="22"/>
      <c r="CC1916" s="22"/>
      <c r="CD1916" s="22"/>
      <c r="CE1916" s="22"/>
      <c r="CF1916" s="22"/>
      <c r="CG1916" s="22"/>
      <c r="CH1916" s="22"/>
      <c r="CI1916" s="22"/>
      <c r="CJ1916" s="22"/>
    </row>
    <row r="1917" spans="1:88">
      <c r="A1917" s="1">
        <v>326</v>
      </c>
      <c r="B1917" s="34" t="s">
        <v>557</v>
      </c>
      <c r="C1917" s="34">
        <v>646</v>
      </c>
      <c r="D1917" s="34">
        <v>211</v>
      </c>
      <c r="E1917" s="34">
        <v>102</v>
      </c>
      <c r="F1917" s="34" t="s">
        <v>559</v>
      </c>
      <c r="G1917" s="58" t="s">
        <v>560</v>
      </c>
      <c r="H1917" s="58" t="s">
        <v>561</v>
      </c>
      <c r="I1917" s="35">
        <v>68</v>
      </c>
      <c r="J1917" s="62">
        <v>2</v>
      </c>
      <c r="K1917" s="34" t="s">
        <v>238</v>
      </c>
      <c r="L1917" s="10">
        <v>42165</v>
      </c>
      <c r="M1917" s="9" t="s">
        <v>191</v>
      </c>
      <c r="N1917" s="38">
        <v>37</v>
      </c>
      <c r="O1917" s="38">
        <v>20.524999999999999</v>
      </c>
      <c r="P1917" s="38">
        <v>7.1749999999999998</v>
      </c>
      <c r="Q1917" s="38">
        <v>3.0249999999999999</v>
      </c>
      <c r="R1917" s="38">
        <v>3.0722399999999999</v>
      </c>
      <c r="S1917" s="38">
        <f t="shared" si="246"/>
        <v>3</v>
      </c>
      <c r="T1917" s="38">
        <v>65.849999999999994</v>
      </c>
      <c r="U1917" s="38">
        <v>1.35</v>
      </c>
      <c r="V1917" s="38">
        <v>0.32500000000000001</v>
      </c>
      <c r="W1917" s="38">
        <v>0.2</v>
      </c>
      <c r="X1917" s="38">
        <v>4.7411899999999996</v>
      </c>
      <c r="Y1917" s="38">
        <f t="shared" si="247"/>
        <v>4.5</v>
      </c>
      <c r="Z1917" s="38">
        <v>0</v>
      </c>
      <c r="AA1917" s="38">
        <v>0</v>
      </c>
      <c r="AB1917" s="38">
        <f>T1917+U1917+V1917+W1917</f>
        <v>67.724999999999994</v>
      </c>
      <c r="AC1917" s="38">
        <v>1.18869</v>
      </c>
      <c r="AD1917" s="38">
        <v>1.34</v>
      </c>
      <c r="AE1917" s="38">
        <v>2.87</v>
      </c>
      <c r="AF1917" s="38">
        <f>(AD1917+AE1917*0.5)/(3.5*I1917*1000)*100</f>
        <v>1.1659663865546219E-3</v>
      </c>
      <c r="AG1917" s="38">
        <f t="shared" si="248"/>
        <v>0</v>
      </c>
      <c r="AH1917" s="38">
        <v>0</v>
      </c>
      <c r="AI1917" s="38">
        <f>AH1917/(3.5*I1917*1000)*100</f>
        <v>0</v>
      </c>
      <c r="AJ1917" s="38">
        <v>804.73</v>
      </c>
      <c r="AK1917" s="38">
        <f>AJ1917/(3.5*I1917*1000)*100</f>
        <v>0.3381218487394958</v>
      </c>
      <c r="AL1917" s="38">
        <v>0</v>
      </c>
      <c r="AM1917" s="38">
        <f t="shared" si="254"/>
        <v>0</v>
      </c>
      <c r="AN1917" s="25"/>
      <c r="AO1917" s="25">
        <f>AE1917*0.5</f>
        <v>1.4350000000000001</v>
      </c>
      <c r="AP1917" s="25">
        <f>(AD1917+AH1917+AJ1917+AL1917+AO1917)*I1917</f>
        <v>54910.34</v>
      </c>
      <c r="AQ1917" s="25">
        <f>SUM(N1917:Q1917)</f>
        <v>67.725000000000009</v>
      </c>
      <c r="AR1917" s="25">
        <f>SUM(T1917:W1917)</f>
        <v>67.724999999999994</v>
      </c>
      <c r="AS1917" s="22"/>
      <c r="AT1917" s="41"/>
      <c r="AU1917" s="41">
        <f>SUM(N1917:Q1917)</f>
        <v>67.725000000000009</v>
      </c>
      <c r="AV1917" s="41">
        <f>SUM(T1917:W1917)</f>
        <v>67.724999999999994</v>
      </c>
      <c r="AW1917" s="41">
        <f>SUM(Z1917:AB1917)</f>
        <v>67.724999999999994</v>
      </c>
      <c r="AX1917" s="22"/>
      <c r="AY1917" s="22">
        <f>I1917/AU1917</f>
        <v>1.0040605389442598</v>
      </c>
      <c r="AZ1917" s="22">
        <f>I1917/AV1917</f>
        <v>1.0040605389442601</v>
      </c>
      <c r="BA1917" s="22">
        <f>I1917/AW1917</f>
        <v>1.0040605389442601</v>
      </c>
      <c r="BB1917" s="22"/>
      <c r="BC1917" s="22"/>
      <c r="BD1917" s="22"/>
      <c r="BE1917" s="22"/>
      <c r="BF1917" s="22"/>
      <c r="BG1917" s="22"/>
      <c r="BH1917" s="22"/>
      <c r="BI1917" s="22"/>
      <c r="BJ1917" s="22"/>
      <c r="BK1917" s="22"/>
      <c r="BL1917" s="22"/>
      <c r="BM1917" s="22"/>
      <c r="BN1917" s="22"/>
      <c r="BO1917" s="22"/>
      <c r="BP1917" s="22"/>
      <c r="BQ1917" s="22"/>
      <c r="BR1917" s="22"/>
      <c r="BS1917" s="22"/>
      <c r="BT1917" s="22"/>
      <c r="BU1917" s="22"/>
      <c r="BV1917" s="22"/>
      <c r="BW1917" s="22"/>
      <c r="BX1917" s="22"/>
      <c r="BY1917" s="22"/>
      <c r="BZ1917" s="22"/>
      <c r="CA1917" s="22"/>
      <c r="CB1917" s="22"/>
      <c r="CC1917" s="22"/>
      <c r="CD1917" s="22"/>
      <c r="CE1917" s="22"/>
      <c r="CF1917" s="22"/>
      <c r="CG1917" s="22"/>
      <c r="CH1917" s="22"/>
      <c r="CI1917" s="22"/>
      <c r="CJ1917" s="22"/>
    </row>
    <row r="1918" spans="1:88">
      <c r="A1918" s="1">
        <v>154</v>
      </c>
      <c r="B1918" s="34" t="s">
        <v>294</v>
      </c>
      <c r="C1918" s="34">
        <v>531</v>
      </c>
      <c r="D1918" s="34">
        <v>1216</v>
      </c>
      <c r="E1918" s="34">
        <v>100</v>
      </c>
      <c r="F1918" s="34" t="s">
        <v>323</v>
      </c>
      <c r="G1918" s="20" t="s">
        <v>92</v>
      </c>
      <c r="H1918" s="20" t="s">
        <v>324</v>
      </c>
      <c r="I1918" s="35">
        <v>37.468000000000004</v>
      </c>
      <c r="J1918" s="36">
        <v>2</v>
      </c>
      <c r="K1918" s="34" t="s">
        <v>238</v>
      </c>
      <c r="L1918" s="18">
        <v>42222</v>
      </c>
      <c r="M1918" s="9" t="s">
        <v>191</v>
      </c>
      <c r="N1918" s="38">
        <v>20.82</v>
      </c>
      <c r="O1918" s="38">
        <v>8.65</v>
      </c>
      <c r="P1918" s="38">
        <v>4.25</v>
      </c>
      <c r="Q1918" s="38">
        <v>3.75</v>
      </c>
      <c r="R1918" s="38">
        <v>2.899</v>
      </c>
      <c r="S1918" s="38">
        <f t="shared" si="246"/>
        <v>3</v>
      </c>
      <c r="T1918" s="38">
        <v>15.52</v>
      </c>
      <c r="U1918" s="38">
        <v>5.98</v>
      </c>
      <c r="V1918" s="38">
        <v>3.67</v>
      </c>
      <c r="W1918" s="38">
        <v>12.31</v>
      </c>
      <c r="X1918" s="38">
        <v>19.084</v>
      </c>
      <c r="Y1918" s="38">
        <f t="shared" si="247"/>
        <v>19</v>
      </c>
      <c r="Z1918" s="38">
        <v>0.2</v>
      </c>
      <c r="AA1918" s="38">
        <v>0.48</v>
      </c>
      <c r="AB1918" s="38">
        <v>36.79</v>
      </c>
      <c r="AC1918" s="38">
        <v>1.3839999999999999</v>
      </c>
      <c r="AD1918" s="38">
        <v>0</v>
      </c>
      <c r="AE1918" s="38">
        <v>2.99</v>
      </c>
      <c r="AF1918" s="38">
        <f>(AD1918+AE1918*0.5)/(3.5*I1918*1000)*100</f>
        <v>1.1400204364867546E-3</v>
      </c>
      <c r="AG1918" s="38">
        <f t="shared" si="248"/>
        <v>0</v>
      </c>
      <c r="AH1918" s="38">
        <v>136.96</v>
      </c>
      <c r="AI1918" s="38">
        <f>AH1918/(3.5*I1918*1000)*100</f>
        <v>0.10443959798075311</v>
      </c>
      <c r="AJ1918" s="38">
        <v>0</v>
      </c>
      <c r="AK1918" s="38">
        <f>AJ1918/(3.5*I1918*1000)*100</f>
        <v>0</v>
      </c>
      <c r="AL1918" s="38">
        <v>1.9</v>
      </c>
      <c r="AM1918" s="38">
        <f t="shared" si="254"/>
        <v>1.4488554042306576E-3</v>
      </c>
      <c r="AN1918" s="40"/>
      <c r="AO1918" s="40">
        <f>AE1918*0.5</f>
        <v>1.4950000000000001</v>
      </c>
      <c r="AP1918" s="40">
        <f>(AD1918+AH1918+AJ1918+AL1918+AO1918)*I1918</f>
        <v>5258.8211400000009</v>
      </c>
      <c r="AQ1918" s="25">
        <f>SUM(N1918:Q1918)</f>
        <v>37.47</v>
      </c>
      <c r="AR1918" s="25">
        <f>SUM(T1918:W1918)</f>
        <v>37.480000000000004</v>
      </c>
      <c r="AS1918" s="22">
        <v>0</v>
      </c>
      <c r="AT1918" s="41"/>
      <c r="AU1918" s="41">
        <f>SUM(N1918:Q1918)</f>
        <v>37.47</v>
      </c>
      <c r="AV1918" s="41">
        <f>SUM(T1918:W1918)</f>
        <v>37.480000000000004</v>
      </c>
      <c r="AW1918" s="41">
        <f>SUM(Z1918:AB1918)</f>
        <v>37.47</v>
      </c>
      <c r="AX1918" s="22"/>
      <c r="AY1918" s="22">
        <f>I1918/AU1918</f>
        <v>0.99994662396583944</v>
      </c>
      <c r="AZ1918" s="22">
        <f>I1918/AV1918</f>
        <v>0.99967982924226251</v>
      </c>
      <c r="BA1918" s="22">
        <f>I1918/AW1918</f>
        <v>0.99994662396583944</v>
      </c>
      <c r="BB1918" s="22"/>
      <c r="BC1918" s="22"/>
      <c r="BD1918" s="22"/>
      <c r="BE1918" s="22"/>
      <c r="BF1918" s="22"/>
      <c r="BG1918" s="22"/>
      <c r="BH1918" s="22"/>
      <c r="BI1918" s="22"/>
      <c r="BJ1918" s="22"/>
      <c r="BK1918" s="22"/>
      <c r="BL1918" s="22"/>
      <c r="BM1918" s="22"/>
      <c r="BN1918" s="22"/>
      <c r="BO1918" s="22"/>
      <c r="BP1918" s="22"/>
      <c r="BQ1918" s="22"/>
      <c r="BR1918" s="22"/>
      <c r="BS1918" s="22"/>
      <c r="BT1918" s="22"/>
      <c r="BU1918" s="22"/>
      <c r="BV1918" s="22"/>
      <c r="BW1918" s="22"/>
      <c r="BX1918" s="22"/>
      <c r="BY1918" s="22"/>
      <c r="BZ1918" s="22"/>
      <c r="CA1918" s="22"/>
      <c r="CB1918" s="22"/>
      <c r="CC1918" s="22"/>
      <c r="CD1918" s="22"/>
      <c r="CE1918" s="22"/>
      <c r="CF1918" s="22"/>
      <c r="CG1918" s="22"/>
      <c r="CH1918" s="22"/>
      <c r="CI1918" s="22"/>
      <c r="CJ1918" s="22"/>
    </row>
    <row r="1919" spans="1:88">
      <c r="A1919" s="1">
        <v>2213</v>
      </c>
      <c r="B1919" s="34" t="s">
        <v>2853</v>
      </c>
      <c r="C1919" s="34">
        <v>318</v>
      </c>
      <c r="D1919" s="75">
        <v>406</v>
      </c>
      <c r="E1919" s="8">
        <v>103</v>
      </c>
      <c r="F1919" s="9" t="s">
        <v>2856</v>
      </c>
      <c r="G1919" s="20" t="s">
        <v>2858</v>
      </c>
      <c r="H1919" s="20" t="s">
        <v>2859</v>
      </c>
      <c r="I1919" s="21">
        <v>13.39</v>
      </c>
      <c r="J1919" s="8">
        <v>2</v>
      </c>
      <c r="K1919" s="8" t="s">
        <v>237</v>
      </c>
      <c r="L1919" s="18">
        <v>42149</v>
      </c>
      <c r="M1919" s="9" t="s">
        <v>191</v>
      </c>
      <c r="N1919" s="38">
        <v>9.9250000000000007</v>
      </c>
      <c r="O1919" s="38">
        <v>2.5499999999999998</v>
      </c>
      <c r="P1919" s="38">
        <v>0.65</v>
      </c>
      <c r="Q1919" s="38">
        <v>0.35</v>
      </c>
      <c r="R1919" s="38">
        <v>2.2946599999999999</v>
      </c>
      <c r="S1919" s="38">
        <f t="shared" si="246"/>
        <v>2.5</v>
      </c>
      <c r="T1919" s="38">
        <v>13.074999999999999</v>
      </c>
      <c r="U1919" s="38">
        <v>0.375</v>
      </c>
      <c r="V1919" s="38">
        <v>2.5000000000000001E-2</v>
      </c>
      <c r="W1919" s="38">
        <v>0</v>
      </c>
      <c r="X1919" s="38">
        <v>4.3458699999999997</v>
      </c>
      <c r="Y1919" s="38">
        <f t="shared" si="247"/>
        <v>4.5</v>
      </c>
      <c r="Z1919" s="38">
        <v>0</v>
      </c>
      <c r="AA1919" s="38">
        <v>0</v>
      </c>
      <c r="AB1919" s="38">
        <v>13.475000000000001</v>
      </c>
      <c r="AC1919" s="38">
        <v>1.0960399999999999</v>
      </c>
      <c r="AD1919" s="38">
        <v>0</v>
      </c>
      <c r="AE1919" s="38">
        <v>1.04</v>
      </c>
      <c r="AF1919" s="38">
        <v>1.1095700416088768E-3</v>
      </c>
      <c r="AG1919" s="38">
        <f t="shared" si="248"/>
        <v>0</v>
      </c>
      <c r="AH1919" s="38">
        <v>0</v>
      </c>
      <c r="AI1919" s="38">
        <v>0</v>
      </c>
      <c r="AJ1919" s="38">
        <v>0</v>
      </c>
      <c r="AK1919" s="38">
        <v>0</v>
      </c>
      <c r="AL1919" s="38">
        <v>0</v>
      </c>
      <c r="AM1919" s="38">
        <f t="shared" si="254"/>
        <v>0</v>
      </c>
      <c r="AN1919" s="22"/>
      <c r="AO1919" s="25"/>
      <c r="AP1919" s="25"/>
      <c r="AQ1919" s="22"/>
      <c r="AR1919" s="22"/>
      <c r="AS1919" s="22"/>
    </row>
    <row r="1920" spans="1:88">
      <c r="A1920" s="1">
        <v>230</v>
      </c>
      <c r="B1920" s="34" t="s">
        <v>436</v>
      </c>
      <c r="C1920" s="34">
        <v>537</v>
      </c>
      <c r="D1920" s="34">
        <v>1020</v>
      </c>
      <c r="E1920" s="34">
        <v>203</v>
      </c>
      <c r="F1920" s="34" t="s">
        <v>440</v>
      </c>
      <c r="G1920" s="20" t="s">
        <v>441</v>
      </c>
      <c r="H1920" s="20" t="s">
        <v>442</v>
      </c>
      <c r="I1920" s="51">
        <v>51.801000000000002</v>
      </c>
      <c r="J1920" s="33">
        <v>4</v>
      </c>
      <c r="K1920" s="34" t="s">
        <v>238</v>
      </c>
      <c r="L1920" s="10">
        <v>42198</v>
      </c>
      <c r="M1920" s="9" t="s">
        <v>191</v>
      </c>
      <c r="N1920" s="38">
        <v>38.76</v>
      </c>
      <c r="O1920" s="38">
        <v>8.5399999999999991</v>
      </c>
      <c r="P1920" s="38">
        <v>3.33</v>
      </c>
      <c r="Q1920" s="38">
        <v>1.18</v>
      </c>
      <c r="R1920" s="38">
        <v>2.3333400000000002</v>
      </c>
      <c r="S1920" s="38">
        <f t="shared" si="246"/>
        <v>2.5</v>
      </c>
      <c r="T1920" s="38">
        <v>37.99</v>
      </c>
      <c r="U1920" s="38">
        <v>10.82</v>
      </c>
      <c r="V1920" s="38">
        <v>2.1800000000000002</v>
      </c>
      <c r="W1920" s="38">
        <v>0.83</v>
      </c>
      <c r="X1920" s="38">
        <v>7.91866</v>
      </c>
      <c r="Y1920" s="38">
        <f t="shared" si="247"/>
        <v>8</v>
      </c>
      <c r="Z1920" s="38">
        <v>0</v>
      </c>
      <c r="AA1920" s="38">
        <v>0</v>
      </c>
      <c r="AB1920" s="38">
        <v>51.8</v>
      </c>
      <c r="AC1920" s="38">
        <v>1.1353500000000001</v>
      </c>
      <c r="AD1920" s="38">
        <v>2</v>
      </c>
      <c r="AE1920" s="38">
        <v>0</v>
      </c>
      <c r="AF1920" s="38">
        <v>1.1031226644824838E-3</v>
      </c>
      <c r="AG1920" s="38">
        <f t="shared" si="248"/>
        <v>0</v>
      </c>
      <c r="AH1920" s="38">
        <v>27</v>
      </c>
      <c r="AI1920" s="38">
        <v>1.4892155970513531E-2</v>
      </c>
      <c r="AJ1920" s="38">
        <v>15</v>
      </c>
      <c r="AK1920" s="55">
        <v>8.2734199836186281E-3</v>
      </c>
      <c r="AL1920" s="55">
        <v>9</v>
      </c>
      <c r="AM1920" s="55">
        <v>4.9640519901711765E-3</v>
      </c>
      <c r="AN1920" s="40"/>
      <c r="AO1920" s="25">
        <f>SUM(N1920:Q1920)</f>
        <v>51.809999999999995</v>
      </c>
      <c r="AP1920" s="25">
        <f>SUM(T1920:W1920)</f>
        <v>51.82</v>
      </c>
      <c r="AQ1920" s="268">
        <v>54.048000000000002</v>
      </c>
      <c r="AR1920" s="41"/>
      <c r="AS1920" s="41"/>
      <c r="AT1920" s="41"/>
      <c r="AU1920" s="41">
        <f>SUM(N1920:Q1920)</f>
        <v>51.809999999999995</v>
      </c>
      <c r="AV1920" s="41">
        <f>SUM(T1920:W1920)</f>
        <v>51.82</v>
      </c>
      <c r="AW1920" s="41">
        <f>SUM(Z1920:AB1920)</f>
        <v>51.8</v>
      </c>
      <c r="AX1920" s="22"/>
      <c r="AY1920" s="22">
        <f>I1920/AU1920</f>
        <v>0.99982628836132037</v>
      </c>
      <c r="AZ1920" s="22">
        <f>I1920/AV1920</f>
        <v>0.99963334619837907</v>
      </c>
      <c r="BA1920" s="22">
        <f>I1920/AW1920</f>
        <v>1.0000193050193051</v>
      </c>
      <c r="BB1920" s="22"/>
      <c r="BC1920" s="22"/>
      <c r="BD1920" s="22"/>
      <c r="BE1920" s="22"/>
      <c r="BF1920" s="22"/>
      <c r="BG1920" s="22"/>
      <c r="BH1920" s="22"/>
      <c r="BI1920" s="22"/>
      <c r="BJ1920" s="22"/>
      <c r="BK1920" s="22"/>
      <c r="BL1920" s="22"/>
      <c r="BM1920" s="22"/>
      <c r="BN1920" s="22"/>
      <c r="BO1920" s="22"/>
      <c r="BP1920" s="22"/>
      <c r="BQ1920" s="22"/>
      <c r="BR1920" s="22"/>
      <c r="BS1920" s="22"/>
      <c r="BT1920" s="22"/>
      <c r="BU1920" s="22"/>
      <c r="BV1920" s="22"/>
      <c r="BW1920" s="22"/>
      <c r="BX1920" s="22"/>
      <c r="BY1920" s="22"/>
      <c r="BZ1920" s="22"/>
      <c r="CA1920" s="22"/>
      <c r="CB1920" s="22"/>
      <c r="CC1920" s="22"/>
      <c r="CD1920" s="22"/>
      <c r="CE1920" s="22"/>
      <c r="CF1920" s="22"/>
      <c r="CG1920" s="22"/>
      <c r="CH1920" s="22"/>
      <c r="CI1920" s="22"/>
      <c r="CJ1920" s="22"/>
    </row>
    <row r="1921" spans="1:88" s="22" customFormat="1">
      <c r="A1921" s="1">
        <v>286</v>
      </c>
      <c r="B1921" s="34" t="s">
        <v>509</v>
      </c>
      <c r="C1921" s="34">
        <v>642</v>
      </c>
      <c r="D1921" s="34">
        <v>22</v>
      </c>
      <c r="E1921" s="34">
        <v>302</v>
      </c>
      <c r="F1921" s="34" t="s">
        <v>510</v>
      </c>
      <c r="G1921" s="58" t="s">
        <v>511</v>
      </c>
      <c r="H1921" s="58" t="s">
        <v>512</v>
      </c>
      <c r="I1921" s="35">
        <v>50.859000000000002</v>
      </c>
      <c r="J1921" s="63">
        <v>4</v>
      </c>
      <c r="K1921" s="34" t="s">
        <v>96</v>
      </c>
      <c r="L1921" s="10">
        <v>42161</v>
      </c>
      <c r="M1921" s="9" t="s">
        <v>191</v>
      </c>
      <c r="N1921" s="38">
        <v>38.700000000000003</v>
      </c>
      <c r="O1921" s="38">
        <v>8.4700000000000006</v>
      </c>
      <c r="P1921" s="38">
        <v>2.86</v>
      </c>
      <c r="Q1921" s="38">
        <v>0.91</v>
      </c>
      <c r="R1921" s="38">
        <v>2.3788399999999998</v>
      </c>
      <c r="S1921" s="38">
        <f t="shared" si="246"/>
        <v>2.5</v>
      </c>
      <c r="T1921" s="38">
        <v>48.34</v>
      </c>
      <c r="U1921" s="38">
        <v>1.7</v>
      </c>
      <c r="V1921" s="38">
        <v>0.75</v>
      </c>
      <c r="W1921" s="38">
        <v>0.16</v>
      </c>
      <c r="X1921" s="38">
        <v>5.3389100000000003</v>
      </c>
      <c r="Y1921" s="38">
        <f t="shared" si="247"/>
        <v>5.5</v>
      </c>
      <c r="Z1921" s="38">
        <v>0</v>
      </c>
      <c r="AA1921" s="38">
        <v>0</v>
      </c>
      <c r="AB1921" s="38">
        <f>T1921+U1921+V1921+W1921</f>
        <v>50.95</v>
      </c>
      <c r="AC1921" s="38">
        <v>1.1831700000000001</v>
      </c>
      <c r="AD1921" s="38">
        <v>0</v>
      </c>
      <c r="AE1921" s="38">
        <v>4</v>
      </c>
      <c r="AF1921" s="38">
        <v>9.8762261952085482E-4</v>
      </c>
      <c r="AG1921" s="38">
        <f t="shared" si="248"/>
        <v>0</v>
      </c>
      <c r="AH1921" s="38">
        <v>0</v>
      </c>
      <c r="AI1921" s="38">
        <v>0</v>
      </c>
      <c r="AJ1921" s="38">
        <v>0</v>
      </c>
      <c r="AK1921" s="38">
        <v>0</v>
      </c>
      <c r="AL1921" s="38">
        <v>0</v>
      </c>
      <c r="AM1921" s="38">
        <v>0</v>
      </c>
      <c r="AN1921" s="60"/>
      <c r="AO1921" s="60"/>
      <c r="AP1921" s="60">
        <f>AE1921*0.5</f>
        <v>2</v>
      </c>
      <c r="AQ1921" s="64">
        <f>(AD1921+AH1921+AJ1921+AL1921+AP1921)*I1921</f>
        <v>101.718</v>
      </c>
      <c r="AR1921" s="60"/>
      <c r="AS1921" s="25">
        <f>SUM(N1921:Q1921)</f>
        <v>50.94</v>
      </c>
      <c r="AT1921" s="25"/>
      <c r="AU1921" s="41">
        <f>SUM(N1921:Q1921)</f>
        <v>50.94</v>
      </c>
      <c r="AV1921" s="41">
        <f>SUM(T1921:W1921)</f>
        <v>50.95</v>
      </c>
      <c r="AW1921" s="41">
        <f>SUM(Z1921:AB1921)</f>
        <v>50.95</v>
      </c>
      <c r="AY1921" s="22">
        <f>I1921/AU1921</f>
        <v>0.9984098939929329</v>
      </c>
      <c r="AZ1921" s="22">
        <f>I1921/AV1921</f>
        <v>0.99821393523061819</v>
      </c>
      <c r="BA1921" s="22">
        <f>I1921/AW1921</f>
        <v>0.99821393523061819</v>
      </c>
      <c r="BB1921" s="61"/>
      <c r="BC1921" s="61"/>
      <c r="BD1921" s="61"/>
      <c r="BE1921" s="61"/>
      <c r="BF1921" s="61"/>
      <c r="BG1921" s="61"/>
      <c r="BH1921" s="61"/>
      <c r="BI1921" s="61"/>
      <c r="BJ1921" s="61"/>
      <c r="BK1921" s="61"/>
      <c r="BL1921" s="61"/>
      <c r="BM1921" s="61"/>
      <c r="BN1921" s="61"/>
      <c r="BO1921" s="61"/>
      <c r="BP1921" s="61"/>
      <c r="BQ1921" s="61"/>
      <c r="BR1921" s="61"/>
      <c r="BS1921" s="61"/>
      <c r="BT1921" s="61"/>
      <c r="BU1921" s="61"/>
      <c r="BV1921" s="61"/>
      <c r="BW1921" s="61"/>
      <c r="BX1921" s="61"/>
      <c r="BY1921" s="61"/>
      <c r="BZ1921" s="61"/>
      <c r="CA1921" s="61"/>
      <c r="CB1921" s="61"/>
      <c r="CC1921" s="61"/>
      <c r="CD1921" s="61"/>
      <c r="CE1921" s="61"/>
      <c r="CF1921" s="61"/>
      <c r="CG1921" s="61"/>
      <c r="CH1921" s="61"/>
      <c r="CI1921" s="61"/>
      <c r="CJ1921" s="61"/>
    </row>
    <row r="1922" spans="1:88">
      <c r="A1922" s="1">
        <v>126</v>
      </c>
      <c r="B1922" s="4" t="s">
        <v>38</v>
      </c>
      <c r="C1922" s="14">
        <v>528</v>
      </c>
      <c r="D1922" s="19">
        <v>103</v>
      </c>
      <c r="E1922" s="16">
        <v>200</v>
      </c>
      <c r="F1922" s="14" t="s">
        <v>39</v>
      </c>
      <c r="G1922" s="20" t="s">
        <v>176</v>
      </c>
      <c r="H1922" s="20" t="s">
        <v>175</v>
      </c>
      <c r="I1922" s="21">
        <v>23.791</v>
      </c>
      <c r="J1922" s="8">
        <v>2</v>
      </c>
      <c r="K1922" s="33" t="s">
        <v>96</v>
      </c>
      <c r="L1922" s="18">
        <v>42225</v>
      </c>
      <c r="M1922" s="9" t="s">
        <v>191</v>
      </c>
      <c r="N1922" s="11">
        <v>10.125</v>
      </c>
      <c r="O1922" s="11">
        <v>6.7249999999999996</v>
      </c>
      <c r="P1922" s="11">
        <v>4.1749999999999998</v>
      </c>
      <c r="Q1922" s="11">
        <v>2.7749999999999999</v>
      </c>
      <c r="R1922" s="11">
        <v>3.0809000000000002</v>
      </c>
      <c r="S1922" s="38">
        <f t="shared" si="246"/>
        <v>3</v>
      </c>
      <c r="T1922" s="11">
        <v>21.6</v>
      </c>
      <c r="U1922" s="11">
        <v>1.7250000000000001</v>
      </c>
      <c r="V1922" s="11">
        <v>0.25</v>
      </c>
      <c r="W1922" s="11">
        <v>0.22500000000000001</v>
      </c>
      <c r="X1922" s="11">
        <v>4.9226299999999998</v>
      </c>
      <c r="Y1922" s="38">
        <f t="shared" si="247"/>
        <v>5</v>
      </c>
      <c r="Z1922" s="11">
        <v>0</v>
      </c>
      <c r="AA1922" s="11">
        <v>0</v>
      </c>
      <c r="AB1922" s="11">
        <v>23.8</v>
      </c>
      <c r="AC1922" s="11">
        <v>1.52616</v>
      </c>
      <c r="AD1922" s="11">
        <v>0</v>
      </c>
      <c r="AE1922" s="11">
        <v>1.35</v>
      </c>
      <c r="AF1922" s="11">
        <f>(AD1922+AE1922*0.5)/(3.5*I1922*1000)*100</f>
        <v>8.1063067066177493E-4</v>
      </c>
      <c r="AG1922" s="38">
        <f t="shared" si="248"/>
        <v>0</v>
      </c>
      <c r="AH1922" s="11">
        <v>0.32</v>
      </c>
      <c r="AI1922" s="11">
        <f>AH1922/(3.5*I1922*1000)*100</f>
        <v>3.8429898461002658E-4</v>
      </c>
      <c r="AJ1922" s="11">
        <v>1.02</v>
      </c>
      <c r="AK1922" s="11">
        <f>AJ1922/(3.5*I1922*1000)*100</f>
        <v>1.2249530134444599E-3</v>
      </c>
      <c r="AL1922" s="11">
        <v>0</v>
      </c>
      <c r="AM1922" s="11">
        <f>AL1922/(3.5*I1922*1000)*100</f>
        <v>0</v>
      </c>
      <c r="AN1922" s="22"/>
      <c r="AO1922" s="22"/>
      <c r="AP1922" s="22"/>
      <c r="AQ1922" s="22"/>
      <c r="AR1922" s="22"/>
      <c r="AS1922" s="22"/>
      <c r="AT1922" s="22"/>
      <c r="AU1922" s="22"/>
      <c r="AV1922" s="22"/>
      <c r="AW1922" s="22"/>
      <c r="AX1922" s="22"/>
      <c r="AY1922" s="22"/>
      <c r="AZ1922" s="22"/>
      <c r="BA1922" s="22"/>
      <c r="BB1922" s="22"/>
      <c r="BC1922" s="22"/>
      <c r="BD1922" s="22"/>
      <c r="BE1922" s="22"/>
      <c r="BF1922" s="22"/>
      <c r="BG1922" s="22"/>
      <c r="BH1922" s="22"/>
      <c r="BI1922" s="22"/>
      <c r="BJ1922" s="22"/>
      <c r="BK1922" s="22"/>
      <c r="BL1922" s="22"/>
      <c r="BM1922" s="22"/>
      <c r="BN1922" s="22"/>
      <c r="BO1922" s="22"/>
      <c r="BP1922" s="22"/>
      <c r="BQ1922" s="22"/>
      <c r="BR1922" s="22"/>
      <c r="BS1922" s="22"/>
      <c r="BT1922" s="22"/>
      <c r="BU1922" s="22"/>
      <c r="BV1922" s="22"/>
      <c r="BW1922" s="22"/>
      <c r="BX1922" s="22"/>
      <c r="BY1922" s="22"/>
      <c r="BZ1922" s="22"/>
      <c r="CA1922" s="22"/>
      <c r="CB1922" s="22"/>
      <c r="CC1922" s="22"/>
      <c r="CD1922" s="22"/>
      <c r="CE1922" s="22"/>
      <c r="CF1922" s="22"/>
      <c r="CG1922" s="22"/>
      <c r="CH1922" s="22"/>
      <c r="CI1922" s="22"/>
      <c r="CJ1922" s="22"/>
    </row>
    <row r="1923" spans="1:88">
      <c r="A1923" s="1">
        <v>2106</v>
      </c>
      <c r="B1923" s="34" t="s">
        <v>2754</v>
      </c>
      <c r="C1923" s="34">
        <v>324</v>
      </c>
      <c r="D1923" s="75">
        <v>402</v>
      </c>
      <c r="E1923" s="8">
        <v>101</v>
      </c>
      <c r="F1923" s="9" t="s">
        <v>2755</v>
      </c>
      <c r="G1923" s="20">
        <v>21856</v>
      </c>
      <c r="H1923" s="20">
        <v>0</v>
      </c>
      <c r="I1923" s="21">
        <v>21.856000000000002</v>
      </c>
      <c r="J1923" s="9">
        <v>4</v>
      </c>
      <c r="K1923" s="34" t="s">
        <v>96</v>
      </c>
      <c r="L1923" s="18">
        <v>42136</v>
      </c>
      <c r="M1923" s="9" t="s">
        <v>191</v>
      </c>
      <c r="N1923" s="38">
        <v>15.2</v>
      </c>
      <c r="O1923" s="38">
        <v>2.875</v>
      </c>
      <c r="P1923" s="38">
        <v>1.5</v>
      </c>
      <c r="Q1923" s="38">
        <v>0.57499999999999996</v>
      </c>
      <c r="R1923" s="38">
        <v>2.1692800000000001</v>
      </c>
      <c r="S1923" s="38">
        <f t="shared" ref="S1923:S1986" si="255">ROUND(R1923/5,1)*5</f>
        <v>2</v>
      </c>
      <c r="T1923" s="38">
        <v>19.350000000000001</v>
      </c>
      <c r="U1923" s="38">
        <v>0.65</v>
      </c>
      <c r="V1923" s="38">
        <v>0.1</v>
      </c>
      <c r="W1923" s="38">
        <v>0.05</v>
      </c>
      <c r="X1923" s="38">
        <v>4.54521</v>
      </c>
      <c r="Y1923" s="38">
        <f t="shared" ref="Y1923:Y1986" si="256">ROUND(X1923/5,1)*5</f>
        <v>4.5</v>
      </c>
      <c r="Z1923" s="38">
        <v>0</v>
      </c>
      <c r="AA1923" s="38">
        <v>0</v>
      </c>
      <c r="AB1923" s="38">
        <v>20.149999999999999</v>
      </c>
      <c r="AC1923" s="38">
        <v>1.4037999999999999</v>
      </c>
      <c r="AD1923" s="38">
        <v>0</v>
      </c>
      <c r="AE1923" s="38">
        <v>1</v>
      </c>
      <c r="AF1923" s="38">
        <v>7.8239302731334054E-4</v>
      </c>
      <c r="AG1923" s="38">
        <f t="shared" ref="AG1923:AG1986" si="257">ROUND(AF1923,1)</f>
        <v>0</v>
      </c>
      <c r="AH1923" s="38">
        <v>0</v>
      </c>
      <c r="AI1923" s="38">
        <v>0</v>
      </c>
      <c r="AJ1923" s="38">
        <v>0</v>
      </c>
      <c r="AK1923" s="38">
        <v>0</v>
      </c>
      <c r="AL1923" s="38">
        <v>0</v>
      </c>
      <c r="AM1923" s="38">
        <v>0</v>
      </c>
      <c r="AN1923" s="41"/>
      <c r="AO1923" s="41"/>
      <c r="AP1923" s="73"/>
      <c r="AQ1923" s="73"/>
      <c r="AR1923" s="73"/>
    </row>
    <row r="1924" spans="1:88">
      <c r="A1924" s="1">
        <v>387</v>
      </c>
      <c r="B1924" s="67" t="s">
        <v>626</v>
      </c>
      <c r="C1924" s="34">
        <v>517</v>
      </c>
      <c r="D1924" s="68">
        <v>1112</v>
      </c>
      <c r="E1924" s="69">
        <v>100</v>
      </c>
      <c r="F1924" s="88" t="s">
        <v>643</v>
      </c>
      <c r="G1924" s="6" t="s">
        <v>644</v>
      </c>
      <c r="H1924" s="6" t="s">
        <v>92</v>
      </c>
      <c r="I1924" s="7">
        <v>38.972999999999999</v>
      </c>
      <c r="J1924" s="89">
        <v>2</v>
      </c>
      <c r="K1924" s="34" t="s">
        <v>12</v>
      </c>
      <c r="L1924" s="18">
        <v>42262</v>
      </c>
      <c r="M1924" s="71" t="s">
        <v>191</v>
      </c>
      <c r="N1924" s="38">
        <v>30.08</v>
      </c>
      <c r="O1924" s="38">
        <v>6.61</v>
      </c>
      <c r="P1924" s="38">
        <v>1.8</v>
      </c>
      <c r="Q1924" s="38">
        <v>0.48</v>
      </c>
      <c r="R1924" s="38">
        <v>2.0962399999999999</v>
      </c>
      <c r="S1924" s="38">
        <f t="shared" si="255"/>
        <v>2</v>
      </c>
      <c r="T1924" s="38">
        <v>38.25</v>
      </c>
      <c r="U1924" s="38">
        <v>0.65</v>
      </c>
      <c r="V1924" s="38">
        <v>0.05</v>
      </c>
      <c r="W1924" s="38">
        <v>0.03</v>
      </c>
      <c r="X1924" s="38">
        <v>2.6546400000000001</v>
      </c>
      <c r="Y1924" s="38">
        <f t="shared" si="256"/>
        <v>2.5</v>
      </c>
      <c r="Z1924" s="38">
        <v>0</v>
      </c>
      <c r="AA1924" s="38">
        <v>0</v>
      </c>
      <c r="AB1924" s="38">
        <v>38.97</v>
      </c>
      <c r="AC1924" s="38">
        <v>1.07847</v>
      </c>
      <c r="AD1924" s="38">
        <v>0</v>
      </c>
      <c r="AE1924" s="38">
        <v>1.85</v>
      </c>
      <c r="AF1924" s="38">
        <f>(AD1924+AE1924*0.5)/(3.5*I1924*1000)*100</f>
        <v>6.7812514891261717E-4</v>
      </c>
      <c r="AG1924" s="38">
        <f t="shared" si="257"/>
        <v>0</v>
      </c>
      <c r="AH1924" s="38">
        <v>143.65</v>
      </c>
      <c r="AI1924" s="38">
        <f>AH1924/(3.5*I1924*1000)*100</f>
        <v>0.10531100285545671</v>
      </c>
      <c r="AJ1924" s="38">
        <v>0</v>
      </c>
      <c r="AK1924" s="38">
        <f>AJ1924/(3.5*I1924*1000)*100</f>
        <v>0</v>
      </c>
      <c r="AL1924" s="38">
        <v>0</v>
      </c>
      <c r="AM1924" s="38">
        <f>AL1924/(3.5*I1924*1000)*100</f>
        <v>0</v>
      </c>
      <c r="AN1924" s="22"/>
      <c r="AO1924" s="22"/>
      <c r="AP1924" s="22"/>
      <c r="AQ1924" s="25">
        <f>SUM(N1924:Q1924)</f>
        <v>38.969999999999992</v>
      </c>
      <c r="AR1924" s="25">
        <f>SUM(T1924:W1924)</f>
        <v>38.979999999999997</v>
      </c>
      <c r="AS1924" s="25">
        <f>SUM(Z1924:AB1924)</f>
        <v>38.97</v>
      </c>
      <c r="AT1924" s="22"/>
      <c r="AU1924" s="1">
        <f>I1924/AQ1924</f>
        <v>1.0000769822940725</v>
      </c>
      <c r="AV1924" s="1">
        <f>I1924/AR1924</f>
        <v>0.9998204207285788</v>
      </c>
      <c r="AW1924" s="1">
        <f>I1924/AS1924</f>
        <v>1.0000769822940723</v>
      </c>
    </row>
    <row r="1925" spans="1:88">
      <c r="A1925" s="1">
        <v>285</v>
      </c>
      <c r="B1925" s="34" t="s">
        <v>509</v>
      </c>
      <c r="C1925" s="34">
        <v>642</v>
      </c>
      <c r="D1925" s="34">
        <v>22</v>
      </c>
      <c r="E1925" s="34">
        <v>302</v>
      </c>
      <c r="F1925" s="34" t="s">
        <v>510</v>
      </c>
      <c r="G1925" s="58">
        <v>80071</v>
      </c>
      <c r="H1925" s="58">
        <v>130930</v>
      </c>
      <c r="I1925" s="35">
        <v>50.859000000000002</v>
      </c>
      <c r="J1925" s="63">
        <v>4</v>
      </c>
      <c r="K1925" s="34" t="s">
        <v>237</v>
      </c>
      <c r="L1925" s="10">
        <v>42161</v>
      </c>
      <c r="M1925" s="9" t="s">
        <v>191</v>
      </c>
      <c r="N1925" s="38">
        <v>36.159999999999997</v>
      </c>
      <c r="O1925" s="38">
        <v>9.3800000000000008</v>
      </c>
      <c r="P1925" s="38">
        <v>3.45</v>
      </c>
      <c r="Q1925" s="38">
        <v>1.87</v>
      </c>
      <c r="R1925" s="38">
        <v>2.6170100000000001</v>
      </c>
      <c r="S1925" s="38">
        <f t="shared" si="255"/>
        <v>2.5</v>
      </c>
      <c r="T1925" s="38">
        <v>46.14</v>
      </c>
      <c r="U1925" s="38">
        <v>3.83</v>
      </c>
      <c r="V1925" s="38">
        <v>0.62</v>
      </c>
      <c r="W1925" s="38">
        <v>0.35</v>
      </c>
      <c r="X1925" s="38">
        <v>6.4007699999999996</v>
      </c>
      <c r="Y1925" s="38">
        <f t="shared" si="256"/>
        <v>6.5</v>
      </c>
      <c r="Z1925" s="38">
        <v>0</v>
      </c>
      <c r="AA1925" s="38">
        <v>0</v>
      </c>
      <c r="AB1925" s="38">
        <f>T1925+U1925+V1925+W1925</f>
        <v>50.94</v>
      </c>
      <c r="AC1925" s="38">
        <v>1.21878</v>
      </c>
      <c r="AD1925" s="38">
        <v>1</v>
      </c>
      <c r="AE1925" s="38">
        <v>0</v>
      </c>
      <c r="AF1925" s="38">
        <v>4.9381130976042741E-4</v>
      </c>
      <c r="AG1925" s="38">
        <f t="shared" si="257"/>
        <v>0</v>
      </c>
      <c r="AH1925" s="38">
        <v>9.16</v>
      </c>
      <c r="AI1925" s="38">
        <v>4.5233115974055143E-3</v>
      </c>
      <c r="AJ1925" s="38">
        <v>0</v>
      </c>
      <c r="AK1925" s="38">
        <v>0</v>
      </c>
      <c r="AL1925" s="38">
        <v>0</v>
      </c>
      <c r="AM1925" s="38">
        <v>0</v>
      </c>
      <c r="AN1925" s="60"/>
      <c r="AO1925" s="60"/>
      <c r="AP1925" s="60">
        <f>AE1925*0.5</f>
        <v>0</v>
      </c>
      <c r="AQ1925" s="64">
        <f>(AD1925+AH1925+AJ1925+AL1925+AP1925)*I1925</f>
        <v>516.72744</v>
      </c>
      <c r="AR1925" s="60"/>
      <c r="AS1925" s="25">
        <f>SUM(N1925:Q1925)</f>
        <v>50.86</v>
      </c>
      <c r="AT1925" s="25"/>
      <c r="AU1925" s="41">
        <f>SUM(N1925:Q1925)</f>
        <v>50.86</v>
      </c>
      <c r="AV1925" s="41">
        <f>SUM(T1925:W1925)</f>
        <v>50.94</v>
      </c>
      <c r="AW1925" s="41">
        <f>SUM(Z1925:AB1925)</f>
        <v>50.94</v>
      </c>
      <c r="AX1925" s="22"/>
      <c r="AY1925" s="22">
        <f>I1925/AU1925</f>
        <v>0.99998033818324816</v>
      </c>
      <c r="AZ1925" s="22">
        <f>I1925/AV1925</f>
        <v>0.9984098939929329</v>
      </c>
      <c r="BA1925" s="22">
        <f>I1925/AW1925</f>
        <v>0.9984098939929329</v>
      </c>
      <c r="BB1925" s="61"/>
      <c r="BC1925" s="61"/>
      <c r="BD1925" s="61"/>
      <c r="BE1925" s="61"/>
      <c r="BF1925" s="61"/>
      <c r="BG1925" s="61"/>
      <c r="BH1925" s="61"/>
      <c r="BI1925" s="61"/>
      <c r="BJ1925" s="61"/>
      <c r="BK1925" s="61"/>
      <c r="BL1925" s="61"/>
      <c r="BM1925" s="61"/>
      <c r="BN1925" s="61"/>
      <c r="BO1925" s="61"/>
      <c r="BP1925" s="61"/>
      <c r="BQ1925" s="61"/>
      <c r="BR1925" s="61"/>
      <c r="BS1925" s="61"/>
      <c r="BT1925" s="61"/>
      <c r="BU1925" s="61"/>
      <c r="BV1925" s="61"/>
      <c r="BW1925" s="61"/>
      <c r="BX1925" s="61"/>
      <c r="BY1925" s="61"/>
      <c r="BZ1925" s="61"/>
      <c r="CA1925" s="61"/>
      <c r="CB1925" s="61"/>
      <c r="CC1925" s="61"/>
      <c r="CD1925" s="61"/>
      <c r="CE1925" s="61"/>
      <c r="CF1925" s="61"/>
      <c r="CG1925" s="61"/>
      <c r="CH1925" s="61"/>
      <c r="CI1925" s="61"/>
      <c r="CJ1925" s="61"/>
    </row>
    <row r="1926" spans="1:88">
      <c r="A1926" s="1">
        <v>1845</v>
      </c>
      <c r="B1926" s="34" t="s">
        <v>2461</v>
      </c>
      <c r="C1926" s="34">
        <v>332</v>
      </c>
      <c r="D1926" s="75">
        <v>3374</v>
      </c>
      <c r="E1926" s="8">
        <v>200</v>
      </c>
      <c r="F1926" s="9" t="s">
        <v>2470</v>
      </c>
      <c r="G1926" s="20">
        <v>47101</v>
      </c>
      <c r="H1926" s="20">
        <v>27162</v>
      </c>
      <c r="I1926" s="21">
        <v>19.939</v>
      </c>
      <c r="J1926" s="8">
        <v>2</v>
      </c>
      <c r="K1926" s="8" t="s">
        <v>12</v>
      </c>
      <c r="L1926" s="18">
        <v>42101</v>
      </c>
      <c r="M1926" s="207" t="s">
        <v>191</v>
      </c>
      <c r="N1926" s="38">
        <v>12.6</v>
      </c>
      <c r="O1926" s="38">
        <v>5.2750000000000004</v>
      </c>
      <c r="P1926" s="38">
        <v>1.4</v>
      </c>
      <c r="Q1926" s="38">
        <v>0.65</v>
      </c>
      <c r="R1926" s="38">
        <v>2.5267499999999998</v>
      </c>
      <c r="S1926" s="38">
        <f t="shared" si="255"/>
        <v>2.5</v>
      </c>
      <c r="T1926" s="38">
        <v>19.55</v>
      </c>
      <c r="U1926" s="38">
        <v>0.35</v>
      </c>
      <c r="V1926" s="38">
        <v>2.5000000000000001E-2</v>
      </c>
      <c r="W1926" s="38">
        <v>0</v>
      </c>
      <c r="X1926" s="38">
        <v>3.5877500000000002</v>
      </c>
      <c r="Y1926" s="38">
        <f t="shared" si="256"/>
        <v>3.5</v>
      </c>
      <c r="Z1926" s="38">
        <v>0</v>
      </c>
      <c r="AA1926" s="11">
        <v>0</v>
      </c>
      <c r="AB1926" s="38">
        <v>19.924999999999997</v>
      </c>
      <c r="AC1926" s="38">
        <v>2.0514800000000002</v>
      </c>
      <c r="AD1926" s="38">
        <v>257.36</v>
      </c>
      <c r="AE1926" s="38">
        <v>54.29</v>
      </c>
      <c r="AF1926" s="38">
        <f>(AD1926+AE1926*0.5)/(3.5*L1926*1000)*100</f>
        <v>1.9307651328268418E-4</v>
      </c>
      <c r="AG1926" s="38">
        <f t="shared" si="257"/>
        <v>0</v>
      </c>
      <c r="AH1926" s="38">
        <v>94.73</v>
      </c>
      <c r="AI1926" s="38">
        <v>0.1357425863168378</v>
      </c>
      <c r="AJ1926" s="38">
        <v>0</v>
      </c>
      <c r="AK1926" s="38">
        <v>0</v>
      </c>
      <c r="AL1926" s="38">
        <v>7.21</v>
      </c>
      <c r="AM1926" s="38">
        <f>AL1926/(3.5*I1926*1000)*100</f>
        <v>1.0331511108882091E-2</v>
      </c>
      <c r="AN1926" s="73"/>
      <c r="AO1926" s="73"/>
      <c r="AP1926" s="73"/>
      <c r="AQ1926" s="73"/>
      <c r="AR1926" s="73"/>
      <c r="AS1926" s="73"/>
      <c r="AT1926" s="73"/>
      <c r="AU1926" s="73"/>
      <c r="AV1926" s="73"/>
      <c r="AW1926" s="73"/>
      <c r="AX1926" s="73"/>
      <c r="AY1926" s="73"/>
      <c r="AZ1926" s="73"/>
      <c r="BA1926" s="73"/>
    </row>
    <row r="1927" spans="1:88">
      <c r="A1927" s="1">
        <v>1192</v>
      </c>
      <c r="B1927" s="34" t="s">
        <v>1639</v>
      </c>
      <c r="C1927" s="34">
        <v>433</v>
      </c>
      <c r="D1927" s="34">
        <v>3454</v>
      </c>
      <c r="E1927" s="34">
        <v>200</v>
      </c>
      <c r="F1927" s="34" t="s">
        <v>1672</v>
      </c>
      <c r="G1927" s="58">
        <v>21293</v>
      </c>
      <c r="H1927" s="58">
        <v>49736</v>
      </c>
      <c r="I1927" s="55">
        <v>28.443000000000001</v>
      </c>
      <c r="J1927" s="34">
        <v>2</v>
      </c>
      <c r="K1927" s="181" t="s">
        <v>238</v>
      </c>
      <c r="L1927" s="10">
        <v>42282</v>
      </c>
      <c r="M1927" s="9" t="s">
        <v>191</v>
      </c>
      <c r="N1927" s="38">
        <v>21.274999999999999</v>
      </c>
      <c r="O1927" s="38">
        <v>4.9000000000000004</v>
      </c>
      <c r="P1927" s="38">
        <v>1.575</v>
      </c>
      <c r="Q1927" s="38">
        <v>0.72499999999999998</v>
      </c>
      <c r="R1927" s="38">
        <v>2.2450000000000001</v>
      </c>
      <c r="S1927" s="38">
        <f t="shared" si="255"/>
        <v>2</v>
      </c>
      <c r="T1927" s="38">
        <v>28.125</v>
      </c>
      <c r="U1927" s="38">
        <v>0.3</v>
      </c>
      <c r="V1927" s="38">
        <v>0.05</v>
      </c>
      <c r="W1927" s="38">
        <v>0</v>
      </c>
      <c r="X1927" s="38">
        <v>2.4009999999999998</v>
      </c>
      <c r="Y1927" s="38">
        <f t="shared" si="256"/>
        <v>2.5</v>
      </c>
      <c r="Z1927" s="38">
        <v>0</v>
      </c>
      <c r="AA1927" s="38">
        <v>0</v>
      </c>
      <c r="AB1927" s="38">
        <v>28.443000000000001</v>
      </c>
      <c r="AC1927" s="38">
        <v>1.264</v>
      </c>
      <c r="AD1927" s="38">
        <v>0</v>
      </c>
      <c r="AE1927" s="38">
        <v>0.36</v>
      </c>
      <c r="AF1927" s="38">
        <f>(AD1927+AE1927*0.5)/(3.5*I1927*1000)*100</f>
        <v>1.8081275332620125E-4</v>
      </c>
      <c r="AG1927" s="38">
        <f t="shared" si="257"/>
        <v>0</v>
      </c>
      <c r="AH1927" s="38">
        <v>2.19</v>
      </c>
      <c r="AI1927" s="38">
        <f>AH1927/(3.5*I1927*1000)*100</f>
        <v>2.1998884988021156E-3</v>
      </c>
      <c r="AJ1927" s="38">
        <v>5.34</v>
      </c>
      <c r="AK1927" s="38">
        <f>AJ1927/(3.5*I1927*1000)*100</f>
        <v>5.3641116820106376E-3</v>
      </c>
      <c r="AL1927" s="38">
        <v>0.01</v>
      </c>
      <c r="AM1927" s="38">
        <f>AJ1927/(3.5*I1927*1000)*100</f>
        <v>5.3641116820106376E-3</v>
      </c>
      <c r="AN1927" s="25"/>
      <c r="AO1927" s="22"/>
      <c r="AP1927" s="22"/>
      <c r="AQ1927" s="22"/>
      <c r="AR1927" s="22"/>
      <c r="AS1927" s="22"/>
      <c r="AT1927" s="22"/>
      <c r="AU1927" s="22"/>
      <c r="AV1927" s="22"/>
      <c r="AW1927" s="22"/>
      <c r="AX1927" s="22"/>
      <c r="AY1927" s="22"/>
      <c r="AZ1927" s="22"/>
      <c r="BA1927" s="22"/>
      <c r="BB1927" s="22"/>
      <c r="BC1927" s="22"/>
      <c r="BD1927" s="22"/>
      <c r="BE1927" s="22"/>
      <c r="BF1927" s="22"/>
      <c r="BG1927" s="22"/>
    </row>
    <row r="1928" spans="1:88">
      <c r="A1928" s="1">
        <v>1850</v>
      </c>
      <c r="B1928" s="34" t="s">
        <v>2461</v>
      </c>
      <c r="C1928" s="34">
        <v>332</v>
      </c>
      <c r="D1928" s="75">
        <v>4006</v>
      </c>
      <c r="E1928" s="8">
        <v>200</v>
      </c>
      <c r="F1928" s="9" t="s">
        <v>2476</v>
      </c>
      <c r="G1928" s="20">
        <v>68620</v>
      </c>
      <c r="H1928" s="20">
        <v>68100</v>
      </c>
      <c r="I1928" s="21">
        <v>0.52</v>
      </c>
      <c r="J1928" s="8">
        <v>2</v>
      </c>
      <c r="K1928" s="8" t="s">
        <v>12</v>
      </c>
      <c r="L1928" s="18">
        <v>42100</v>
      </c>
      <c r="M1928" s="207" t="s">
        <v>191</v>
      </c>
      <c r="N1928" s="38">
        <v>0.25</v>
      </c>
      <c r="O1928" s="38">
        <v>0.17499999999999999</v>
      </c>
      <c r="P1928" s="38">
        <v>2.5000000000000001E-2</v>
      </c>
      <c r="Q1928" s="38">
        <v>2.5000000000000001E-2</v>
      </c>
      <c r="R1928" s="38">
        <v>2.7115800000000001</v>
      </c>
      <c r="S1928" s="38">
        <f t="shared" si="255"/>
        <v>2.5</v>
      </c>
      <c r="T1928" s="38">
        <v>0.47499999999999998</v>
      </c>
      <c r="U1928" s="38">
        <v>0</v>
      </c>
      <c r="V1928" s="38">
        <v>0</v>
      </c>
      <c r="W1928" s="38">
        <v>0</v>
      </c>
      <c r="X1928" s="38">
        <v>3.18858</v>
      </c>
      <c r="Y1928" s="38">
        <f t="shared" si="256"/>
        <v>3</v>
      </c>
      <c r="Z1928" s="38">
        <v>0</v>
      </c>
      <c r="AA1928" s="11">
        <v>0</v>
      </c>
      <c r="AB1928" s="38">
        <v>0.47500000000000003</v>
      </c>
      <c r="AC1928" s="38">
        <v>1.5311600000000001</v>
      </c>
      <c r="AD1928" s="38">
        <v>176.95699999999999</v>
      </c>
      <c r="AE1928" s="38">
        <v>49.11</v>
      </c>
      <c r="AF1928" s="38">
        <f>(AD1928+AE1928*0.5)/(3.5*L1928*1000)*100</f>
        <v>1.3675738038683406E-4</v>
      </c>
      <c r="AG1928" s="38">
        <f t="shared" si="257"/>
        <v>0</v>
      </c>
      <c r="AH1928" s="38">
        <v>67.95</v>
      </c>
      <c r="AI1928" s="38">
        <f>AH1928/(3.5*L1928*1000)*100</f>
        <v>4.611469290804208E-5</v>
      </c>
      <c r="AJ1928" s="38">
        <v>0</v>
      </c>
      <c r="AK1928" s="38">
        <f>AJ1928/(3.5*L1928*1000)*100</f>
        <v>0</v>
      </c>
      <c r="AL1928" s="38">
        <v>0.47</v>
      </c>
      <c r="AM1928" s="38">
        <f t="shared" ref="AM1928:AM1935" si="258">AL1928/(3.5*I1928*1000)*100</f>
        <v>2.5824175824175823E-2</v>
      </c>
      <c r="AN1928" s="73"/>
      <c r="AO1928" s="73"/>
      <c r="AP1928" s="73"/>
      <c r="AQ1928" s="73"/>
      <c r="AR1928" s="73"/>
      <c r="AS1928" s="73"/>
      <c r="AT1928" s="73"/>
      <c r="AU1928" s="73"/>
      <c r="AV1928" s="73"/>
      <c r="AW1928" s="73"/>
      <c r="AX1928" s="73"/>
      <c r="AY1928" s="73"/>
      <c r="AZ1928" s="73"/>
      <c r="BA1928" s="73"/>
      <c r="BB1928" s="22"/>
      <c r="BC1928" s="22"/>
      <c r="BD1928" s="22"/>
      <c r="BE1928" s="22"/>
      <c r="BF1928" s="22"/>
      <c r="BG1928" s="22"/>
      <c r="BH1928" s="22"/>
      <c r="BI1928" s="22"/>
      <c r="BJ1928" s="22"/>
      <c r="BK1928" s="22"/>
      <c r="BL1928" s="22"/>
      <c r="BM1928" s="22"/>
      <c r="BN1928" s="22"/>
      <c r="BO1928" s="22"/>
      <c r="BP1928" s="22"/>
      <c r="BQ1928" s="22"/>
      <c r="BR1928" s="22"/>
      <c r="BS1928" s="22"/>
      <c r="BT1928" s="22"/>
      <c r="BU1928" s="22"/>
      <c r="BV1928" s="22"/>
      <c r="BW1928" s="22"/>
      <c r="BX1928" s="22"/>
      <c r="BY1928" s="22"/>
      <c r="BZ1928" s="22"/>
      <c r="CA1928" s="22"/>
      <c r="CB1928" s="22"/>
      <c r="CC1928" s="22"/>
      <c r="CD1928" s="22"/>
      <c r="CE1928" s="22"/>
      <c r="CF1928" s="22"/>
      <c r="CG1928" s="22"/>
      <c r="CH1928" s="22"/>
      <c r="CI1928" s="22"/>
      <c r="CJ1928" s="22"/>
    </row>
    <row r="1929" spans="1:88">
      <c r="A1929" s="1">
        <v>118</v>
      </c>
      <c r="B1929" s="4" t="s">
        <v>78</v>
      </c>
      <c r="C1929" s="14">
        <v>527</v>
      </c>
      <c r="D1929" s="19">
        <v>1249</v>
      </c>
      <c r="E1929" s="16">
        <v>100</v>
      </c>
      <c r="F1929" s="31" t="s">
        <v>84</v>
      </c>
      <c r="G1929" s="20">
        <v>0</v>
      </c>
      <c r="H1929" s="20">
        <v>36765</v>
      </c>
      <c r="I1929" s="21">
        <v>36.765000000000001</v>
      </c>
      <c r="J1929" s="8">
        <v>2</v>
      </c>
      <c r="K1929" s="9" t="s">
        <v>238</v>
      </c>
      <c r="L1929" s="18">
        <v>42242</v>
      </c>
      <c r="M1929" s="9" t="s">
        <v>191</v>
      </c>
      <c r="N1929" s="11">
        <v>10.44</v>
      </c>
      <c r="O1929" s="11">
        <v>10.91</v>
      </c>
      <c r="P1929" s="11">
        <v>7.71</v>
      </c>
      <c r="Q1929" s="11">
        <v>7.71</v>
      </c>
      <c r="R1929" s="11">
        <v>3.80843</v>
      </c>
      <c r="S1929" s="38">
        <f t="shared" si="255"/>
        <v>4</v>
      </c>
      <c r="T1929" s="11">
        <v>34.549999999999997</v>
      </c>
      <c r="U1929" s="11">
        <v>1.49</v>
      </c>
      <c r="V1929" s="11">
        <v>0.36</v>
      </c>
      <c r="W1929" s="11">
        <v>0.36</v>
      </c>
      <c r="X1929" s="11">
        <v>4.2810199999999998</v>
      </c>
      <c r="Y1929" s="38">
        <f t="shared" si="256"/>
        <v>4.5</v>
      </c>
      <c r="Z1929" s="11">
        <v>0</v>
      </c>
      <c r="AA1929" s="11">
        <v>0</v>
      </c>
      <c r="AB1929" s="11">
        <v>36.770000000000003</v>
      </c>
      <c r="AC1929" s="11">
        <v>1.3953199999999999</v>
      </c>
      <c r="AD1929" s="11">
        <v>0</v>
      </c>
      <c r="AE1929" s="11">
        <v>0.35</v>
      </c>
      <c r="AF1929" s="11">
        <f>(AD1929+AE1929*0.5)/(3.5*I1929*1000)*100</f>
        <v>1.359989120087039E-4</v>
      </c>
      <c r="AG1929" s="38">
        <f t="shared" si="257"/>
        <v>0</v>
      </c>
      <c r="AH1929" s="11">
        <v>12.32</v>
      </c>
      <c r="AI1929" s="11">
        <f>AH1929/(3.5*I1929*1000)*100</f>
        <v>9.5743234054127546E-3</v>
      </c>
      <c r="AJ1929" s="11">
        <v>10.36</v>
      </c>
      <c r="AK1929" s="11">
        <f>AJ1929/(3.5*I1929*1000)*100</f>
        <v>8.0511355909152708E-3</v>
      </c>
      <c r="AL1929" s="11">
        <v>0</v>
      </c>
      <c r="AM1929" s="11">
        <f t="shared" si="258"/>
        <v>0</v>
      </c>
      <c r="AN1929" s="22"/>
      <c r="AO1929" s="25"/>
      <c r="AP1929" s="25">
        <f>SUM(N1929:Q1929)</f>
        <v>36.770000000000003</v>
      </c>
      <c r="AQ1929" s="25">
        <f>SUM(T1929:W1929)</f>
        <v>36.76</v>
      </c>
      <c r="AR1929" s="25">
        <f>SUM(Z1929:AB1929)</f>
        <v>36.770000000000003</v>
      </c>
      <c r="AS1929" s="22"/>
      <c r="AT1929" s="22">
        <f>I1929/AP1929</f>
        <v>0.99986401958118021</v>
      </c>
      <c r="AU1929" s="22">
        <f>I1929/AQ1929</f>
        <v>1.0001360174102285</v>
      </c>
      <c r="AV1929" s="22">
        <f>I1929/AR1929</f>
        <v>0.99986401958118021</v>
      </c>
      <c r="AW1929" s="22"/>
      <c r="AX1929" s="22"/>
      <c r="AY1929" s="22"/>
      <c r="AZ1929" s="22"/>
      <c r="BA1929" s="22"/>
      <c r="BB1929" s="22"/>
      <c r="BC1929" s="22"/>
      <c r="BD1929" s="22"/>
      <c r="BE1929" s="22"/>
      <c r="BF1929" s="22"/>
      <c r="BG1929" s="22"/>
      <c r="BH1929" s="22"/>
      <c r="BI1929" s="22"/>
      <c r="BJ1929" s="22"/>
      <c r="BK1929" s="22"/>
      <c r="BL1929" s="22"/>
      <c r="BM1929" s="22"/>
      <c r="BN1929" s="22"/>
      <c r="BO1929" s="22"/>
      <c r="BP1929" s="22"/>
      <c r="BQ1929" s="22"/>
      <c r="BR1929" s="22"/>
      <c r="BS1929" s="22"/>
      <c r="BT1929" s="22"/>
      <c r="BU1929" s="22"/>
      <c r="BV1929" s="22"/>
      <c r="BW1929" s="22"/>
      <c r="BX1929" s="22"/>
      <c r="BY1929" s="22"/>
      <c r="BZ1929" s="22"/>
      <c r="CA1929" s="22"/>
      <c r="CB1929" s="22"/>
      <c r="CC1929" s="22"/>
      <c r="CD1929" s="22"/>
      <c r="CE1929" s="22"/>
      <c r="CF1929" s="22"/>
      <c r="CG1929" s="22"/>
      <c r="CH1929" s="22"/>
      <c r="CI1929" s="22"/>
      <c r="CJ1929" s="22"/>
    </row>
    <row r="1930" spans="1:88">
      <c r="A1930" s="1">
        <v>1847</v>
      </c>
      <c r="B1930" s="34" t="s">
        <v>2461</v>
      </c>
      <c r="C1930" s="34">
        <v>332</v>
      </c>
      <c r="D1930" s="75">
        <v>4001</v>
      </c>
      <c r="E1930" s="8">
        <v>100</v>
      </c>
      <c r="F1930" s="9" t="s">
        <v>2471</v>
      </c>
      <c r="G1930" s="20">
        <v>7135</v>
      </c>
      <c r="H1930" s="20">
        <v>1000</v>
      </c>
      <c r="I1930" s="21">
        <v>6.1349999999999998</v>
      </c>
      <c r="J1930" s="8">
        <v>6</v>
      </c>
      <c r="K1930" s="8" t="s">
        <v>1521</v>
      </c>
      <c r="L1930" s="18">
        <v>42101</v>
      </c>
      <c r="M1930" s="207" t="s">
        <v>191</v>
      </c>
      <c r="N1930" s="38">
        <v>4</v>
      </c>
      <c r="O1930" s="38">
        <v>1.2749999999999999</v>
      </c>
      <c r="P1930" s="38">
        <v>0.42499999999999999</v>
      </c>
      <c r="Q1930" s="38">
        <v>0.4</v>
      </c>
      <c r="R1930" s="38">
        <v>2.5440999999999998</v>
      </c>
      <c r="S1930" s="38">
        <f t="shared" si="255"/>
        <v>2.5</v>
      </c>
      <c r="T1930" s="38">
        <v>5.9</v>
      </c>
      <c r="U1930" s="38">
        <v>0.15</v>
      </c>
      <c r="V1930" s="38">
        <v>0.05</v>
      </c>
      <c r="W1930" s="38">
        <v>0</v>
      </c>
      <c r="X1930" s="38">
        <v>3.81385</v>
      </c>
      <c r="Y1930" s="38">
        <f t="shared" si="256"/>
        <v>4</v>
      </c>
      <c r="Z1930" s="38">
        <v>0</v>
      </c>
      <c r="AA1930" s="11">
        <v>0</v>
      </c>
      <c r="AB1930" s="38">
        <v>6.1000000000000005</v>
      </c>
      <c r="AC1930" s="38">
        <v>1.2998099999999999</v>
      </c>
      <c r="AD1930" s="38">
        <v>142.94999999999999</v>
      </c>
      <c r="AE1930" s="38">
        <v>22.67</v>
      </c>
      <c r="AF1930" s="38">
        <f t="shared" ref="AF1930:AF1935" si="259">(AD1930+AE1930*0.5)/(3.5*L1930*1000)*100</f>
        <v>1.0470399413654918E-4</v>
      </c>
      <c r="AG1930" s="38">
        <f t="shared" si="257"/>
        <v>0</v>
      </c>
      <c r="AH1930" s="38">
        <v>15.62</v>
      </c>
      <c r="AI1930" s="38">
        <v>7.2744207707532899E-2</v>
      </c>
      <c r="AJ1930" s="38">
        <v>0</v>
      </c>
      <c r="AK1930" s="38">
        <v>0</v>
      </c>
      <c r="AL1930" s="38">
        <v>2.1</v>
      </c>
      <c r="AM1930" s="38">
        <f t="shared" si="258"/>
        <v>9.7799511002444987E-3</v>
      </c>
      <c r="AN1930" s="73"/>
      <c r="AO1930" s="73"/>
      <c r="AP1930" s="73"/>
      <c r="AQ1930" s="73"/>
      <c r="AR1930" s="73"/>
      <c r="AS1930" s="73"/>
      <c r="AT1930" s="73"/>
      <c r="AU1930" s="73"/>
      <c r="AV1930" s="73"/>
      <c r="AW1930" s="73"/>
      <c r="AX1930" s="73"/>
      <c r="AY1930" s="73"/>
      <c r="AZ1930" s="73"/>
      <c r="BA1930" s="73"/>
      <c r="BB1930" s="22"/>
      <c r="BC1930" s="22"/>
      <c r="BD1930" s="22"/>
      <c r="BE1930" s="22"/>
      <c r="BF1930" s="22"/>
      <c r="BG1930" s="22"/>
      <c r="BH1930" s="22"/>
      <c r="BI1930" s="22"/>
      <c r="BJ1930" s="22"/>
      <c r="BK1930" s="22"/>
      <c r="BL1930" s="22"/>
      <c r="BM1930" s="22"/>
      <c r="BN1930" s="22"/>
      <c r="BO1930" s="22"/>
      <c r="BP1930" s="22"/>
      <c r="BQ1930" s="22"/>
      <c r="BR1930" s="22"/>
      <c r="BS1930" s="22"/>
      <c r="BT1930" s="22"/>
      <c r="BU1930" s="22"/>
      <c r="BV1930" s="22"/>
      <c r="BW1930" s="22"/>
      <c r="BX1930" s="22"/>
      <c r="BY1930" s="22"/>
      <c r="BZ1930" s="22"/>
      <c r="CA1930" s="22"/>
      <c r="CB1930" s="22"/>
      <c r="CC1930" s="22"/>
      <c r="CD1930" s="22"/>
      <c r="CE1930" s="22"/>
      <c r="CF1930" s="22"/>
      <c r="CG1930" s="22"/>
      <c r="CH1930" s="22"/>
      <c r="CI1930" s="22"/>
      <c r="CJ1930" s="22"/>
    </row>
    <row r="1931" spans="1:88">
      <c r="A1931" s="1">
        <v>1846</v>
      </c>
      <c r="B1931" s="34" t="s">
        <v>2461</v>
      </c>
      <c r="C1931" s="34">
        <v>332</v>
      </c>
      <c r="D1931" s="75">
        <v>4001</v>
      </c>
      <c r="E1931" s="8">
        <v>100</v>
      </c>
      <c r="F1931" s="9" t="s">
        <v>2471</v>
      </c>
      <c r="G1931" s="20">
        <v>1000</v>
      </c>
      <c r="H1931" s="20">
        <v>7135</v>
      </c>
      <c r="I1931" s="21">
        <v>6.1349999999999998</v>
      </c>
      <c r="J1931" s="8">
        <v>6</v>
      </c>
      <c r="K1931" s="8" t="s">
        <v>1520</v>
      </c>
      <c r="L1931" s="18">
        <v>42101</v>
      </c>
      <c r="M1931" s="207" t="s">
        <v>191</v>
      </c>
      <c r="N1931" s="38">
        <v>4.1500000000000004</v>
      </c>
      <c r="O1931" s="38">
        <v>1.075</v>
      </c>
      <c r="P1931" s="38">
        <v>0.52500000000000002</v>
      </c>
      <c r="Q1931" s="38">
        <v>0.42499999999999999</v>
      </c>
      <c r="R1931" s="38">
        <v>2.50745</v>
      </c>
      <c r="S1931" s="38">
        <f t="shared" si="255"/>
        <v>2.5</v>
      </c>
      <c r="T1931" s="38">
        <v>5.85</v>
      </c>
      <c r="U1931" s="38">
        <v>0.22500000000000001</v>
      </c>
      <c r="V1931" s="38">
        <v>2.5000000000000001E-2</v>
      </c>
      <c r="W1931" s="38">
        <v>7.4999999999999997E-2</v>
      </c>
      <c r="X1931" s="38">
        <v>4.1622199999999996</v>
      </c>
      <c r="Y1931" s="38">
        <f t="shared" si="256"/>
        <v>4</v>
      </c>
      <c r="Z1931" s="38">
        <v>0</v>
      </c>
      <c r="AA1931" s="11">
        <v>0</v>
      </c>
      <c r="AB1931" s="38">
        <v>6.1750000000000007</v>
      </c>
      <c r="AC1931" s="38">
        <v>1.1962699999999999</v>
      </c>
      <c r="AD1931" s="38">
        <v>129.63</v>
      </c>
      <c r="AE1931" s="38">
        <v>25.88</v>
      </c>
      <c r="AF1931" s="38">
        <f t="shared" si="259"/>
        <v>9.6753724886073272E-5</v>
      </c>
      <c r="AG1931" s="38">
        <f t="shared" si="257"/>
        <v>0</v>
      </c>
      <c r="AH1931" s="38">
        <v>2.68</v>
      </c>
      <c r="AI1931" s="38">
        <v>1.24810804517406E-2</v>
      </c>
      <c r="AJ1931" s="38">
        <v>0</v>
      </c>
      <c r="AK1931" s="38">
        <v>0</v>
      </c>
      <c r="AL1931" s="38">
        <v>1.2</v>
      </c>
      <c r="AM1931" s="38">
        <f t="shared" si="258"/>
        <v>5.588543485853999E-3</v>
      </c>
      <c r="AN1931" s="73"/>
      <c r="AO1931" s="73"/>
      <c r="AP1931" s="73"/>
      <c r="AQ1931" s="73"/>
      <c r="AR1931" s="73"/>
      <c r="AS1931" s="73"/>
      <c r="AT1931" s="73"/>
      <c r="AU1931" s="73"/>
      <c r="AV1931" s="73"/>
      <c r="AW1931" s="73"/>
      <c r="AX1931" s="73"/>
      <c r="AY1931" s="73"/>
      <c r="AZ1931" s="73"/>
      <c r="BA1931" s="73"/>
    </row>
    <row r="1932" spans="1:88">
      <c r="A1932" s="1">
        <v>1852</v>
      </c>
      <c r="B1932" s="34" t="s">
        <v>2461</v>
      </c>
      <c r="C1932" s="34">
        <v>332</v>
      </c>
      <c r="D1932" s="75">
        <v>4099</v>
      </c>
      <c r="E1932" s="8">
        <v>100</v>
      </c>
      <c r="F1932" s="9" t="s">
        <v>2480</v>
      </c>
      <c r="G1932" s="20" t="s">
        <v>2481</v>
      </c>
      <c r="H1932" s="20" t="s">
        <v>92</v>
      </c>
      <c r="I1932" s="21">
        <v>6.5</v>
      </c>
      <c r="J1932" s="8">
        <v>2</v>
      </c>
      <c r="K1932" s="8" t="s">
        <v>12</v>
      </c>
      <c r="L1932" s="18">
        <v>42100</v>
      </c>
      <c r="M1932" s="207" t="s">
        <v>191</v>
      </c>
      <c r="N1932" s="38">
        <v>2.8</v>
      </c>
      <c r="O1932" s="38">
        <v>2.15</v>
      </c>
      <c r="P1932" s="38">
        <v>1.1499999999999999</v>
      </c>
      <c r="Q1932" s="38">
        <v>0.5</v>
      </c>
      <c r="R1932" s="38">
        <v>3.02644</v>
      </c>
      <c r="S1932" s="38">
        <f t="shared" si="255"/>
        <v>3</v>
      </c>
      <c r="T1932" s="38">
        <v>6.55</v>
      </c>
      <c r="U1932" s="38">
        <v>2.5000000000000001E-2</v>
      </c>
      <c r="V1932" s="38">
        <v>2.5000000000000001E-2</v>
      </c>
      <c r="W1932" s="38">
        <v>0</v>
      </c>
      <c r="X1932" s="38">
        <v>2.10284</v>
      </c>
      <c r="Y1932" s="38">
        <f t="shared" si="256"/>
        <v>2</v>
      </c>
      <c r="Z1932" s="38">
        <v>0</v>
      </c>
      <c r="AA1932" s="11">
        <v>0</v>
      </c>
      <c r="AB1932" s="38">
        <v>6.6</v>
      </c>
      <c r="AC1932" s="38">
        <v>1.1637</v>
      </c>
      <c r="AD1932" s="38">
        <v>127.69</v>
      </c>
      <c r="AE1932" s="38">
        <v>8.34</v>
      </c>
      <c r="AF1932" s="38">
        <f t="shared" si="259"/>
        <v>8.948761452324397E-5</v>
      </c>
      <c r="AG1932" s="38">
        <f t="shared" si="257"/>
        <v>0</v>
      </c>
      <c r="AH1932" s="38">
        <v>46.17</v>
      </c>
      <c r="AI1932" s="38">
        <f>AH1932/(3.5*L1932*1000)*100</f>
        <v>3.1333559552086868E-5</v>
      </c>
      <c r="AJ1932" s="38">
        <v>0</v>
      </c>
      <c r="AK1932" s="38">
        <f>AJ1932/(3.5*L1932*1000)*100</f>
        <v>0</v>
      </c>
      <c r="AL1932" s="38">
        <v>0</v>
      </c>
      <c r="AM1932" s="38">
        <f t="shared" si="258"/>
        <v>0</v>
      </c>
      <c r="AN1932" s="73"/>
      <c r="AO1932" s="73"/>
      <c r="AP1932" s="73"/>
      <c r="AQ1932" s="73"/>
      <c r="AR1932" s="73"/>
      <c r="AS1932" s="73"/>
      <c r="AT1932" s="73"/>
      <c r="AU1932" s="73"/>
      <c r="AV1932" s="73"/>
      <c r="AW1932" s="73"/>
      <c r="AX1932" s="73"/>
      <c r="AY1932" s="73"/>
      <c r="AZ1932" s="73"/>
      <c r="BA1932" s="73"/>
      <c r="BB1932" s="22"/>
      <c r="BC1932" s="22"/>
      <c r="BD1932" s="22"/>
      <c r="BE1932" s="22"/>
      <c r="BF1932" s="22"/>
      <c r="BG1932" s="22"/>
      <c r="BH1932" s="22"/>
      <c r="BI1932" s="22"/>
      <c r="BJ1932" s="22"/>
      <c r="BK1932" s="22"/>
      <c r="BL1932" s="22"/>
      <c r="BM1932" s="22"/>
      <c r="BN1932" s="22"/>
      <c r="BO1932" s="22"/>
      <c r="BP1932" s="22"/>
      <c r="BQ1932" s="22"/>
      <c r="BR1932" s="22"/>
      <c r="BS1932" s="22"/>
      <c r="BT1932" s="22"/>
      <c r="BU1932" s="22"/>
      <c r="BV1932" s="22"/>
      <c r="BW1932" s="22"/>
      <c r="BX1932" s="22"/>
      <c r="BY1932" s="22"/>
      <c r="BZ1932" s="22"/>
      <c r="CA1932" s="22"/>
      <c r="CB1932" s="22"/>
      <c r="CC1932" s="22"/>
      <c r="CD1932" s="22"/>
      <c r="CE1932" s="22"/>
      <c r="CF1932" s="22"/>
      <c r="CG1932" s="22"/>
      <c r="CH1932" s="22"/>
      <c r="CI1932" s="22"/>
      <c r="CJ1932" s="22"/>
    </row>
    <row r="1933" spans="1:88">
      <c r="A1933" s="1">
        <v>1853</v>
      </c>
      <c r="B1933" s="34" t="s">
        <v>2461</v>
      </c>
      <c r="C1933" s="34">
        <v>332</v>
      </c>
      <c r="D1933" s="75">
        <v>4112</v>
      </c>
      <c r="E1933" s="8">
        <v>100</v>
      </c>
      <c r="F1933" s="9" t="s">
        <v>2482</v>
      </c>
      <c r="G1933" s="20">
        <v>13822</v>
      </c>
      <c r="H1933" s="20">
        <v>0</v>
      </c>
      <c r="I1933" s="21">
        <v>13.821999999999999</v>
      </c>
      <c r="J1933" s="8">
        <v>2</v>
      </c>
      <c r="K1933" s="8" t="s">
        <v>12</v>
      </c>
      <c r="L1933" s="18">
        <v>42100</v>
      </c>
      <c r="M1933" s="207" t="s">
        <v>191</v>
      </c>
      <c r="N1933" s="38">
        <v>8.7750000000000004</v>
      </c>
      <c r="O1933" s="38">
        <v>3.6</v>
      </c>
      <c r="P1933" s="38">
        <v>1</v>
      </c>
      <c r="Q1933" s="38">
        <v>0.45</v>
      </c>
      <c r="R1933" s="38">
        <v>2.6034700000000002</v>
      </c>
      <c r="S1933" s="38">
        <f t="shared" si="255"/>
        <v>2.5</v>
      </c>
      <c r="T1933" s="38">
        <v>13.725</v>
      </c>
      <c r="U1933" s="38">
        <v>0.1</v>
      </c>
      <c r="V1933" s="38">
        <v>0</v>
      </c>
      <c r="W1933" s="38">
        <v>0</v>
      </c>
      <c r="X1933" s="38">
        <v>1.5559700000000001</v>
      </c>
      <c r="Y1933" s="38">
        <f t="shared" si="256"/>
        <v>1.5</v>
      </c>
      <c r="Z1933" s="38">
        <v>0</v>
      </c>
      <c r="AA1933" s="11">
        <v>0</v>
      </c>
      <c r="AB1933" s="38">
        <v>13.824999999999999</v>
      </c>
      <c r="AC1933" s="38">
        <v>1.43442</v>
      </c>
      <c r="AD1933" s="38">
        <v>123.658</v>
      </c>
      <c r="AE1933" s="38">
        <v>9.4450000000000003</v>
      </c>
      <c r="AF1933" s="38">
        <f t="shared" si="259"/>
        <v>8.7126230064472348E-5</v>
      </c>
      <c r="AG1933" s="38">
        <f t="shared" si="257"/>
        <v>0</v>
      </c>
      <c r="AH1933" s="38">
        <v>97.24</v>
      </c>
      <c r="AI1933" s="38">
        <f>AH1933/(3.5*L1933*1000)*100</f>
        <v>6.5992534781133359E-5</v>
      </c>
      <c r="AJ1933" s="38">
        <v>1.9870000000000001</v>
      </c>
      <c r="AK1933" s="38">
        <f>AJ1933/(3.5*L1933*1000)*100</f>
        <v>1.348489989820156E-6</v>
      </c>
      <c r="AL1933" s="38">
        <v>0</v>
      </c>
      <c r="AM1933" s="38">
        <f t="shared" si="258"/>
        <v>0</v>
      </c>
      <c r="AN1933" s="73"/>
      <c r="AO1933" s="73"/>
      <c r="AP1933" s="73"/>
      <c r="AQ1933" s="73"/>
      <c r="AR1933" s="73"/>
      <c r="AS1933" s="73"/>
      <c r="AT1933" s="73"/>
      <c r="AU1933" s="73"/>
      <c r="AV1933" s="73"/>
      <c r="AW1933" s="73"/>
      <c r="AX1933" s="73"/>
      <c r="AY1933" s="73"/>
      <c r="AZ1933" s="73"/>
      <c r="BA1933" s="73"/>
      <c r="BB1933" s="22"/>
      <c r="BC1933" s="22"/>
      <c r="BD1933" s="22"/>
      <c r="BE1933" s="22"/>
      <c r="BF1933" s="22"/>
      <c r="BG1933" s="22"/>
      <c r="BH1933" s="22"/>
      <c r="BI1933" s="22"/>
      <c r="BJ1933" s="22"/>
      <c r="BK1933" s="22"/>
      <c r="BL1933" s="22"/>
      <c r="BM1933" s="22"/>
      <c r="BN1933" s="22"/>
      <c r="BO1933" s="22"/>
      <c r="BP1933" s="22"/>
      <c r="BQ1933" s="22"/>
      <c r="BR1933" s="22"/>
      <c r="BS1933" s="22"/>
      <c r="BT1933" s="22"/>
      <c r="BU1933" s="22"/>
      <c r="BV1933" s="22"/>
      <c r="BW1933" s="22"/>
      <c r="BX1933" s="22"/>
      <c r="BY1933" s="22"/>
      <c r="BZ1933" s="22"/>
      <c r="CA1933" s="22"/>
      <c r="CB1933" s="22"/>
      <c r="CC1933" s="22"/>
      <c r="CD1933" s="22"/>
      <c r="CE1933" s="22"/>
      <c r="CF1933" s="22"/>
      <c r="CG1933" s="22"/>
      <c r="CH1933" s="22"/>
      <c r="CI1933" s="22"/>
      <c r="CJ1933" s="22"/>
    </row>
    <row r="1934" spans="1:88">
      <c r="A1934" s="1">
        <v>1855</v>
      </c>
      <c r="B1934" s="34" t="s">
        <v>2461</v>
      </c>
      <c r="C1934" s="34">
        <v>332</v>
      </c>
      <c r="D1934" s="75">
        <v>4134</v>
      </c>
      <c r="E1934" s="8">
        <v>100</v>
      </c>
      <c r="F1934" s="9" t="s">
        <v>2484</v>
      </c>
      <c r="G1934" s="20" t="s">
        <v>2366</v>
      </c>
      <c r="H1934" s="20" t="s">
        <v>92</v>
      </c>
      <c r="I1934" s="21">
        <v>21.5</v>
      </c>
      <c r="J1934" s="8">
        <v>2</v>
      </c>
      <c r="K1934" s="8" t="s">
        <v>12</v>
      </c>
      <c r="L1934" s="18">
        <v>42100</v>
      </c>
      <c r="M1934" s="207" t="s">
        <v>191</v>
      </c>
      <c r="N1934" s="38">
        <v>9.1750000000000007</v>
      </c>
      <c r="O1934" s="38">
        <v>6.3250000000000002</v>
      </c>
      <c r="P1934" s="38">
        <v>4.2249999999999996</v>
      </c>
      <c r="Q1934" s="38">
        <v>1.9750000000000001</v>
      </c>
      <c r="R1934" s="38">
        <v>3.1061100000000001</v>
      </c>
      <c r="S1934" s="38">
        <f t="shared" si="255"/>
        <v>3</v>
      </c>
      <c r="T1934" s="38">
        <v>20.274999999999999</v>
      </c>
      <c r="U1934" s="38">
        <v>1.05</v>
      </c>
      <c r="V1934" s="38">
        <v>0.25</v>
      </c>
      <c r="W1934" s="38">
        <v>0.125</v>
      </c>
      <c r="X1934" s="38">
        <v>3.9953099999999999</v>
      </c>
      <c r="Y1934" s="38">
        <f t="shared" si="256"/>
        <v>4</v>
      </c>
      <c r="Z1934" s="38">
        <v>0</v>
      </c>
      <c r="AA1934" s="11">
        <v>0</v>
      </c>
      <c r="AB1934" s="38">
        <v>21.700000000000003</v>
      </c>
      <c r="AC1934" s="38">
        <v>1.2194400000000001</v>
      </c>
      <c r="AD1934" s="38">
        <v>96.74</v>
      </c>
      <c r="AE1934" s="38">
        <v>58.26</v>
      </c>
      <c r="AF1934" s="38">
        <f t="shared" si="259"/>
        <v>8.5422463522225983E-5</v>
      </c>
      <c r="AG1934" s="38">
        <f t="shared" si="257"/>
        <v>0</v>
      </c>
      <c r="AH1934" s="38">
        <v>1.03</v>
      </c>
      <c r="AI1934" s="38">
        <v>1.3687707641196014E-3</v>
      </c>
      <c r="AJ1934" s="38">
        <v>5.2</v>
      </c>
      <c r="AK1934" s="38">
        <v>6.9102990033222591E-3</v>
      </c>
      <c r="AL1934" s="38">
        <v>1.36</v>
      </c>
      <c r="AM1934" s="38">
        <f t="shared" si="258"/>
        <v>1.807308970099668E-3</v>
      </c>
      <c r="AN1934" s="73"/>
      <c r="AO1934" s="73"/>
      <c r="AP1934" s="73"/>
      <c r="AQ1934" s="73"/>
      <c r="AR1934" s="73"/>
      <c r="AS1934" s="73"/>
      <c r="AT1934" s="73"/>
      <c r="AU1934" s="73"/>
      <c r="AV1934" s="73"/>
      <c r="AW1934" s="73"/>
      <c r="AX1934" s="73"/>
      <c r="AY1934" s="73"/>
      <c r="AZ1934" s="73"/>
      <c r="BA1934" s="73"/>
      <c r="BB1934" s="22"/>
      <c r="BC1934" s="22"/>
      <c r="BD1934" s="22"/>
      <c r="BE1934" s="22"/>
      <c r="BF1934" s="22"/>
      <c r="BG1934" s="22"/>
      <c r="BH1934" s="22"/>
      <c r="BI1934" s="22"/>
      <c r="BJ1934" s="22"/>
      <c r="BK1934" s="22"/>
      <c r="BL1934" s="22"/>
      <c r="BM1934" s="22"/>
      <c r="BN1934" s="22"/>
      <c r="BO1934" s="22"/>
      <c r="BP1934" s="22"/>
      <c r="BQ1934" s="22"/>
      <c r="BR1934" s="22"/>
      <c r="BS1934" s="22"/>
      <c r="BT1934" s="22"/>
      <c r="BU1934" s="22"/>
      <c r="BV1934" s="22"/>
      <c r="BW1934" s="22"/>
      <c r="BX1934" s="22"/>
      <c r="BY1934" s="22"/>
      <c r="BZ1934" s="22"/>
      <c r="CA1934" s="22"/>
      <c r="CB1934" s="22"/>
      <c r="CC1934" s="22"/>
      <c r="CD1934" s="22"/>
      <c r="CE1934" s="22"/>
      <c r="CF1934" s="22"/>
      <c r="CG1934" s="22"/>
      <c r="CH1934" s="22"/>
      <c r="CI1934" s="22"/>
      <c r="CJ1934" s="22"/>
    </row>
    <row r="1935" spans="1:88">
      <c r="A1935" s="1">
        <v>1848</v>
      </c>
      <c r="B1935" s="34" t="s">
        <v>2461</v>
      </c>
      <c r="C1935" s="34">
        <v>332</v>
      </c>
      <c r="D1935" s="75">
        <v>4003</v>
      </c>
      <c r="E1935" s="8">
        <v>100</v>
      </c>
      <c r="F1935" s="9" t="s">
        <v>2472</v>
      </c>
      <c r="G1935" s="20" t="s">
        <v>92</v>
      </c>
      <c r="H1935" s="20" t="s">
        <v>2473</v>
      </c>
      <c r="I1935" s="21">
        <v>7.5830000000000002</v>
      </c>
      <c r="J1935" s="8">
        <v>2</v>
      </c>
      <c r="K1935" s="8" t="s">
        <v>237</v>
      </c>
      <c r="L1935" s="18">
        <v>42100</v>
      </c>
      <c r="M1935" s="207" t="s">
        <v>191</v>
      </c>
      <c r="N1935" s="38">
        <v>4.9749999999999996</v>
      </c>
      <c r="O1935" s="38">
        <v>1.7</v>
      </c>
      <c r="P1935" s="38">
        <v>0.67500000000000004</v>
      </c>
      <c r="Q1935" s="38">
        <v>0.22500000000000001</v>
      </c>
      <c r="R1935" s="38">
        <v>2.4978500000000001</v>
      </c>
      <c r="S1935" s="38">
        <f t="shared" si="255"/>
        <v>2.5</v>
      </c>
      <c r="T1935" s="38">
        <v>7.3250000000000002</v>
      </c>
      <c r="U1935" s="38">
        <v>0.25</v>
      </c>
      <c r="V1935" s="38">
        <v>0</v>
      </c>
      <c r="W1935" s="38">
        <v>0</v>
      </c>
      <c r="X1935" s="38">
        <v>4.1524799999999997</v>
      </c>
      <c r="Y1935" s="38">
        <f t="shared" si="256"/>
        <v>4</v>
      </c>
      <c r="Z1935" s="38">
        <v>0</v>
      </c>
      <c r="AA1935" s="11">
        <v>0</v>
      </c>
      <c r="AB1935" s="38">
        <v>7.5749999999999993</v>
      </c>
      <c r="AC1935" s="38">
        <v>1.2412300000000001</v>
      </c>
      <c r="AD1935" s="38">
        <v>102.94</v>
      </c>
      <c r="AE1935" s="38">
        <v>22.36</v>
      </c>
      <c r="AF1935" s="38">
        <f t="shared" si="259"/>
        <v>7.7448252460128955E-5</v>
      </c>
      <c r="AG1935" s="38">
        <f t="shared" si="257"/>
        <v>0</v>
      </c>
      <c r="AH1935" s="38">
        <v>63.58</v>
      </c>
      <c r="AI1935" s="38">
        <f>AH1935/(3.5*L1935*1000)*100</f>
        <v>4.3148965049202579E-5</v>
      </c>
      <c r="AJ1935" s="38">
        <v>3.2</v>
      </c>
      <c r="AK1935" s="38">
        <f>AJ1935/(3.5*L1935*1000)*100</f>
        <v>2.1717000339328132E-6</v>
      </c>
      <c r="AL1935" s="38">
        <v>0</v>
      </c>
      <c r="AM1935" s="38">
        <f t="shared" si="258"/>
        <v>0</v>
      </c>
      <c r="AN1935" s="73"/>
      <c r="AO1935" s="73"/>
      <c r="AP1935" s="73"/>
      <c r="AQ1935" s="73"/>
      <c r="AR1935" s="73"/>
      <c r="AS1935" s="73"/>
      <c r="AT1935" s="73"/>
      <c r="AU1935" s="73"/>
      <c r="AV1935" s="73"/>
      <c r="AW1935" s="73"/>
      <c r="AX1935" s="73"/>
      <c r="AY1935" s="73"/>
      <c r="AZ1935" s="73"/>
      <c r="BA1935" s="73"/>
      <c r="BB1935" s="22"/>
      <c r="BC1935" s="22"/>
      <c r="BD1935" s="22"/>
      <c r="BE1935" s="22"/>
      <c r="BF1935" s="22"/>
      <c r="BG1935" s="22"/>
      <c r="BH1935" s="22"/>
      <c r="BI1935" s="22"/>
      <c r="BJ1935" s="22"/>
      <c r="BK1935" s="22"/>
      <c r="BL1935" s="22"/>
      <c r="BM1935" s="22"/>
      <c r="BN1935" s="22"/>
      <c r="BO1935" s="22"/>
      <c r="BP1935" s="22"/>
      <c r="BQ1935" s="22"/>
      <c r="BR1935" s="22"/>
      <c r="BS1935" s="22"/>
      <c r="BT1935" s="22"/>
      <c r="BU1935" s="22"/>
      <c r="BV1935" s="22"/>
      <c r="BW1935" s="22"/>
      <c r="BX1935" s="22"/>
      <c r="BY1935" s="22"/>
      <c r="BZ1935" s="22"/>
      <c r="CA1935" s="22"/>
      <c r="CB1935" s="22"/>
      <c r="CC1935" s="22"/>
      <c r="CD1935" s="22"/>
      <c r="CE1935" s="22"/>
      <c r="CF1935" s="22"/>
      <c r="CG1935" s="22"/>
      <c r="CH1935" s="22"/>
      <c r="CI1935" s="22"/>
      <c r="CJ1935" s="22"/>
    </row>
    <row r="1936" spans="1:88">
      <c r="A1936" s="1">
        <v>488</v>
      </c>
      <c r="B1936" s="34" t="s">
        <v>821</v>
      </c>
      <c r="C1936" s="34">
        <v>519</v>
      </c>
      <c r="D1936" s="34">
        <v>115</v>
      </c>
      <c r="E1936" s="34">
        <v>302</v>
      </c>
      <c r="F1936" s="34" t="s">
        <v>833</v>
      </c>
      <c r="G1936" s="34" t="s">
        <v>834</v>
      </c>
      <c r="H1936" s="34" t="s">
        <v>832</v>
      </c>
      <c r="I1936" s="55">
        <v>15.95</v>
      </c>
      <c r="J1936" s="34" t="s">
        <v>96</v>
      </c>
      <c r="K1936" s="34">
        <v>4</v>
      </c>
      <c r="L1936" s="10">
        <v>42276</v>
      </c>
      <c r="M1936" s="9" t="s">
        <v>191</v>
      </c>
      <c r="N1936" s="38">
        <v>6.68</v>
      </c>
      <c r="O1936" s="38">
        <v>5.64</v>
      </c>
      <c r="P1936" s="38">
        <v>2.4900000000000002</v>
      </c>
      <c r="Q1936" s="38">
        <v>1.1399999999999999</v>
      </c>
      <c r="R1936" s="38">
        <v>2.9097900000000001</v>
      </c>
      <c r="S1936" s="38">
        <f t="shared" si="255"/>
        <v>3</v>
      </c>
      <c r="T1936" s="38">
        <v>14.09</v>
      </c>
      <c r="U1936" s="38">
        <v>1.47</v>
      </c>
      <c r="V1936" s="38">
        <v>0.35</v>
      </c>
      <c r="W1936" s="38">
        <v>0.03</v>
      </c>
      <c r="X1936" s="38">
        <v>5.2833699999999997</v>
      </c>
      <c r="Y1936" s="38">
        <f t="shared" si="256"/>
        <v>5.5</v>
      </c>
      <c r="Z1936" s="117">
        <v>0</v>
      </c>
      <c r="AA1936" s="117">
        <v>0</v>
      </c>
      <c r="AB1936" s="38">
        <v>15.95</v>
      </c>
      <c r="AC1936" s="38">
        <v>1.3789899999999999</v>
      </c>
      <c r="AD1936" s="38">
        <v>93.21</v>
      </c>
      <c r="AE1936" s="38">
        <v>16.512</v>
      </c>
      <c r="AF1936" s="38">
        <f>(AD1936+AE1936)/(3.5*L1936*1000)*100</f>
        <v>7.4153521754997761E-5</v>
      </c>
      <c r="AG1936" s="38">
        <f t="shared" si="257"/>
        <v>0</v>
      </c>
      <c r="AH1936" s="38">
        <v>95.344999999999999</v>
      </c>
      <c r="AI1936" s="38">
        <f>AH1936/(3.5*L1936*1000)*100</f>
        <v>6.4437100414960194E-5</v>
      </c>
      <c r="AJ1936" s="38">
        <v>0</v>
      </c>
      <c r="AK1936" s="38">
        <v>0</v>
      </c>
      <c r="AL1936" s="38">
        <v>0</v>
      </c>
      <c r="AM1936" s="38">
        <v>0</v>
      </c>
      <c r="AN1936" s="41"/>
      <c r="AO1936" s="41"/>
      <c r="AP1936" s="41"/>
      <c r="AQ1936" s="41">
        <f>SUM(N1936:Q1936)</f>
        <v>15.950000000000001</v>
      </c>
      <c r="AR1936" s="41">
        <f>SUM(T1936:W1936)</f>
        <v>15.94</v>
      </c>
      <c r="AS1936" s="41">
        <f>SUM(Z1936:AB1936)</f>
        <v>15.95</v>
      </c>
      <c r="AT1936" s="22"/>
      <c r="AU1936" s="22">
        <f>I1936/AQ1936</f>
        <v>0.99999999999999989</v>
      </c>
      <c r="AV1936" s="22">
        <f>I1936/AR1936</f>
        <v>1.0006273525721456</v>
      </c>
      <c r="AW1936" s="22">
        <f>I1936/AS1936</f>
        <v>1</v>
      </c>
      <c r="AX1936" s="22"/>
      <c r="AY1936" s="22"/>
      <c r="AZ1936" s="22"/>
      <c r="BA1936" s="22"/>
      <c r="BB1936" s="22"/>
      <c r="BC1936" s="22"/>
      <c r="BD1936" s="22"/>
      <c r="BE1936" s="22"/>
      <c r="BF1936" s="22"/>
      <c r="BG1936" s="22"/>
      <c r="BH1936" s="22"/>
      <c r="BI1936" s="22"/>
      <c r="BJ1936" s="22"/>
      <c r="BK1936" s="22"/>
      <c r="BL1936" s="22"/>
      <c r="BM1936" s="22"/>
      <c r="BN1936" s="22"/>
      <c r="BO1936" s="22"/>
      <c r="BP1936" s="22"/>
      <c r="BQ1936" s="22"/>
      <c r="BR1936" s="22"/>
      <c r="BS1936" s="22"/>
      <c r="BT1936" s="22"/>
      <c r="BU1936" s="22"/>
      <c r="BV1936" s="22"/>
      <c r="BW1936" s="22"/>
      <c r="BX1936" s="22"/>
      <c r="BY1936" s="22"/>
      <c r="BZ1936" s="22"/>
      <c r="CA1936" s="22"/>
      <c r="CB1936" s="22"/>
      <c r="CC1936" s="22"/>
      <c r="CD1936" s="22"/>
      <c r="CE1936" s="22"/>
      <c r="CF1936" s="22"/>
      <c r="CG1936" s="22"/>
      <c r="CH1936" s="22"/>
      <c r="CI1936" s="22"/>
      <c r="CJ1936" s="22"/>
    </row>
    <row r="1937" spans="1:88" s="22" customFormat="1">
      <c r="A1937" s="1">
        <v>1844</v>
      </c>
      <c r="B1937" s="34" t="s">
        <v>2461</v>
      </c>
      <c r="C1937" s="34">
        <v>332</v>
      </c>
      <c r="D1937" s="75">
        <v>3253</v>
      </c>
      <c r="E1937" s="8">
        <v>100</v>
      </c>
      <c r="F1937" s="9" t="s">
        <v>2466</v>
      </c>
      <c r="G1937" s="20" t="s">
        <v>2468</v>
      </c>
      <c r="H1937" s="20" t="s">
        <v>2469</v>
      </c>
      <c r="I1937" s="21">
        <v>34.908000000000001</v>
      </c>
      <c r="J1937" s="8">
        <v>2</v>
      </c>
      <c r="K1937" s="8" t="s">
        <v>238</v>
      </c>
      <c r="L1937" s="18">
        <v>42101</v>
      </c>
      <c r="M1937" s="207" t="s">
        <v>191</v>
      </c>
      <c r="N1937" s="38">
        <v>31.225000000000001</v>
      </c>
      <c r="O1937" s="38">
        <v>3.6749999999999998</v>
      </c>
      <c r="P1937" s="38">
        <v>0</v>
      </c>
      <c r="Q1937" s="38">
        <v>0</v>
      </c>
      <c r="R1937" s="38">
        <v>2.45214</v>
      </c>
      <c r="S1937" s="38">
        <f t="shared" si="255"/>
        <v>2.5</v>
      </c>
      <c r="T1937" s="38">
        <v>34.9</v>
      </c>
      <c r="U1937" s="38">
        <v>0</v>
      </c>
      <c r="V1937" s="38">
        <v>0</v>
      </c>
      <c r="W1937" s="38">
        <v>0</v>
      </c>
      <c r="X1937" s="38">
        <v>2.1442600000000001</v>
      </c>
      <c r="Y1937" s="38">
        <f t="shared" si="256"/>
        <v>2</v>
      </c>
      <c r="Z1937" s="38">
        <v>0</v>
      </c>
      <c r="AA1937" s="11">
        <v>0</v>
      </c>
      <c r="AB1937" s="38">
        <v>34.9</v>
      </c>
      <c r="AC1937" s="38">
        <v>1.1244799999999999</v>
      </c>
      <c r="AD1937" s="38">
        <v>35.31</v>
      </c>
      <c r="AE1937" s="38">
        <v>130.321</v>
      </c>
      <c r="AF1937" s="38">
        <f t="shared" ref="AF1937:AF1942" si="260">(AD1937+AE1937*0.5)/(3.5*L1937*1000)*100</f>
        <v>6.8183314274856038E-5</v>
      </c>
      <c r="AG1937" s="38">
        <f t="shared" si="257"/>
        <v>0</v>
      </c>
      <c r="AH1937" s="38">
        <v>50.320999999999998</v>
      </c>
      <c r="AI1937" s="38">
        <f>AH1937/(3.5*L1937*1000)*100</f>
        <v>3.4149850529508965E-5</v>
      </c>
      <c r="AJ1937" s="38">
        <v>10.5</v>
      </c>
      <c r="AK1937" s="38">
        <f>AJ1937/(3.5*L1937*1000)*100</f>
        <v>7.1257214792997784E-6</v>
      </c>
      <c r="AL1937" s="38">
        <v>0</v>
      </c>
      <c r="AM1937" s="38">
        <f t="shared" ref="AM1937:AM1957" si="261">AL1937/(3.5*I1937*1000)*100</f>
        <v>0</v>
      </c>
      <c r="AN1937" s="73"/>
      <c r="AO1937" s="73"/>
      <c r="AP1937" s="73"/>
      <c r="AQ1937" s="73"/>
      <c r="AR1937" s="73"/>
      <c r="AS1937" s="73"/>
      <c r="AT1937" s="73"/>
      <c r="AU1937" s="73"/>
      <c r="AV1937" s="73"/>
      <c r="AW1937" s="73"/>
      <c r="AX1937" s="73"/>
      <c r="AY1937" s="73"/>
      <c r="AZ1937" s="73"/>
      <c r="BA1937" s="73"/>
    </row>
    <row r="1938" spans="1:88" s="22" customFormat="1">
      <c r="A1938" s="1">
        <v>1851</v>
      </c>
      <c r="B1938" s="34" t="s">
        <v>2461</v>
      </c>
      <c r="C1938" s="34">
        <v>332</v>
      </c>
      <c r="D1938" s="75">
        <v>4091</v>
      </c>
      <c r="E1938" s="8">
        <v>200</v>
      </c>
      <c r="F1938" s="9" t="s">
        <v>2477</v>
      </c>
      <c r="G1938" s="20" t="s">
        <v>2478</v>
      </c>
      <c r="H1938" s="20" t="s">
        <v>2479</v>
      </c>
      <c r="I1938" s="21">
        <v>1.29</v>
      </c>
      <c r="J1938" s="8">
        <v>6</v>
      </c>
      <c r="K1938" s="8" t="s">
        <v>1521</v>
      </c>
      <c r="L1938" s="18">
        <v>42100</v>
      </c>
      <c r="M1938" s="207" t="s">
        <v>191</v>
      </c>
      <c r="N1938" s="38">
        <v>0.45</v>
      </c>
      <c r="O1938" s="38">
        <v>0.5</v>
      </c>
      <c r="P1938" s="38">
        <v>0.32500000000000001</v>
      </c>
      <c r="Q1938" s="38">
        <v>0.3</v>
      </c>
      <c r="R1938" s="38">
        <v>3.8469799999999998</v>
      </c>
      <c r="S1938" s="38">
        <f t="shared" si="255"/>
        <v>4</v>
      </c>
      <c r="T1938" s="38">
        <v>1.325</v>
      </c>
      <c r="U1938" s="38">
        <v>0.125</v>
      </c>
      <c r="V1938" s="38">
        <v>0.05</v>
      </c>
      <c r="W1938" s="38">
        <v>7.4999999999999997E-2</v>
      </c>
      <c r="X1938" s="38">
        <v>5.9734600000000002</v>
      </c>
      <c r="Y1938" s="38">
        <f t="shared" si="256"/>
        <v>6</v>
      </c>
      <c r="Z1938" s="38">
        <v>0</v>
      </c>
      <c r="AA1938" s="11">
        <v>0</v>
      </c>
      <c r="AB1938" s="38">
        <v>1.575</v>
      </c>
      <c r="AC1938" s="38">
        <v>1.37365</v>
      </c>
      <c r="AD1938" s="38">
        <v>68.335999999999999</v>
      </c>
      <c r="AE1938" s="38">
        <v>42.93</v>
      </c>
      <c r="AF1938" s="38">
        <f t="shared" si="260"/>
        <v>6.0944010858500166E-5</v>
      </c>
      <c r="AG1938" s="38">
        <f t="shared" si="257"/>
        <v>0</v>
      </c>
      <c r="AH1938" s="38">
        <v>0</v>
      </c>
      <c r="AI1938" s="38">
        <f>AH1938/(3.5*L1938*1000)*100</f>
        <v>0</v>
      </c>
      <c r="AJ1938" s="38">
        <v>0</v>
      </c>
      <c r="AK1938" s="38">
        <f>AJ1938/(3.5*L1938*1000)*100</f>
        <v>0</v>
      </c>
      <c r="AL1938" s="38">
        <v>0</v>
      </c>
      <c r="AM1938" s="38">
        <f t="shared" si="261"/>
        <v>0</v>
      </c>
      <c r="AN1938" s="73"/>
      <c r="AO1938" s="73"/>
      <c r="AP1938" s="73"/>
      <c r="AQ1938" s="73"/>
      <c r="AR1938" s="73"/>
      <c r="AS1938" s="73"/>
      <c r="AT1938" s="73"/>
      <c r="AU1938" s="73"/>
      <c r="AV1938" s="73"/>
      <c r="AW1938" s="73"/>
      <c r="AX1938" s="73"/>
      <c r="AY1938" s="73"/>
      <c r="AZ1938" s="73"/>
      <c r="BA1938" s="73"/>
    </row>
    <row r="1939" spans="1:88">
      <c r="A1939" s="1">
        <v>1854</v>
      </c>
      <c r="B1939" s="34" t="s">
        <v>2461</v>
      </c>
      <c r="C1939" s="34">
        <v>332</v>
      </c>
      <c r="D1939" s="75">
        <v>4119</v>
      </c>
      <c r="E1939" s="8">
        <v>100</v>
      </c>
      <c r="F1939" s="9" t="s">
        <v>2483</v>
      </c>
      <c r="G1939" s="20">
        <v>0</v>
      </c>
      <c r="H1939" s="20">
        <v>6665</v>
      </c>
      <c r="I1939" s="21">
        <v>6.665</v>
      </c>
      <c r="J1939" s="8">
        <v>2</v>
      </c>
      <c r="K1939" s="8" t="s">
        <v>238</v>
      </c>
      <c r="L1939" s="18">
        <v>42101</v>
      </c>
      <c r="M1939" s="207" t="s">
        <v>191</v>
      </c>
      <c r="N1939" s="38">
        <v>5.0999999999999996</v>
      </c>
      <c r="O1939" s="38">
        <v>0.82499999999999996</v>
      </c>
      <c r="P1939" s="38">
        <v>0.52500000000000002</v>
      </c>
      <c r="Q1939" s="38">
        <v>0.2</v>
      </c>
      <c r="R1939" s="38">
        <v>2.15327</v>
      </c>
      <c r="S1939" s="38">
        <f t="shared" si="255"/>
        <v>2</v>
      </c>
      <c r="T1939" s="38">
        <v>6.55</v>
      </c>
      <c r="U1939" s="38">
        <v>0.1</v>
      </c>
      <c r="V1939" s="38">
        <v>0</v>
      </c>
      <c r="W1939" s="38">
        <v>0</v>
      </c>
      <c r="X1939" s="38">
        <v>3.3434400000000002</v>
      </c>
      <c r="Y1939" s="38">
        <f t="shared" si="256"/>
        <v>3.5</v>
      </c>
      <c r="Z1939" s="38">
        <v>0</v>
      </c>
      <c r="AA1939" s="11">
        <v>0</v>
      </c>
      <c r="AB1939" s="38">
        <v>6.65</v>
      </c>
      <c r="AC1939" s="38">
        <v>1.3152900000000001</v>
      </c>
      <c r="AD1939" s="38">
        <v>28.61</v>
      </c>
      <c r="AE1939" s="38">
        <v>11.36</v>
      </c>
      <c r="AF1939" s="38">
        <f t="shared" si="260"/>
        <v>2.327057043097042E-5</v>
      </c>
      <c r="AG1939" s="38">
        <f t="shared" si="257"/>
        <v>0</v>
      </c>
      <c r="AH1939" s="38">
        <v>0</v>
      </c>
      <c r="AI1939" s="38">
        <v>0</v>
      </c>
      <c r="AJ1939" s="38">
        <v>0</v>
      </c>
      <c r="AK1939" s="38">
        <v>0</v>
      </c>
      <c r="AL1939" s="38">
        <v>0</v>
      </c>
      <c r="AM1939" s="38">
        <f t="shared" si="261"/>
        <v>0</v>
      </c>
      <c r="AN1939" s="73"/>
      <c r="AO1939" s="73"/>
      <c r="AP1939" s="73"/>
      <c r="AQ1939" s="73"/>
      <c r="AR1939" s="73"/>
      <c r="AS1939" s="73"/>
      <c r="AT1939" s="73"/>
      <c r="AU1939" s="73"/>
      <c r="AV1939" s="73"/>
      <c r="AW1939" s="73"/>
      <c r="AX1939" s="73"/>
      <c r="AY1939" s="73"/>
      <c r="AZ1939" s="73"/>
      <c r="BA1939" s="73"/>
      <c r="BB1939" s="22"/>
      <c r="BC1939" s="22"/>
      <c r="BD1939" s="22"/>
      <c r="BE1939" s="22"/>
      <c r="BF1939" s="22"/>
      <c r="BG1939" s="22"/>
      <c r="BH1939" s="22"/>
      <c r="BI1939" s="22"/>
      <c r="BJ1939" s="22"/>
      <c r="BK1939" s="22"/>
      <c r="BL1939" s="22"/>
      <c r="BM1939" s="22"/>
      <c r="BN1939" s="22"/>
      <c r="BO1939" s="22"/>
      <c r="BP1939" s="22"/>
      <c r="BQ1939" s="22"/>
      <c r="BR1939" s="22"/>
      <c r="BS1939" s="22"/>
      <c r="BT1939" s="22"/>
      <c r="BU1939" s="22"/>
      <c r="BV1939" s="22"/>
      <c r="BW1939" s="22"/>
      <c r="BX1939" s="22"/>
      <c r="BY1939" s="22"/>
      <c r="BZ1939" s="22"/>
      <c r="CA1939" s="22"/>
      <c r="CB1939" s="22"/>
      <c r="CC1939" s="22"/>
      <c r="CD1939" s="22"/>
      <c r="CE1939" s="22"/>
      <c r="CF1939" s="22"/>
      <c r="CG1939" s="22"/>
      <c r="CH1939" s="22"/>
      <c r="CI1939" s="22"/>
      <c r="CJ1939" s="22"/>
    </row>
    <row r="1940" spans="1:88">
      <c r="A1940" s="1">
        <v>2219</v>
      </c>
      <c r="B1940" s="34" t="s">
        <v>2853</v>
      </c>
      <c r="C1940" s="34">
        <v>318</v>
      </c>
      <c r="D1940" s="75">
        <v>4052</v>
      </c>
      <c r="E1940" s="8">
        <v>100</v>
      </c>
      <c r="F1940" s="9" t="s">
        <v>2863</v>
      </c>
      <c r="G1940" s="20" t="s">
        <v>2864</v>
      </c>
      <c r="H1940" s="20" t="s">
        <v>2865</v>
      </c>
      <c r="I1940" s="21">
        <v>9.0649999999999995</v>
      </c>
      <c r="J1940" s="8">
        <v>2</v>
      </c>
      <c r="K1940" s="8" t="s">
        <v>238</v>
      </c>
      <c r="L1940" s="18">
        <v>42150</v>
      </c>
      <c r="M1940" s="9" t="s">
        <v>191</v>
      </c>
      <c r="N1940" s="38">
        <v>5.5</v>
      </c>
      <c r="O1940" s="38">
        <v>1.7749999999999999</v>
      </c>
      <c r="P1940" s="38">
        <v>1.425</v>
      </c>
      <c r="Q1940" s="38">
        <v>0.32500000000000001</v>
      </c>
      <c r="R1940" s="38">
        <v>2.5897199999999998</v>
      </c>
      <c r="S1940" s="38">
        <f t="shared" si="255"/>
        <v>2.5</v>
      </c>
      <c r="T1940" s="38">
        <v>8.375</v>
      </c>
      <c r="U1940" s="38">
        <v>0.625</v>
      </c>
      <c r="V1940" s="38">
        <v>2.5000000000000001E-2</v>
      </c>
      <c r="W1940" s="38">
        <v>0</v>
      </c>
      <c r="X1940" s="38">
        <v>4.18832</v>
      </c>
      <c r="Y1940" s="38">
        <f t="shared" si="256"/>
        <v>4</v>
      </c>
      <c r="Z1940" s="38">
        <v>0</v>
      </c>
      <c r="AA1940" s="38">
        <v>0</v>
      </c>
      <c r="AB1940" s="38">
        <v>9.0250000000000004</v>
      </c>
      <c r="AC1940" s="38">
        <v>1.03586</v>
      </c>
      <c r="AD1940" s="38">
        <v>22.74</v>
      </c>
      <c r="AE1940" s="38">
        <v>7</v>
      </c>
      <c r="AF1940" s="38">
        <f t="shared" si="260"/>
        <v>1.7786815793933229E-5</v>
      </c>
      <c r="AG1940" s="38">
        <f t="shared" si="257"/>
        <v>0</v>
      </c>
      <c r="AH1940" s="38">
        <v>0</v>
      </c>
      <c r="AI1940" s="38">
        <f>AH1940/(3.5*L1940*1000)*100</f>
        <v>0</v>
      </c>
      <c r="AJ1940" s="38">
        <v>0</v>
      </c>
      <c r="AK1940" s="38">
        <f>AH1929/(3.5*L1929*1000)*100</f>
        <v>8.3329387813077036E-6</v>
      </c>
      <c r="AL1940" s="38">
        <v>0</v>
      </c>
      <c r="AM1940" s="38">
        <f t="shared" si="261"/>
        <v>0</v>
      </c>
      <c r="AN1940" s="22"/>
      <c r="AO1940" s="25"/>
      <c r="AP1940" s="25"/>
      <c r="AQ1940" s="22"/>
      <c r="AR1940" s="22"/>
      <c r="AS1940" s="22"/>
    </row>
    <row r="1941" spans="1:88">
      <c r="A1941" s="1">
        <v>1936</v>
      </c>
      <c r="B1941" s="34" t="s">
        <v>2559</v>
      </c>
      <c r="C1941" s="34">
        <v>338</v>
      </c>
      <c r="D1941" s="75">
        <v>3528</v>
      </c>
      <c r="E1941" s="8">
        <v>100</v>
      </c>
      <c r="F1941" s="9" t="s">
        <v>2582</v>
      </c>
      <c r="G1941" s="20" t="s">
        <v>2583</v>
      </c>
      <c r="H1941" s="20" t="s">
        <v>2584</v>
      </c>
      <c r="I1941" s="21">
        <v>1.597</v>
      </c>
      <c r="J1941" s="8">
        <v>6</v>
      </c>
      <c r="K1941" s="8" t="s">
        <v>1520</v>
      </c>
      <c r="L1941" s="18">
        <v>42096</v>
      </c>
      <c r="M1941" s="207" t="s">
        <v>191</v>
      </c>
      <c r="N1941" s="38">
        <v>1.35</v>
      </c>
      <c r="O1941" s="38">
        <v>0.19</v>
      </c>
      <c r="P1941" s="38">
        <v>0.03</v>
      </c>
      <c r="Q1941" s="38">
        <v>0.03</v>
      </c>
      <c r="R1941" s="38">
        <v>1.88862</v>
      </c>
      <c r="S1941" s="38">
        <f t="shared" si="255"/>
        <v>2</v>
      </c>
      <c r="T1941" s="38">
        <v>1.6</v>
      </c>
      <c r="U1941" s="38">
        <v>0</v>
      </c>
      <c r="V1941" s="38">
        <v>0</v>
      </c>
      <c r="W1941" s="38">
        <v>0</v>
      </c>
      <c r="X1941" s="38">
        <v>2.3547600000000002</v>
      </c>
      <c r="Y1941" s="38">
        <f t="shared" si="256"/>
        <v>2.5</v>
      </c>
      <c r="Z1941" s="38">
        <v>0</v>
      </c>
      <c r="AA1941" s="38">
        <v>0</v>
      </c>
      <c r="AB1941" s="38">
        <v>1.6</v>
      </c>
      <c r="AC1941" s="38">
        <v>1.54355</v>
      </c>
      <c r="AD1941" s="38">
        <v>0</v>
      </c>
      <c r="AE1941" s="38">
        <v>15.52</v>
      </c>
      <c r="AF1941" s="38">
        <f t="shared" si="260"/>
        <v>5.2668729977737956E-6</v>
      </c>
      <c r="AG1941" s="38">
        <f t="shared" si="257"/>
        <v>0</v>
      </c>
      <c r="AH1941" s="38">
        <v>0</v>
      </c>
      <c r="AI1941" s="38">
        <f>AH1941/(3.5*L1941*1000)*100</f>
        <v>0</v>
      </c>
      <c r="AJ1941" s="38">
        <v>13</v>
      </c>
      <c r="AK1941" s="38">
        <f>AJ1941/(3.5*L1941*1000)*100</f>
        <v>8.8233697127653802E-6</v>
      </c>
      <c r="AL1941" s="38">
        <v>0</v>
      </c>
      <c r="AM1941" s="38">
        <f t="shared" si="261"/>
        <v>0</v>
      </c>
      <c r="AN1941" s="41"/>
      <c r="AO1941" s="73"/>
      <c r="AP1941" s="41"/>
      <c r="AQ1941" s="41">
        <f>SUM(N1941:Q1941)</f>
        <v>1.6</v>
      </c>
      <c r="AR1941" s="41">
        <f>SUM(T1941:W1941)</f>
        <v>1.6</v>
      </c>
      <c r="AS1941" s="12">
        <f>SUM(Z1941:AB1941)</f>
        <v>1.6</v>
      </c>
      <c r="AU1941" s="1">
        <f>I1941/AQ1941</f>
        <v>0.99812499999999993</v>
      </c>
      <c r="AV1941" s="1">
        <f>I1941/AR1941</f>
        <v>0.99812499999999993</v>
      </c>
      <c r="AW1941" s="1">
        <f>I1941/AS1941</f>
        <v>0.99812499999999993</v>
      </c>
      <c r="AX1941" s="1">
        <f>AT1941/I1966</f>
        <v>0</v>
      </c>
      <c r="AY1941" s="22"/>
      <c r="AZ1941" s="22"/>
      <c r="BA1941" s="22"/>
      <c r="BB1941" s="22"/>
      <c r="BC1941" s="22"/>
      <c r="BD1941" s="22"/>
      <c r="BE1941" s="22"/>
      <c r="BF1941" s="22"/>
      <c r="BG1941" s="22"/>
      <c r="BH1941" s="22"/>
      <c r="BI1941" s="22"/>
      <c r="BJ1941" s="22"/>
      <c r="BK1941" s="22"/>
      <c r="BL1941" s="22"/>
      <c r="BM1941" s="22"/>
      <c r="BN1941" s="22"/>
      <c r="BO1941" s="22"/>
      <c r="BP1941" s="22"/>
      <c r="BQ1941" s="22"/>
      <c r="BR1941" s="22"/>
      <c r="BS1941" s="22"/>
      <c r="BT1941" s="22"/>
      <c r="BU1941" s="22"/>
      <c r="BV1941" s="22"/>
      <c r="BW1941" s="22"/>
      <c r="BX1941" s="22"/>
      <c r="BY1941" s="22"/>
      <c r="BZ1941" s="22"/>
      <c r="CA1941" s="22"/>
      <c r="CB1941" s="22"/>
      <c r="CC1941" s="22"/>
      <c r="CD1941" s="22"/>
      <c r="CE1941" s="22"/>
      <c r="CF1941" s="22"/>
      <c r="CG1941" s="22"/>
      <c r="CH1941" s="22"/>
      <c r="CI1941" s="22"/>
      <c r="CJ1941" s="22"/>
    </row>
    <row r="1942" spans="1:88">
      <c r="A1942" s="1">
        <v>2220</v>
      </c>
      <c r="B1942" s="34" t="s">
        <v>2853</v>
      </c>
      <c r="C1942" s="34">
        <v>318</v>
      </c>
      <c r="D1942" s="75">
        <v>4052</v>
      </c>
      <c r="E1942" s="8">
        <v>100</v>
      </c>
      <c r="F1942" s="9" t="s">
        <v>2863</v>
      </c>
      <c r="G1942" s="20" t="s">
        <v>92</v>
      </c>
      <c r="H1942" s="20" t="s">
        <v>2866</v>
      </c>
      <c r="I1942" s="21">
        <v>0.3</v>
      </c>
      <c r="J1942" s="8">
        <v>2</v>
      </c>
      <c r="K1942" s="8" t="s">
        <v>238</v>
      </c>
      <c r="L1942" s="18">
        <v>42150</v>
      </c>
      <c r="M1942" s="9" t="s">
        <v>191</v>
      </c>
      <c r="N1942" s="38">
        <v>0.2</v>
      </c>
      <c r="O1942" s="38">
        <v>0.05</v>
      </c>
      <c r="P1942" s="38">
        <v>0.05</v>
      </c>
      <c r="Q1942" s="38">
        <v>2.5000000000000001E-2</v>
      </c>
      <c r="R1942" s="38">
        <v>2.9876900000000002</v>
      </c>
      <c r="S1942" s="38">
        <f t="shared" si="255"/>
        <v>3</v>
      </c>
      <c r="T1942" s="38">
        <v>0.32500000000000001</v>
      </c>
      <c r="U1942" s="38">
        <v>0</v>
      </c>
      <c r="V1942" s="38">
        <v>0</v>
      </c>
      <c r="W1942" s="38">
        <v>0</v>
      </c>
      <c r="X1942" s="38">
        <v>2.2246199999999998</v>
      </c>
      <c r="Y1942" s="38">
        <f t="shared" si="256"/>
        <v>2</v>
      </c>
      <c r="Z1942" s="38">
        <v>0</v>
      </c>
      <c r="AA1942" s="38">
        <v>0</v>
      </c>
      <c r="AB1942" s="38">
        <v>0.32500000000000001</v>
      </c>
      <c r="AC1942" s="38">
        <v>0.97807699999999997</v>
      </c>
      <c r="AD1942" s="38">
        <v>3.1</v>
      </c>
      <c r="AE1942" s="38">
        <v>0</v>
      </c>
      <c r="AF1942" s="38">
        <f t="shared" si="260"/>
        <v>2.1013387561430267E-6</v>
      </c>
      <c r="AG1942" s="38">
        <f t="shared" si="257"/>
        <v>0</v>
      </c>
      <c r="AH1942" s="38">
        <v>0</v>
      </c>
      <c r="AI1942" s="38">
        <f>AH1942/(3.5*L1942*1000)*100</f>
        <v>0</v>
      </c>
      <c r="AJ1942" s="38">
        <v>4.34</v>
      </c>
      <c r="AK1942" s="38">
        <f>AJ1942/(3.5*L1942*1000)*100</f>
        <v>2.9418742586002369E-6</v>
      </c>
      <c r="AL1942" s="38">
        <f>AK1942/(3.5*L1942*1000)*100</f>
        <v>1.9941530307407131E-12</v>
      </c>
      <c r="AM1942" s="38">
        <f t="shared" si="261"/>
        <v>1.899193362610203E-13</v>
      </c>
      <c r="AN1942" s="22"/>
      <c r="AO1942" s="25"/>
      <c r="AP1942" s="25"/>
      <c r="AQ1942" s="22"/>
      <c r="AR1942" s="22"/>
      <c r="AS1942" s="22"/>
    </row>
    <row r="1943" spans="1:88" s="22" customFormat="1">
      <c r="A1943" s="1">
        <v>4</v>
      </c>
      <c r="B1943" s="13" t="s">
        <v>8</v>
      </c>
      <c r="C1943" s="14">
        <v>521</v>
      </c>
      <c r="D1943" s="15">
        <v>108</v>
      </c>
      <c r="E1943" s="16">
        <v>102</v>
      </c>
      <c r="F1943" s="17" t="s">
        <v>9</v>
      </c>
      <c r="G1943" s="6">
        <v>49615</v>
      </c>
      <c r="H1943" s="6">
        <v>62395</v>
      </c>
      <c r="I1943" s="7">
        <v>12.78</v>
      </c>
      <c r="J1943" s="8">
        <v>4</v>
      </c>
      <c r="K1943" s="9" t="s">
        <v>238</v>
      </c>
      <c r="L1943" s="18">
        <v>42229</v>
      </c>
      <c r="M1943" s="9" t="s">
        <v>191</v>
      </c>
      <c r="N1943" s="11">
        <v>11.425000000000001</v>
      </c>
      <c r="O1943" s="11">
        <v>0.9</v>
      </c>
      <c r="P1943" s="11">
        <v>0.27500000000000002</v>
      </c>
      <c r="Q1943" s="11">
        <v>0.27500000000000002</v>
      </c>
      <c r="R1943" s="11">
        <v>1.71831</v>
      </c>
      <c r="S1943" s="38">
        <f t="shared" si="255"/>
        <v>1.5</v>
      </c>
      <c r="T1943" s="11">
        <v>12.775</v>
      </c>
      <c r="U1943" s="11">
        <v>7.4999999999999997E-2</v>
      </c>
      <c r="V1943" s="11">
        <v>0</v>
      </c>
      <c r="W1943" s="11">
        <v>2.5000000000000001E-2</v>
      </c>
      <c r="X1943" s="11">
        <v>2.3215699999999999</v>
      </c>
      <c r="Y1943" s="38">
        <f t="shared" si="256"/>
        <v>2.5</v>
      </c>
      <c r="Z1943" s="11">
        <v>0</v>
      </c>
      <c r="AA1943" s="11">
        <v>0</v>
      </c>
      <c r="AB1943" s="11">
        <v>12.875000000000002</v>
      </c>
      <c r="AC1943" s="11">
        <v>1.0613999999999999</v>
      </c>
      <c r="AD1943" s="11">
        <v>0</v>
      </c>
      <c r="AE1943" s="11">
        <v>0</v>
      </c>
      <c r="AF1943" s="11">
        <f t="shared" ref="AF1943:AF1957" si="262">(AD1943+AE1943*0.5)/(3.5*I1943*1000)*100</f>
        <v>0</v>
      </c>
      <c r="AG1943" s="38">
        <f t="shared" si="257"/>
        <v>0</v>
      </c>
      <c r="AH1943" s="11">
        <v>0</v>
      </c>
      <c r="AI1943" s="11">
        <f t="shared" ref="AI1943:AI1957" si="263">AH1943/(3.5*I1943*1000)*100</f>
        <v>0</v>
      </c>
      <c r="AJ1943" s="11">
        <v>0</v>
      </c>
      <c r="AK1943" s="11">
        <f t="shared" ref="AK1943:AK1957" si="264">AJ1943/(3.5*I1943*1000)*100</f>
        <v>0</v>
      </c>
      <c r="AL1943" s="11">
        <v>0</v>
      </c>
      <c r="AM1943" s="11">
        <f t="shared" si="261"/>
        <v>0</v>
      </c>
      <c r="AN1943" s="1"/>
      <c r="AO1943" s="1"/>
      <c r="AP1943" s="1"/>
      <c r="AQ1943" s="12">
        <f>N1943+O1943+P1943+Q1943</f>
        <v>12.875000000000002</v>
      </c>
      <c r="AR1943" s="12">
        <f>T1943+U1943+V1943+W1943</f>
        <v>12.875</v>
      </c>
      <c r="AS1943" s="12">
        <f>Z1943+AA1943+AB1943</f>
        <v>12.875000000000002</v>
      </c>
      <c r="AT1943" s="1"/>
      <c r="AU1943" s="1">
        <v>1.0074334898278563</v>
      </c>
      <c r="AV1943" s="1">
        <v>1.0074334898278561</v>
      </c>
      <c r="AW1943" s="1">
        <v>1.0074334898278563</v>
      </c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</row>
    <row r="1944" spans="1:88">
      <c r="A1944" s="1">
        <v>41</v>
      </c>
      <c r="B1944" s="4" t="s">
        <v>21</v>
      </c>
      <c r="C1944" s="14">
        <v>522</v>
      </c>
      <c r="D1944" s="19">
        <v>1364</v>
      </c>
      <c r="E1944" s="16">
        <v>100</v>
      </c>
      <c r="F1944" s="16" t="s">
        <v>35</v>
      </c>
      <c r="G1944" s="20" t="s">
        <v>92</v>
      </c>
      <c r="H1944" s="20" t="s">
        <v>202</v>
      </c>
      <c r="I1944" s="21">
        <v>0.97099999999999997</v>
      </c>
      <c r="J1944" s="8">
        <v>4</v>
      </c>
      <c r="K1944" s="9" t="s">
        <v>238</v>
      </c>
      <c r="L1944" s="24">
        <v>42236</v>
      </c>
      <c r="M1944" s="9" t="s">
        <v>191</v>
      </c>
      <c r="N1944" s="11">
        <v>0.7</v>
      </c>
      <c r="O1944" s="11">
        <v>0.125</v>
      </c>
      <c r="P1944" s="11">
        <v>7.4999999999999997E-2</v>
      </c>
      <c r="Q1944" s="11">
        <v>0.05</v>
      </c>
      <c r="R1944" s="11">
        <v>2.5173700000000001</v>
      </c>
      <c r="S1944" s="38">
        <f t="shared" si="255"/>
        <v>2.5</v>
      </c>
      <c r="T1944" s="11">
        <v>0.9</v>
      </c>
      <c r="U1944" s="11">
        <v>0</v>
      </c>
      <c r="V1944" s="11">
        <v>0</v>
      </c>
      <c r="W1944" s="11">
        <v>0.05</v>
      </c>
      <c r="X1944" s="11">
        <v>4.1221100000000002</v>
      </c>
      <c r="Y1944" s="38">
        <f t="shared" si="256"/>
        <v>4</v>
      </c>
      <c r="Z1944" s="11">
        <v>0</v>
      </c>
      <c r="AA1944" s="11">
        <v>0</v>
      </c>
      <c r="AB1944" s="11">
        <f>SUM(N1944:Q1944)</f>
        <v>0.95</v>
      </c>
      <c r="AC1944" s="11">
        <v>1.1956599999999999</v>
      </c>
      <c r="AD1944" s="11">
        <v>0</v>
      </c>
      <c r="AE1944" s="11">
        <v>0</v>
      </c>
      <c r="AF1944" s="11">
        <f t="shared" si="262"/>
        <v>0</v>
      </c>
      <c r="AG1944" s="38">
        <f t="shared" si="257"/>
        <v>0</v>
      </c>
      <c r="AH1944" s="11">
        <v>1.1000000000000001</v>
      </c>
      <c r="AI1944" s="11">
        <f t="shared" si="263"/>
        <v>3.2367220832720318E-2</v>
      </c>
      <c r="AJ1944" s="11">
        <v>14.2</v>
      </c>
      <c r="AK1944" s="11">
        <f t="shared" si="264"/>
        <v>0.41783139620420773</v>
      </c>
      <c r="AL1944" s="11">
        <v>0</v>
      </c>
      <c r="AM1944" s="11">
        <f t="shared" si="261"/>
        <v>0</v>
      </c>
      <c r="AN1944" s="22"/>
      <c r="AO1944" s="25"/>
      <c r="AP1944" s="25"/>
      <c r="AQ1944" s="22"/>
      <c r="AR1944" s="22"/>
      <c r="AS1944" s="22"/>
      <c r="AT1944" s="22"/>
      <c r="AU1944" s="22"/>
      <c r="AV1944" s="22"/>
      <c r="AW1944" s="22"/>
      <c r="AX1944" s="22"/>
      <c r="AY1944" s="22"/>
      <c r="AZ1944" s="22"/>
      <c r="BA1944" s="22"/>
      <c r="BB1944" s="22"/>
      <c r="BC1944" s="22"/>
      <c r="BD1944" s="22"/>
      <c r="BE1944" s="22"/>
      <c r="BF1944" s="22"/>
      <c r="BG1944" s="22"/>
      <c r="BH1944" s="22"/>
      <c r="BI1944" s="22"/>
      <c r="BJ1944" s="22"/>
      <c r="BK1944" s="22"/>
      <c r="BL1944" s="22"/>
      <c r="BM1944" s="22"/>
      <c r="BN1944" s="22"/>
      <c r="BO1944" s="22"/>
      <c r="BP1944" s="22"/>
      <c r="BQ1944" s="22"/>
      <c r="BR1944" s="22"/>
      <c r="BS1944" s="22"/>
      <c r="BT1944" s="22"/>
      <c r="BU1944" s="22"/>
      <c r="BV1944" s="22"/>
      <c r="BW1944" s="22"/>
      <c r="BX1944" s="22"/>
      <c r="BY1944" s="22"/>
      <c r="BZ1944" s="22"/>
      <c r="CA1944" s="22"/>
      <c r="CB1944" s="22"/>
      <c r="CC1944" s="22"/>
      <c r="CD1944" s="22"/>
      <c r="CE1944" s="22"/>
      <c r="CF1944" s="22"/>
      <c r="CG1944" s="22"/>
      <c r="CH1944" s="22"/>
      <c r="CI1944" s="22"/>
      <c r="CJ1944" s="22"/>
    </row>
    <row r="1945" spans="1:88">
      <c r="A1945" s="1">
        <v>47</v>
      </c>
      <c r="B1945" s="4" t="s">
        <v>37</v>
      </c>
      <c r="C1945" s="14">
        <v>523</v>
      </c>
      <c r="D1945" s="19">
        <v>127</v>
      </c>
      <c r="E1945" s="16">
        <v>100</v>
      </c>
      <c r="F1945" s="14" t="s">
        <v>115</v>
      </c>
      <c r="G1945" s="20" t="s">
        <v>98</v>
      </c>
      <c r="H1945" s="20" t="s">
        <v>92</v>
      </c>
      <c r="I1945" s="8">
        <v>8.5229999999999997</v>
      </c>
      <c r="J1945" s="8">
        <v>2</v>
      </c>
      <c r="K1945" s="9" t="s">
        <v>12</v>
      </c>
      <c r="L1945" s="18">
        <v>42222</v>
      </c>
      <c r="M1945" s="9" t="s">
        <v>191</v>
      </c>
      <c r="N1945" s="26">
        <v>5.15</v>
      </c>
      <c r="O1945" s="26">
        <v>1.5</v>
      </c>
      <c r="P1945" s="26">
        <v>1.2</v>
      </c>
      <c r="Q1945" s="26">
        <v>0.67500000000000004</v>
      </c>
      <c r="R1945" s="26">
        <v>2.6062799999999999</v>
      </c>
      <c r="S1945" s="38">
        <f t="shared" si="255"/>
        <v>2.5</v>
      </c>
      <c r="T1945" s="26">
        <v>8.3000000000000007</v>
      </c>
      <c r="U1945" s="26">
        <v>0.22500000000000001</v>
      </c>
      <c r="V1945" s="26">
        <v>0</v>
      </c>
      <c r="W1945" s="26">
        <v>0</v>
      </c>
      <c r="X1945" s="26">
        <v>3.69272</v>
      </c>
      <c r="Y1945" s="38">
        <f t="shared" si="256"/>
        <v>3.5</v>
      </c>
      <c r="Z1945" s="26">
        <v>0</v>
      </c>
      <c r="AA1945" s="26">
        <v>0</v>
      </c>
      <c r="AB1945" s="26">
        <f>SUM(N1945:Q1945)</f>
        <v>8.5250000000000004</v>
      </c>
      <c r="AC1945" s="26">
        <v>1.2304200000000001</v>
      </c>
      <c r="AD1945" s="26">
        <v>0</v>
      </c>
      <c r="AE1945" s="26">
        <v>0</v>
      </c>
      <c r="AF1945" s="26">
        <f t="shared" si="262"/>
        <v>0</v>
      </c>
      <c r="AG1945" s="38">
        <f t="shared" si="257"/>
        <v>0</v>
      </c>
      <c r="AH1945" s="26">
        <v>214.88</v>
      </c>
      <c r="AI1945" s="26">
        <f t="shared" si="263"/>
        <v>0.72033656827743409</v>
      </c>
      <c r="AJ1945" s="26">
        <v>0</v>
      </c>
      <c r="AK1945" s="26">
        <f t="shared" si="264"/>
        <v>0</v>
      </c>
      <c r="AL1945" s="26">
        <v>2.6</v>
      </c>
      <c r="AM1945" s="26">
        <f t="shared" si="261"/>
        <v>8.7159115670203333E-3</v>
      </c>
      <c r="AN1945" s="22"/>
      <c r="AO1945" s="25"/>
      <c r="AP1945" s="25"/>
      <c r="AQ1945" s="22"/>
      <c r="AR1945" s="22"/>
      <c r="AS1945" s="22"/>
      <c r="AT1945" s="22"/>
      <c r="AU1945" s="22"/>
      <c r="AV1945" s="22"/>
      <c r="AW1945" s="22"/>
      <c r="AX1945" s="22"/>
      <c r="AY1945" s="22"/>
      <c r="AZ1945" s="22"/>
      <c r="BA1945" s="22"/>
      <c r="BB1945" s="22"/>
      <c r="BC1945" s="22"/>
      <c r="BD1945" s="22"/>
      <c r="BE1945" s="22"/>
      <c r="BF1945" s="22"/>
      <c r="BG1945" s="22"/>
      <c r="BH1945" s="22"/>
      <c r="BI1945" s="22"/>
      <c r="BJ1945" s="22"/>
      <c r="BK1945" s="22"/>
      <c r="BL1945" s="22"/>
      <c r="BM1945" s="22"/>
      <c r="BN1945" s="22"/>
      <c r="BO1945" s="22"/>
      <c r="BP1945" s="22"/>
      <c r="BQ1945" s="22"/>
      <c r="BR1945" s="22"/>
      <c r="BS1945" s="22"/>
      <c r="BT1945" s="22"/>
      <c r="BU1945" s="22"/>
      <c r="BV1945" s="22"/>
      <c r="BW1945" s="22"/>
      <c r="BX1945" s="22"/>
      <c r="BY1945" s="22"/>
      <c r="BZ1945" s="22"/>
      <c r="CA1945" s="22"/>
      <c r="CB1945" s="22"/>
      <c r="CC1945" s="22"/>
      <c r="CD1945" s="22"/>
      <c r="CE1945" s="22"/>
      <c r="CF1945" s="22"/>
      <c r="CG1945" s="22"/>
      <c r="CH1945" s="22"/>
      <c r="CI1945" s="22"/>
      <c r="CJ1945" s="22"/>
    </row>
    <row r="1946" spans="1:88">
      <c r="A1946" s="1">
        <v>50</v>
      </c>
      <c r="B1946" s="4" t="s">
        <v>37</v>
      </c>
      <c r="C1946" s="14">
        <v>523</v>
      </c>
      <c r="D1946" s="19">
        <v>1037</v>
      </c>
      <c r="E1946" s="16">
        <v>100</v>
      </c>
      <c r="F1946" s="14" t="s">
        <v>118</v>
      </c>
      <c r="G1946" s="20" t="s">
        <v>102</v>
      </c>
      <c r="H1946" s="20" t="s">
        <v>103</v>
      </c>
      <c r="I1946" s="8">
        <v>16.850999999999999</v>
      </c>
      <c r="J1946" s="8">
        <v>2</v>
      </c>
      <c r="K1946" s="9" t="s">
        <v>12</v>
      </c>
      <c r="L1946" s="18">
        <v>42222</v>
      </c>
      <c r="M1946" s="9" t="s">
        <v>191</v>
      </c>
      <c r="N1946" s="26">
        <v>9.85</v>
      </c>
      <c r="O1946" s="26">
        <v>4.4000000000000004</v>
      </c>
      <c r="P1946" s="26">
        <v>2.0499999999999998</v>
      </c>
      <c r="Q1946" s="26">
        <v>1.375</v>
      </c>
      <c r="R1946" s="26">
        <v>2.7513399999999999</v>
      </c>
      <c r="S1946" s="38">
        <f t="shared" si="255"/>
        <v>3</v>
      </c>
      <c r="T1946" s="26">
        <v>17</v>
      </c>
      <c r="U1946" s="26">
        <v>0.57499999999999996</v>
      </c>
      <c r="V1946" s="26">
        <v>0</v>
      </c>
      <c r="W1946" s="26">
        <v>0.1</v>
      </c>
      <c r="X1946" s="26">
        <v>3.0331700000000001</v>
      </c>
      <c r="Y1946" s="38">
        <f t="shared" si="256"/>
        <v>3</v>
      </c>
      <c r="Z1946" s="26">
        <v>0</v>
      </c>
      <c r="AA1946" s="26">
        <v>0</v>
      </c>
      <c r="AB1946" s="26">
        <f>SUM(N1946:Q1946)</f>
        <v>17.675000000000001</v>
      </c>
      <c r="AC1946" s="26">
        <v>1.1144400000000001</v>
      </c>
      <c r="AD1946" s="26">
        <v>0</v>
      </c>
      <c r="AE1946" s="26">
        <v>0</v>
      </c>
      <c r="AF1946" s="26">
        <f t="shared" si="262"/>
        <v>0</v>
      </c>
      <c r="AG1946" s="38">
        <f t="shared" si="257"/>
        <v>0</v>
      </c>
      <c r="AH1946" s="26">
        <v>25.07</v>
      </c>
      <c r="AI1946" s="26">
        <f t="shared" si="263"/>
        <v>4.250701526827573E-2</v>
      </c>
      <c r="AJ1946" s="26">
        <v>0</v>
      </c>
      <c r="AK1946" s="26">
        <f t="shared" si="264"/>
        <v>0</v>
      </c>
      <c r="AL1946" s="26">
        <v>0</v>
      </c>
      <c r="AM1946" s="26">
        <f t="shared" si="261"/>
        <v>0</v>
      </c>
      <c r="AN1946" s="22"/>
      <c r="AO1946" s="25"/>
      <c r="AP1946" s="25"/>
      <c r="AQ1946" s="22"/>
      <c r="AR1946" s="22"/>
      <c r="AS1946" s="22"/>
      <c r="AT1946" s="22"/>
      <c r="AU1946" s="22"/>
      <c r="AV1946" s="22"/>
      <c r="AW1946" s="22"/>
      <c r="AX1946" s="22"/>
      <c r="AY1946" s="22"/>
      <c r="AZ1946" s="22"/>
      <c r="BA1946" s="22"/>
      <c r="BB1946" s="22"/>
      <c r="BC1946" s="22"/>
      <c r="BD1946" s="22"/>
      <c r="BE1946" s="22"/>
      <c r="BF1946" s="22"/>
      <c r="BG1946" s="22"/>
      <c r="BH1946" s="22"/>
      <c r="BI1946" s="22"/>
      <c r="BJ1946" s="22"/>
      <c r="BK1946" s="22"/>
      <c r="BL1946" s="22"/>
      <c r="BM1946" s="22"/>
      <c r="BN1946" s="22"/>
      <c r="BO1946" s="22"/>
      <c r="BP1946" s="22"/>
      <c r="BQ1946" s="22"/>
      <c r="BR1946" s="22"/>
      <c r="BS1946" s="22"/>
      <c r="BT1946" s="22"/>
      <c r="BU1946" s="22"/>
      <c r="BV1946" s="22"/>
      <c r="BW1946" s="22"/>
      <c r="BX1946" s="22"/>
      <c r="BY1946" s="22"/>
      <c r="BZ1946" s="22"/>
      <c r="CA1946" s="22"/>
      <c r="CB1946" s="22"/>
      <c r="CC1946" s="22"/>
      <c r="CD1946" s="22"/>
      <c r="CE1946" s="22"/>
      <c r="CF1946" s="22"/>
      <c r="CG1946" s="22"/>
      <c r="CH1946" s="22"/>
      <c r="CI1946" s="22"/>
      <c r="CJ1946" s="22"/>
    </row>
    <row r="1947" spans="1:88">
      <c r="A1947" s="1">
        <v>60</v>
      </c>
      <c r="B1947" s="4" t="s">
        <v>37</v>
      </c>
      <c r="C1947" s="14">
        <v>523</v>
      </c>
      <c r="D1947" s="19">
        <v>1352</v>
      </c>
      <c r="E1947" s="16">
        <v>100</v>
      </c>
      <c r="F1947" s="14" t="s">
        <v>125</v>
      </c>
      <c r="G1947" s="20" t="s">
        <v>112</v>
      </c>
      <c r="H1947" s="20" t="s">
        <v>92</v>
      </c>
      <c r="I1947" s="8">
        <v>2.1749999999999998</v>
      </c>
      <c r="J1947" s="8">
        <v>4</v>
      </c>
      <c r="K1947" s="9" t="s">
        <v>96</v>
      </c>
      <c r="L1947" s="18">
        <v>42221</v>
      </c>
      <c r="M1947" s="9" t="s">
        <v>191</v>
      </c>
      <c r="N1947" s="26">
        <v>1.075</v>
      </c>
      <c r="O1947" s="26">
        <v>0.45</v>
      </c>
      <c r="P1947" s="26">
        <v>0.42499999999999999</v>
      </c>
      <c r="Q1947" s="26">
        <v>7.4999999999999997E-2</v>
      </c>
      <c r="R1947" s="26">
        <v>2.7114799999999999</v>
      </c>
      <c r="S1947" s="38">
        <f t="shared" si="255"/>
        <v>2.5</v>
      </c>
      <c r="T1947" s="26">
        <v>1.9750000000000001</v>
      </c>
      <c r="U1947" s="26">
        <v>2.5000000000000001E-2</v>
      </c>
      <c r="V1947" s="26">
        <v>2.5000000000000001E-2</v>
      </c>
      <c r="W1947" s="26">
        <v>0</v>
      </c>
      <c r="X1947" s="26">
        <v>4.1878799999999998</v>
      </c>
      <c r="Y1947" s="38">
        <f t="shared" si="256"/>
        <v>4</v>
      </c>
      <c r="Z1947" s="26">
        <v>0</v>
      </c>
      <c r="AA1947" s="26">
        <v>0</v>
      </c>
      <c r="AB1947" s="26">
        <f>SUM(N1947:Q1947)</f>
        <v>2.0249999999999999</v>
      </c>
      <c r="AC1947" s="26">
        <v>1.2395</v>
      </c>
      <c r="AD1947" s="26">
        <v>0</v>
      </c>
      <c r="AE1947" s="26">
        <v>0</v>
      </c>
      <c r="AF1947" s="26">
        <f t="shared" si="262"/>
        <v>0</v>
      </c>
      <c r="AG1947" s="38">
        <f t="shared" si="257"/>
        <v>0</v>
      </c>
      <c r="AH1947" s="26">
        <v>6.65</v>
      </c>
      <c r="AI1947" s="26">
        <f t="shared" si="263"/>
        <v>8.7356321839080472E-2</v>
      </c>
      <c r="AJ1947" s="26">
        <v>0</v>
      </c>
      <c r="AK1947" s="26">
        <f t="shared" si="264"/>
        <v>0</v>
      </c>
      <c r="AL1947" s="26">
        <v>0</v>
      </c>
      <c r="AM1947" s="26">
        <f t="shared" si="261"/>
        <v>0</v>
      </c>
      <c r="AN1947" s="22"/>
      <c r="AO1947" s="25"/>
      <c r="AP1947" s="25"/>
      <c r="AQ1947" s="22"/>
      <c r="AR1947" s="22"/>
      <c r="AS1947" s="22"/>
      <c r="AT1947" s="22"/>
      <c r="AU1947" s="22"/>
      <c r="AV1947" s="22"/>
      <c r="AW1947" s="22"/>
      <c r="AX1947" s="22"/>
      <c r="AY1947" s="22"/>
      <c r="AZ1947" s="22"/>
      <c r="BA1947" s="22"/>
      <c r="BB1947" s="22"/>
      <c r="BC1947" s="22"/>
      <c r="BD1947" s="22"/>
      <c r="BE1947" s="22"/>
      <c r="BF1947" s="22"/>
      <c r="BG1947" s="22"/>
      <c r="BH1947" s="22"/>
      <c r="BI1947" s="22"/>
      <c r="BJ1947" s="22"/>
      <c r="BK1947" s="22"/>
      <c r="BL1947" s="22"/>
      <c r="BM1947" s="22"/>
      <c r="BN1947" s="22"/>
      <c r="BO1947" s="22"/>
      <c r="BP1947" s="22"/>
      <c r="BQ1947" s="22"/>
      <c r="BR1947" s="22"/>
      <c r="BS1947" s="22"/>
      <c r="BT1947" s="22"/>
      <c r="BU1947" s="22"/>
      <c r="BV1947" s="22"/>
      <c r="BW1947" s="22"/>
      <c r="BX1947" s="22"/>
      <c r="BY1947" s="22"/>
      <c r="BZ1947" s="22"/>
      <c r="CA1947" s="22"/>
      <c r="CB1947" s="22"/>
      <c r="CC1947" s="22"/>
      <c r="CD1947" s="22"/>
      <c r="CE1947" s="22"/>
      <c r="CF1947" s="22"/>
      <c r="CG1947" s="22"/>
      <c r="CH1947" s="22"/>
      <c r="CI1947" s="22"/>
      <c r="CJ1947" s="22"/>
    </row>
    <row r="1948" spans="1:88">
      <c r="A1948" s="1">
        <v>74</v>
      </c>
      <c r="B1948" s="4" t="s">
        <v>44</v>
      </c>
      <c r="C1948" s="14">
        <v>524</v>
      </c>
      <c r="D1948" s="19">
        <v>1033</v>
      </c>
      <c r="E1948" s="16">
        <v>100</v>
      </c>
      <c r="F1948" s="14" t="s">
        <v>52</v>
      </c>
      <c r="G1948" s="20" t="s">
        <v>137</v>
      </c>
      <c r="H1948" s="20" t="s">
        <v>92</v>
      </c>
      <c r="I1948" s="21">
        <v>33.237000000000002</v>
      </c>
      <c r="J1948" s="8">
        <v>2</v>
      </c>
      <c r="K1948" s="9" t="s">
        <v>12</v>
      </c>
      <c r="L1948" s="18">
        <v>42227</v>
      </c>
      <c r="M1948" s="9" t="s">
        <v>191</v>
      </c>
      <c r="N1948" s="11">
        <v>13.775</v>
      </c>
      <c r="O1948" s="11">
        <v>13.45</v>
      </c>
      <c r="P1948" s="11">
        <v>4.875</v>
      </c>
      <c r="Q1948" s="11">
        <v>1.175</v>
      </c>
      <c r="R1948" s="11">
        <v>2.8723000000000001</v>
      </c>
      <c r="S1948" s="38">
        <f t="shared" si="255"/>
        <v>3</v>
      </c>
      <c r="T1948" s="11">
        <v>32.975000000000001</v>
      </c>
      <c r="U1948" s="11">
        <v>0.22500000000000001</v>
      </c>
      <c r="V1948" s="11">
        <v>7.4999999999999997E-2</v>
      </c>
      <c r="W1948" s="11">
        <v>0</v>
      </c>
      <c r="X1948" s="11">
        <v>2.6419600000000001</v>
      </c>
      <c r="Y1948" s="38">
        <f t="shared" si="256"/>
        <v>2.5</v>
      </c>
      <c r="Z1948" s="11">
        <v>0</v>
      </c>
      <c r="AA1948" s="11">
        <v>0</v>
      </c>
      <c r="AB1948" s="11">
        <v>33.274999999999999</v>
      </c>
      <c r="AC1948" s="11">
        <v>1.12401</v>
      </c>
      <c r="AD1948" s="11">
        <v>0</v>
      </c>
      <c r="AE1948" s="11">
        <v>0</v>
      </c>
      <c r="AF1948" s="11">
        <f t="shared" si="262"/>
        <v>0</v>
      </c>
      <c r="AG1948" s="38">
        <f t="shared" si="257"/>
        <v>0</v>
      </c>
      <c r="AH1948" s="11">
        <v>2.2999999999999998</v>
      </c>
      <c r="AI1948" s="11">
        <f t="shared" si="263"/>
        <v>1.9771425132919847E-3</v>
      </c>
      <c r="AJ1948" s="11">
        <v>1.32</v>
      </c>
      <c r="AK1948" s="11">
        <f t="shared" si="264"/>
        <v>1.134707877193661E-3</v>
      </c>
      <c r="AL1948" s="11">
        <v>0</v>
      </c>
      <c r="AM1948" s="11">
        <f t="shared" si="261"/>
        <v>0</v>
      </c>
      <c r="AN1948" s="25"/>
      <c r="AO1948" s="25"/>
      <c r="AP1948" s="22"/>
      <c r="AQ1948" s="22"/>
      <c r="AR1948" s="22"/>
      <c r="AS1948" s="22"/>
      <c r="AT1948" s="22"/>
      <c r="AU1948" s="22"/>
      <c r="AV1948" s="22"/>
      <c r="AW1948" s="22"/>
      <c r="AX1948" s="22"/>
      <c r="AY1948" s="22"/>
      <c r="AZ1948" s="22"/>
      <c r="BA1948" s="22"/>
      <c r="BB1948" s="22"/>
      <c r="BC1948" s="22"/>
      <c r="BD1948" s="22"/>
      <c r="BE1948" s="22"/>
      <c r="BF1948" s="22"/>
      <c r="BG1948" s="22"/>
      <c r="BH1948" s="22"/>
      <c r="BI1948" s="22"/>
      <c r="BJ1948" s="22"/>
      <c r="BK1948" s="22"/>
      <c r="BL1948" s="22"/>
      <c r="BM1948" s="22"/>
      <c r="BN1948" s="22"/>
      <c r="BO1948" s="22"/>
      <c r="BP1948" s="22"/>
      <c r="BQ1948" s="22"/>
      <c r="BR1948" s="22"/>
      <c r="BS1948" s="22"/>
      <c r="BT1948" s="22"/>
      <c r="BU1948" s="22"/>
      <c r="BV1948" s="22"/>
      <c r="BW1948" s="22"/>
      <c r="BX1948" s="22"/>
      <c r="BY1948" s="22"/>
      <c r="BZ1948" s="22"/>
      <c r="CA1948" s="22"/>
      <c r="CB1948" s="22"/>
      <c r="CC1948" s="22"/>
      <c r="CD1948" s="22"/>
      <c r="CE1948" s="22"/>
      <c r="CF1948" s="22"/>
      <c r="CG1948" s="22"/>
      <c r="CH1948" s="22"/>
      <c r="CI1948" s="22"/>
      <c r="CJ1948" s="22"/>
    </row>
    <row r="1949" spans="1:88">
      <c r="A1949" s="1">
        <v>86</v>
      </c>
      <c r="B1949" s="4" t="s">
        <v>61</v>
      </c>
      <c r="C1949" s="14">
        <v>526</v>
      </c>
      <c r="D1949" s="19">
        <v>108</v>
      </c>
      <c r="E1949" s="16">
        <v>202</v>
      </c>
      <c r="F1949" s="31" t="s">
        <v>64</v>
      </c>
      <c r="G1949" s="27" t="s">
        <v>149</v>
      </c>
      <c r="H1949" s="27" t="s">
        <v>151</v>
      </c>
      <c r="I1949" s="28">
        <v>51.125</v>
      </c>
      <c r="J1949" s="16">
        <v>2</v>
      </c>
      <c r="K1949" s="14" t="s">
        <v>238</v>
      </c>
      <c r="L1949" s="29">
        <v>42244</v>
      </c>
      <c r="M1949" s="14" t="s">
        <v>191</v>
      </c>
      <c r="N1949" s="30">
        <v>23.24</v>
      </c>
      <c r="O1949" s="30">
        <v>15.54</v>
      </c>
      <c r="P1949" s="30">
        <v>9.4700000000000006</v>
      </c>
      <c r="Q1949" s="30">
        <v>2.87</v>
      </c>
      <c r="R1949" s="30">
        <v>2.8487499999999999</v>
      </c>
      <c r="S1949" s="38">
        <f t="shared" si="255"/>
        <v>3</v>
      </c>
      <c r="T1949" s="30">
        <v>48.93</v>
      </c>
      <c r="U1949" s="30">
        <v>1.6</v>
      </c>
      <c r="V1949" s="30">
        <v>0.35</v>
      </c>
      <c r="W1949" s="30">
        <v>0.25</v>
      </c>
      <c r="X1949" s="30">
        <v>3.8073299999999999</v>
      </c>
      <c r="Y1949" s="38">
        <f t="shared" si="256"/>
        <v>4</v>
      </c>
      <c r="Z1949" s="30">
        <v>0</v>
      </c>
      <c r="AA1949" s="30">
        <v>0</v>
      </c>
      <c r="AB1949" s="30">
        <v>51.13</v>
      </c>
      <c r="AC1949" s="30">
        <v>1.20218</v>
      </c>
      <c r="AD1949" s="30">
        <v>0</v>
      </c>
      <c r="AE1949" s="30">
        <v>0</v>
      </c>
      <c r="AF1949" s="30">
        <f t="shared" si="262"/>
        <v>0</v>
      </c>
      <c r="AG1949" s="38">
        <f t="shared" si="257"/>
        <v>0</v>
      </c>
      <c r="AH1949" s="30">
        <v>26.35</v>
      </c>
      <c r="AI1949" s="30">
        <f t="shared" si="263"/>
        <v>1.472581208522529E-2</v>
      </c>
      <c r="AJ1949" s="30">
        <v>6.1</v>
      </c>
      <c r="AK1949" s="30">
        <f t="shared" si="264"/>
        <v>3.409011526370939E-3</v>
      </c>
      <c r="AL1949" s="30">
        <v>0</v>
      </c>
      <c r="AM1949" s="30">
        <f t="shared" si="261"/>
        <v>0</v>
      </c>
      <c r="AN1949" s="22"/>
      <c r="AO1949" s="25"/>
      <c r="AP1949" s="25">
        <f>N1949+O1949+P1949+Q1949</f>
        <v>51.12</v>
      </c>
      <c r="AQ1949" s="25">
        <f>T1949+U1949+V1949+W1949</f>
        <v>51.13</v>
      </c>
      <c r="AR1949" s="25">
        <f>Z1949+AA1949+AB1949</f>
        <v>51.13</v>
      </c>
      <c r="AS1949" s="22"/>
      <c r="AT1949" s="22">
        <f>I1949/AP1949</f>
        <v>1.0000978090766823</v>
      </c>
      <c r="AU1949" s="22">
        <f>I1949/AQ1949</f>
        <v>0.99990221005280655</v>
      </c>
      <c r="AV1949" s="22">
        <f>I1949/AR1949</f>
        <v>0.99990221005280655</v>
      </c>
      <c r="AW1949" s="22"/>
      <c r="AX1949" s="22"/>
      <c r="AY1949" s="22"/>
      <c r="AZ1949" s="22"/>
      <c r="BA1949" s="22"/>
      <c r="BB1949" s="22"/>
      <c r="BC1949" s="22"/>
      <c r="BD1949" s="22"/>
      <c r="BE1949" s="22"/>
      <c r="BF1949" s="22"/>
      <c r="BG1949" s="22"/>
      <c r="BH1949" s="22"/>
      <c r="BI1949" s="22"/>
      <c r="BJ1949" s="22"/>
      <c r="BK1949" s="22"/>
      <c r="BL1949" s="22"/>
      <c r="BM1949" s="22"/>
      <c r="BN1949" s="22"/>
      <c r="BO1949" s="22"/>
      <c r="BP1949" s="22"/>
      <c r="BQ1949" s="22"/>
      <c r="BR1949" s="22"/>
      <c r="BS1949" s="22"/>
      <c r="BT1949" s="22"/>
      <c r="BU1949" s="22"/>
      <c r="BV1949" s="22"/>
      <c r="BW1949" s="22"/>
      <c r="BX1949" s="22"/>
      <c r="BY1949" s="22"/>
      <c r="BZ1949" s="22"/>
      <c r="CA1949" s="22"/>
      <c r="CB1949" s="22"/>
      <c r="CC1949" s="22"/>
      <c r="CD1949" s="22"/>
      <c r="CE1949" s="22"/>
      <c r="CF1949" s="22"/>
      <c r="CG1949" s="22"/>
      <c r="CH1949" s="22"/>
      <c r="CI1949" s="22"/>
      <c r="CJ1949" s="22"/>
    </row>
    <row r="1950" spans="1:88">
      <c r="A1950" s="1">
        <v>130</v>
      </c>
      <c r="B1950" s="4" t="s">
        <v>38</v>
      </c>
      <c r="C1950" s="14">
        <v>528</v>
      </c>
      <c r="D1950" s="19">
        <v>1154</v>
      </c>
      <c r="E1950" s="16">
        <v>200</v>
      </c>
      <c r="F1950" s="14" t="s">
        <v>173</v>
      </c>
      <c r="G1950" s="20" t="s">
        <v>181</v>
      </c>
      <c r="H1950" s="20" t="s">
        <v>182</v>
      </c>
      <c r="I1950" s="21">
        <v>26.981000000000002</v>
      </c>
      <c r="J1950" s="8">
        <v>2</v>
      </c>
      <c r="K1950" s="33" t="s">
        <v>12</v>
      </c>
      <c r="L1950" s="18">
        <v>42225</v>
      </c>
      <c r="M1950" s="9" t="s">
        <v>191</v>
      </c>
      <c r="N1950" s="11">
        <v>3.2749999999999999</v>
      </c>
      <c r="O1950" s="11">
        <v>10.074999999999999</v>
      </c>
      <c r="P1950" s="11">
        <v>9.625</v>
      </c>
      <c r="Q1950" s="11">
        <v>3.95</v>
      </c>
      <c r="R1950" s="11">
        <v>3.8638499999999998</v>
      </c>
      <c r="S1950" s="38">
        <f t="shared" si="255"/>
        <v>4</v>
      </c>
      <c r="T1950" s="11">
        <v>25.475000000000001</v>
      </c>
      <c r="U1950" s="11">
        <v>1.125</v>
      </c>
      <c r="V1950" s="11">
        <v>0.17499999999999999</v>
      </c>
      <c r="W1950" s="11">
        <v>0.15</v>
      </c>
      <c r="X1950" s="11">
        <v>4.6209499999999997</v>
      </c>
      <c r="Y1950" s="38">
        <f t="shared" si="256"/>
        <v>4.5</v>
      </c>
      <c r="Z1950" s="11">
        <v>0</v>
      </c>
      <c r="AA1950" s="11">
        <v>0</v>
      </c>
      <c r="AB1950" s="11">
        <v>26.925000000000001</v>
      </c>
      <c r="AC1950" s="11">
        <v>2.15049</v>
      </c>
      <c r="AD1950" s="11">
        <v>0</v>
      </c>
      <c r="AE1950" s="11">
        <v>0</v>
      </c>
      <c r="AF1950" s="11">
        <f t="shared" si="262"/>
        <v>0</v>
      </c>
      <c r="AG1950" s="38">
        <f t="shared" si="257"/>
        <v>0</v>
      </c>
      <c r="AH1950" s="11">
        <v>0</v>
      </c>
      <c r="AI1950" s="11">
        <f t="shared" si="263"/>
        <v>0</v>
      </c>
      <c r="AJ1950" s="11">
        <v>0</v>
      </c>
      <c r="AK1950" s="11">
        <f t="shared" si="264"/>
        <v>0</v>
      </c>
      <c r="AL1950" s="11">
        <v>0</v>
      </c>
      <c r="AM1950" s="11">
        <f t="shared" si="261"/>
        <v>0</v>
      </c>
      <c r="AN1950" s="22"/>
      <c r="AO1950" s="22"/>
      <c r="AP1950" s="22"/>
      <c r="AQ1950" s="22"/>
      <c r="AR1950" s="22"/>
      <c r="AS1950" s="22"/>
      <c r="AT1950" s="22"/>
      <c r="AU1950" s="22"/>
      <c r="AV1950" s="22"/>
      <c r="AW1950" s="22"/>
      <c r="AX1950" s="22"/>
      <c r="AY1950" s="22"/>
      <c r="AZ1950" s="22"/>
      <c r="BA1950" s="22"/>
      <c r="BB1950" s="22"/>
      <c r="BC1950" s="22"/>
      <c r="BD1950" s="22"/>
      <c r="BE1950" s="22"/>
      <c r="BF1950" s="22"/>
      <c r="BG1950" s="22"/>
      <c r="BH1950" s="22"/>
      <c r="BI1950" s="22"/>
      <c r="BJ1950" s="22"/>
      <c r="BK1950" s="22"/>
      <c r="BL1950" s="22"/>
      <c r="BM1950" s="22"/>
      <c r="BN1950" s="22"/>
      <c r="BO1950" s="22"/>
      <c r="BP1950" s="22"/>
      <c r="BQ1950" s="22"/>
      <c r="BR1950" s="22"/>
      <c r="BS1950" s="22"/>
      <c r="BT1950" s="22"/>
      <c r="BU1950" s="22"/>
      <c r="BV1950" s="22"/>
      <c r="BW1950" s="22"/>
      <c r="BX1950" s="22"/>
      <c r="BY1950" s="22"/>
      <c r="BZ1950" s="22"/>
      <c r="CA1950" s="22"/>
      <c r="CB1950" s="22"/>
      <c r="CC1950" s="22"/>
      <c r="CD1950" s="22"/>
      <c r="CE1950" s="22"/>
      <c r="CF1950" s="22"/>
      <c r="CG1950" s="22"/>
      <c r="CH1950" s="22"/>
      <c r="CI1950" s="22"/>
      <c r="CJ1950" s="22"/>
    </row>
    <row r="1951" spans="1:88">
      <c r="A1951" s="1">
        <v>139</v>
      </c>
      <c r="B1951" s="34" t="s">
        <v>294</v>
      </c>
      <c r="C1951" s="34">
        <v>531</v>
      </c>
      <c r="D1951" s="34">
        <v>101</v>
      </c>
      <c r="E1951" s="34">
        <v>403</v>
      </c>
      <c r="F1951" s="34" t="s">
        <v>296</v>
      </c>
      <c r="G1951" s="20" t="s">
        <v>297</v>
      </c>
      <c r="H1951" s="20" t="s">
        <v>298</v>
      </c>
      <c r="I1951" s="35">
        <v>1.1539999999999999</v>
      </c>
      <c r="J1951" s="36">
        <v>4</v>
      </c>
      <c r="K1951" s="34" t="s">
        <v>237</v>
      </c>
      <c r="L1951" s="18">
        <v>42223</v>
      </c>
      <c r="M1951" s="9" t="s">
        <v>191</v>
      </c>
      <c r="N1951" s="38">
        <v>0.84</v>
      </c>
      <c r="O1951" s="38">
        <v>0.25</v>
      </c>
      <c r="P1951" s="38">
        <v>0.03</v>
      </c>
      <c r="Q1951" s="38">
        <v>0.05</v>
      </c>
      <c r="R1951" s="38">
        <v>2.4809999999999999</v>
      </c>
      <c r="S1951" s="38">
        <f t="shared" si="255"/>
        <v>2.5</v>
      </c>
      <c r="T1951" s="38">
        <v>0.73</v>
      </c>
      <c r="U1951" s="38">
        <v>0.16</v>
      </c>
      <c r="V1951" s="38">
        <v>0.16</v>
      </c>
      <c r="W1951" s="38">
        <v>0.11</v>
      </c>
      <c r="X1951" s="38">
        <v>10.670999999999999</v>
      </c>
      <c r="Y1951" s="38">
        <f t="shared" si="256"/>
        <v>10.5</v>
      </c>
      <c r="Z1951" s="38">
        <v>0</v>
      </c>
      <c r="AA1951" s="38">
        <v>0</v>
      </c>
      <c r="AB1951" s="38">
        <v>1.1599999999999999</v>
      </c>
      <c r="AC1951" s="38">
        <v>1.0329999999999999</v>
      </c>
      <c r="AD1951" s="38">
        <v>0</v>
      </c>
      <c r="AE1951" s="38">
        <v>0</v>
      </c>
      <c r="AF1951" s="38">
        <f t="shared" si="262"/>
        <v>0</v>
      </c>
      <c r="AG1951" s="38">
        <f t="shared" si="257"/>
        <v>0</v>
      </c>
      <c r="AH1951" s="38">
        <v>0</v>
      </c>
      <c r="AI1951" s="38">
        <f t="shared" si="263"/>
        <v>0</v>
      </c>
      <c r="AJ1951" s="38">
        <v>0</v>
      </c>
      <c r="AK1951" s="38">
        <f t="shared" si="264"/>
        <v>0</v>
      </c>
      <c r="AL1951" s="38">
        <v>0</v>
      </c>
      <c r="AM1951" s="38">
        <f t="shared" si="261"/>
        <v>0</v>
      </c>
      <c r="AN1951" s="40"/>
      <c r="AO1951" s="40">
        <f t="shared" ref="AO1951:AO1956" si="265">AE1951*0.5</f>
        <v>0</v>
      </c>
      <c r="AP1951" s="40">
        <f t="shared" ref="AP1951:AP1956" si="266">(AD1951+AH1951+AJ1951+AL1951+AO1951)*I1951</f>
        <v>0</v>
      </c>
      <c r="AQ1951" s="25">
        <f>SUM(N1951:Q1951)</f>
        <v>1.17</v>
      </c>
      <c r="AR1951" s="25">
        <f>SUM(T1951:W1951)</f>
        <v>1.1600000000000001</v>
      </c>
      <c r="AS1951" s="22"/>
      <c r="AT1951" s="41"/>
      <c r="AU1951" s="41">
        <f t="shared" ref="AU1951:AU1972" si="267">SUM(N1951:Q1951)</f>
        <v>1.17</v>
      </c>
      <c r="AV1951" s="41">
        <f t="shared" ref="AV1951:AV1972" si="268">SUM(T1951:W1951)</f>
        <v>1.1600000000000001</v>
      </c>
      <c r="AW1951" s="41">
        <f t="shared" ref="AW1951:AW1972" si="269">SUM(Z1951:AB1951)</f>
        <v>1.1599999999999999</v>
      </c>
      <c r="AX1951" s="22"/>
      <c r="AY1951" s="22">
        <f t="shared" ref="AY1951:AY1972" si="270">I1951/AU1951</f>
        <v>0.98632478632478626</v>
      </c>
      <c r="AZ1951" s="22">
        <f t="shared" ref="AZ1951:AZ1972" si="271">I1951/AV1951</f>
        <v>0.99482758620689637</v>
      </c>
      <c r="BA1951" s="22">
        <f t="shared" ref="BA1951:BA1972" si="272">I1951/AW1951</f>
        <v>0.9948275862068966</v>
      </c>
      <c r="BB1951" s="22"/>
      <c r="BC1951" s="22"/>
      <c r="BD1951" s="22"/>
      <c r="BE1951" s="22"/>
      <c r="BF1951" s="22"/>
      <c r="BG1951" s="22"/>
      <c r="BH1951" s="22"/>
      <c r="BI1951" s="22"/>
      <c r="BJ1951" s="22"/>
      <c r="BK1951" s="22"/>
      <c r="BL1951" s="22"/>
      <c r="BM1951" s="22"/>
      <c r="BN1951" s="22"/>
      <c r="BO1951" s="22"/>
      <c r="BP1951" s="22"/>
      <c r="BQ1951" s="22"/>
      <c r="BR1951" s="22"/>
      <c r="BS1951" s="22"/>
      <c r="BT1951" s="22"/>
      <c r="BU1951" s="22"/>
      <c r="BV1951" s="22"/>
      <c r="BW1951" s="22"/>
      <c r="BX1951" s="22"/>
      <c r="BY1951" s="22"/>
      <c r="BZ1951" s="22"/>
      <c r="CA1951" s="22"/>
      <c r="CB1951" s="22"/>
      <c r="CC1951" s="22"/>
      <c r="CD1951" s="22"/>
      <c r="CE1951" s="22"/>
      <c r="CF1951" s="22"/>
      <c r="CG1951" s="22"/>
      <c r="CH1951" s="22"/>
      <c r="CI1951" s="22"/>
      <c r="CJ1951" s="22"/>
    </row>
    <row r="1952" spans="1:88">
      <c r="A1952" s="1">
        <v>140</v>
      </c>
      <c r="B1952" s="34" t="s">
        <v>294</v>
      </c>
      <c r="C1952" s="34">
        <v>531</v>
      </c>
      <c r="D1952" s="34">
        <v>101</v>
      </c>
      <c r="E1952" s="34">
        <v>403</v>
      </c>
      <c r="F1952" s="34" t="s">
        <v>296</v>
      </c>
      <c r="G1952" s="20" t="s">
        <v>298</v>
      </c>
      <c r="H1952" s="20" t="s">
        <v>297</v>
      </c>
      <c r="I1952" s="35">
        <v>1.1539999999999999</v>
      </c>
      <c r="J1952" s="36">
        <v>4</v>
      </c>
      <c r="K1952" s="34" t="s">
        <v>96</v>
      </c>
      <c r="L1952" s="18">
        <v>42223</v>
      </c>
      <c r="M1952" s="9" t="s">
        <v>191</v>
      </c>
      <c r="N1952" s="38">
        <v>0.77</v>
      </c>
      <c r="O1952" s="38">
        <v>0.32</v>
      </c>
      <c r="P1952" s="38">
        <v>0.03</v>
      </c>
      <c r="Q1952" s="38">
        <v>0.05</v>
      </c>
      <c r="R1952" s="38">
        <v>2.5350000000000001</v>
      </c>
      <c r="S1952" s="38">
        <f t="shared" si="255"/>
        <v>2.5</v>
      </c>
      <c r="T1952" s="38">
        <v>0</v>
      </c>
      <c r="U1952" s="38">
        <v>0</v>
      </c>
      <c r="V1952" s="38">
        <v>0</v>
      </c>
      <c r="W1952" s="38">
        <v>1.1599999999999999</v>
      </c>
      <c r="X1952" s="38">
        <v>38.917999999999999</v>
      </c>
      <c r="Y1952" s="38">
        <f t="shared" si="256"/>
        <v>39</v>
      </c>
      <c r="Z1952" s="38">
        <v>0</v>
      </c>
      <c r="AA1952" s="38">
        <v>0</v>
      </c>
      <c r="AB1952" s="38">
        <v>1.1599999999999999</v>
      </c>
      <c r="AC1952" s="38">
        <v>0.95599999999999996</v>
      </c>
      <c r="AD1952" s="38">
        <v>0</v>
      </c>
      <c r="AE1952" s="38">
        <v>0</v>
      </c>
      <c r="AF1952" s="38">
        <f t="shared" si="262"/>
        <v>0</v>
      </c>
      <c r="AG1952" s="38">
        <f t="shared" si="257"/>
        <v>0</v>
      </c>
      <c r="AH1952" s="38">
        <v>0</v>
      </c>
      <c r="AI1952" s="38">
        <f t="shared" si="263"/>
        <v>0</v>
      </c>
      <c r="AJ1952" s="38">
        <v>0</v>
      </c>
      <c r="AK1952" s="38">
        <f t="shared" si="264"/>
        <v>0</v>
      </c>
      <c r="AL1952" s="38">
        <v>0.28999999999999998</v>
      </c>
      <c r="AM1952" s="38">
        <f t="shared" si="261"/>
        <v>7.1799950482792771E-3</v>
      </c>
      <c r="AN1952" s="40"/>
      <c r="AO1952" s="40">
        <f t="shared" si="265"/>
        <v>0</v>
      </c>
      <c r="AP1952" s="40">
        <f t="shared" si="266"/>
        <v>0.33465999999999996</v>
      </c>
      <c r="AQ1952" s="25">
        <f>SUM(N1952:Q1952)</f>
        <v>1.1700000000000002</v>
      </c>
      <c r="AR1952" s="25">
        <f>SUM(T1952:W1952)</f>
        <v>1.1599999999999999</v>
      </c>
      <c r="AS1952" s="22"/>
      <c r="AT1952" s="41"/>
      <c r="AU1952" s="41">
        <f t="shared" si="267"/>
        <v>1.1700000000000002</v>
      </c>
      <c r="AV1952" s="41">
        <f t="shared" si="268"/>
        <v>1.1599999999999999</v>
      </c>
      <c r="AW1952" s="41">
        <f t="shared" si="269"/>
        <v>1.1599999999999999</v>
      </c>
      <c r="AX1952" s="22"/>
      <c r="AY1952" s="22">
        <f t="shared" si="270"/>
        <v>0.98632478632478615</v>
      </c>
      <c r="AZ1952" s="22">
        <f t="shared" si="271"/>
        <v>0.9948275862068966</v>
      </c>
      <c r="BA1952" s="22">
        <f t="shared" si="272"/>
        <v>0.9948275862068966</v>
      </c>
      <c r="BB1952" s="22"/>
      <c r="BC1952" s="22"/>
      <c r="BD1952" s="22"/>
      <c r="BE1952" s="22"/>
      <c r="BF1952" s="22"/>
      <c r="BG1952" s="22"/>
      <c r="BH1952" s="22"/>
      <c r="BI1952" s="22"/>
      <c r="BJ1952" s="22"/>
      <c r="BK1952" s="22"/>
      <c r="BL1952" s="22"/>
      <c r="BM1952" s="22"/>
      <c r="BN1952" s="22"/>
      <c r="BO1952" s="22"/>
      <c r="BP1952" s="22"/>
      <c r="BQ1952" s="22"/>
      <c r="BR1952" s="22"/>
      <c r="BS1952" s="22"/>
      <c r="BT1952" s="22"/>
      <c r="BU1952" s="22"/>
      <c r="BV1952" s="22"/>
      <c r="BW1952" s="22"/>
      <c r="BX1952" s="22"/>
      <c r="BY1952" s="22"/>
      <c r="BZ1952" s="22"/>
      <c r="CA1952" s="22"/>
      <c r="CB1952" s="22"/>
      <c r="CC1952" s="22"/>
      <c r="CD1952" s="22"/>
      <c r="CE1952" s="22"/>
      <c r="CF1952" s="22"/>
      <c r="CG1952" s="22"/>
      <c r="CH1952" s="22"/>
      <c r="CI1952" s="22"/>
      <c r="CJ1952" s="22"/>
    </row>
    <row r="1953" spans="1:88">
      <c r="A1953" s="1">
        <v>146</v>
      </c>
      <c r="B1953" s="34" t="s">
        <v>294</v>
      </c>
      <c r="C1953" s="34">
        <v>531</v>
      </c>
      <c r="D1953" s="34">
        <v>1023</v>
      </c>
      <c r="E1953" s="34">
        <v>101</v>
      </c>
      <c r="F1953" s="34" t="s">
        <v>308</v>
      </c>
      <c r="G1953" s="20" t="s">
        <v>309</v>
      </c>
      <c r="H1953" s="20" t="s">
        <v>310</v>
      </c>
      <c r="I1953" s="35">
        <v>54.966999999999999</v>
      </c>
      <c r="J1953" s="36">
        <v>2</v>
      </c>
      <c r="K1953" s="34" t="s">
        <v>12</v>
      </c>
      <c r="L1953" s="18">
        <v>42223</v>
      </c>
      <c r="M1953" s="9" t="s">
        <v>191</v>
      </c>
      <c r="N1953" s="38">
        <v>41.89</v>
      </c>
      <c r="O1953" s="38">
        <v>9.3699999999999992</v>
      </c>
      <c r="P1953" s="38">
        <v>3.04</v>
      </c>
      <c r="Q1953" s="38">
        <v>0.68</v>
      </c>
      <c r="R1953" s="38">
        <v>2.3058800000000002</v>
      </c>
      <c r="S1953" s="38">
        <f t="shared" si="255"/>
        <v>2.5</v>
      </c>
      <c r="T1953" s="38">
        <v>27.09</v>
      </c>
      <c r="U1953" s="38">
        <v>8.26</v>
      </c>
      <c r="V1953" s="38">
        <v>4.92</v>
      </c>
      <c r="W1953" s="38">
        <v>14.71</v>
      </c>
      <c r="X1953" s="38">
        <v>14.8805</v>
      </c>
      <c r="Y1953" s="38">
        <f t="shared" si="256"/>
        <v>15</v>
      </c>
      <c r="Z1953" s="38">
        <v>0</v>
      </c>
      <c r="AA1953" s="38">
        <v>0</v>
      </c>
      <c r="AB1953" s="38">
        <v>54.97</v>
      </c>
      <c r="AC1953" s="38">
        <v>1.2454499999999999</v>
      </c>
      <c r="AD1953" s="38">
        <v>0</v>
      </c>
      <c r="AE1953" s="38">
        <v>0</v>
      </c>
      <c r="AF1953" s="38">
        <f t="shared" si="262"/>
        <v>0</v>
      </c>
      <c r="AG1953" s="38">
        <f t="shared" si="257"/>
        <v>0</v>
      </c>
      <c r="AH1953" s="38">
        <v>0</v>
      </c>
      <c r="AI1953" s="38">
        <f t="shared" si="263"/>
        <v>0</v>
      </c>
      <c r="AJ1953" s="38">
        <v>0</v>
      </c>
      <c r="AK1953" s="38">
        <f t="shared" si="264"/>
        <v>0</v>
      </c>
      <c r="AL1953" s="38">
        <v>0</v>
      </c>
      <c r="AM1953" s="38">
        <f t="shared" si="261"/>
        <v>0</v>
      </c>
      <c r="AN1953" s="40"/>
      <c r="AO1953" s="40">
        <f t="shared" si="265"/>
        <v>0</v>
      </c>
      <c r="AP1953" s="40">
        <f t="shared" si="266"/>
        <v>0</v>
      </c>
      <c r="AQ1953" s="25">
        <f>SUM(N1953:Q1953)</f>
        <v>54.98</v>
      </c>
      <c r="AR1953" s="25">
        <f>SUM(T1953:W1953)</f>
        <v>54.980000000000004</v>
      </c>
      <c r="AS1953" s="22"/>
      <c r="AT1953" s="41"/>
      <c r="AU1953" s="41">
        <f t="shared" si="267"/>
        <v>54.98</v>
      </c>
      <c r="AV1953" s="41">
        <f t="shared" si="268"/>
        <v>54.980000000000004</v>
      </c>
      <c r="AW1953" s="41">
        <f t="shared" si="269"/>
        <v>54.97</v>
      </c>
      <c r="AX1953" s="22"/>
      <c r="AY1953" s="22">
        <f t="shared" si="270"/>
        <v>0.99976355038195708</v>
      </c>
      <c r="AZ1953" s="22">
        <f t="shared" si="271"/>
        <v>0.99976355038195697</v>
      </c>
      <c r="BA1953" s="22">
        <f t="shared" si="272"/>
        <v>0.9999454247771512</v>
      </c>
      <c r="BB1953" s="22"/>
      <c r="BC1953" s="22"/>
      <c r="BD1953" s="22"/>
      <c r="BE1953" s="22"/>
      <c r="BF1953" s="22"/>
      <c r="BG1953" s="22"/>
      <c r="BH1953" s="22"/>
      <c r="BI1953" s="22"/>
      <c r="BJ1953" s="22"/>
      <c r="BK1953" s="22"/>
      <c r="BL1953" s="22"/>
      <c r="BM1953" s="22"/>
      <c r="BN1953" s="22"/>
      <c r="BO1953" s="22"/>
      <c r="BP1953" s="22"/>
      <c r="BQ1953" s="22"/>
      <c r="BR1953" s="22"/>
      <c r="BS1953" s="22"/>
      <c r="BT1953" s="22"/>
      <c r="BU1953" s="22"/>
      <c r="BV1953" s="22"/>
      <c r="BW1953" s="22"/>
      <c r="BX1953" s="22"/>
      <c r="BY1953" s="22"/>
      <c r="BZ1953" s="22"/>
      <c r="CA1953" s="22"/>
      <c r="CB1953" s="22"/>
      <c r="CC1953" s="22"/>
      <c r="CD1953" s="22"/>
      <c r="CE1953" s="22"/>
      <c r="CF1953" s="22"/>
      <c r="CG1953" s="22"/>
      <c r="CH1953" s="22"/>
      <c r="CI1953" s="22"/>
      <c r="CJ1953" s="22"/>
    </row>
    <row r="1954" spans="1:88">
      <c r="A1954" s="1">
        <v>158</v>
      </c>
      <c r="B1954" s="34" t="s">
        <v>294</v>
      </c>
      <c r="C1954" s="34">
        <v>531</v>
      </c>
      <c r="D1954" s="34">
        <v>1405</v>
      </c>
      <c r="E1954" s="34">
        <v>100</v>
      </c>
      <c r="F1954" s="34" t="s">
        <v>330</v>
      </c>
      <c r="G1954" s="20" t="s">
        <v>92</v>
      </c>
      <c r="H1954" s="20" t="s">
        <v>331</v>
      </c>
      <c r="I1954" s="35">
        <v>0.93</v>
      </c>
      <c r="J1954" s="36">
        <v>2</v>
      </c>
      <c r="K1954" s="34" t="s">
        <v>238</v>
      </c>
      <c r="L1954" s="10">
        <v>21403</v>
      </c>
      <c r="M1954" s="9" t="s">
        <v>191</v>
      </c>
      <c r="N1954" s="38">
        <v>0.27</v>
      </c>
      <c r="O1954" s="38">
        <v>0.43</v>
      </c>
      <c r="P1954" s="38">
        <v>0</v>
      </c>
      <c r="Q1954" s="38">
        <v>0.27</v>
      </c>
      <c r="R1954" s="38">
        <v>3.7690000000000001</v>
      </c>
      <c r="S1954" s="38">
        <f t="shared" si="255"/>
        <v>4</v>
      </c>
      <c r="T1954" s="38">
        <v>0.69</v>
      </c>
      <c r="U1954" s="38">
        <v>0.27</v>
      </c>
      <c r="V1954" s="38">
        <v>0</v>
      </c>
      <c r="W1954" s="38">
        <v>0</v>
      </c>
      <c r="X1954" s="38">
        <v>6.7160000000000002</v>
      </c>
      <c r="Y1954" s="38">
        <f t="shared" si="256"/>
        <v>6.5</v>
      </c>
      <c r="Z1954" s="38">
        <v>0</v>
      </c>
      <c r="AA1954" s="38">
        <v>0</v>
      </c>
      <c r="AB1954" s="38">
        <v>0.96</v>
      </c>
      <c r="AC1954" s="38">
        <v>1.3240000000000001</v>
      </c>
      <c r="AD1954" s="38">
        <v>0</v>
      </c>
      <c r="AE1954" s="38">
        <v>0</v>
      </c>
      <c r="AF1954" s="38">
        <f t="shared" si="262"/>
        <v>0</v>
      </c>
      <c r="AG1954" s="38">
        <f t="shared" si="257"/>
        <v>0</v>
      </c>
      <c r="AH1954" s="38">
        <v>0</v>
      </c>
      <c r="AI1954" s="38">
        <f t="shared" si="263"/>
        <v>0</v>
      </c>
      <c r="AJ1954" s="38">
        <v>0</v>
      </c>
      <c r="AK1954" s="38">
        <f t="shared" si="264"/>
        <v>0</v>
      </c>
      <c r="AL1954" s="38">
        <v>0</v>
      </c>
      <c r="AM1954" s="38">
        <f t="shared" si="261"/>
        <v>0</v>
      </c>
      <c r="AN1954" s="40"/>
      <c r="AO1954" s="40">
        <f t="shared" si="265"/>
        <v>0</v>
      </c>
      <c r="AP1954" s="40">
        <f t="shared" si="266"/>
        <v>0</v>
      </c>
      <c r="AQ1954" s="25">
        <f>SUM(N1954:Q1954)</f>
        <v>0.97</v>
      </c>
      <c r="AR1954" s="25">
        <f>SUM(T1954:W1954)</f>
        <v>0.96</v>
      </c>
      <c r="AS1954" s="73"/>
      <c r="AT1954" s="41"/>
      <c r="AU1954" s="41">
        <f t="shared" si="267"/>
        <v>0.97</v>
      </c>
      <c r="AV1954" s="41">
        <f t="shared" si="268"/>
        <v>0.96</v>
      </c>
      <c r="AW1954" s="41">
        <f t="shared" si="269"/>
        <v>0.96</v>
      </c>
      <c r="AX1954" s="73"/>
      <c r="AY1954" s="22">
        <f t="shared" si="270"/>
        <v>0.95876288659793818</v>
      </c>
      <c r="AZ1954" s="22">
        <f t="shared" si="271"/>
        <v>0.96875000000000011</v>
      </c>
      <c r="BA1954" s="22">
        <f t="shared" si="272"/>
        <v>0.96875000000000011</v>
      </c>
      <c r="BB1954" s="73"/>
      <c r="BC1954" s="73"/>
      <c r="BD1954" s="22"/>
      <c r="BE1954" s="22"/>
      <c r="BF1954" s="22"/>
      <c r="BG1954" s="22"/>
      <c r="BH1954" s="22"/>
      <c r="BI1954" s="22"/>
      <c r="BJ1954" s="22"/>
      <c r="BK1954" s="22"/>
      <c r="BL1954" s="22"/>
      <c r="BM1954" s="22"/>
      <c r="BN1954" s="22"/>
      <c r="BO1954" s="22"/>
      <c r="BP1954" s="22"/>
      <c r="BQ1954" s="22"/>
      <c r="BR1954" s="22"/>
      <c r="BS1954" s="22"/>
      <c r="BT1954" s="22"/>
      <c r="BU1954" s="22"/>
      <c r="BV1954" s="22"/>
      <c r="BW1954" s="22"/>
      <c r="BX1954" s="22"/>
      <c r="BY1954" s="22"/>
      <c r="BZ1954" s="22"/>
      <c r="CA1954" s="22"/>
      <c r="CB1954" s="22"/>
      <c r="CC1954" s="22"/>
      <c r="CD1954" s="22"/>
      <c r="CE1954" s="22"/>
      <c r="CF1954" s="22"/>
      <c r="CG1954" s="22"/>
      <c r="CH1954" s="22"/>
      <c r="CI1954" s="22"/>
      <c r="CJ1954" s="22"/>
    </row>
    <row r="1955" spans="1:88">
      <c r="A1955" s="1">
        <v>186</v>
      </c>
      <c r="B1955" s="34" t="s">
        <v>332</v>
      </c>
      <c r="C1955" s="34">
        <v>533</v>
      </c>
      <c r="D1955" s="34">
        <v>1354</v>
      </c>
      <c r="E1955" s="34">
        <v>100</v>
      </c>
      <c r="F1955" s="34" t="s">
        <v>374</v>
      </c>
      <c r="G1955" s="20">
        <v>0</v>
      </c>
      <c r="H1955" s="20">
        <v>2480</v>
      </c>
      <c r="I1955" s="35">
        <v>2.48</v>
      </c>
      <c r="J1955" s="36">
        <v>4</v>
      </c>
      <c r="K1955" s="34" t="s">
        <v>237</v>
      </c>
      <c r="L1955" s="10">
        <v>42203</v>
      </c>
      <c r="M1955" s="9" t="s">
        <v>191</v>
      </c>
      <c r="N1955" s="38">
        <v>1.67</v>
      </c>
      <c r="O1955" s="38">
        <v>0.52</v>
      </c>
      <c r="P1955" s="38">
        <v>0.19</v>
      </c>
      <c r="Q1955" s="38">
        <v>0.1</v>
      </c>
      <c r="R1955" s="38">
        <v>2.4522599999999999</v>
      </c>
      <c r="S1955" s="38">
        <f t="shared" si="255"/>
        <v>2.5</v>
      </c>
      <c r="T1955" s="38">
        <v>2.48</v>
      </c>
      <c r="U1955" s="38">
        <v>0</v>
      </c>
      <c r="V1955" s="38">
        <v>0</v>
      </c>
      <c r="W1955" s="38">
        <v>0</v>
      </c>
      <c r="X1955" s="38">
        <v>3.8773399999999998</v>
      </c>
      <c r="Y1955" s="38">
        <f t="shared" si="256"/>
        <v>4</v>
      </c>
      <c r="Z1955" s="38">
        <v>0</v>
      </c>
      <c r="AA1955" s="38">
        <v>0</v>
      </c>
      <c r="AB1955" s="38">
        <v>2.48</v>
      </c>
      <c r="AC1955" s="38">
        <v>1.12351</v>
      </c>
      <c r="AD1955" s="38">
        <v>0</v>
      </c>
      <c r="AE1955" s="38">
        <v>0</v>
      </c>
      <c r="AF1955" s="38">
        <f t="shared" si="262"/>
        <v>0</v>
      </c>
      <c r="AG1955" s="38">
        <f t="shared" si="257"/>
        <v>0</v>
      </c>
      <c r="AH1955" s="38">
        <v>0</v>
      </c>
      <c r="AI1955" s="38">
        <f t="shared" si="263"/>
        <v>0</v>
      </c>
      <c r="AJ1955" s="38">
        <v>0</v>
      </c>
      <c r="AK1955" s="38">
        <f t="shared" si="264"/>
        <v>0</v>
      </c>
      <c r="AL1955" s="38">
        <v>0</v>
      </c>
      <c r="AM1955" s="38">
        <f t="shared" si="261"/>
        <v>0</v>
      </c>
      <c r="AN1955" s="25"/>
      <c r="AO1955" s="25">
        <f t="shared" si="265"/>
        <v>0</v>
      </c>
      <c r="AP1955" s="25">
        <f t="shared" si="266"/>
        <v>0</v>
      </c>
      <c r="AQ1955" s="25"/>
      <c r="AR1955" s="25">
        <f>SUM(N1955:Q1955)</f>
        <v>2.48</v>
      </c>
      <c r="AS1955" s="25">
        <f>SUM(T1955:W1955)</f>
        <v>2.48</v>
      </c>
      <c r="AT1955" s="22"/>
      <c r="AU1955" s="41">
        <f t="shared" si="267"/>
        <v>2.48</v>
      </c>
      <c r="AV1955" s="41">
        <f t="shared" si="268"/>
        <v>2.48</v>
      </c>
      <c r="AW1955" s="41">
        <f t="shared" si="269"/>
        <v>2.48</v>
      </c>
      <c r="AX1955" s="41"/>
      <c r="AY1955" s="22">
        <f t="shared" si="270"/>
        <v>1</v>
      </c>
      <c r="AZ1955" s="22">
        <f t="shared" si="271"/>
        <v>1</v>
      </c>
      <c r="BA1955" s="22">
        <f t="shared" si="272"/>
        <v>1</v>
      </c>
      <c r="BB1955" s="22"/>
      <c r="BC1955" s="22"/>
      <c r="BD1955" s="22"/>
      <c r="BE1955" s="22"/>
      <c r="BF1955" s="22"/>
      <c r="BG1955" s="22"/>
      <c r="BH1955" s="22"/>
      <c r="BI1955" s="22"/>
      <c r="BJ1955" s="22"/>
      <c r="BK1955" s="22"/>
      <c r="BL1955" s="22"/>
      <c r="BM1955" s="22"/>
      <c r="BN1955" s="22"/>
      <c r="BO1955" s="22"/>
      <c r="BP1955" s="22"/>
      <c r="BQ1955" s="22"/>
      <c r="BR1955" s="22"/>
      <c r="BS1955" s="22"/>
      <c r="BT1955" s="22"/>
      <c r="BU1955" s="22"/>
      <c r="BV1955" s="22"/>
      <c r="BW1955" s="22"/>
      <c r="BX1955" s="22"/>
      <c r="BY1955" s="22"/>
      <c r="BZ1955" s="22"/>
      <c r="CA1955" s="22"/>
      <c r="CB1955" s="22"/>
      <c r="CC1955" s="22"/>
      <c r="CD1955" s="22"/>
      <c r="CE1955" s="22"/>
      <c r="CF1955" s="22"/>
      <c r="CG1955" s="22"/>
      <c r="CH1955" s="22"/>
      <c r="CI1955" s="22"/>
      <c r="CJ1955" s="22"/>
    </row>
    <row r="1956" spans="1:88">
      <c r="A1956" s="1">
        <v>187</v>
      </c>
      <c r="B1956" s="34" t="s">
        <v>332</v>
      </c>
      <c r="C1956" s="34">
        <v>533</v>
      </c>
      <c r="D1956" s="34">
        <v>1354</v>
      </c>
      <c r="E1956" s="34">
        <v>100</v>
      </c>
      <c r="F1956" s="34" t="s">
        <v>374</v>
      </c>
      <c r="G1956" s="20" t="s">
        <v>375</v>
      </c>
      <c r="H1956" s="20" t="s">
        <v>92</v>
      </c>
      <c r="I1956" s="35">
        <v>2.48</v>
      </c>
      <c r="J1956" s="36">
        <v>4</v>
      </c>
      <c r="K1956" s="34" t="s">
        <v>96</v>
      </c>
      <c r="L1956" s="10">
        <v>42203</v>
      </c>
      <c r="M1956" s="9" t="s">
        <v>191</v>
      </c>
      <c r="N1956" s="38">
        <v>1.72</v>
      </c>
      <c r="O1956" s="38">
        <v>0.49</v>
      </c>
      <c r="P1956" s="38">
        <v>0.27</v>
      </c>
      <c r="Q1956" s="38">
        <v>0</v>
      </c>
      <c r="R1956" s="38">
        <v>2.35873</v>
      </c>
      <c r="S1956" s="38">
        <f t="shared" si="255"/>
        <v>2.5</v>
      </c>
      <c r="T1956" s="38">
        <v>2.38</v>
      </c>
      <c r="U1956" s="38">
        <v>0.1</v>
      </c>
      <c r="V1956" s="38">
        <v>0</v>
      </c>
      <c r="W1956" s="38">
        <v>0</v>
      </c>
      <c r="X1956" s="38">
        <v>4.3584300000000002</v>
      </c>
      <c r="Y1956" s="38">
        <f t="shared" si="256"/>
        <v>4.5</v>
      </c>
      <c r="Z1956" s="38">
        <v>0</v>
      </c>
      <c r="AA1956" s="38">
        <v>0</v>
      </c>
      <c r="AB1956" s="38">
        <v>2.48</v>
      </c>
      <c r="AC1956" s="38">
        <v>1.1551899999999999</v>
      </c>
      <c r="AD1956" s="38">
        <v>0</v>
      </c>
      <c r="AE1956" s="38">
        <v>0</v>
      </c>
      <c r="AF1956" s="38">
        <f t="shared" si="262"/>
        <v>0</v>
      </c>
      <c r="AG1956" s="38">
        <f t="shared" si="257"/>
        <v>0</v>
      </c>
      <c r="AH1956" s="38">
        <v>0</v>
      </c>
      <c r="AI1956" s="38">
        <f t="shared" si="263"/>
        <v>0</v>
      </c>
      <c r="AJ1956" s="38">
        <v>0</v>
      </c>
      <c r="AK1956" s="38">
        <f t="shared" si="264"/>
        <v>0</v>
      </c>
      <c r="AL1956" s="38">
        <v>0</v>
      </c>
      <c r="AM1956" s="38">
        <f t="shared" si="261"/>
        <v>0</v>
      </c>
      <c r="AN1956" s="25"/>
      <c r="AO1956" s="25">
        <f t="shared" si="265"/>
        <v>0</v>
      </c>
      <c r="AP1956" s="25">
        <f t="shared" si="266"/>
        <v>0</v>
      </c>
      <c r="AQ1956" s="25"/>
      <c r="AR1956" s="25">
        <f>SUM(N1956:Q1956)</f>
        <v>2.48</v>
      </c>
      <c r="AS1956" s="25">
        <f>SUM(T1956:W1956)</f>
        <v>2.48</v>
      </c>
      <c r="AT1956" s="22"/>
      <c r="AU1956" s="41">
        <f t="shared" si="267"/>
        <v>2.48</v>
      </c>
      <c r="AV1956" s="41">
        <f t="shared" si="268"/>
        <v>2.48</v>
      </c>
      <c r="AW1956" s="41">
        <f t="shared" si="269"/>
        <v>2.48</v>
      </c>
      <c r="AX1956" s="41"/>
      <c r="AY1956" s="22">
        <f t="shared" si="270"/>
        <v>1</v>
      </c>
      <c r="AZ1956" s="22">
        <f t="shared" si="271"/>
        <v>1</v>
      </c>
      <c r="BA1956" s="22">
        <f t="shared" si="272"/>
        <v>1</v>
      </c>
      <c r="BB1956" s="22"/>
      <c r="BC1956" s="22"/>
      <c r="BD1956" s="22"/>
      <c r="BE1956" s="22"/>
      <c r="BF1956" s="22"/>
      <c r="BG1956" s="22"/>
      <c r="BH1956" s="22"/>
      <c r="BI1956" s="22"/>
      <c r="BJ1956" s="22"/>
      <c r="BK1956" s="22"/>
      <c r="BL1956" s="22"/>
      <c r="BM1956" s="22"/>
      <c r="BN1956" s="22"/>
      <c r="BO1956" s="22"/>
      <c r="BP1956" s="22"/>
      <c r="BQ1956" s="22"/>
      <c r="BR1956" s="22"/>
      <c r="BS1956" s="22"/>
      <c r="BT1956" s="22"/>
      <c r="BU1956" s="22"/>
      <c r="BV1956" s="22"/>
      <c r="BW1956" s="22"/>
      <c r="BX1956" s="22"/>
      <c r="BY1956" s="22"/>
      <c r="BZ1956" s="22"/>
      <c r="CA1956" s="22"/>
      <c r="CB1956" s="22"/>
      <c r="CC1956" s="22"/>
      <c r="CD1956" s="22"/>
      <c r="CE1956" s="22"/>
      <c r="CF1956" s="22"/>
      <c r="CG1956" s="22"/>
      <c r="CH1956" s="22"/>
      <c r="CI1956" s="22"/>
      <c r="CJ1956" s="22"/>
    </row>
    <row r="1957" spans="1:88">
      <c r="A1957" s="1">
        <v>195</v>
      </c>
      <c r="B1957" s="34" t="s">
        <v>383</v>
      </c>
      <c r="C1957" s="34">
        <v>535</v>
      </c>
      <c r="D1957" s="34">
        <v>1021</v>
      </c>
      <c r="E1957" s="34">
        <v>102</v>
      </c>
      <c r="F1957" s="34" t="s">
        <v>386</v>
      </c>
      <c r="G1957" s="20">
        <v>27750</v>
      </c>
      <c r="H1957" s="20">
        <v>68274</v>
      </c>
      <c r="I1957" s="35">
        <v>40.524000000000001</v>
      </c>
      <c r="J1957" s="36">
        <v>2</v>
      </c>
      <c r="K1957" s="34" t="s">
        <v>238</v>
      </c>
      <c r="L1957" s="18">
        <v>42209</v>
      </c>
      <c r="M1957" s="9" t="s">
        <v>191</v>
      </c>
      <c r="N1957" s="38">
        <v>22.99</v>
      </c>
      <c r="O1957" s="38">
        <v>9.24</v>
      </c>
      <c r="P1957" s="38">
        <v>5.28</v>
      </c>
      <c r="Q1957" s="38">
        <v>3.01</v>
      </c>
      <c r="R1957" s="38">
        <v>2.8290700000000002</v>
      </c>
      <c r="S1957" s="38">
        <f t="shared" si="255"/>
        <v>3</v>
      </c>
      <c r="T1957" s="38">
        <v>37.92</v>
      </c>
      <c r="U1957" s="38">
        <v>1.86</v>
      </c>
      <c r="V1957" s="38">
        <v>0.45</v>
      </c>
      <c r="W1957" s="38">
        <v>0.3</v>
      </c>
      <c r="X1957" s="38">
        <v>4.8620700000000001</v>
      </c>
      <c r="Y1957" s="38">
        <f t="shared" si="256"/>
        <v>5</v>
      </c>
      <c r="Z1957" s="38">
        <v>0</v>
      </c>
      <c r="AA1957" s="38">
        <v>0</v>
      </c>
      <c r="AB1957" s="38">
        <v>40.53</v>
      </c>
      <c r="AC1957" s="38">
        <v>1.29938</v>
      </c>
      <c r="AD1957" s="38">
        <v>0</v>
      </c>
      <c r="AE1957" s="38">
        <v>0</v>
      </c>
      <c r="AF1957" s="38">
        <f t="shared" si="262"/>
        <v>0</v>
      </c>
      <c r="AG1957" s="38">
        <f t="shared" si="257"/>
        <v>0</v>
      </c>
      <c r="AH1957" s="38">
        <v>36</v>
      </c>
      <c r="AI1957" s="38">
        <f t="shared" si="263"/>
        <v>2.5381784339439061E-2</v>
      </c>
      <c r="AJ1957" s="38">
        <v>0</v>
      </c>
      <c r="AK1957" s="38">
        <f t="shared" si="264"/>
        <v>0</v>
      </c>
      <c r="AL1957" s="38">
        <v>2</v>
      </c>
      <c r="AM1957" s="38">
        <f t="shared" si="261"/>
        <v>1.4100991299688369E-3</v>
      </c>
      <c r="AN1957" s="25"/>
      <c r="AO1957" s="25"/>
      <c r="AP1957" s="25">
        <f>AE1957*0.5</f>
        <v>0</v>
      </c>
      <c r="AQ1957" s="25">
        <f>(AD1957+AH1957+AJ1957+AL1957+AP1957)*I1957</f>
        <v>1539.912</v>
      </c>
      <c r="AR1957" s="25"/>
      <c r="AS1957" s="25"/>
      <c r="AT1957" s="25"/>
      <c r="AU1957" s="41">
        <f t="shared" si="267"/>
        <v>40.519999999999996</v>
      </c>
      <c r="AV1957" s="41">
        <f t="shared" si="268"/>
        <v>40.53</v>
      </c>
      <c r="AW1957" s="41">
        <f t="shared" si="269"/>
        <v>40.53</v>
      </c>
      <c r="AX1957" s="41"/>
      <c r="AY1957" s="22">
        <f t="shared" si="270"/>
        <v>1.0000987166831197</v>
      </c>
      <c r="AZ1957" s="22">
        <f t="shared" si="271"/>
        <v>0.99985196150999256</v>
      </c>
      <c r="BA1957" s="22">
        <f t="shared" si="272"/>
        <v>0.99985196150999256</v>
      </c>
      <c r="BB1957" s="22"/>
      <c r="BC1957" s="22"/>
      <c r="BD1957" s="22"/>
      <c r="BE1957" s="22"/>
      <c r="BF1957" s="22"/>
      <c r="BG1957" s="22"/>
      <c r="BH1957" s="22"/>
      <c r="BI1957" s="22"/>
      <c r="BJ1957" s="22"/>
      <c r="BK1957" s="22"/>
      <c r="BL1957" s="22"/>
      <c r="BM1957" s="22"/>
      <c r="BN1957" s="22"/>
      <c r="BO1957" s="22"/>
      <c r="BP1957" s="22"/>
      <c r="BQ1957" s="22"/>
      <c r="BR1957" s="22"/>
      <c r="BS1957" s="22"/>
      <c r="BT1957" s="22"/>
      <c r="BU1957" s="22"/>
      <c r="BV1957" s="22"/>
      <c r="BW1957" s="22"/>
      <c r="BX1957" s="22"/>
      <c r="BY1957" s="22"/>
      <c r="BZ1957" s="22"/>
      <c r="CA1957" s="22"/>
      <c r="CB1957" s="22"/>
      <c r="CC1957" s="22"/>
      <c r="CD1957" s="22"/>
      <c r="CE1957" s="22"/>
      <c r="CF1957" s="22"/>
      <c r="CG1957" s="22"/>
      <c r="CH1957" s="22"/>
      <c r="CI1957" s="22"/>
      <c r="CJ1957" s="22"/>
    </row>
    <row r="1958" spans="1:88">
      <c r="A1958" s="1">
        <v>231</v>
      </c>
      <c r="B1958" s="34" t="s">
        <v>436</v>
      </c>
      <c r="C1958" s="34">
        <v>537</v>
      </c>
      <c r="D1958" s="34">
        <v>1020</v>
      </c>
      <c r="E1958" s="34">
        <v>203</v>
      </c>
      <c r="F1958" s="34" t="s">
        <v>440</v>
      </c>
      <c r="G1958" s="20" t="s">
        <v>443</v>
      </c>
      <c r="H1958" s="20" t="s">
        <v>444</v>
      </c>
      <c r="I1958" s="51">
        <v>51.801000000000002</v>
      </c>
      <c r="J1958" s="33">
        <v>4</v>
      </c>
      <c r="K1958" s="34" t="s">
        <v>12</v>
      </c>
      <c r="L1958" s="10">
        <v>42198</v>
      </c>
      <c r="M1958" s="9" t="s">
        <v>191</v>
      </c>
      <c r="N1958" s="38">
        <v>41.21</v>
      </c>
      <c r="O1958" s="38">
        <v>7.71</v>
      </c>
      <c r="P1958" s="38">
        <v>2.5</v>
      </c>
      <c r="Q1958" s="38">
        <v>0.38</v>
      </c>
      <c r="R1958" s="38">
        <v>2.3115700000000001</v>
      </c>
      <c r="S1958" s="38">
        <f t="shared" si="255"/>
        <v>2.5</v>
      </c>
      <c r="T1958" s="38">
        <v>42.54</v>
      </c>
      <c r="U1958" s="38">
        <v>7.84</v>
      </c>
      <c r="V1958" s="38">
        <v>1.08</v>
      </c>
      <c r="W1958" s="38">
        <v>0.35</v>
      </c>
      <c r="X1958" s="38">
        <v>7.5202999999999998</v>
      </c>
      <c r="Y1958" s="38">
        <f t="shared" si="256"/>
        <v>7.5</v>
      </c>
      <c r="Z1958" s="38">
        <v>0</v>
      </c>
      <c r="AA1958" s="38">
        <v>0</v>
      </c>
      <c r="AB1958" s="38">
        <v>51.81</v>
      </c>
      <c r="AC1958" s="38">
        <v>1.11151</v>
      </c>
      <c r="AD1958" s="38">
        <v>0</v>
      </c>
      <c r="AE1958" s="38">
        <v>0</v>
      </c>
      <c r="AF1958" s="38">
        <v>0</v>
      </c>
      <c r="AG1958" s="38">
        <f t="shared" si="257"/>
        <v>0</v>
      </c>
      <c r="AH1958" s="38">
        <v>0</v>
      </c>
      <c r="AI1958" s="38">
        <v>0</v>
      </c>
      <c r="AJ1958" s="38">
        <v>3</v>
      </c>
      <c r="AK1958" s="55">
        <v>1.6546839967237258E-3</v>
      </c>
      <c r="AL1958" s="55">
        <v>0</v>
      </c>
      <c r="AM1958" s="55">
        <v>0</v>
      </c>
      <c r="AN1958" s="40"/>
      <c r="AO1958" s="25">
        <f t="shared" ref="AO1958:AO1966" si="273">SUM(N1958:Q1958)</f>
        <v>51.800000000000004</v>
      </c>
      <c r="AP1958" s="25">
        <f t="shared" ref="AP1958:AP1966" si="274">SUM(T1958:W1958)</f>
        <v>51.809999999999995</v>
      </c>
      <c r="AQ1958" s="268">
        <v>54.048000000000002</v>
      </c>
      <c r="AR1958" s="41"/>
      <c r="AS1958" s="41"/>
      <c r="AT1958" s="41"/>
      <c r="AU1958" s="41">
        <f t="shared" si="267"/>
        <v>51.800000000000004</v>
      </c>
      <c r="AV1958" s="41">
        <f t="shared" si="268"/>
        <v>51.809999999999995</v>
      </c>
      <c r="AW1958" s="41">
        <f t="shared" si="269"/>
        <v>51.81</v>
      </c>
      <c r="AX1958" s="22"/>
      <c r="AY1958" s="22">
        <f t="shared" si="270"/>
        <v>1.0000193050193049</v>
      </c>
      <c r="AZ1958" s="22">
        <f t="shared" si="271"/>
        <v>0.99982628836132037</v>
      </c>
      <c r="BA1958" s="22">
        <f t="shared" si="272"/>
        <v>0.99982628836132015</v>
      </c>
      <c r="BB1958" s="22"/>
      <c r="BC1958" s="22"/>
      <c r="BD1958" s="22"/>
      <c r="BE1958" s="22"/>
      <c r="BF1958" s="22"/>
      <c r="BG1958" s="22"/>
      <c r="BH1958" s="22"/>
      <c r="BI1958" s="22"/>
      <c r="BJ1958" s="22"/>
      <c r="BK1958" s="22"/>
      <c r="BL1958" s="22"/>
      <c r="BM1958" s="22"/>
      <c r="BN1958" s="22"/>
      <c r="BO1958" s="22"/>
      <c r="BP1958" s="22"/>
      <c r="BQ1958" s="22"/>
      <c r="BR1958" s="22"/>
      <c r="BS1958" s="22"/>
      <c r="BT1958" s="22"/>
      <c r="BU1958" s="22"/>
      <c r="BV1958" s="22"/>
      <c r="BW1958" s="22"/>
      <c r="BX1958" s="22"/>
      <c r="BY1958" s="22"/>
      <c r="BZ1958" s="22"/>
      <c r="CA1958" s="22"/>
      <c r="CB1958" s="22"/>
      <c r="CC1958" s="22"/>
      <c r="CD1958" s="22"/>
      <c r="CE1958" s="22"/>
      <c r="CF1958" s="22"/>
      <c r="CG1958" s="22"/>
      <c r="CH1958" s="22"/>
      <c r="CI1958" s="22"/>
      <c r="CJ1958" s="22"/>
    </row>
    <row r="1959" spans="1:88">
      <c r="A1959" s="1">
        <v>232</v>
      </c>
      <c r="B1959" s="34" t="s">
        <v>436</v>
      </c>
      <c r="C1959" s="34">
        <v>537</v>
      </c>
      <c r="D1959" s="34">
        <v>1021</v>
      </c>
      <c r="E1959" s="34">
        <v>200</v>
      </c>
      <c r="F1959" s="34" t="s">
        <v>445</v>
      </c>
      <c r="G1959" s="20" t="s">
        <v>446</v>
      </c>
      <c r="H1959" s="20" t="s">
        <v>447</v>
      </c>
      <c r="I1959" s="51">
        <v>12.619</v>
      </c>
      <c r="J1959" s="33">
        <v>2</v>
      </c>
      <c r="K1959" s="34" t="s">
        <v>12</v>
      </c>
      <c r="L1959" s="10">
        <v>42198</v>
      </c>
      <c r="M1959" s="9" t="s">
        <v>191</v>
      </c>
      <c r="N1959" s="38">
        <v>9.35</v>
      </c>
      <c r="O1959" s="38">
        <v>2.21</v>
      </c>
      <c r="P1959" s="38">
        <v>0.53</v>
      </c>
      <c r="Q1959" s="38">
        <v>0.53</v>
      </c>
      <c r="R1959" s="38">
        <v>2.69299</v>
      </c>
      <c r="S1959" s="38">
        <f t="shared" si="255"/>
        <v>2.5</v>
      </c>
      <c r="T1959" s="38">
        <v>11.69</v>
      </c>
      <c r="U1959" s="38">
        <v>0.73</v>
      </c>
      <c r="V1959" s="38">
        <v>0.13</v>
      </c>
      <c r="W1959" s="38">
        <v>0.08</v>
      </c>
      <c r="X1959" s="38">
        <v>6.9012000000000002</v>
      </c>
      <c r="Y1959" s="38">
        <f t="shared" si="256"/>
        <v>7</v>
      </c>
      <c r="Z1959" s="38">
        <v>0</v>
      </c>
      <c r="AA1959" s="38">
        <v>0</v>
      </c>
      <c r="AB1959" s="38">
        <v>12.62</v>
      </c>
      <c r="AC1959" s="38">
        <v>1.5262899999999999</v>
      </c>
      <c r="AD1959" s="38">
        <v>0</v>
      </c>
      <c r="AE1959" s="38">
        <v>0</v>
      </c>
      <c r="AF1959" s="38">
        <v>0</v>
      </c>
      <c r="AG1959" s="38">
        <f t="shared" si="257"/>
        <v>0</v>
      </c>
      <c r="AH1959" s="38">
        <v>5</v>
      </c>
      <c r="AI1959" s="38">
        <v>1.1320797436971461E-2</v>
      </c>
      <c r="AJ1959" s="38">
        <v>47</v>
      </c>
      <c r="AK1959" s="55">
        <v>0.10641549590753173</v>
      </c>
      <c r="AL1959" s="55">
        <v>0</v>
      </c>
      <c r="AM1959" s="55">
        <v>0</v>
      </c>
      <c r="AN1959" s="40"/>
      <c r="AO1959" s="25">
        <f t="shared" si="273"/>
        <v>12.619999999999997</v>
      </c>
      <c r="AP1959" s="25">
        <f t="shared" si="274"/>
        <v>12.63</v>
      </c>
      <c r="AQ1959" s="268">
        <v>12.619</v>
      </c>
      <c r="AR1959" s="41"/>
      <c r="AS1959" s="41"/>
      <c r="AT1959" s="41"/>
      <c r="AU1959" s="41">
        <f t="shared" si="267"/>
        <v>12.619999999999997</v>
      </c>
      <c r="AV1959" s="41">
        <f t="shared" si="268"/>
        <v>12.63</v>
      </c>
      <c r="AW1959" s="41">
        <f t="shared" si="269"/>
        <v>12.62</v>
      </c>
      <c r="AX1959" s="22"/>
      <c r="AY1959" s="22">
        <f t="shared" si="270"/>
        <v>0.99992076069730607</v>
      </c>
      <c r="AZ1959" s="22">
        <f t="shared" si="271"/>
        <v>0.9991290577988915</v>
      </c>
      <c r="BA1959" s="22">
        <f t="shared" si="272"/>
        <v>0.99992076069730595</v>
      </c>
      <c r="BB1959" s="22"/>
      <c r="BC1959" s="22"/>
      <c r="BD1959" s="22"/>
      <c r="BE1959" s="22"/>
      <c r="BF1959" s="22"/>
      <c r="BG1959" s="22"/>
      <c r="BH1959" s="22"/>
      <c r="BI1959" s="22"/>
      <c r="BJ1959" s="22"/>
      <c r="BK1959" s="22"/>
      <c r="BL1959" s="22"/>
      <c r="BM1959" s="22"/>
      <c r="BN1959" s="22"/>
      <c r="BO1959" s="22"/>
      <c r="BP1959" s="22"/>
      <c r="BQ1959" s="22"/>
      <c r="BR1959" s="22"/>
      <c r="BS1959" s="22"/>
      <c r="BT1959" s="22"/>
      <c r="BU1959" s="22"/>
      <c r="BV1959" s="22"/>
      <c r="BW1959" s="22"/>
      <c r="BX1959" s="22"/>
      <c r="BY1959" s="22"/>
      <c r="BZ1959" s="22"/>
      <c r="CA1959" s="22"/>
      <c r="CB1959" s="22"/>
      <c r="CC1959" s="22"/>
      <c r="CD1959" s="22"/>
      <c r="CE1959" s="22"/>
      <c r="CF1959" s="22"/>
      <c r="CG1959" s="22"/>
      <c r="CH1959" s="22"/>
      <c r="CI1959" s="22"/>
      <c r="CJ1959" s="22"/>
    </row>
    <row r="1960" spans="1:88" s="22" customFormat="1">
      <c r="A1960" s="1">
        <v>236</v>
      </c>
      <c r="B1960" s="34" t="s">
        <v>436</v>
      </c>
      <c r="C1960" s="34">
        <v>537</v>
      </c>
      <c r="D1960" s="34">
        <v>1129</v>
      </c>
      <c r="E1960" s="34">
        <v>100</v>
      </c>
      <c r="F1960" s="34" t="s">
        <v>451</v>
      </c>
      <c r="G1960" s="20" t="s">
        <v>452</v>
      </c>
      <c r="H1960" s="20" t="s">
        <v>92</v>
      </c>
      <c r="I1960" s="35">
        <v>0.92700000000000005</v>
      </c>
      <c r="J1960" s="33">
        <v>2</v>
      </c>
      <c r="K1960" s="34" t="s">
        <v>12</v>
      </c>
      <c r="L1960" s="10">
        <v>42200</v>
      </c>
      <c r="M1960" s="9" t="s">
        <v>191</v>
      </c>
      <c r="N1960" s="38">
        <v>0.83</v>
      </c>
      <c r="O1960" s="38">
        <v>0.04</v>
      </c>
      <c r="P1960" s="38">
        <v>0.04</v>
      </c>
      <c r="Q1960" s="38">
        <v>0.02</v>
      </c>
      <c r="R1960" s="38">
        <v>1.89218</v>
      </c>
      <c r="S1960" s="38">
        <f t="shared" si="255"/>
        <v>2</v>
      </c>
      <c r="T1960" s="38">
        <v>0.85</v>
      </c>
      <c r="U1960" s="38">
        <v>0.08</v>
      </c>
      <c r="V1960" s="38">
        <v>0</v>
      </c>
      <c r="W1960" s="38">
        <v>0</v>
      </c>
      <c r="X1960" s="38">
        <v>4.3213200000000001</v>
      </c>
      <c r="Y1960" s="38">
        <f t="shared" si="256"/>
        <v>4.5</v>
      </c>
      <c r="Z1960" s="38">
        <v>0</v>
      </c>
      <c r="AA1960" s="38">
        <v>0</v>
      </c>
      <c r="AB1960" s="38">
        <v>0.93</v>
      </c>
      <c r="AC1960" s="38">
        <v>1.00868</v>
      </c>
      <c r="AD1960" s="38">
        <v>0</v>
      </c>
      <c r="AE1960" s="38">
        <v>0</v>
      </c>
      <c r="AF1960" s="38">
        <v>0</v>
      </c>
      <c r="AG1960" s="38">
        <f t="shared" si="257"/>
        <v>0</v>
      </c>
      <c r="AH1960" s="38">
        <v>0</v>
      </c>
      <c r="AI1960" s="38">
        <v>0</v>
      </c>
      <c r="AJ1960" s="38">
        <v>0</v>
      </c>
      <c r="AK1960" s="55">
        <v>0</v>
      </c>
      <c r="AL1960" s="55">
        <v>0</v>
      </c>
      <c r="AM1960" s="55">
        <v>0</v>
      </c>
      <c r="AN1960" s="40"/>
      <c r="AO1960" s="25">
        <f t="shared" si="273"/>
        <v>0.93</v>
      </c>
      <c r="AP1960" s="25">
        <f t="shared" si="274"/>
        <v>0.92999999999999994</v>
      </c>
      <c r="AQ1960" s="268">
        <v>0.92700000000000005</v>
      </c>
      <c r="AR1960" s="41"/>
      <c r="AS1960" s="41"/>
      <c r="AT1960" s="41"/>
      <c r="AU1960" s="41">
        <f t="shared" si="267"/>
        <v>0.93</v>
      </c>
      <c r="AV1960" s="41">
        <f t="shared" si="268"/>
        <v>0.92999999999999994</v>
      </c>
      <c r="AW1960" s="41">
        <f t="shared" si="269"/>
        <v>0.93</v>
      </c>
      <c r="AY1960" s="22">
        <f t="shared" si="270"/>
        <v>0.99677419354838714</v>
      </c>
      <c r="AZ1960" s="22">
        <f t="shared" si="271"/>
        <v>0.99677419354838726</v>
      </c>
      <c r="BA1960" s="22">
        <f t="shared" si="272"/>
        <v>0.99677419354838714</v>
      </c>
    </row>
    <row r="1961" spans="1:88" s="22" customFormat="1">
      <c r="A1961" s="1">
        <v>243</v>
      </c>
      <c r="B1961" s="34" t="s">
        <v>436</v>
      </c>
      <c r="C1961" s="34">
        <v>537</v>
      </c>
      <c r="D1961" s="34">
        <v>1222</v>
      </c>
      <c r="E1961" s="34">
        <v>100</v>
      </c>
      <c r="F1961" s="34" t="s">
        <v>460</v>
      </c>
      <c r="G1961" s="20">
        <v>0</v>
      </c>
      <c r="H1961" s="20">
        <v>6189</v>
      </c>
      <c r="I1961" s="35">
        <v>6.1890000000000001</v>
      </c>
      <c r="J1961" s="33">
        <v>2</v>
      </c>
      <c r="K1961" s="34" t="s">
        <v>238</v>
      </c>
      <c r="L1961" s="10">
        <v>42198</v>
      </c>
      <c r="M1961" s="9" t="s">
        <v>191</v>
      </c>
      <c r="N1961" s="38">
        <v>3.02</v>
      </c>
      <c r="O1961" s="38">
        <v>2.06</v>
      </c>
      <c r="P1961" s="38">
        <v>0.78</v>
      </c>
      <c r="Q1961" s="38">
        <v>0.33</v>
      </c>
      <c r="R1961" s="38">
        <v>2.77935</v>
      </c>
      <c r="S1961" s="38">
        <f t="shared" si="255"/>
        <v>3</v>
      </c>
      <c r="T1961" s="38">
        <v>5.99</v>
      </c>
      <c r="U1961" s="38">
        <v>0.2</v>
      </c>
      <c r="V1961" s="38">
        <v>0</v>
      </c>
      <c r="W1961" s="38">
        <v>0</v>
      </c>
      <c r="X1961" s="38">
        <v>3.45791</v>
      </c>
      <c r="Y1961" s="38">
        <f t="shared" si="256"/>
        <v>3.5</v>
      </c>
      <c r="Z1961" s="38">
        <v>0</v>
      </c>
      <c r="AA1961" s="38">
        <v>0</v>
      </c>
      <c r="AB1961" s="38">
        <v>6.19</v>
      </c>
      <c r="AC1961" s="38">
        <v>2.0014099999999999</v>
      </c>
      <c r="AD1961" s="38">
        <v>0</v>
      </c>
      <c r="AE1961" s="38">
        <v>0</v>
      </c>
      <c r="AF1961" s="38">
        <v>0</v>
      </c>
      <c r="AG1961" s="38">
        <f t="shared" si="257"/>
        <v>0</v>
      </c>
      <c r="AH1961" s="38">
        <v>0</v>
      </c>
      <c r="AI1961" s="38">
        <v>0</v>
      </c>
      <c r="AJ1961" s="38">
        <v>0</v>
      </c>
      <c r="AK1961" s="55">
        <v>0</v>
      </c>
      <c r="AL1961" s="55">
        <v>2</v>
      </c>
      <c r="AM1961" s="55">
        <v>9.2329709392239678E-3</v>
      </c>
      <c r="AN1961" s="40"/>
      <c r="AO1961" s="25">
        <f t="shared" si="273"/>
        <v>6.19</v>
      </c>
      <c r="AP1961" s="25">
        <f t="shared" si="274"/>
        <v>6.19</v>
      </c>
      <c r="AQ1961" s="268">
        <v>6.1890000000000001</v>
      </c>
      <c r="AR1961" s="41"/>
      <c r="AS1961" s="41"/>
      <c r="AT1961" s="41"/>
      <c r="AU1961" s="41">
        <f t="shared" si="267"/>
        <v>6.19</v>
      </c>
      <c r="AV1961" s="41">
        <f t="shared" si="268"/>
        <v>6.19</v>
      </c>
      <c r="AW1961" s="41">
        <f t="shared" si="269"/>
        <v>6.19</v>
      </c>
      <c r="AY1961" s="22">
        <f t="shared" si="270"/>
        <v>0.99983844911147002</v>
      </c>
      <c r="AZ1961" s="22">
        <f t="shared" si="271"/>
        <v>0.99983844911147002</v>
      </c>
      <c r="BA1961" s="22">
        <f t="shared" si="272"/>
        <v>0.99983844911147002</v>
      </c>
    </row>
    <row r="1962" spans="1:88" s="22" customFormat="1">
      <c r="A1962" s="1">
        <v>244</v>
      </c>
      <c r="B1962" s="34" t="s">
        <v>436</v>
      </c>
      <c r="C1962" s="34">
        <v>537</v>
      </c>
      <c r="D1962" s="34">
        <v>1271</v>
      </c>
      <c r="E1962" s="34">
        <v>100</v>
      </c>
      <c r="F1962" s="34" t="s">
        <v>461</v>
      </c>
      <c r="G1962" s="20">
        <v>0</v>
      </c>
      <c r="H1962" s="20">
        <v>14452</v>
      </c>
      <c r="I1962" s="35">
        <v>14.452</v>
      </c>
      <c r="J1962" s="33">
        <v>2</v>
      </c>
      <c r="K1962" s="34" t="s">
        <v>12</v>
      </c>
      <c r="L1962" s="10">
        <v>42200</v>
      </c>
      <c r="M1962" s="9" t="s">
        <v>191</v>
      </c>
      <c r="N1962" s="38">
        <v>11.72</v>
      </c>
      <c r="O1962" s="38">
        <v>2</v>
      </c>
      <c r="P1962" s="38">
        <v>0.65</v>
      </c>
      <c r="Q1962" s="38">
        <v>0.08</v>
      </c>
      <c r="R1962" s="38">
        <v>2.14351</v>
      </c>
      <c r="S1962" s="38">
        <f t="shared" si="255"/>
        <v>2</v>
      </c>
      <c r="T1962" s="38">
        <v>14.21</v>
      </c>
      <c r="U1962" s="38">
        <v>0.2</v>
      </c>
      <c r="V1962" s="38">
        <v>0.05</v>
      </c>
      <c r="W1962" s="38">
        <v>0</v>
      </c>
      <c r="X1962" s="38">
        <v>4.0756600000000001</v>
      </c>
      <c r="Y1962" s="38">
        <f t="shared" si="256"/>
        <v>4</v>
      </c>
      <c r="Z1962" s="38">
        <v>0</v>
      </c>
      <c r="AA1962" s="38">
        <v>0</v>
      </c>
      <c r="AB1962" s="38">
        <v>14.46</v>
      </c>
      <c r="AC1962" s="38">
        <v>1.1410800000000001</v>
      </c>
      <c r="AD1962" s="38">
        <v>0</v>
      </c>
      <c r="AE1962" s="38">
        <v>0</v>
      </c>
      <c r="AF1962" s="38">
        <v>0</v>
      </c>
      <c r="AG1962" s="38">
        <f t="shared" si="257"/>
        <v>0</v>
      </c>
      <c r="AH1962" s="38">
        <v>0</v>
      </c>
      <c r="AI1962" s="38">
        <v>0</v>
      </c>
      <c r="AJ1962" s="38">
        <v>0</v>
      </c>
      <c r="AK1962" s="55">
        <v>0</v>
      </c>
      <c r="AL1962" s="55">
        <v>0</v>
      </c>
      <c r="AM1962" s="55">
        <v>0</v>
      </c>
      <c r="AN1962" s="40"/>
      <c r="AO1962" s="25">
        <f t="shared" si="273"/>
        <v>14.450000000000001</v>
      </c>
      <c r="AP1962" s="25">
        <f t="shared" si="274"/>
        <v>14.46</v>
      </c>
      <c r="AQ1962" s="268">
        <v>14.452</v>
      </c>
      <c r="AR1962" s="41"/>
      <c r="AS1962" s="41"/>
      <c r="AT1962" s="41"/>
      <c r="AU1962" s="41">
        <f t="shared" si="267"/>
        <v>14.450000000000001</v>
      </c>
      <c r="AV1962" s="41">
        <f t="shared" si="268"/>
        <v>14.46</v>
      </c>
      <c r="AW1962" s="41">
        <f t="shared" si="269"/>
        <v>14.46</v>
      </c>
      <c r="AY1962" s="22">
        <f t="shared" si="270"/>
        <v>1.0001384083044982</v>
      </c>
      <c r="AZ1962" s="22">
        <f t="shared" si="271"/>
        <v>0.99944674965421842</v>
      </c>
      <c r="BA1962" s="22">
        <f t="shared" si="272"/>
        <v>0.99944674965421842</v>
      </c>
    </row>
    <row r="1963" spans="1:88">
      <c r="A1963" s="1">
        <v>247</v>
      </c>
      <c r="B1963" s="34" t="s">
        <v>436</v>
      </c>
      <c r="C1963" s="34">
        <v>537</v>
      </c>
      <c r="D1963" s="34">
        <v>1299</v>
      </c>
      <c r="E1963" s="34">
        <v>100</v>
      </c>
      <c r="F1963" s="34" t="s">
        <v>464</v>
      </c>
      <c r="G1963" s="20">
        <v>0</v>
      </c>
      <c r="H1963" s="20">
        <v>5100</v>
      </c>
      <c r="I1963" s="35">
        <v>5.0999999999999996</v>
      </c>
      <c r="J1963" s="33">
        <v>2</v>
      </c>
      <c r="K1963" s="34" t="s">
        <v>238</v>
      </c>
      <c r="L1963" s="10">
        <v>42200</v>
      </c>
      <c r="M1963" s="9" t="s">
        <v>191</v>
      </c>
      <c r="N1963" s="38">
        <v>4.28</v>
      </c>
      <c r="O1963" s="38">
        <v>0.62</v>
      </c>
      <c r="P1963" s="38">
        <v>0.13</v>
      </c>
      <c r="Q1963" s="38">
        <v>0.08</v>
      </c>
      <c r="R1963" s="38">
        <v>1.966</v>
      </c>
      <c r="S1963" s="38">
        <f t="shared" si="255"/>
        <v>2</v>
      </c>
      <c r="T1963" s="38">
        <v>5.05</v>
      </c>
      <c r="U1963" s="38">
        <v>0.05</v>
      </c>
      <c r="V1963" s="38">
        <v>0</v>
      </c>
      <c r="W1963" s="38">
        <v>0</v>
      </c>
      <c r="X1963" s="38">
        <v>4.4390000000000001</v>
      </c>
      <c r="Y1963" s="38">
        <f t="shared" si="256"/>
        <v>4.5</v>
      </c>
      <c r="Z1963" s="38">
        <v>0</v>
      </c>
      <c r="AA1963" s="38">
        <v>0</v>
      </c>
      <c r="AB1963" s="38">
        <v>5.0999999999999996</v>
      </c>
      <c r="AC1963" s="38">
        <v>0.94499999999999995</v>
      </c>
      <c r="AD1963" s="38">
        <v>0</v>
      </c>
      <c r="AE1963" s="38">
        <v>0</v>
      </c>
      <c r="AF1963" s="38">
        <v>0</v>
      </c>
      <c r="AG1963" s="38">
        <f t="shared" si="257"/>
        <v>0</v>
      </c>
      <c r="AH1963" s="38">
        <v>0</v>
      </c>
      <c r="AI1963" s="38">
        <v>0</v>
      </c>
      <c r="AJ1963" s="38">
        <v>0</v>
      </c>
      <c r="AK1963" s="55">
        <v>0</v>
      </c>
      <c r="AL1963" s="55">
        <v>0</v>
      </c>
      <c r="AM1963" s="55">
        <v>0</v>
      </c>
      <c r="AN1963" s="40"/>
      <c r="AO1963" s="25">
        <f t="shared" si="273"/>
        <v>5.1100000000000003</v>
      </c>
      <c r="AP1963" s="25">
        <f t="shared" si="274"/>
        <v>5.0999999999999996</v>
      </c>
      <c r="AQ1963" s="268">
        <v>5.0999999999999996</v>
      </c>
      <c r="AR1963" s="41"/>
      <c r="AS1963" s="41"/>
      <c r="AT1963" s="41"/>
      <c r="AU1963" s="41">
        <f t="shared" si="267"/>
        <v>5.1100000000000003</v>
      </c>
      <c r="AV1963" s="41">
        <f t="shared" si="268"/>
        <v>5.0999999999999996</v>
      </c>
      <c r="AW1963" s="41">
        <f t="shared" si="269"/>
        <v>5.0999999999999996</v>
      </c>
      <c r="AX1963" s="22"/>
      <c r="AY1963" s="22">
        <f t="shared" si="270"/>
        <v>0.99804305283757322</v>
      </c>
      <c r="AZ1963" s="22">
        <f t="shared" si="271"/>
        <v>1</v>
      </c>
      <c r="BA1963" s="22">
        <f t="shared" si="272"/>
        <v>1</v>
      </c>
      <c r="BB1963" s="22"/>
      <c r="BC1963" s="22"/>
      <c r="BD1963" s="22"/>
      <c r="BE1963" s="22"/>
      <c r="BF1963" s="22"/>
      <c r="BG1963" s="22"/>
      <c r="BH1963" s="22"/>
      <c r="BI1963" s="22"/>
      <c r="BJ1963" s="22"/>
      <c r="BK1963" s="22"/>
      <c r="BL1963" s="22"/>
      <c r="BM1963" s="22"/>
      <c r="BN1963" s="22"/>
      <c r="BO1963" s="22"/>
      <c r="BP1963" s="22"/>
      <c r="BQ1963" s="22"/>
      <c r="BR1963" s="22"/>
      <c r="BS1963" s="22"/>
      <c r="BT1963" s="22"/>
      <c r="BU1963" s="22"/>
      <c r="BV1963" s="22"/>
      <c r="BW1963" s="22"/>
      <c r="BX1963" s="22"/>
      <c r="BY1963" s="22"/>
      <c r="BZ1963" s="22"/>
      <c r="CA1963" s="22"/>
      <c r="CB1963" s="22"/>
      <c r="CC1963" s="22"/>
      <c r="CD1963" s="22"/>
      <c r="CE1963" s="22"/>
      <c r="CF1963" s="22"/>
      <c r="CG1963" s="22"/>
      <c r="CH1963" s="22"/>
      <c r="CI1963" s="22"/>
      <c r="CJ1963" s="22"/>
    </row>
    <row r="1964" spans="1:88">
      <c r="A1964" s="1">
        <v>249</v>
      </c>
      <c r="B1964" s="34" t="s">
        <v>436</v>
      </c>
      <c r="C1964" s="34">
        <v>537</v>
      </c>
      <c r="D1964" s="34">
        <v>1356</v>
      </c>
      <c r="E1964" s="34">
        <v>100</v>
      </c>
      <c r="F1964" s="34" t="s">
        <v>466</v>
      </c>
      <c r="G1964" s="20" t="s">
        <v>193</v>
      </c>
      <c r="H1964" s="20" t="s">
        <v>92</v>
      </c>
      <c r="I1964" s="35">
        <v>3</v>
      </c>
      <c r="J1964" s="33">
        <v>4</v>
      </c>
      <c r="K1964" s="34" t="s">
        <v>237</v>
      </c>
      <c r="L1964" s="10">
        <v>42199</v>
      </c>
      <c r="M1964" s="9" t="s">
        <v>191</v>
      </c>
      <c r="N1964" s="38">
        <v>2.6</v>
      </c>
      <c r="O1964" s="38">
        <v>0.13</v>
      </c>
      <c r="P1964" s="38">
        <v>0.18</v>
      </c>
      <c r="Q1964" s="38">
        <v>0.1</v>
      </c>
      <c r="R1964" s="38">
        <v>1.742</v>
      </c>
      <c r="S1964" s="38">
        <f t="shared" si="255"/>
        <v>1.5</v>
      </c>
      <c r="T1964" s="38">
        <v>3</v>
      </c>
      <c r="U1964" s="38">
        <v>0</v>
      </c>
      <c r="V1964" s="38">
        <v>0</v>
      </c>
      <c r="W1964" s="38">
        <v>0</v>
      </c>
      <c r="X1964" s="38">
        <v>3.9079999999999999</v>
      </c>
      <c r="Y1964" s="38">
        <f t="shared" si="256"/>
        <v>4</v>
      </c>
      <c r="Z1964" s="38">
        <v>0</v>
      </c>
      <c r="AA1964" s="38">
        <v>0</v>
      </c>
      <c r="AB1964" s="38">
        <v>3</v>
      </c>
      <c r="AC1964" s="38">
        <v>1.1439999999999999</v>
      </c>
      <c r="AD1964" s="38">
        <v>0</v>
      </c>
      <c r="AE1964" s="38">
        <v>0</v>
      </c>
      <c r="AF1964" s="38">
        <v>0</v>
      </c>
      <c r="AG1964" s="38">
        <f t="shared" si="257"/>
        <v>0</v>
      </c>
      <c r="AH1964" s="38">
        <v>0</v>
      </c>
      <c r="AI1964" s="38">
        <v>0</v>
      </c>
      <c r="AJ1964" s="38">
        <v>0</v>
      </c>
      <c r="AK1964" s="55">
        <v>0</v>
      </c>
      <c r="AL1964" s="55">
        <v>0</v>
      </c>
      <c r="AM1964" s="55">
        <v>0</v>
      </c>
      <c r="AN1964" s="40"/>
      <c r="AO1964" s="25">
        <f t="shared" si="273"/>
        <v>3.0100000000000002</v>
      </c>
      <c r="AP1964" s="25">
        <f t="shared" si="274"/>
        <v>3</v>
      </c>
      <c r="AQ1964" s="268">
        <v>5</v>
      </c>
      <c r="AR1964" s="41"/>
      <c r="AS1964" s="41"/>
      <c r="AT1964" s="41"/>
      <c r="AU1964" s="41">
        <f t="shared" si="267"/>
        <v>3.0100000000000002</v>
      </c>
      <c r="AV1964" s="41">
        <f t="shared" si="268"/>
        <v>3</v>
      </c>
      <c r="AW1964" s="41">
        <f t="shared" si="269"/>
        <v>3</v>
      </c>
      <c r="AX1964" s="22"/>
      <c r="AY1964" s="22">
        <f t="shared" si="270"/>
        <v>0.99667774086378735</v>
      </c>
      <c r="AZ1964" s="22">
        <f t="shared" si="271"/>
        <v>1</v>
      </c>
      <c r="BA1964" s="22">
        <f t="shared" si="272"/>
        <v>1</v>
      </c>
      <c r="BB1964" s="22"/>
      <c r="BC1964" s="22"/>
      <c r="BD1964" s="22"/>
      <c r="BE1964" s="22"/>
      <c r="BF1964" s="22"/>
      <c r="BG1964" s="22"/>
      <c r="BH1964" s="22"/>
      <c r="BI1964" s="22"/>
      <c r="BJ1964" s="22"/>
      <c r="BK1964" s="22"/>
      <c r="BL1964" s="22"/>
      <c r="BM1964" s="22"/>
      <c r="BN1964" s="22"/>
      <c r="BO1964" s="22"/>
      <c r="BP1964" s="22"/>
      <c r="BQ1964" s="22"/>
      <c r="BR1964" s="22"/>
      <c r="BS1964" s="22"/>
      <c r="BT1964" s="22"/>
      <c r="BU1964" s="22"/>
      <c r="BV1964" s="22"/>
      <c r="BW1964" s="22"/>
      <c r="BX1964" s="22"/>
      <c r="BY1964" s="22"/>
      <c r="BZ1964" s="22"/>
      <c r="CA1964" s="22"/>
      <c r="CB1964" s="22"/>
      <c r="CC1964" s="22"/>
      <c r="CD1964" s="22"/>
      <c r="CE1964" s="22"/>
      <c r="CF1964" s="22"/>
      <c r="CG1964" s="22"/>
      <c r="CH1964" s="22"/>
      <c r="CI1964" s="22"/>
      <c r="CJ1964" s="22"/>
    </row>
    <row r="1965" spans="1:88" s="22" customFormat="1">
      <c r="A1965" s="1">
        <v>250</v>
      </c>
      <c r="B1965" s="34" t="s">
        <v>436</v>
      </c>
      <c r="C1965" s="34">
        <v>537</v>
      </c>
      <c r="D1965" s="34">
        <v>1356</v>
      </c>
      <c r="E1965" s="34">
        <v>100</v>
      </c>
      <c r="F1965" s="34" t="s">
        <v>466</v>
      </c>
      <c r="G1965" s="20" t="s">
        <v>92</v>
      </c>
      <c r="H1965" s="20" t="s">
        <v>193</v>
      </c>
      <c r="I1965" s="35">
        <v>3</v>
      </c>
      <c r="J1965" s="33">
        <v>4</v>
      </c>
      <c r="K1965" s="34" t="s">
        <v>96</v>
      </c>
      <c r="L1965" s="10">
        <v>42199</v>
      </c>
      <c r="M1965" s="9" t="s">
        <v>191</v>
      </c>
      <c r="N1965" s="38">
        <v>2.5499999999999998</v>
      </c>
      <c r="O1965" s="38">
        <v>0.25</v>
      </c>
      <c r="P1965" s="38">
        <v>0.08</v>
      </c>
      <c r="Q1965" s="38">
        <v>0.13</v>
      </c>
      <c r="R1965" s="38">
        <v>1.8979999999999999</v>
      </c>
      <c r="S1965" s="38">
        <f t="shared" si="255"/>
        <v>2</v>
      </c>
      <c r="T1965" s="38">
        <v>2.65</v>
      </c>
      <c r="U1965" s="38">
        <v>0.35</v>
      </c>
      <c r="V1965" s="38">
        <v>0</v>
      </c>
      <c r="W1965" s="38">
        <v>0</v>
      </c>
      <c r="X1965" s="38">
        <v>6.4219999999999997</v>
      </c>
      <c r="Y1965" s="38">
        <f t="shared" si="256"/>
        <v>6.5</v>
      </c>
      <c r="Z1965" s="38">
        <v>0</v>
      </c>
      <c r="AA1965" s="38">
        <v>0</v>
      </c>
      <c r="AB1965" s="38">
        <v>3</v>
      </c>
      <c r="AC1965" s="38">
        <v>1.1080000000000001</v>
      </c>
      <c r="AD1965" s="38">
        <v>0</v>
      </c>
      <c r="AE1965" s="38">
        <v>0</v>
      </c>
      <c r="AF1965" s="38">
        <v>0</v>
      </c>
      <c r="AG1965" s="38">
        <f t="shared" si="257"/>
        <v>0</v>
      </c>
      <c r="AH1965" s="38">
        <v>0</v>
      </c>
      <c r="AI1965" s="38">
        <v>0</v>
      </c>
      <c r="AJ1965" s="38">
        <v>0</v>
      </c>
      <c r="AK1965" s="55">
        <v>0</v>
      </c>
      <c r="AL1965" s="55">
        <v>0</v>
      </c>
      <c r="AM1965" s="55">
        <v>0</v>
      </c>
      <c r="AN1965" s="40"/>
      <c r="AO1965" s="25">
        <f t="shared" si="273"/>
        <v>3.01</v>
      </c>
      <c r="AP1965" s="25">
        <f t="shared" si="274"/>
        <v>3</v>
      </c>
      <c r="AQ1965" s="268">
        <v>5</v>
      </c>
      <c r="AR1965" s="41"/>
      <c r="AS1965" s="41"/>
      <c r="AT1965" s="41"/>
      <c r="AU1965" s="41">
        <f t="shared" si="267"/>
        <v>3.01</v>
      </c>
      <c r="AV1965" s="41">
        <f t="shared" si="268"/>
        <v>3</v>
      </c>
      <c r="AW1965" s="41">
        <f t="shared" si="269"/>
        <v>3</v>
      </c>
      <c r="AY1965" s="22">
        <f t="shared" si="270"/>
        <v>0.99667774086378746</v>
      </c>
      <c r="AZ1965" s="22">
        <f t="shared" si="271"/>
        <v>1</v>
      </c>
      <c r="BA1965" s="22">
        <f t="shared" si="272"/>
        <v>1</v>
      </c>
    </row>
    <row r="1966" spans="1:88">
      <c r="A1966" s="1">
        <v>251</v>
      </c>
      <c r="B1966" s="34" t="s">
        <v>436</v>
      </c>
      <c r="C1966" s="34">
        <v>537</v>
      </c>
      <c r="D1966" s="34">
        <v>1385</v>
      </c>
      <c r="E1966" s="34">
        <v>100</v>
      </c>
      <c r="F1966" s="34" t="s">
        <v>467</v>
      </c>
      <c r="G1966" s="20">
        <v>0</v>
      </c>
      <c r="H1966" s="20">
        <v>6892</v>
      </c>
      <c r="I1966" s="35">
        <v>6.8920000000000003</v>
      </c>
      <c r="J1966" s="33">
        <v>2</v>
      </c>
      <c r="K1966" s="34" t="s">
        <v>12</v>
      </c>
      <c r="L1966" s="10">
        <v>42199</v>
      </c>
      <c r="M1966" s="9" t="s">
        <v>191</v>
      </c>
      <c r="N1966" s="38">
        <v>5.31</v>
      </c>
      <c r="O1966" s="38">
        <v>0.98</v>
      </c>
      <c r="P1966" s="38">
        <v>0.28000000000000003</v>
      </c>
      <c r="Q1966" s="38">
        <v>0.33</v>
      </c>
      <c r="R1966" s="38">
        <v>2.2744</v>
      </c>
      <c r="S1966" s="38">
        <f t="shared" si="255"/>
        <v>2.5</v>
      </c>
      <c r="T1966" s="38">
        <v>6.85</v>
      </c>
      <c r="U1966" s="38">
        <v>0</v>
      </c>
      <c r="V1966" s="38">
        <v>0.05</v>
      </c>
      <c r="W1966" s="38">
        <v>0</v>
      </c>
      <c r="X1966" s="38">
        <v>2.3796300000000001</v>
      </c>
      <c r="Y1966" s="38">
        <f t="shared" si="256"/>
        <v>2.5</v>
      </c>
      <c r="Z1966" s="38">
        <v>0</v>
      </c>
      <c r="AA1966" s="38">
        <v>0</v>
      </c>
      <c r="AB1966" s="38">
        <v>6.9</v>
      </c>
      <c r="AC1966" s="38">
        <v>1.26302</v>
      </c>
      <c r="AD1966" s="38">
        <v>0</v>
      </c>
      <c r="AE1966" s="38">
        <v>0</v>
      </c>
      <c r="AF1966" s="38">
        <v>0</v>
      </c>
      <c r="AG1966" s="38">
        <f t="shared" si="257"/>
        <v>0</v>
      </c>
      <c r="AH1966" s="38">
        <v>0</v>
      </c>
      <c r="AI1966" s="38">
        <v>0</v>
      </c>
      <c r="AJ1966" s="38">
        <v>0</v>
      </c>
      <c r="AK1966" s="55">
        <v>0</v>
      </c>
      <c r="AL1966" s="55">
        <v>14</v>
      </c>
      <c r="AM1966" s="55">
        <v>5.8038305281485777E-2</v>
      </c>
      <c r="AN1966" s="40"/>
      <c r="AO1966" s="25">
        <f t="shared" si="273"/>
        <v>6.8999999999999995</v>
      </c>
      <c r="AP1966" s="25">
        <f t="shared" si="274"/>
        <v>6.8999999999999995</v>
      </c>
      <c r="AQ1966" s="268">
        <v>6.8920000000000003</v>
      </c>
      <c r="AR1966" s="41"/>
      <c r="AS1966" s="41"/>
      <c r="AT1966" s="41"/>
      <c r="AU1966" s="41">
        <f t="shared" si="267"/>
        <v>6.8999999999999995</v>
      </c>
      <c r="AV1966" s="41">
        <f t="shared" si="268"/>
        <v>6.8999999999999995</v>
      </c>
      <c r="AW1966" s="41">
        <f t="shared" si="269"/>
        <v>6.9</v>
      </c>
      <c r="AX1966" s="22"/>
      <c r="AY1966" s="22">
        <f t="shared" si="270"/>
        <v>0.99884057971014506</v>
      </c>
      <c r="AZ1966" s="22">
        <f t="shared" si="271"/>
        <v>0.99884057971014506</v>
      </c>
      <c r="BA1966" s="22">
        <f t="shared" si="272"/>
        <v>0.99884057971014495</v>
      </c>
      <c r="BB1966" s="22"/>
      <c r="BC1966" s="22"/>
      <c r="BD1966" s="22"/>
      <c r="BE1966" s="22"/>
      <c r="BF1966" s="22"/>
      <c r="BG1966" s="22"/>
      <c r="BH1966" s="22"/>
      <c r="BI1966" s="22"/>
      <c r="BJ1966" s="22"/>
      <c r="BK1966" s="22"/>
      <c r="BL1966" s="22"/>
      <c r="BM1966" s="22"/>
      <c r="BN1966" s="22"/>
      <c r="BO1966" s="22"/>
      <c r="BP1966" s="22"/>
      <c r="BQ1966" s="22"/>
      <c r="BR1966" s="22"/>
      <c r="BS1966" s="22"/>
      <c r="BT1966" s="22"/>
      <c r="BU1966" s="22"/>
      <c r="BV1966" s="22"/>
      <c r="BW1966" s="22"/>
      <c r="BX1966" s="22"/>
      <c r="BY1966" s="22"/>
      <c r="BZ1966" s="22"/>
      <c r="CA1966" s="22"/>
      <c r="CB1966" s="22"/>
      <c r="CC1966" s="22"/>
      <c r="CD1966" s="22"/>
      <c r="CE1966" s="22"/>
      <c r="CF1966" s="22"/>
      <c r="CG1966" s="22"/>
      <c r="CH1966" s="22"/>
      <c r="CI1966" s="22"/>
      <c r="CJ1966" s="22"/>
    </row>
    <row r="1967" spans="1:88">
      <c r="A1967" s="1">
        <v>289</v>
      </c>
      <c r="B1967" s="34" t="s">
        <v>509</v>
      </c>
      <c r="C1967" s="34">
        <v>642</v>
      </c>
      <c r="D1967" s="34">
        <v>2094</v>
      </c>
      <c r="E1967" s="34">
        <v>101</v>
      </c>
      <c r="F1967" s="34" t="s">
        <v>517</v>
      </c>
      <c r="G1967" s="58">
        <v>0</v>
      </c>
      <c r="H1967" s="58">
        <v>17000</v>
      </c>
      <c r="I1967" s="35">
        <v>17</v>
      </c>
      <c r="J1967" s="63">
        <v>2</v>
      </c>
      <c r="K1967" s="34" t="s">
        <v>238</v>
      </c>
      <c r="L1967" s="10">
        <v>42161</v>
      </c>
      <c r="M1967" s="9" t="s">
        <v>191</v>
      </c>
      <c r="N1967" s="38">
        <v>11.25</v>
      </c>
      <c r="O1967" s="38">
        <v>3.6749999999999998</v>
      </c>
      <c r="P1967" s="38">
        <v>1.4750000000000001</v>
      </c>
      <c r="Q1967" s="38">
        <v>0.5</v>
      </c>
      <c r="R1967" s="38">
        <v>2.4196399999999998</v>
      </c>
      <c r="S1967" s="38">
        <f t="shared" si="255"/>
        <v>2.5</v>
      </c>
      <c r="T1967" s="38">
        <v>14.025</v>
      </c>
      <c r="U1967" s="38">
        <v>1.625</v>
      </c>
      <c r="V1967" s="38">
        <v>0.9</v>
      </c>
      <c r="W1967" s="38">
        <v>0.35</v>
      </c>
      <c r="X1967" s="38">
        <v>5.9164700000000003</v>
      </c>
      <c r="Y1967" s="38">
        <f t="shared" si="256"/>
        <v>6</v>
      </c>
      <c r="Z1967" s="38">
        <v>0</v>
      </c>
      <c r="AA1967" s="38">
        <v>0</v>
      </c>
      <c r="AB1967" s="38">
        <f>T1967+U1967+V1967+W1967</f>
        <v>16.900000000000002</v>
      </c>
      <c r="AC1967" s="38">
        <v>1.3613599999999999</v>
      </c>
      <c r="AD1967" s="38">
        <v>0</v>
      </c>
      <c r="AE1967" s="38">
        <v>0</v>
      </c>
      <c r="AF1967" s="38">
        <v>0</v>
      </c>
      <c r="AG1967" s="38">
        <f t="shared" si="257"/>
        <v>0</v>
      </c>
      <c r="AH1967" s="38">
        <v>0.84</v>
      </c>
      <c r="AI1967" s="38">
        <v>1.4117647058823528E-3</v>
      </c>
      <c r="AJ1967" s="38">
        <v>0</v>
      </c>
      <c r="AK1967" s="38">
        <v>0</v>
      </c>
      <c r="AL1967" s="38">
        <v>0</v>
      </c>
      <c r="AM1967" s="38">
        <v>0</v>
      </c>
      <c r="AN1967" s="60"/>
      <c r="AO1967" s="60"/>
      <c r="AP1967" s="60">
        <f>AE1967*0.5</f>
        <v>0</v>
      </c>
      <c r="AQ1967" s="64">
        <f>(AD1967+AH1967+AJ1967+AL1967+AP1967)*I1967</f>
        <v>14.28</v>
      </c>
      <c r="AR1967" s="60"/>
      <c r="AS1967" s="25">
        <f>SUM(N1967:Q1967)</f>
        <v>16.900000000000002</v>
      </c>
      <c r="AT1967" s="25"/>
      <c r="AU1967" s="41">
        <f t="shared" si="267"/>
        <v>16.900000000000002</v>
      </c>
      <c r="AV1967" s="41">
        <f t="shared" si="268"/>
        <v>16.900000000000002</v>
      </c>
      <c r="AW1967" s="41">
        <f t="shared" si="269"/>
        <v>16.900000000000002</v>
      </c>
      <c r="AX1967" s="22"/>
      <c r="AY1967" s="22">
        <f t="shared" si="270"/>
        <v>1.0059171597633134</v>
      </c>
      <c r="AZ1967" s="22">
        <f t="shared" si="271"/>
        <v>1.0059171597633134</v>
      </c>
      <c r="BA1967" s="22">
        <f t="shared" si="272"/>
        <v>1.0059171597633134</v>
      </c>
      <c r="BB1967" s="61"/>
      <c r="BC1967" s="61"/>
      <c r="BD1967" s="61"/>
      <c r="BE1967" s="61"/>
      <c r="BF1967" s="61"/>
      <c r="BG1967" s="61"/>
      <c r="BH1967" s="61"/>
      <c r="BI1967" s="61"/>
      <c r="BJ1967" s="61"/>
      <c r="BK1967" s="61"/>
      <c r="BL1967" s="61"/>
      <c r="BM1967" s="61"/>
      <c r="BN1967" s="61"/>
      <c r="BO1967" s="61"/>
      <c r="BP1967" s="61"/>
      <c r="BQ1967" s="61"/>
      <c r="BR1967" s="61"/>
      <c r="BS1967" s="61"/>
      <c r="BT1967" s="61"/>
      <c r="BU1967" s="61"/>
      <c r="BV1967" s="61"/>
      <c r="BW1967" s="61"/>
      <c r="BX1967" s="61"/>
      <c r="BY1967" s="61"/>
      <c r="BZ1967" s="61"/>
      <c r="CA1967" s="61"/>
      <c r="CB1967" s="61"/>
      <c r="CC1967" s="61"/>
      <c r="CD1967" s="61"/>
      <c r="CE1967" s="61"/>
      <c r="CF1967" s="61"/>
      <c r="CG1967" s="61"/>
      <c r="CH1967" s="61"/>
      <c r="CI1967" s="61"/>
      <c r="CJ1967" s="61"/>
    </row>
    <row r="1968" spans="1:88">
      <c r="A1968" s="1">
        <v>292</v>
      </c>
      <c r="B1968" s="34" t="s">
        <v>509</v>
      </c>
      <c r="C1968" s="34">
        <v>642</v>
      </c>
      <c r="D1968" s="34">
        <v>2185</v>
      </c>
      <c r="E1968" s="34">
        <v>100</v>
      </c>
      <c r="F1968" s="34" t="s">
        <v>520</v>
      </c>
      <c r="G1968" s="58">
        <v>0</v>
      </c>
      <c r="H1968" s="58">
        <v>7563</v>
      </c>
      <c r="I1968" s="35">
        <v>7.5629999999999997</v>
      </c>
      <c r="J1968" s="62">
        <v>2</v>
      </c>
      <c r="K1968" s="34" t="s">
        <v>238</v>
      </c>
      <c r="L1968" s="10">
        <v>42161</v>
      </c>
      <c r="M1968" s="9" t="s">
        <v>191</v>
      </c>
      <c r="N1968" s="38">
        <v>5.3</v>
      </c>
      <c r="O1968" s="38">
        <v>1.925</v>
      </c>
      <c r="P1968" s="38">
        <v>0.25</v>
      </c>
      <c r="Q1968" s="38">
        <v>7.4999999999999997E-2</v>
      </c>
      <c r="R1968" s="38">
        <v>3.18764</v>
      </c>
      <c r="S1968" s="38">
        <f t="shared" si="255"/>
        <v>3</v>
      </c>
      <c r="T1968" s="38">
        <v>7.55</v>
      </c>
      <c r="U1968" s="38">
        <v>0</v>
      </c>
      <c r="V1968" s="38">
        <v>0</v>
      </c>
      <c r="W1968" s="38">
        <v>0</v>
      </c>
      <c r="X1968" s="38">
        <v>2.7439800000000001</v>
      </c>
      <c r="Y1968" s="38">
        <f t="shared" si="256"/>
        <v>2.5</v>
      </c>
      <c r="Z1968" s="38">
        <v>0</v>
      </c>
      <c r="AA1968" s="38">
        <v>0</v>
      </c>
      <c r="AB1968" s="38">
        <f>T1968+U1968+V1968+W1968</f>
        <v>7.55</v>
      </c>
      <c r="AC1968" s="38">
        <v>1.52024</v>
      </c>
      <c r="AD1968" s="38">
        <v>0</v>
      </c>
      <c r="AE1968" s="38">
        <v>0</v>
      </c>
      <c r="AF1968" s="38">
        <v>0</v>
      </c>
      <c r="AG1968" s="38">
        <f t="shared" si="257"/>
        <v>0</v>
      </c>
      <c r="AH1968" s="38">
        <v>42.88</v>
      </c>
      <c r="AI1968" s="38">
        <v>0.16199165108328142</v>
      </c>
      <c r="AJ1968" s="38">
        <v>0</v>
      </c>
      <c r="AK1968" s="38">
        <v>0</v>
      </c>
      <c r="AL1968" s="38">
        <v>0</v>
      </c>
      <c r="AM1968" s="38">
        <v>0</v>
      </c>
      <c r="AN1968" s="60"/>
      <c r="AO1968" s="60"/>
      <c r="AP1968" s="60">
        <f>AE1968*0.5</f>
        <v>0</v>
      </c>
      <c r="AQ1968" s="64">
        <f>(AD1968+AH1968+AJ1968+AL1968+AP1968)*I1968</f>
        <v>324.30144000000001</v>
      </c>
      <c r="AR1968" s="60"/>
      <c r="AS1968" s="25">
        <f>SUM(N1968:Q1968)</f>
        <v>7.55</v>
      </c>
      <c r="AT1968" s="25"/>
      <c r="AU1968" s="41">
        <f t="shared" si="267"/>
        <v>7.55</v>
      </c>
      <c r="AV1968" s="41">
        <f t="shared" si="268"/>
        <v>7.55</v>
      </c>
      <c r="AW1968" s="41">
        <f t="shared" si="269"/>
        <v>7.55</v>
      </c>
      <c r="AX1968" s="22"/>
      <c r="AY1968" s="22">
        <f t="shared" si="270"/>
        <v>1.0017218543046358</v>
      </c>
      <c r="AZ1968" s="22">
        <f t="shared" si="271"/>
        <v>1.0017218543046358</v>
      </c>
      <c r="BA1968" s="22">
        <f t="shared" si="272"/>
        <v>1.0017218543046358</v>
      </c>
      <c r="BB1968" s="61"/>
      <c r="BC1968" s="61"/>
      <c r="BD1968" s="61"/>
      <c r="BE1968" s="61"/>
      <c r="BF1968" s="61"/>
      <c r="BG1968" s="61"/>
      <c r="BH1968" s="61"/>
      <c r="BI1968" s="61"/>
      <c r="BJ1968" s="61"/>
      <c r="BK1968" s="61"/>
      <c r="BL1968" s="61"/>
      <c r="BM1968" s="61"/>
      <c r="BN1968" s="61"/>
      <c r="BO1968" s="61"/>
      <c r="BP1968" s="61"/>
      <c r="BQ1968" s="61"/>
      <c r="BR1968" s="61"/>
      <c r="BS1968" s="61"/>
      <c r="BT1968" s="61"/>
      <c r="BU1968" s="61"/>
      <c r="BV1968" s="61"/>
      <c r="BW1968" s="61"/>
      <c r="BX1968" s="61"/>
      <c r="BY1968" s="61"/>
      <c r="BZ1968" s="61"/>
      <c r="CA1968" s="61"/>
      <c r="CB1968" s="61"/>
      <c r="CC1968" s="61"/>
      <c r="CD1968" s="61"/>
      <c r="CE1968" s="61"/>
      <c r="CF1968" s="61"/>
      <c r="CG1968" s="61"/>
      <c r="CH1968" s="61"/>
      <c r="CI1968" s="61"/>
      <c r="CJ1968" s="61"/>
    </row>
    <row r="1969" spans="1:88">
      <c r="A1969" s="1">
        <v>300</v>
      </c>
      <c r="B1969" s="34" t="s">
        <v>509</v>
      </c>
      <c r="C1969" s="34">
        <v>642</v>
      </c>
      <c r="D1969" s="34">
        <v>2379</v>
      </c>
      <c r="E1969" s="34">
        <v>100</v>
      </c>
      <c r="F1969" s="34" t="s">
        <v>528</v>
      </c>
      <c r="G1969" s="58">
        <v>0</v>
      </c>
      <c r="H1969" s="58">
        <v>4336</v>
      </c>
      <c r="I1969" s="35">
        <v>4.3360000000000003</v>
      </c>
      <c r="J1969" s="62">
        <v>2</v>
      </c>
      <c r="K1969" s="34" t="s">
        <v>238</v>
      </c>
      <c r="L1969" s="10">
        <v>42163</v>
      </c>
      <c r="M1969" s="9" t="s">
        <v>191</v>
      </c>
      <c r="N1969" s="38">
        <v>3.3250000000000002</v>
      </c>
      <c r="O1969" s="38">
        <v>0.67500000000000004</v>
      </c>
      <c r="P1969" s="38">
        <v>0.27500000000000002</v>
      </c>
      <c r="Q1969" s="38">
        <v>0.05</v>
      </c>
      <c r="R1969" s="38">
        <v>2.1457199999999998</v>
      </c>
      <c r="S1969" s="38">
        <f t="shared" si="255"/>
        <v>2</v>
      </c>
      <c r="T1969" s="38">
        <v>4.2249999999999996</v>
      </c>
      <c r="U1969" s="38">
        <v>0.1</v>
      </c>
      <c r="V1969" s="38">
        <v>0</v>
      </c>
      <c r="W1969" s="38">
        <v>0</v>
      </c>
      <c r="X1969" s="38">
        <v>3.5446200000000001</v>
      </c>
      <c r="Y1969" s="38">
        <f t="shared" si="256"/>
        <v>3.5</v>
      </c>
      <c r="Z1969" s="38">
        <v>0</v>
      </c>
      <c r="AA1969" s="38">
        <v>0</v>
      </c>
      <c r="AB1969" s="38">
        <f>T1969+U1969+V1969+W1969</f>
        <v>4.3249999999999993</v>
      </c>
      <c r="AC1969" s="38">
        <v>1.5299499999999999</v>
      </c>
      <c r="AD1969" s="38">
        <v>0</v>
      </c>
      <c r="AE1969" s="38">
        <v>0</v>
      </c>
      <c r="AF1969" s="38">
        <v>0</v>
      </c>
      <c r="AG1969" s="38">
        <f t="shared" si="257"/>
        <v>0</v>
      </c>
      <c r="AH1969" s="38">
        <v>0</v>
      </c>
      <c r="AI1969" s="38">
        <v>0</v>
      </c>
      <c r="AJ1969" s="38">
        <v>2.34</v>
      </c>
      <c r="AK1969" s="38">
        <v>1.5419082762256191E-2</v>
      </c>
      <c r="AL1969" s="38">
        <v>0</v>
      </c>
      <c r="AM1969" s="38">
        <v>0</v>
      </c>
      <c r="AN1969" s="60"/>
      <c r="AO1969" s="60"/>
      <c r="AP1969" s="60">
        <f>AE1969*0.5</f>
        <v>0</v>
      </c>
      <c r="AQ1969" s="64">
        <f>(AD1969+AH1969+AJ1969+AL1969+AP1969)*I1969</f>
        <v>10.146240000000001</v>
      </c>
      <c r="AR1969" s="60"/>
      <c r="AS1969" s="25">
        <f>SUM(N1969:Q1969)</f>
        <v>4.3250000000000002</v>
      </c>
      <c r="AT1969" s="25"/>
      <c r="AU1969" s="41">
        <f t="shared" si="267"/>
        <v>4.3250000000000002</v>
      </c>
      <c r="AV1969" s="41">
        <f t="shared" si="268"/>
        <v>4.3249999999999993</v>
      </c>
      <c r="AW1969" s="41">
        <f t="shared" si="269"/>
        <v>4.3249999999999993</v>
      </c>
      <c r="AX1969" s="22"/>
      <c r="AY1969" s="22">
        <f t="shared" si="270"/>
        <v>1.002543352601156</v>
      </c>
      <c r="AZ1969" s="22">
        <f t="shared" si="271"/>
        <v>1.0025433526011562</v>
      </c>
      <c r="BA1969" s="22">
        <f t="shared" si="272"/>
        <v>1.0025433526011562</v>
      </c>
      <c r="BB1969" s="64"/>
      <c r="BC1969" s="64"/>
      <c r="BD1969" s="64"/>
      <c r="BE1969" s="64"/>
      <c r="BF1969" s="64"/>
      <c r="BG1969" s="64"/>
      <c r="BH1969" s="64"/>
      <c r="BI1969" s="64"/>
      <c r="BJ1969" s="64"/>
      <c r="BK1969" s="64"/>
      <c r="BL1969" s="64"/>
      <c r="BM1969" s="64"/>
      <c r="BN1969" s="64"/>
      <c r="BO1969" s="64"/>
      <c r="BP1969" s="64"/>
      <c r="BQ1969" s="64"/>
      <c r="BR1969" s="64"/>
      <c r="BS1969" s="64"/>
      <c r="BT1969" s="64"/>
      <c r="BU1969" s="64"/>
      <c r="BV1969" s="64"/>
      <c r="BW1969" s="64"/>
      <c r="BX1969" s="64"/>
      <c r="BY1969" s="64"/>
      <c r="BZ1969" s="64"/>
      <c r="CA1969" s="64"/>
      <c r="CB1969" s="64"/>
      <c r="CC1969" s="64"/>
      <c r="CD1969" s="64"/>
      <c r="CE1969" s="64"/>
      <c r="CF1969" s="64"/>
      <c r="CG1969" s="64"/>
      <c r="CH1969" s="64"/>
      <c r="CI1969" s="64"/>
      <c r="CJ1969" s="64"/>
    </row>
    <row r="1970" spans="1:88">
      <c r="A1970" s="1">
        <v>315</v>
      </c>
      <c r="B1970" s="34" t="s">
        <v>542</v>
      </c>
      <c r="C1970" s="34">
        <v>644</v>
      </c>
      <c r="D1970" s="34">
        <v>2032</v>
      </c>
      <c r="E1970" s="34">
        <v>100</v>
      </c>
      <c r="F1970" s="34" t="s">
        <v>547</v>
      </c>
      <c r="G1970" s="58">
        <v>0</v>
      </c>
      <c r="H1970" s="58">
        <v>31214</v>
      </c>
      <c r="I1970" s="35">
        <v>31.213999999999999</v>
      </c>
      <c r="J1970" s="62">
        <v>2</v>
      </c>
      <c r="K1970" s="34" t="s">
        <v>238</v>
      </c>
      <c r="L1970" s="10">
        <v>42158</v>
      </c>
      <c r="M1970" s="9" t="s">
        <v>191</v>
      </c>
      <c r="N1970" s="38">
        <v>22.18</v>
      </c>
      <c r="O1970" s="38">
        <v>5.6</v>
      </c>
      <c r="P1970" s="38">
        <v>2.2599999999999998</v>
      </c>
      <c r="Q1970" s="38">
        <v>1.18</v>
      </c>
      <c r="R1970" s="38">
        <v>3.2062300000000001</v>
      </c>
      <c r="S1970" s="38">
        <f t="shared" si="255"/>
        <v>3</v>
      </c>
      <c r="T1970" s="38">
        <v>30.84</v>
      </c>
      <c r="U1970" s="38">
        <v>0.35</v>
      </c>
      <c r="V1970" s="38">
        <v>0.03</v>
      </c>
      <c r="W1970" s="38">
        <v>0</v>
      </c>
      <c r="X1970" s="38">
        <v>3.5110100000000002</v>
      </c>
      <c r="Y1970" s="38">
        <f t="shared" si="256"/>
        <v>3.5</v>
      </c>
      <c r="Z1970" s="38">
        <v>0</v>
      </c>
      <c r="AA1970" s="38">
        <v>0</v>
      </c>
      <c r="AB1970" s="38">
        <v>31.21</v>
      </c>
      <c r="AC1970" s="38">
        <v>1.17083</v>
      </c>
      <c r="AD1970" s="38">
        <v>0</v>
      </c>
      <c r="AE1970" s="38">
        <v>0</v>
      </c>
      <c r="AF1970" s="38">
        <v>0</v>
      </c>
      <c r="AG1970" s="38">
        <f t="shared" si="257"/>
        <v>0</v>
      </c>
      <c r="AH1970" s="38">
        <v>1.66</v>
      </c>
      <c r="AI1970" s="38">
        <v>1.5200000000000001E-3</v>
      </c>
      <c r="AJ1970" s="38">
        <v>0</v>
      </c>
      <c r="AK1970" s="38">
        <v>0</v>
      </c>
      <c r="AL1970" s="38">
        <v>0</v>
      </c>
      <c r="AM1970" s="38">
        <v>0</v>
      </c>
      <c r="AN1970" s="60"/>
      <c r="AO1970" s="60">
        <f>AE1970*0.5</f>
        <v>0</v>
      </c>
      <c r="AP1970" s="60">
        <f>(AD1970+AH1970+AJ1970+AL1970+AO1970)*I1970</f>
        <v>51.815239999999996</v>
      </c>
      <c r="AQ1970" s="25">
        <f>SUM(N1970:Q1970)</f>
        <v>31.22</v>
      </c>
      <c r="AR1970" s="25">
        <f>SUM(T1970:W1970)</f>
        <v>31.220000000000002</v>
      </c>
      <c r="AS1970" s="268">
        <v>31.213999999999999</v>
      </c>
      <c r="AT1970" s="40"/>
      <c r="AU1970" s="41">
        <f t="shared" si="267"/>
        <v>31.22</v>
      </c>
      <c r="AV1970" s="41">
        <f t="shared" si="268"/>
        <v>31.220000000000002</v>
      </c>
      <c r="AW1970" s="41">
        <f t="shared" si="269"/>
        <v>31.21</v>
      </c>
      <c r="AX1970" s="22"/>
      <c r="AY1970" s="22">
        <f t="shared" si="270"/>
        <v>0.99980781550288278</v>
      </c>
      <c r="AZ1970" s="22">
        <f t="shared" si="271"/>
        <v>0.99980781550288267</v>
      </c>
      <c r="BA1970" s="22">
        <f t="shared" si="272"/>
        <v>1.0001281640499839</v>
      </c>
      <c r="BB1970" s="61"/>
      <c r="BC1970" s="61"/>
      <c r="BD1970" s="61"/>
      <c r="BE1970" s="61"/>
      <c r="BF1970" s="61"/>
      <c r="BG1970" s="61"/>
      <c r="BH1970" s="61"/>
      <c r="BI1970" s="61"/>
      <c r="BJ1970" s="61"/>
      <c r="BK1970" s="61"/>
      <c r="BL1970" s="61"/>
      <c r="BM1970" s="61"/>
      <c r="BN1970" s="61"/>
      <c r="BO1970" s="61"/>
      <c r="BP1970" s="61"/>
      <c r="BQ1970" s="61"/>
      <c r="BR1970" s="61"/>
      <c r="BS1970" s="61"/>
      <c r="BT1970" s="61"/>
      <c r="BU1970" s="61"/>
      <c r="BV1970" s="61"/>
      <c r="BW1970" s="61"/>
      <c r="BX1970" s="61"/>
      <c r="BY1970" s="61"/>
      <c r="BZ1970" s="61"/>
      <c r="CA1970" s="61"/>
      <c r="CB1970" s="61"/>
      <c r="CC1970" s="61"/>
      <c r="CD1970" s="61"/>
      <c r="CE1970" s="61"/>
      <c r="CF1970" s="61"/>
      <c r="CG1970" s="61"/>
      <c r="CH1970" s="61"/>
      <c r="CI1970" s="61"/>
      <c r="CJ1970" s="61"/>
    </row>
    <row r="1971" spans="1:88">
      <c r="A1971" s="1">
        <v>317</v>
      </c>
      <c r="B1971" s="34" t="s">
        <v>542</v>
      </c>
      <c r="C1971" s="34">
        <v>644</v>
      </c>
      <c r="D1971" s="34">
        <v>2104</v>
      </c>
      <c r="E1971" s="34">
        <v>102</v>
      </c>
      <c r="F1971" s="34" t="s">
        <v>549</v>
      </c>
      <c r="G1971" s="65">
        <v>26152</v>
      </c>
      <c r="H1971" s="58">
        <v>30335</v>
      </c>
      <c r="I1971" s="35">
        <v>4.1829999999999998</v>
      </c>
      <c r="J1971" s="62">
        <v>2</v>
      </c>
      <c r="K1971" s="34" t="s">
        <v>238</v>
      </c>
      <c r="L1971" s="10">
        <v>42158</v>
      </c>
      <c r="M1971" s="9" t="s">
        <v>191</v>
      </c>
      <c r="N1971" s="38">
        <v>1.66</v>
      </c>
      <c r="O1971" s="38">
        <v>0.42</v>
      </c>
      <c r="P1971" s="38">
        <v>0.89</v>
      </c>
      <c r="Q1971" s="38">
        <v>1.21</v>
      </c>
      <c r="R1971" s="38">
        <v>3.6269200000000001</v>
      </c>
      <c r="S1971" s="38">
        <f t="shared" si="255"/>
        <v>3.5</v>
      </c>
      <c r="T1971" s="38">
        <v>4.08</v>
      </c>
      <c r="U1971" s="38">
        <v>0.11</v>
      </c>
      <c r="V1971" s="38">
        <v>0</v>
      </c>
      <c r="W1971" s="38">
        <v>0</v>
      </c>
      <c r="X1971" s="38">
        <v>3.9105699999999999</v>
      </c>
      <c r="Y1971" s="38">
        <f t="shared" si="256"/>
        <v>4</v>
      </c>
      <c r="Z1971" s="38">
        <v>0</v>
      </c>
      <c r="AA1971" s="38">
        <v>0</v>
      </c>
      <c r="AB1971" s="38">
        <v>4.1900000000000004</v>
      </c>
      <c r="AC1971" s="38">
        <v>1.2962100000000001</v>
      </c>
      <c r="AD1971" s="38">
        <v>0</v>
      </c>
      <c r="AE1971" s="38">
        <v>0</v>
      </c>
      <c r="AF1971" s="38">
        <v>0</v>
      </c>
      <c r="AG1971" s="38">
        <f t="shared" si="257"/>
        <v>0</v>
      </c>
      <c r="AH1971" s="38">
        <v>8.61</v>
      </c>
      <c r="AI1971" s="38">
        <v>5.8810000000000001E-2</v>
      </c>
      <c r="AJ1971" s="38">
        <v>0</v>
      </c>
      <c r="AK1971" s="38">
        <v>0</v>
      </c>
      <c r="AL1971" s="38">
        <v>0</v>
      </c>
      <c r="AM1971" s="38">
        <v>0</v>
      </c>
      <c r="AN1971" s="60"/>
      <c r="AO1971" s="60">
        <f>AE1971*0.5</f>
        <v>0</v>
      </c>
      <c r="AP1971" s="60">
        <f>(AD1971+AH1971+AJ1971+AL1971+AO1971)*I1971</f>
        <v>36.015629999999994</v>
      </c>
      <c r="AQ1971" s="25">
        <f>SUM(N1971:Q1971)</f>
        <v>4.18</v>
      </c>
      <c r="AR1971" s="25">
        <f>SUM(T1971:W1971)</f>
        <v>4.1900000000000004</v>
      </c>
      <c r="AS1971" s="268">
        <v>4.1829999999999998</v>
      </c>
      <c r="AT1971" s="40"/>
      <c r="AU1971" s="41">
        <f t="shared" si="267"/>
        <v>4.18</v>
      </c>
      <c r="AV1971" s="41">
        <f t="shared" si="268"/>
        <v>4.1900000000000004</v>
      </c>
      <c r="AW1971" s="41">
        <f t="shared" si="269"/>
        <v>4.1900000000000004</v>
      </c>
      <c r="AX1971" s="22"/>
      <c r="AY1971" s="22">
        <f t="shared" si="270"/>
        <v>1.0007177033492822</v>
      </c>
      <c r="AZ1971" s="22">
        <f t="shared" si="271"/>
        <v>0.99832935560859171</v>
      </c>
      <c r="BA1971" s="22">
        <f t="shared" si="272"/>
        <v>0.99832935560859171</v>
      </c>
      <c r="BB1971" s="61"/>
      <c r="BC1971" s="61"/>
      <c r="BD1971" s="61"/>
      <c r="BE1971" s="61"/>
      <c r="BF1971" s="61"/>
      <c r="BG1971" s="61"/>
      <c r="BH1971" s="61"/>
      <c r="BI1971" s="61"/>
      <c r="BJ1971" s="61"/>
      <c r="BK1971" s="61"/>
      <c r="BL1971" s="61"/>
      <c r="BM1971" s="61"/>
      <c r="BN1971" s="61"/>
      <c r="BO1971" s="61"/>
      <c r="BP1971" s="61"/>
      <c r="BQ1971" s="61"/>
      <c r="BR1971" s="61"/>
      <c r="BS1971" s="61"/>
      <c r="BT1971" s="61"/>
      <c r="BU1971" s="61"/>
      <c r="BV1971" s="61"/>
      <c r="BW1971" s="61"/>
      <c r="BX1971" s="61"/>
      <c r="BY1971" s="61"/>
      <c r="BZ1971" s="61"/>
      <c r="CA1971" s="61"/>
      <c r="CB1971" s="61"/>
      <c r="CC1971" s="61"/>
      <c r="CD1971" s="61"/>
      <c r="CE1971" s="61"/>
      <c r="CF1971" s="61"/>
      <c r="CG1971" s="61"/>
      <c r="CH1971" s="61"/>
      <c r="CI1971" s="61"/>
      <c r="CJ1971" s="61"/>
    </row>
    <row r="1972" spans="1:88">
      <c r="A1972" s="1">
        <v>327</v>
      </c>
      <c r="B1972" s="34" t="s">
        <v>557</v>
      </c>
      <c r="C1972" s="34">
        <v>646</v>
      </c>
      <c r="D1972" s="34">
        <v>212</v>
      </c>
      <c r="E1972" s="34">
        <v>101</v>
      </c>
      <c r="F1972" s="34" t="s">
        <v>562</v>
      </c>
      <c r="G1972" s="58">
        <v>0</v>
      </c>
      <c r="H1972" s="58">
        <v>32600</v>
      </c>
      <c r="I1972" s="35">
        <v>32.6</v>
      </c>
      <c r="J1972" s="62">
        <v>4</v>
      </c>
      <c r="K1972" s="34" t="s">
        <v>237</v>
      </c>
      <c r="L1972" s="10">
        <v>42165</v>
      </c>
      <c r="M1972" s="9" t="s">
        <v>191</v>
      </c>
      <c r="N1972" s="38">
        <v>25.4</v>
      </c>
      <c r="O1972" s="38">
        <v>5.4</v>
      </c>
      <c r="P1972" s="38">
        <v>1.25</v>
      </c>
      <c r="Q1972" s="38">
        <v>0.42499999999999999</v>
      </c>
      <c r="R1972" s="38">
        <v>2.2648799999999998</v>
      </c>
      <c r="S1972" s="38">
        <f t="shared" si="255"/>
        <v>2.5</v>
      </c>
      <c r="T1972" s="38">
        <v>25.024999999999999</v>
      </c>
      <c r="U1972" s="38">
        <v>5.2</v>
      </c>
      <c r="V1972" s="38">
        <v>1.625</v>
      </c>
      <c r="W1972" s="38">
        <v>0.625</v>
      </c>
      <c r="X1972" s="38">
        <v>8.6165400000000005</v>
      </c>
      <c r="Y1972" s="38">
        <f t="shared" si="256"/>
        <v>8.5</v>
      </c>
      <c r="Z1972" s="38">
        <v>0</v>
      </c>
      <c r="AA1972" s="38">
        <v>0</v>
      </c>
      <c r="AB1972" s="38">
        <f>T1972+U1972+V1972+W1972</f>
        <v>32.474999999999994</v>
      </c>
      <c r="AC1972" s="38">
        <v>1.17981</v>
      </c>
      <c r="AD1972" s="38">
        <v>0</v>
      </c>
      <c r="AE1972" s="38">
        <v>0</v>
      </c>
      <c r="AF1972" s="38">
        <f t="shared" ref="AF1972:AF1981" si="275">(AD1972+AE1972*0.5)/(3.5*I1972*1000)*100</f>
        <v>0</v>
      </c>
      <c r="AG1972" s="38">
        <f t="shared" si="257"/>
        <v>0</v>
      </c>
      <c r="AH1972" s="38">
        <v>0</v>
      </c>
      <c r="AI1972" s="38">
        <f t="shared" ref="AI1972:AI1981" si="276">AH1972/(3.5*I1972*1000)*100</f>
        <v>0</v>
      </c>
      <c r="AJ1972" s="38">
        <v>15.66</v>
      </c>
      <c r="AK1972" s="38">
        <f t="shared" ref="AK1972:AK1981" si="277">AJ1972/(3.5*I1972*1000)*100</f>
        <v>1.3724802804557405E-2</v>
      </c>
      <c r="AL1972" s="38">
        <v>0</v>
      </c>
      <c r="AM1972" s="38">
        <f t="shared" ref="AM1972:AM1981" si="278">AL1972/(3.5*I1972*1000)*100</f>
        <v>0</v>
      </c>
      <c r="AN1972" s="25"/>
      <c r="AO1972" s="25">
        <f>AE1972*0.5</f>
        <v>0</v>
      </c>
      <c r="AP1972" s="25">
        <f>(AD1972+AH1972+AJ1972+AL1972+AO1972)*I1972</f>
        <v>510.51600000000002</v>
      </c>
      <c r="AQ1972" s="25">
        <f>SUM(N1972:Q1972)</f>
        <v>32.474999999999994</v>
      </c>
      <c r="AR1972" s="25">
        <f>SUM(T1972:W1972)</f>
        <v>32.474999999999994</v>
      </c>
      <c r="AS1972" s="22"/>
      <c r="AT1972" s="41"/>
      <c r="AU1972" s="41">
        <f t="shared" si="267"/>
        <v>32.474999999999994</v>
      </c>
      <c r="AV1972" s="41">
        <f t="shared" si="268"/>
        <v>32.474999999999994</v>
      </c>
      <c r="AW1972" s="41">
        <f t="shared" si="269"/>
        <v>32.474999999999994</v>
      </c>
      <c r="AX1972" s="22"/>
      <c r="AY1972" s="22">
        <f t="shared" si="270"/>
        <v>1.0038491147036184</v>
      </c>
      <c r="AZ1972" s="22">
        <f t="shared" si="271"/>
        <v>1.0038491147036184</v>
      </c>
      <c r="BA1972" s="22">
        <f t="shared" si="272"/>
        <v>1.0038491147036184</v>
      </c>
      <c r="BB1972" s="22"/>
      <c r="BC1972" s="22"/>
      <c r="BD1972" s="22"/>
      <c r="BE1972" s="22"/>
      <c r="BF1972" s="22"/>
      <c r="BG1972" s="22"/>
      <c r="BH1972" s="22"/>
      <c r="BI1972" s="22"/>
      <c r="BJ1972" s="22"/>
      <c r="BK1972" s="22"/>
      <c r="BL1972" s="22"/>
      <c r="BM1972" s="22"/>
      <c r="BN1972" s="22"/>
      <c r="BO1972" s="22"/>
      <c r="BP1972" s="22"/>
      <c r="BQ1972" s="22"/>
      <c r="BR1972" s="22"/>
      <c r="BS1972" s="22"/>
      <c r="BT1972" s="22"/>
      <c r="BU1972" s="22"/>
      <c r="BV1972" s="22"/>
      <c r="BW1972" s="22"/>
      <c r="BX1972" s="22"/>
      <c r="BY1972" s="22"/>
      <c r="BZ1972" s="22"/>
      <c r="CA1972" s="22"/>
      <c r="CB1972" s="22"/>
      <c r="CC1972" s="22"/>
      <c r="CD1972" s="22"/>
      <c r="CE1972" s="22"/>
      <c r="CF1972" s="22"/>
      <c r="CG1972" s="22"/>
      <c r="CH1972" s="22"/>
      <c r="CI1972" s="22"/>
      <c r="CJ1972" s="22"/>
    </row>
    <row r="1973" spans="1:88">
      <c r="A1973" s="1">
        <v>347</v>
      </c>
      <c r="B1973" s="67" t="s">
        <v>571</v>
      </c>
      <c r="C1973" s="34">
        <v>512</v>
      </c>
      <c r="D1973" s="68">
        <v>101</v>
      </c>
      <c r="E1973" s="69">
        <v>200</v>
      </c>
      <c r="F1973" s="70" t="s">
        <v>572</v>
      </c>
      <c r="G1973" s="6" t="s">
        <v>573</v>
      </c>
      <c r="H1973" s="20" t="s">
        <v>574</v>
      </c>
      <c r="I1973" s="21">
        <v>25.288</v>
      </c>
      <c r="J1973" s="8">
        <v>2</v>
      </c>
      <c r="K1973" s="34" t="s">
        <v>12</v>
      </c>
      <c r="L1973" s="18">
        <v>42259</v>
      </c>
      <c r="M1973" s="71" t="s">
        <v>191</v>
      </c>
      <c r="N1973" s="38">
        <v>14.48</v>
      </c>
      <c r="O1973" s="38">
        <v>7.1</v>
      </c>
      <c r="P1973" s="38">
        <v>2.7749999999999999</v>
      </c>
      <c r="Q1973" s="38">
        <v>1.03</v>
      </c>
      <c r="R1973" s="38">
        <v>2.621</v>
      </c>
      <c r="S1973" s="38">
        <f t="shared" si="255"/>
        <v>2.5</v>
      </c>
      <c r="T1973" s="38">
        <v>24.574999999999999</v>
      </c>
      <c r="U1973" s="38">
        <v>0.65</v>
      </c>
      <c r="V1973" s="38">
        <v>0.1</v>
      </c>
      <c r="W1973" s="38">
        <v>0.05</v>
      </c>
      <c r="X1973" s="38">
        <v>3.1245599999999998</v>
      </c>
      <c r="Y1973" s="38">
        <f t="shared" si="256"/>
        <v>3</v>
      </c>
      <c r="Z1973" s="38">
        <v>0</v>
      </c>
      <c r="AA1973" s="38">
        <v>0</v>
      </c>
      <c r="AB1973" s="38">
        <v>25.384999999999998</v>
      </c>
      <c r="AC1973" s="38">
        <v>1.3273600000000001</v>
      </c>
      <c r="AD1973" s="38">
        <v>0</v>
      </c>
      <c r="AE1973" s="38">
        <v>0</v>
      </c>
      <c r="AF1973" s="38">
        <f t="shared" si="275"/>
        <v>0</v>
      </c>
      <c r="AG1973" s="38">
        <f t="shared" si="257"/>
        <v>0</v>
      </c>
      <c r="AH1973" s="38">
        <v>143.25</v>
      </c>
      <c r="AI1973" s="38">
        <f t="shared" si="276"/>
        <v>0.1618497762914087</v>
      </c>
      <c r="AJ1973" s="38">
        <v>0</v>
      </c>
      <c r="AK1973" s="38">
        <f t="shared" si="277"/>
        <v>0</v>
      </c>
      <c r="AL1973" s="38">
        <v>0</v>
      </c>
      <c r="AM1973" s="38">
        <f t="shared" si="278"/>
        <v>0</v>
      </c>
      <c r="AN1973" s="72"/>
      <c r="AO1973" s="41"/>
      <c r="AP1973" s="41"/>
      <c r="AQ1973" s="73"/>
      <c r="AR1973" s="73"/>
      <c r="AS1973" s="73"/>
      <c r="AT1973" s="73"/>
    </row>
    <row r="1974" spans="1:88">
      <c r="A1974" s="1">
        <v>361</v>
      </c>
      <c r="B1974" s="74" t="s">
        <v>571</v>
      </c>
      <c r="C1974" s="34">
        <v>512</v>
      </c>
      <c r="D1974" s="75">
        <v>1400</v>
      </c>
      <c r="E1974" s="69">
        <v>100</v>
      </c>
      <c r="F1974" s="76" t="s">
        <v>600</v>
      </c>
      <c r="G1974" s="20" t="s">
        <v>601</v>
      </c>
      <c r="H1974" s="20" t="s">
        <v>92</v>
      </c>
      <c r="I1974" s="21">
        <v>1.3160000000000001</v>
      </c>
      <c r="J1974" s="8">
        <v>4</v>
      </c>
      <c r="K1974" s="34" t="s">
        <v>12</v>
      </c>
      <c r="L1974" s="18">
        <v>42257</v>
      </c>
      <c r="M1974" s="71" t="s">
        <v>191</v>
      </c>
      <c r="N1974" s="38">
        <v>0.3</v>
      </c>
      <c r="O1974" s="38">
        <v>0.2</v>
      </c>
      <c r="P1974" s="38">
        <v>0.37</v>
      </c>
      <c r="Q1974" s="38">
        <v>0.47</v>
      </c>
      <c r="R1974" s="38">
        <v>4.4995200000000004</v>
      </c>
      <c r="S1974" s="38">
        <f t="shared" si="255"/>
        <v>4.5</v>
      </c>
      <c r="T1974" s="38">
        <v>1.32</v>
      </c>
      <c r="U1974" s="38">
        <v>0</v>
      </c>
      <c r="V1974" s="38">
        <v>0</v>
      </c>
      <c r="W1974" s="38">
        <v>0</v>
      </c>
      <c r="X1974" s="38">
        <v>2.8576000000000001</v>
      </c>
      <c r="Y1974" s="38">
        <f t="shared" si="256"/>
        <v>3</v>
      </c>
      <c r="Z1974" s="38">
        <v>0</v>
      </c>
      <c r="AA1974" s="38">
        <v>0</v>
      </c>
      <c r="AB1974" s="38">
        <v>1.32</v>
      </c>
      <c r="AC1974" s="38">
        <v>1.08935</v>
      </c>
      <c r="AD1974" s="38">
        <v>0</v>
      </c>
      <c r="AE1974" s="38">
        <v>0</v>
      </c>
      <c r="AF1974" s="38">
        <f t="shared" si="275"/>
        <v>0</v>
      </c>
      <c r="AG1974" s="38">
        <f t="shared" si="257"/>
        <v>0</v>
      </c>
      <c r="AH1974" s="38">
        <v>0</v>
      </c>
      <c r="AI1974" s="38">
        <f t="shared" si="276"/>
        <v>0</v>
      </c>
      <c r="AJ1974" s="38">
        <v>0</v>
      </c>
      <c r="AK1974" s="38">
        <f t="shared" si="277"/>
        <v>0</v>
      </c>
      <c r="AL1974" s="38">
        <v>1.34</v>
      </c>
      <c r="AM1974" s="38">
        <f t="shared" si="278"/>
        <v>2.9092488059053411E-2</v>
      </c>
      <c r="AN1974" s="72"/>
      <c r="AO1974" s="41"/>
      <c r="AP1974" s="41"/>
      <c r="AQ1974" s="73"/>
      <c r="AR1974" s="73"/>
      <c r="AS1974" s="73"/>
      <c r="AT1974" s="73"/>
      <c r="AU1974" s="22"/>
      <c r="AV1974" s="22"/>
      <c r="AW1974" s="22"/>
      <c r="AX1974" s="22"/>
      <c r="AY1974" s="22"/>
      <c r="AZ1974" s="22"/>
      <c r="BA1974" s="22"/>
      <c r="BB1974" s="22"/>
      <c r="BC1974" s="22"/>
      <c r="BD1974" s="22"/>
      <c r="BE1974" s="22"/>
      <c r="BF1974" s="22"/>
      <c r="BG1974" s="22"/>
      <c r="BH1974" s="22"/>
      <c r="BI1974" s="22"/>
      <c r="BJ1974" s="22"/>
      <c r="BK1974" s="22"/>
      <c r="BL1974" s="22"/>
      <c r="BM1974" s="22"/>
      <c r="BN1974" s="22"/>
      <c r="BO1974" s="22"/>
      <c r="BP1974" s="22"/>
      <c r="BQ1974" s="22"/>
      <c r="BR1974" s="22"/>
      <c r="BS1974" s="22"/>
      <c r="BT1974" s="22"/>
      <c r="BU1974" s="22"/>
      <c r="BV1974" s="22"/>
      <c r="BW1974" s="22"/>
      <c r="BX1974" s="22"/>
      <c r="BY1974" s="22"/>
      <c r="BZ1974" s="22"/>
      <c r="CA1974" s="22"/>
      <c r="CB1974" s="22"/>
      <c r="CC1974" s="22"/>
      <c r="CD1974" s="22"/>
      <c r="CE1974" s="22"/>
      <c r="CF1974" s="22"/>
      <c r="CG1974" s="22"/>
      <c r="CH1974" s="22"/>
      <c r="CI1974" s="22"/>
      <c r="CJ1974" s="22"/>
    </row>
    <row r="1975" spans="1:88">
      <c r="A1975" s="1">
        <v>379</v>
      </c>
      <c r="B1975" s="67" t="s">
        <v>626</v>
      </c>
      <c r="C1975" s="34">
        <v>517</v>
      </c>
      <c r="D1975" s="68">
        <v>115</v>
      </c>
      <c r="E1975" s="69">
        <v>100</v>
      </c>
      <c r="F1975" s="88" t="s">
        <v>628</v>
      </c>
      <c r="G1975" s="6" t="s">
        <v>629</v>
      </c>
      <c r="H1975" s="6" t="s">
        <v>630</v>
      </c>
      <c r="I1975" s="7">
        <v>32.08</v>
      </c>
      <c r="J1975" s="89">
        <v>2</v>
      </c>
      <c r="K1975" s="34" t="s">
        <v>238</v>
      </c>
      <c r="L1975" s="18">
        <v>42261</v>
      </c>
      <c r="M1975" s="71" t="s">
        <v>191</v>
      </c>
      <c r="N1975" s="38">
        <v>12.7</v>
      </c>
      <c r="O1975" s="38">
        <v>12.2</v>
      </c>
      <c r="P1975" s="38">
        <v>5.85</v>
      </c>
      <c r="Q1975" s="38">
        <v>1.33</v>
      </c>
      <c r="R1975" s="38">
        <v>2.9670999999999998</v>
      </c>
      <c r="S1975" s="38">
        <f t="shared" si="255"/>
        <v>3</v>
      </c>
      <c r="T1975" s="38">
        <v>30.65</v>
      </c>
      <c r="U1975" s="38">
        <v>1.28</v>
      </c>
      <c r="V1975" s="38">
        <v>0.15</v>
      </c>
      <c r="W1975" s="38">
        <v>0</v>
      </c>
      <c r="X1975" s="38">
        <v>3.8969100000000001</v>
      </c>
      <c r="Y1975" s="38">
        <f t="shared" si="256"/>
        <v>4</v>
      </c>
      <c r="Z1975" s="38">
        <v>0</v>
      </c>
      <c r="AA1975" s="38">
        <v>0</v>
      </c>
      <c r="AB1975" s="38">
        <v>32.08</v>
      </c>
      <c r="AC1975" s="38">
        <v>1.15842</v>
      </c>
      <c r="AD1975" s="38">
        <v>0</v>
      </c>
      <c r="AE1975" s="38">
        <v>0</v>
      </c>
      <c r="AF1975" s="38">
        <f t="shared" si="275"/>
        <v>0</v>
      </c>
      <c r="AG1975" s="38">
        <f t="shared" si="257"/>
        <v>0</v>
      </c>
      <c r="AH1975" s="38">
        <v>143.59</v>
      </c>
      <c r="AI1975" s="38">
        <f t="shared" si="276"/>
        <v>0.12788564303526898</v>
      </c>
      <c r="AJ1975" s="38">
        <v>0</v>
      </c>
      <c r="AK1975" s="38">
        <f t="shared" si="277"/>
        <v>0</v>
      </c>
      <c r="AL1975" s="38">
        <v>0</v>
      </c>
      <c r="AM1975" s="38">
        <f t="shared" si="278"/>
        <v>0</v>
      </c>
      <c r="AN1975" s="22"/>
      <c r="AO1975" s="22"/>
      <c r="AP1975" s="22"/>
      <c r="AQ1975" s="25">
        <f t="shared" ref="AQ1975:AQ1987" si="279">SUM(N1975:Q1975)</f>
        <v>32.08</v>
      </c>
      <c r="AR1975" s="25">
        <f t="shared" ref="AR1975:AR1987" si="280">SUM(T1975:W1975)</f>
        <v>32.08</v>
      </c>
      <c r="AS1975" s="25">
        <f t="shared" ref="AS1975:AS1983" si="281">SUM(Z1975:AB1975)</f>
        <v>32.08</v>
      </c>
      <c r="AT1975" s="22"/>
      <c r="AU1975" s="1">
        <f t="shared" ref="AU1975:AU1983" si="282">I1975/AQ1975</f>
        <v>1</v>
      </c>
      <c r="AV1975" s="1">
        <f t="shared" ref="AV1975:AV1983" si="283">I1975/AR1975</f>
        <v>1</v>
      </c>
      <c r="AW1975" s="1">
        <f t="shared" ref="AW1975:AW1983" si="284">I1975/AS1975</f>
        <v>1</v>
      </c>
    </row>
    <row r="1976" spans="1:88">
      <c r="A1976" s="1">
        <v>380</v>
      </c>
      <c r="B1976" s="67" t="s">
        <v>626</v>
      </c>
      <c r="C1976" s="34">
        <v>517</v>
      </c>
      <c r="D1976" s="68">
        <v>115</v>
      </c>
      <c r="E1976" s="69">
        <v>100</v>
      </c>
      <c r="F1976" s="88" t="s">
        <v>628</v>
      </c>
      <c r="G1976" s="6" t="s">
        <v>630</v>
      </c>
      <c r="H1976" s="6" t="s">
        <v>629</v>
      </c>
      <c r="I1976" s="7">
        <v>32.08</v>
      </c>
      <c r="J1976" s="89">
        <v>2</v>
      </c>
      <c r="K1976" s="34" t="s">
        <v>12</v>
      </c>
      <c r="L1976" s="18">
        <v>42261</v>
      </c>
      <c r="M1976" s="71" t="s">
        <v>191</v>
      </c>
      <c r="N1976" s="38">
        <v>13.42</v>
      </c>
      <c r="O1976" s="38">
        <v>12.09</v>
      </c>
      <c r="P1976" s="38">
        <v>5.69</v>
      </c>
      <c r="Q1976" s="38">
        <v>0.88</v>
      </c>
      <c r="R1976" s="38">
        <v>2.7984</v>
      </c>
      <c r="S1976" s="38">
        <f t="shared" si="255"/>
        <v>3</v>
      </c>
      <c r="T1976" s="38">
        <v>31.63</v>
      </c>
      <c r="U1976" s="38">
        <v>0.42</v>
      </c>
      <c r="V1976" s="38">
        <v>0.02</v>
      </c>
      <c r="W1976" s="38">
        <v>0</v>
      </c>
      <c r="X1976" s="38">
        <v>3.21244</v>
      </c>
      <c r="Y1976" s="38">
        <f t="shared" si="256"/>
        <v>3</v>
      </c>
      <c r="Z1976" s="38">
        <v>0</v>
      </c>
      <c r="AA1976" s="38">
        <v>0</v>
      </c>
      <c r="AB1976" s="38">
        <v>32.08</v>
      </c>
      <c r="AC1976" s="38">
        <v>1.2865800000000001</v>
      </c>
      <c r="AD1976" s="38">
        <v>0</v>
      </c>
      <c r="AE1976" s="38">
        <v>0</v>
      </c>
      <c r="AF1976" s="38">
        <f t="shared" si="275"/>
        <v>0</v>
      </c>
      <c r="AG1976" s="38">
        <f t="shared" si="257"/>
        <v>0</v>
      </c>
      <c r="AH1976" s="38">
        <v>139.58000000000001</v>
      </c>
      <c r="AI1976" s="38">
        <f t="shared" si="276"/>
        <v>0.12431421446384042</v>
      </c>
      <c r="AJ1976" s="38">
        <v>1.67</v>
      </c>
      <c r="AK1976" s="38">
        <f t="shared" si="277"/>
        <v>1.4873530459565373E-3</v>
      </c>
      <c r="AL1976" s="38">
        <v>0</v>
      </c>
      <c r="AM1976" s="38">
        <f t="shared" si="278"/>
        <v>0</v>
      </c>
      <c r="AN1976" s="22"/>
      <c r="AO1976" s="22"/>
      <c r="AP1976" s="22"/>
      <c r="AQ1976" s="25">
        <f t="shared" si="279"/>
        <v>32.08</v>
      </c>
      <c r="AR1976" s="25">
        <f t="shared" si="280"/>
        <v>32.07</v>
      </c>
      <c r="AS1976" s="25">
        <f t="shared" si="281"/>
        <v>32.08</v>
      </c>
      <c r="AT1976" s="22"/>
      <c r="AU1976" s="1">
        <f t="shared" si="282"/>
        <v>1</v>
      </c>
      <c r="AV1976" s="1">
        <f t="shared" si="283"/>
        <v>1.0003118178983472</v>
      </c>
      <c r="AW1976" s="1">
        <f t="shared" si="284"/>
        <v>1</v>
      </c>
    </row>
    <row r="1977" spans="1:88">
      <c r="A1977" s="1">
        <v>422</v>
      </c>
      <c r="B1977" s="74" t="s">
        <v>699</v>
      </c>
      <c r="C1977" s="34">
        <v>513</v>
      </c>
      <c r="D1977" s="75">
        <v>125</v>
      </c>
      <c r="E1977" s="69">
        <v>101</v>
      </c>
      <c r="F1977" s="76" t="s">
        <v>713</v>
      </c>
      <c r="G1977" s="20" t="s">
        <v>714</v>
      </c>
      <c r="H1977" s="20" t="s">
        <v>92</v>
      </c>
      <c r="I1977" s="21">
        <v>7</v>
      </c>
      <c r="J1977" s="5" t="s">
        <v>96</v>
      </c>
      <c r="K1977" s="34">
        <v>4</v>
      </c>
      <c r="L1977" s="18">
        <v>42263</v>
      </c>
      <c r="M1977" s="9" t="s">
        <v>191</v>
      </c>
      <c r="N1977" s="38">
        <v>5.46</v>
      </c>
      <c r="O1977" s="38">
        <v>0.99</v>
      </c>
      <c r="P1977" s="38">
        <v>0.39</v>
      </c>
      <c r="Q1977" s="38">
        <v>0.16</v>
      </c>
      <c r="R1977" s="38">
        <v>2.157</v>
      </c>
      <c r="S1977" s="38">
        <f t="shared" si="255"/>
        <v>2</v>
      </c>
      <c r="T1977" s="38">
        <v>6.97</v>
      </c>
      <c r="U1977" s="38">
        <v>0</v>
      </c>
      <c r="V1977" s="38">
        <v>0.03</v>
      </c>
      <c r="W1977" s="38">
        <v>0</v>
      </c>
      <c r="X1977" s="38">
        <v>3.73</v>
      </c>
      <c r="Y1977" s="38">
        <f t="shared" si="256"/>
        <v>3.5</v>
      </c>
      <c r="Z1977" s="38">
        <v>0</v>
      </c>
      <c r="AA1977" s="38">
        <v>0</v>
      </c>
      <c r="AB1977" s="38">
        <v>7</v>
      </c>
      <c r="AC1977" s="38">
        <v>1.19</v>
      </c>
      <c r="AD1977" s="38">
        <v>0</v>
      </c>
      <c r="AE1977" s="38">
        <v>0</v>
      </c>
      <c r="AF1977" s="38">
        <f t="shared" si="275"/>
        <v>0</v>
      </c>
      <c r="AG1977" s="38">
        <f t="shared" si="257"/>
        <v>0</v>
      </c>
      <c r="AH1977" s="38">
        <v>0</v>
      </c>
      <c r="AI1977" s="38">
        <f t="shared" si="276"/>
        <v>0</v>
      </c>
      <c r="AJ1977" s="38">
        <v>3.1</v>
      </c>
      <c r="AK1977" s="38">
        <f t="shared" si="277"/>
        <v>1.2653061224489795E-2</v>
      </c>
      <c r="AL1977" s="38">
        <v>2</v>
      </c>
      <c r="AM1977" s="38">
        <f t="shared" si="278"/>
        <v>8.1632653061224497E-3</v>
      </c>
      <c r="AN1977" s="41"/>
      <c r="AO1977" s="41"/>
      <c r="AP1977" s="73"/>
      <c r="AQ1977" s="41">
        <f t="shared" si="279"/>
        <v>7</v>
      </c>
      <c r="AR1977" s="41">
        <f t="shared" si="280"/>
        <v>7</v>
      </c>
      <c r="AS1977" s="41">
        <f t="shared" si="281"/>
        <v>7</v>
      </c>
      <c r="AT1977" s="22"/>
      <c r="AU1977" s="22">
        <f t="shared" si="282"/>
        <v>1</v>
      </c>
      <c r="AV1977" s="22">
        <f t="shared" si="283"/>
        <v>1</v>
      </c>
      <c r="AW1977" s="22">
        <f t="shared" si="284"/>
        <v>1</v>
      </c>
      <c r="AX1977" s="73"/>
      <c r="AY1977" s="73"/>
      <c r="AZ1977" s="73"/>
      <c r="BA1977" s="73"/>
      <c r="BB1977" s="73"/>
      <c r="BC1977" s="73"/>
      <c r="BD1977" s="73"/>
      <c r="BE1977" s="73"/>
      <c r="BF1977" s="73"/>
      <c r="BG1977" s="73"/>
      <c r="BH1977" s="73"/>
      <c r="BI1977" s="73"/>
      <c r="BJ1977" s="73"/>
      <c r="BK1977" s="73"/>
      <c r="BL1977" s="73"/>
      <c r="BM1977" s="73"/>
      <c r="BN1977" s="73"/>
      <c r="BO1977" s="73"/>
      <c r="BP1977" s="73"/>
      <c r="BQ1977" s="73"/>
      <c r="BR1977" s="73"/>
      <c r="BS1977" s="73"/>
      <c r="BT1977" s="73"/>
      <c r="BU1977" s="73"/>
      <c r="BV1977" s="73"/>
      <c r="BW1977" s="73"/>
      <c r="BX1977" s="73"/>
      <c r="BY1977" s="73"/>
      <c r="BZ1977" s="73"/>
      <c r="CA1977" s="73"/>
      <c r="CB1977" s="73"/>
      <c r="CC1977" s="73"/>
      <c r="CD1977" s="73"/>
      <c r="CE1977" s="73"/>
      <c r="CF1977" s="73"/>
      <c r="CG1977" s="73"/>
      <c r="CH1977" s="73"/>
      <c r="CI1977" s="73"/>
      <c r="CJ1977" s="73"/>
    </row>
    <row r="1978" spans="1:88">
      <c r="A1978" s="1">
        <v>423</v>
      </c>
      <c r="B1978" s="74" t="s">
        <v>699</v>
      </c>
      <c r="C1978" s="34">
        <v>513</v>
      </c>
      <c r="D1978" s="75">
        <v>125</v>
      </c>
      <c r="E1978" s="69">
        <v>102</v>
      </c>
      <c r="F1978" s="76" t="s">
        <v>715</v>
      </c>
      <c r="G1978" s="20" t="s">
        <v>714</v>
      </c>
      <c r="H1978" s="20" t="s">
        <v>716</v>
      </c>
      <c r="I1978" s="21">
        <v>16</v>
      </c>
      <c r="J1978" s="5" t="s">
        <v>237</v>
      </c>
      <c r="K1978" s="34">
        <v>2</v>
      </c>
      <c r="L1978" s="18">
        <v>42263</v>
      </c>
      <c r="M1978" s="9" t="s">
        <v>191</v>
      </c>
      <c r="N1978" s="38">
        <v>8.2799999999999994</v>
      </c>
      <c r="O1978" s="38">
        <v>4.3600000000000003</v>
      </c>
      <c r="P1978" s="38">
        <v>2.41</v>
      </c>
      <c r="Q1978" s="38">
        <v>0.95</v>
      </c>
      <c r="R1978" s="38">
        <v>2.7229999999999999</v>
      </c>
      <c r="S1978" s="38">
        <f t="shared" si="255"/>
        <v>2.5</v>
      </c>
      <c r="T1978" s="38">
        <v>14.09</v>
      </c>
      <c r="U1978" s="38">
        <v>1.58</v>
      </c>
      <c r="V1978" s="38">
        <v>0.33</v>
      </c>
      <c r="W1978" s="38">
        <v>0</v>
      </c>
      <c r="X1978" s="38">
        <v>5.5229999999999997</v>
      </c>
      <c r="Y1978" s="38">
        <f t="shared" si="256"/>
        <v>5.5</v>
      </c>
      <c r="Z1978" s="38">
        <v>0</v>
      </c>
      <c r="AA1978" s="38">
        <v>0</v>
      </c>
      <c r="AB1978" s="38">
        <v>16</v>
      </c>
      <c r="AC1978" s="38">
        <v>1.2210000000000001</v>
      </c>
      <c r="AD1978" s="38">
        <v>0</v>
      </c>
      <c r="AE1978" s="38">
        <v>0</v>
      </c>
      <c r="AF1978" s="38">
        <f t="shared" si="275"/>
        <v>0</v>
      </c>
      <c r="AG1978" s="38">
        <f t="shared" si="257"/>
        <v>0</v>
      </c>
      <c r="AH1978" s="38">
        <v>0</v>
      </c>
      <c r="AI1978" s="38">
        <f t="shared" si="276"/>
        <v>0</v>
      </c>
      <c r="AJ1978" s="38">
        <v>0</v>
      </c>
      <c r="AK1978" s="38">
        <f t="shared" si="277"/>
        <v>0</v>
      </c>
      <c r="AL1978" s="38">
        <v>0</v>
      </c>
      <c r="AM1978" s="38">
        <f t="shared" si="278"/>
        <v>0</v>
      </c>
      <c r="AN1978" s="41"/>
      <c r="AO1978" s="41"/>
      <c r="AP1978" s="73"/>
      <c r="AQ1978" s="41">
        <f t="shared" si="279"/>
        <v>16</v>
      </c>
      <c r="AR1978" s="41">
        <f t="shared" si="280"/>
        <v>16</v>
      </c>
      <c r="AS1978" s="41">
        <f t="shared" si="281"/>
        <v>16</v>
      </c>
      <c r="AT1978" s="22"/>
      <c r="AU1978" s="22">
        <f t="shared" si="282"/>
        <v>1</v>
      </c>
      <c r="AV1978" s="22">
        <f t="shared" si="283"/>
        <v>1</v>
      </c>
      <c r="AW1978" s="22">
        <f t="shared" si="284"/>
        <v>1</v>
      </c>
      <c r="AX1978" s="73"/>
      <c r="AY1978" s="73"/>
      <c r="AZ1978" s="73"/>
      <c r="BA1978" s="73"/>
      <c r="BB1978" s="73"/>
      <c r="BC1978" s="73"/>
      <c r="BD1978" s="73"/>
      <c r="BE1978" s="73"/>
      <c r="BF1978" s="73"/>
      <c r="BG1978" s="73"/>
      <c r="BH1978" s="73"/>
      <c r="BI1978" s="73"/>
      <c r="BJ1978" s="73"/>
      <c r="BK1978" s="73"/>
      <c r="BL1978" s="73"/>
      <c r="BM1978" s="73"/>
      <c r="BN1978" s="73"/>
      <c r="BO1978" s="73"/>
      <c r="BP1978" s="73"/>
      <c r="BQ1978" s="73"/>
      <c r="BR1978" s="73"/>
      <c r="BS1978" s="73"/>
      <c r="BT1978" s="73"/>
      <c r="BU1978" s="73"/>
      <c r="BV1978" s="73"/>
      <c r="BW1978" s="73"/>
      <c r="BX1978" s="73"/>
      <c r="BY1978" s="73"/>
      <c r="BZ1978" s="73"/>
      <c r="CA1978" s="73"/>
      <c r="CB1978" s="73"/>
      <c r="CC1978" s="73"/>
      <c r="CD1978" s="73"/>
      <c r="CE1978" s="73"/>
      <c r="CF1978" s="73"/>
      <c r="CG1978" s="73"/>
      <c r="CH1978" s="73"/>
      <c r="CI1978" s="73"/>
      <c r="CJ1978" s="73"/>
    </row>
    <row r="1979" spans="1:88">
      <c r="A1979" s="1">
        <v>424</v>
      </c>
      <c r="B1979" s="74" t="s">
        <v>699</v>
      </c>
      <c r="C1979" s="34">
        <v>513</v>
      </c>
      <c r="D1979" s="75">
        <v>125</v>
      </c>
      <c r="E1979" s="69">
        <v>102</v>
      </c>
      <c r="F1979" s="76" t="s">
        <v>715</v>
      </c>
      <c r="G1979" s="20" t="s">
        <v>716</v>
      </c>
      <c r="H1979" s="20" t="s">
        <v>714</v>
      </c>
      <c r="I1979" s="21">
        <v>16</v>
      </c>
      <c r="J1979" s="5" t="s">
        <v>96</v>
      </c>
      <c r="K1979" s="34">
        <v>2</v>
      </c>
      <c r="L1979" s="18">
        <v>42263</v>
      </c>
      <c r="M1979" s="9" t="s">
        <v>191</v>
      </c>
      <c r="N1979" s="38">
        <v>10.4</v>
      </c>
      <c r="O1979" s="38">
        <v>3</v>
      </c>
      <c r="P1979" s="38">
        <v>1.55</v>
      </c>
      <c r="Q1979" s="38">
        <v>1.05</v>
      </c>
      <c r="R1979" s="38">
        <v>2.6320000000000001</v>
      </c>
      <c r="S1979" s="38">
        <f t="shared" si="255"/>
        <v>2.5</v>
      </c>
      <c r="T1979" s="38">
        <v>13.13</v>
      </c>
      <c r="U1979" s="38">
        <v>1.73</v>
      </c>
      <c r="V1979" s="38">
        <v>0.95</v>
      </c>
      <c r="W1979" s="38">
        <v>0.2</v>
      </c>
      <c r="X1979" s="38">
        <v>6.4329999999999998</v>
      </c>
      <c r="Y1979" s="38">
        <f t="shared" si="256"/>
        <v>6.5</v>
      </c>
      <c r="Z1979" s="38">
        <v>0</v>
      </c>
      <c r="AA1979" s="38">
        <v>0</v>
      </c>
      <c r="AB1979" s="38">
        <v>16</v>
      </c>
      <c r="AC1979" s="38">
        <v>1.242</v>
      </c>
      <c r="AD1979" s="38">
        <v>0</v>
      </c>
      <c r="AE1979" s="38">
        <v>0</v>
      </c>
      <c r="AF1979" s="38">
        <f t="shared" si="275"/>
        <v>0</v>
      </c>
      <c r="AG1979" s="38">
        <f t="shared" si="257"/>
        <v>0</v>
      </c>
      <c r="AH1979" s="38">
        <v>0</v>
      </c>
      <c r="AI1979" s="38">
        <f t="shared" si="276"/>
        <v>0</v>
      </c>
      <c r="AJ1979" s="38">
        <v>56.85</v>
      </c>
      <c r="AK1979" s="38">
        <f t="shared" si="277"/>
        <v>0.10151785714285713</v>
      </c>
      <c r="AL1979" s="38">
        <v>0</v>
      </c>
      <c r="AM1979" s="38">
        <f t="shared" si="278"/>
        <v>0</v>
      </c>
      <c r="AN1979" s="41"/>
      <c r="AO1979" s="41"/>
      <c r="AP1979" s="73"/>
      <c r="AQ1979" s="41">
        <f t="shared" si="279"/>
        <v>16</v>
      </c>
      <c r="AR1979" s="41">
        <f t="shared" si="280"/>
        <v>16.010000000000002</v>
      </c>
      <c r="AS1979" s="41">
        <f t="shared" si="281"/>
        <v>16</v>
      </c>
      <c r="AT1979" s="22"/>
      <c r="AU1979" s="22">
        <f t="shared" si="282"/>
        <v>1</v>
      </c>
      <c r="AV1979" s="22">
        <f t="shared" si="283"/>
        <v>0.99937539038101175</v>
      </c>
      <c r="AW1979" s="22">
        <f t="shared" si="284"/>
        <v>1</v>
      </c>
      <c r="AX1979" s="73"/>
      <c r="AY1979" s="73"/>
      <c r="AZ1979" s="73"/>
      <c r="BA1979" s="73"/>
      <c r="BB1979" s="73"/>
      <c r="BC1979" s="73"/>
      <c r="BD1979" s="73"/>
      <c r="BE1979" s="73"/>
      <c r="BF1979" s="73"/>
      <c r="BG1979" s="73"/>
      <c r="BH1979" s="73"/>
      <c r="BI1979" s="73"/>
      <c r="BJ1979" s="73"/>
      <c r="BK1979" s="73"/>
      <c r="BL1979" s="73"/>
      <c r="BM1979" s="73"/>
      <c r="BN1979" s="73"/>
      <c r="BO1979" s="73"/>
      <c r="BP1979" s="73"/>
      <c r="BQ1979" s="73"/>
      <c r="BR1979" s="73"/>
      <c r="BS1979" s="73"/>
      <c r="BT1979" s="73"/>
      <c r="BU1979" s="73"/>
      <c r="BV1979" s="73"/>
      <c r="BW1979" s="73"/>
      <c r="BX1979" s="73"/>
      <c r="BY1979" s="73"/>
      <c r="BZ1979" s="73"/>
      <c r="CA1979" s="73"/>
      <c r="CB1979" s="73"/>
      <c r="CC1979" s="73"/>
      <c r="CD1979" s="73"/>
      <c r="CE1979" s="73"/>
      <c r="CF1979" s="73"/>
      <c r="CG1979" s="73"/>
      <c r="CH1979" s="73"/>
      <c r="CI1979" s="73"/>
      <c r="CJ1979" s="73"/>
    </row>
    <row r="1980" spans="1:88">
      <c r="A1980" s="1">
        <v>425</v>
      </c>
      <c r="B1980" s="74" t="s">
        <v>699</v>
      </c>
      <c r="C1980" s="34">
        <v>513</v>
      </c>
      <c r="D1980" s="75">
        <v>125</v>
      </c>
      <c r="E1980" s="69">
        <v>103</v>
      </c>
      <c r="F1980" s="76" t="s">
        <v>717</v>
      </c>
      <c r="G1980" s="20" t="s">
        <v>179</v>
      </c>
      <c r="H1980" s="20" t="s">
        <v>718</v>
      </c>
      <c r="I1980" s="21">
        <v>4.7889999999999997</v>
      </c>
      <c r="J1980" s="5" t="s">
        <v>237</v>
      </c>
      <c r="K1980" s="34">
        <v>2</v>
      </c>
      <c r="L1980" s="18">
        <v>42263</v>
      </c>
      <c r="M1980" s="9" t="s">
        <v>191</v>
      </c>
      <c r="N1980" s="38">
        <v>3.45</v>
      </c>
      <c r="O1980" s="38">
        <v>1.1399999999999999</v>
      </c>
      <c r="P1980" s="38">
        <v>0.15</v>
      </c>
      <c r="Q1980" s="38">
        <v>0.05</v>
      </c>
      <c r="R1980" s="38">
        <v>2.2080000000000002</v>
      </c>
      <c r="S1980" s="38">
        <f t="shared" si="255"/>
        <v>2</v>
      </c>
      <c r="T1980" s="38">
        <v>3.47</v>
      </c>
      <c r="U1980" s="38">
        <v>0.79</v>
      </c>
      <c r="V1980" s="38">
        <v>0.41</v>
      </c>
      <c r="W1980" s="38">
        <v>0.13</v>
      </c>
      <c r="X1980" s="38">
        <v>8.7409999999999997</v>
      </c>
      <c r="Y1980" s="38">
        <f t="shared" si="256"/>
        <v>8.5</v>
      </c>
      <c r="Z1980" s="38">
        <v>0</v>
      </c>
      <c r="AA1980" s="38">
        <v>0</v>
      </c>
      <c r="AB1980" s="38">
        <v>4.79</v>
      </c>
      <c r="AC1980" s="38">
        <v>1.1479999999999999</v>
      </c>
      <c r="AD1980" s="38">
        <v>0</v>
      </c>
      <c r="AE1980" s="38">
        <v>0</v>
      </c>
      <c r="AF1980" s="38">
        <f t="shared" si="275"/>
        <v>0</v>
      </c>
      <c r="AG1980" s="38">
        <f t="shared" si="257"/>
        <v>0</v>
      </c>
      <c r="AH1980" s="38">
        <v>0</v>
      </c>
      <c r="AI1980" s="38">
        <f t="shared" si="276"/>
        <v>0</v>
      </c>
      <c r="AJ1980" s="38">
        <v>0</v>
      </c>
      <c r="AK1980" s="38">
        <f t="shared" si="277"/>
        <v>0</v>
      </c>
      <c r="AL1980" s="38">
        <v>0</v>
      </c>
      <c r="AM1980" s="38">
        <f t="shared" si="278"/>
        <v>0</v>
      </c>
      <c r="AN1980" s="41"/>
      <c r="AO1980" s="41"/>
      <c r="AP1980" s="73"/>
      <c r="AQ1980" s="41">
        <f t="shared" si="279"/>
        <v>4.79</v>
      </c>
      <c r="AR1980" s="41">
        <f t="shared" si="280"/>
        <v>4.8</v>
      </c>
      <c r="AS1980" s="41">
        <f t="shared" si="281"/>
        <v>4.79</v>
      </c>
      <c r="AT1980" s="22"/>
      <c r="AU1980" s="22">
        <f t="shared" si="282"/>
        <v>0.99979123173277651</v>
      </c>
      <c r="AV1980" s="22">
        <f t="shared" si="283"/>
        <v>0.99770833333333331</v>
      </c>
      <c r="AW1980" s="22">
        <f t="shared" si="284"/>
        <v>0.99979123173277651</v>
      </c>
      <c r="AX1980" s="73"/>
      <c r="AY1980" s="73"/>
      <c r="AZ1980" s="73"/>
      <c r="BA1980" s="73"/>
      <c r="BB1980" s="73"/>
      <c r="BC1980" s="73"/>
      <c r="BD1980" s="73"/>
      <c r="BE1980" s="73"/>
      <c r="BF1980" s="73"/>
      <c r="BG1980" s="73"/>
      <c r="BH1980" s="73"/>
      <c r="BI1980" s="73"/>
      <c r="BJ1980" s="73"/>
      <c r="BK1980" s="73"/>
      <c r="BL1980" s="73"/>
      <c r="BM1980" s="73"/>
      <c r="BN1980" s="73"/>
      <c r="BO1980" s="73"/>
      <c r="BP1980" s="73"/>
      <c r="BQ1980" s="73"/>
      <c r="BR1980" s="73"/>
      <c r="BS1980" s="73"/>
      <c r="BT1980" s="73"/>
      <c r="BU1980" s="73"/>
      <c r="BV1980" s="73"/>
      <c r="BW1980" s="73"/>
      <c r="BX1980" s="73"/>
      <c r="BY1980" s="73"/>
      <c r="BZ1980" s="73"/>
      <c r="CA1980" s="73"/>
      <c r="CB1980" s="73"/>
      <c r="CC1980" s="73"/>
      <c r="CD1980" s="73"/>
      <c r="CE1980" s="73"/>
      <c r="CF1980" s="73"/>
      <c r="CG1980" s="73"/>
      <c r="CH1980" s="73"/>
      <c r="CI1980" s="73"/>
      <c r="CJ1980" s="73"/>
    </row>
    <row r="1981" spans="1:88">
      <c r="A1981" s="1">
        <v>426</v>
      </c>
      <c r="B1981" s="74" t="s">
        <v>699</v>
      </c>
      <c r="C1981" s="34">
        <v>513</v>
      </c>
      <c r="D1981" s="75">
        <v>125</v>
      </c>
      <c r="E1981" s="69">
        <v>103</v>
      </c>
      <c r="F1981" s="76" t="s">
        <v>717</v>
      </c>
      <c r="G1981" s="20" t="s">
        <v>718</v>
      </c>
      <c r="H1981" s="20" t="s">
        <v>179</v>
      </c>
      <c r="I1981" s="21">
        <v>4.7889999999999997</v>
      </c>
      <c r="J1981" s="5" t="s">
        <v>96</v>
      </c>
      <c r="K1981" s="34">
        <v>2</v>
      </c>
      <c r="L1981" s="18">
        <v>42263</v>
      </c>
      <c r="M1981" s="9" t="s">
        <v>191</v>
      </c>
      <c r="N1981" s="38">
        <v>2.74</v>
      </c>
      <c r="O1981" s="38">
        <v>1.3</v>
      </c>
      <c r="P1981" s="38">
        <v>0.6</v>
      </c>
      <c r="Q1981" s="38">
        <v>0.15</v>
      </c>
      <c r="R1981" s="38">
        <v>2.524</v>
      </c>
      <c r="S1981" s="38">
        <f t="shared" si="255"/>
        <v>2.5</v>
      </c>
      <c r="T1981" s="38">
        <v>3.97</v>
      </c>
      <c r="U1981" s="38">
        <v>0.55000000000000004</v>
      </c>
      <c r="V1981" s="38">
        <v>0.22</v>
      </c>
      <c r="W1981" s="38">
        <v>0.05</v>
      </c>
      <c r="X1981" s="38">
        <v>6.1310000000000002</v>
      </c>
      <c r="Y1981" s="38">
        <f t="shared" si="256"/>
        <v>6</v>
      </c>
      <c r="Z1981" s="38">
        <v>0</v>
      </c>
      <c r="AA1981" s="38">
        <v>0</v>
      </c>
      <c r="AB1981" s="38">
        <v>4.79</v>
      </c>
      <c r="AC1981" s="38">
        <v>1.2190000000000001</v>
      </c>
      <c r="AD1981" s="38">
        <v>0</v>
      </c>
      <c r="AE1981" s="38">
        <v>0</v>
      </c>
      <c r="AF1981" s="38">
        <f t="shared" si="275"/>
        <v>0</v>
      </c>
      <c r="AG1981" s="38">
        <f t="shared" si="257"/>
        <v>0</v>
      </c>
      <c r="AH1981" s="38">
        <v>0</v>
      </c>
      <c r="AI1981" s="38">
        <f t="shared" si="276"/>
        <v>0</v>
      </c>
      <c r="AJ1981" s="38">
        <v>0</v>
      </c>
      <c r="AK1981" s="38">
        <f t="shared" si="277"/>
        <v>0</v>
      </c>
      <c r="AL1981" s="38">
        <v>0</v>
      </c>
      <c r="AM1981" s="38">
        <f t="shared" si="278"/>
        <v>0</v>
      </c>
      <c r="AN1981" s="41"/>
      <c r="AO1981" s="41"/>
      <c r="AP1981" s="73"/>
      <c r="AQ1981" s="41">
        <f t="shared" si="279"/>
        <v>4.79</v>
      </c>
      <c r="AR1981" s="41">
        <f t="shared" si="280"/>
        <v>4.79</v>
      </c>
      <c r="AS1981" s="41">
        <f t="shared" si="281"/>
        <v>4.79</v>
      </c>
      <c r="AT1981" s="22"/>
      <c r="AU1981" s="22">
        <f t="shared" si="282"/>
        <v>0.99979123173277651</v>
      </c>
      <c r="AV1981" s="22">
        <f t="shared" si="283"/>
        <v>0.99979123173277651</v>
      </c>
      <c r="AW1981" s="22">
        <f t="shared" si="284"/>
        <v>0.99979123173277651</v>
      </c>
      <c r="AX1981" s="73"/>
      <c r="AY1981" s="73"/>
      <c r="AZ1981" s="73"/>
      <c r="BA1981" s="73"/>
      <c r="BB1981" s="73"/>
      <c r="BC1981" s="73"/>
      <c r="BD1981" s="73"/>
      <c r="BE1981" s="73"/>
      <c r="BF1981" s="73"/>
      <c r="BG1981" s="73"/>
      <c r="BH1981" s="73"/>
      <c r="BI1981" s="73"/>
      <c r="BJ1981" s="73"/>
      <c r="BK1981" s="73"/>
      <c r="BL1981" s="73"/>
      <c r="BM1981" s="73"/>
      <c r="BN1981" s="73"/>
      <c r="BO1981" s="73"/>
      <c r="BP1981" s="73"/>
      <c r="BQ1981" s="73"/>
      <c r="BR1981" s="73"/>
      <c r="BS1981" s="73"/>
      <c r="BT1981" s="73"/>
      <c r="BU1981" s="73"/>
      <c r="BV1981" s="73"/>
      <c r="BW1981" s="73"/>
      <c r="BX1981" s="73"/>
      <c r="BY1981" s="73"/>
      <c r="BZ1981" s="73"/>
      <c r="CA1981" s="73"/>
      <c r="CB1981" s="73"/>
      <c r="CC1981" s="73"/>
      <c r="CD1981" s="73"/>
      <c r="CE1981" s="73"/>
      <c r="CF1981" s="73"/>
      <c r="CG1981" s="73"/>
      <c r="CH1981" s="73"/>
      <c r="CI1981" s="73"/>
      <c r="CJ1981" s="73"/>
    </row>
    <row r="1982" spans="1:88">
      <c r="A1982" s="1">
        <v>489</v>
      </c>
      <c r="B1982" s="34" t="s">
        <v>821</v>
      </c>
      <c r="C1982" s="34">
        <v>519</v>
      </c>
      <c r="D1982" s="34">
        <v>115</v>
      </c>
      <c r="E1982" s="34">
        <v>303</v>
      </c>
      <c r="F1982" s="34" t="s">
        <v>835</v>
      </c>
      <c r="G1982" s="34" t="s">
        <v>834</v>
      </c>
      <c r="H1982" s="34" t="s">
        <v>836</v>
      </c>
      <c r="I1982" s="55">
        <v>11</v>
      </c>
      <c r="J1982" s="34" t="s">
        <v>238</v>
      </c>
      <c r="K1982" s="34">
        <v>2</v>
      </c>
      <c r="L1982" s="10">
        <v>42276</v>
      </c>
      <c r="M1982" s="9" t="s">
        <v>191</v>
      </c>
      <c r="N1982" s="38">
        <v>8.59</v>
      </c>
      <c r="O1982" s="38">
        <v>1.58</v>
      </c>
      <c r="P1982" s="38">
        <v>0.53</v>
      </c>
      <c r="Q1982" s="38">
        <v>0.3</v>
      </c>
      <c r="R1982" s="38">
        <v>2.1899500000000001</v>
      </c>
      <c r="S1982" s="38">
        <f t="shared" si="255"/>
        <v>2</v>
      </c>
      <c r="T1982" s="38">
        <v>10.98</v>
      </c>
      <c r="U1982" s="38">
        <v>0.03</v>
      </c>
      <c r="V1982" s="38">
        <v>0</v>
      </c>
      <c r="W1982" s="38">
        <v>0</v>
      </c>
      <c r="X1982" s="38">
        <v>2.4028399999999999</v>
      </c>
      <c r="Y1982" s="38">
        <f t="shared" si="256"/>
        <v>2.5</v>
      </c>
      <c r="Z1982" s="117">
        <v>0</v>
      </c>
      <c r="AA1982" s="117">
        <v>0</v>
      </c>
      <c r="AB1982" s="38">
        <v>11</v>
      </c>
      <c r="AC1982" s="38">
        <v>1.2934399999999999</v>
      </c>
      <c r="AD1982" s="38">
        <v>0</v>
      </c>
      <c r="AE1982" s="38">
        <v>0</v>
      </c>
      <c r="AF1982" s="38">
        <v>0</v>
      </c>
      <c r="AG1982" s="38">
        <f t="shared" si="257"/>
        <v>0</v>
      </c>
      <c r="AH1982" s="38">
        <v>0</v>
      </c>
      <c r="AI1982" s="38">
        <v>0</v>
      </c>
      <c r="AJ1982" s="38">
        <v>0</v>
      </c>
      <c r="AK1982" s="38">
        <v>0</v>
      </c>
      <c r="AL1982" s="38">
        <v>0</v>
      </c>
      <c r="AM1982" s="38">
        <v>0</v>
      </c>
      <c r="AN1982" s="41"/>
      <c r="AO1982" s="41"/>
      <c r="AP1982" s="41"/>
      <c r="AQ1982" s="41">
        <f t="shared" si="279"/>
        <v>11</v>
      </c>
      <c r="AR1982" s="41">
        <f t="shared" si="280"/>
        <v>11.01</v>
      </c>
      <c r="AS1982" s="41">
        <f t="shared" si="281"/>
        <v>11</v>
      </c>
      <c r="AT1982" s="22"/>
      <c r="AU1982" s="22">
        <f t="shared" si="282"/>
        <v>1</v>
      </c>
      <c r="AV1982" s="22">
        <f t="shared" si="283"/>
        <v>0.99909173478655766</v>
      </c>
      <c r="AW1982" s="22">
        <f t="shared" si="284"/>
        <v>1</v>
      </c>
      <c r="AX1982" s="22"/>
      <c r="AY1982" s="22"/>
      <c r="AZ1982" s="22"/>
      <c r="BA1982" s="22"/>
      <c r="BB1982" s="22"/>
      <c r="BC1982" s="22"/>
      <c r="BD1982" s="22"/>
      <c r="BE1982" s="22"/>
      <c r="BF1982" s="22"/>
      <c r="BG1982" s="22"/>
      <c r="BH1982" s="22"/>
      <c r="BI1982" s="22"/>
      <c r="BJ1982" s="22"/>
      <c r="BK1982" s="22"/>
      <c r="BL1982" s="22"/>
      <c r="BM1982" s="22"/>
      <c r="BN1982" s="22"/>
      <c r="BO1982" s="22"/>
      <c r="BP1982" s="22"/>
      <c r="BQ1982" s="22"/>
      <c r="BR1982" s="22"/>
      <c r="BS1982" s="22"/>
      <c r="BT1982" s="22"/>
      <c r="BU1982" s="22"/>
      <c r="BV1982" s="22"/>
      <c r="BW1982" s="22"/>
      <c r="BX1982" s="22"/>
      <c r="BY1982" s="22"/>
      <c r="BZ1982" s="22"/>
      <c r="CA1982" s="22"/>
      <c r="CB1982" s="22"/>
      <c r="CC1982" s="22"/>
      <c r="CD1982" s="22"/>
      <c r="CE1982" s="22"/>
      <c r="CF1982" s="22"/>
      <c r="CG1982" s="22"/>
      <c r="CH1982" s="22"/>
      <c r="CI1982" s="22"/>
      <c r="CJ1982" s="22"/>
    </row>
    <row r="1983" spans="1:88">
      <c r="A1983" s="1">
        <v>502</v>
      </c>
      <c r="B1983" s="88" t="s">
        <v>821</v>
      </c>
      <c r="C1983" s="88">
        <v>519</v>
      </c>
      <c r="D1983" s="88">
        <v>1221</v>
      </c>
      <c r="E1983" s="88">
        <v>100</v>
      </c>
      <c r="F1983" s="88" t="s">
        <v>856</v>
      </c>
      <c r="G1983" s="88" t="s">
        <v>92</v>
      </c>
      <c r="H1983" s="88" t="s">
        <v>682</v>
      </c>
      <c r="I1983" s="115">
        <v>8.8650000000000002</v>
      </c>
      <c r="J1983" s="88" t="s">
        <v>238</v>
      </c>
      <c r="K1983" s="34">
        <v>2</v>
      </c>
      <c r="L1983" s="10">
        <v>42276</v>
      </c>
      <c r="M1983" s="9" t="s">
        <v>191</v>
      </c>
      <c r="N1983" s="38">
        <v>7.57</v>
      </c>
      <c r="O1983" s="38">
        <v>1.04</v>
      </c>
      <c r="P1983" s="38">
        <v>0.57999999999999996</v>
      </c>
      <c r="Q1983" s="38">
        <v>0.22</v>
      </c>
      <c r="R1983" s="38">
        <v>2.21</v>
      </c>
      <c r="S1983" s="38">
        <f t="shared" si="255"/>
        <v>2</v>
      </c>
      <c r="T1983" s="38">
        <v>8.6999999999999993</v>
      </c>
      <c r="U1983" s="38">
        <v>0.14000000000000001</v>
      </c>
      <c r="V1983" s="38">
        <v>0</v>
      </c>
      <c r="W1983" s="38">
        <v>0</v>
      </c>
      <c r="X1983" s="38">
        <v>2.1</v>
      </c>
      <c r="Y1983" s="38">
        <f t="shared" si="256"/>
        <v>2</v>
      </c>
      <c r="Z1983" s="38">
        <v>0</v>
      </c>
      <c r="AA1983" s="117">
        <v>0</v>
      </c>
      <c r="AB1983" s="117">
        <v>9.4</v>
      </c>
      <c r="AC1983" s="117">
        <v>0</v>
      </c>
      <c r="AD1983" s="117">
        <v>0</v>
      </c>
      <c r="AE1983" s="117">
        <v>0</v>
      </c>
      <c r="AF1983" s="117">
        <v>0</v>
      </c>
      <c r="AG1983" s="38">
        <f t="shared" si="257"/>
        <v>0</v>
      </c>
      <c r="AH1983" s="117">
        <v>0</v>
      </c>
      <c r="AI1983" s="117">
        <v>0</v>
      </c>
      <c r="AJ1983" s="117">
        <v>0</v>
      </c>
      <c r="AK1983" s="117">
        <v>0</v>
      </c>
      <c r="AL1983" s="117">
        <v>0</v>
      </c>
      <c r="AM1983" s="117">
        <v>0</v>
      </c>
      <c r="AN1983" s="41"/>
      <c r="AO1983" s="41"/>
      <c r="AP1983" s="41"/>
      <c r="AQ1983" s="41">
        <f t="shared" si="279"/>
        <v>9.41</v>
      </c>
      <c r="AR1983" s="41">
        <f t="shared" si="280"/>
        <v>8.84</v>
      </c>
      <c r="AS1983" s="41">
        <f t="shared" si="281"/>
        <v>9.4</v>
      </c>
      <c r="AT1983" s="22"/>
      <c r="AU1983" s="22">
        <f t="shared" si="282"/>
        <v>0.94208289054197658</v>
      </c>
      <c r="AV1983" s="22">
        <f t="shared" si="283"/>
        <v>1.0028280542986425</v>
      </c>
      <c r="AW1983" s="22">
        <f t="shared" si="284"/>
        <v>0.94308510638297871</v>
      </c>
    </row>
    <row r="1984" spans="1:88">
      <c r="A1984" s="1">
        <v>552</v>
      </c>
      <c r="B1984" s="34" t="s">
        <v>948</v>
      </c>
      <c r="C1984" s="34">
        <v>551</v>
      </c>
      <c r="D1984" s="34">
        <v>2008</v>
      </c>
      <c r="E1984" s="34">
        <v>100</v>
      </c>
      <c r="F1984" s="9" t="s">
        <v>952</v>
      </c>
      <c r="G1984" s="20">
        <v>0</v>
      </c>
      <c r="H1984" s="20">
        <v>6365</v>
      </c>
      <c r="I1984" s="35">
        <v>6.3650000000000002</v>
      </c>
      <c r="J1984" s="71">
        <v>2</v>
      </c>
      <c r="K1984" s="34" t="s">
        <v>238</v>
      </c>
      <c r="L1984" s="10">
        <v>42192</v>
      </c>
      <c r="M1984" s="9" t="s">
        <v>191</v>
      </c>
      <c r="N1984" s="38">
        <v>5.44</v>
      </c>
      <c r="O1984" s="38">
        <v>0.8</v>
      </c>
      <c r="P1984" s="38">
        <v>0.08</v>
      </c>
      <c r="Q1984" s="38">
        <v>0.05</v>
      </c>
      <c r="R1984" s="38">
        <v>1.865</v>
      </c>
      <c r="S1984" s="38">
        <f t="shared" si="255"/>
        <v>2</v>
      </c>
      <c r="T1984" s="38">
        <v>6.37</v>
      </c>
      <c r="U1984" s="38">
        <v>0</v>
      </c>
      <c r="V1984" s="38">
        <v>0</v>
      </c>
      <c r="W1984" s="38">
        <v>0</v>
      </c>
      <c r="X1984" s="38">
        <v>2.5710000000000002</v>
      </c>
      <c r="Y1984" s="38">
        <f t="shared" si="256"/>
        <v>2.5</v>
      </c>
      <c r="Z1984" s="38">
        <v>0</v>
      </c>
      <c r="AA1984" s="38">
        <v>0</v>
      </c>
      <c r="AB1984" s="38">
        <f>T1984+U1984+V1984+W1984</f>
        <v>6.37</v>
      </c>
      <c r="AC1984" s="38">
        <v>0.99</v>
      </c>
      <c r="AD1984" s="38">
        <v>0</v>
      </c>
      <c r="AE1984" s="38">
        <v>0</v>
      </c>
      <c r="AF1984" s="38">
        <f>(AD1984+AE1984*0.5)/(3.5*I1984*1000)*100</f>
        <v>0</v>
      </c>
      <c r="AG1984" s="38">
        <f t="shared" si="257"/>
        <v>0</v>
      </c>
      <c r="AH1984" s="38">
        <v>0</v>
      </c>
      <c r="AI1984" s="38">
        <f>AH1984/(3.5*I1984*1000)*100</f>
        <v>0</v>
      </c>
      <c r="AJ1984" s="38">
        <v>72</v>
      </c>
      <c r="AK1984" s="38">
        <f>AJ1984/(3.5*I1984*1000)*100</f>
        <v>0.32319604982605765</v>
      </c>
      <c r="AL1984" s="38">
        <v>0</v>
      </c>
      <c r="AM1984" s="38">
        <f>AL1984/(3.5*I1984*1000)*100</f>
        <v>0</v>
      </c>
      <c r="AN1984" s="25"/>
      <c r="AO1984" s="25">
        <f>AE1984*0.5</f>
        <v>0</v>
      </c>
      <c r="AP1984" s="25">
        <f>(AD1984+AH1984+AJ1984+AL1984+AO1984)*I1984</f>
        <v>458.28000000000003</v>
      </c>
      <c r="AQ1984" s="25">
        <f t="shared" si="279"/>
        <v>6.37</v>
      </c>
      <c r="AR1984" s="25">
        <f t="shared" si="280"/>
        <v>6.37</v>
      </c>
      <c r="AS1984" s="268">
        <v>6.3650000000000002</v>
      </c>
      <c r="AT1984" s="41"/>
      <c r="AU1984" s="41">
        <f>SUM(N1984:Q1984)</f>
        <v>6.37</v>
      </c>
      <c r="AV1984" s="41">
        <f>SUM(T1984:W1984)</f>
        <v>6.37</v>
      </c>
      <c r="AW1984" s="41">
        <f>SUM(Z1984:AB1984)</f>
        <v>6.37</v>
      </c>
      <c r="AX1984" s="22"/>
      <c r="AY1984" s="22">
        <f>I1984/AU1984</f>
        <v>0.99921507064364212</v>
      </c>
      <c r="AZ1984" s="22">
        <f>I1984/AV1984</f>
        <v>0.99921507064364212</v>
      </c>
      <c r="BA1984" s="22">
        <f>I1984/AW1984</f>
        <v>0.99921507064364212</v>
      </c>
      <c r="BB1984" s="22"/>
      <c r="BC1984" s="22"/>
      <c r="BD1984" s="22"/>
      <c r="BE1984" s="22"/>
      <c r="BF1984" s="22"/>
      <c r="BG1984" s="22"/>
      <c r="BH1984" s="22"/>
      <c r="BI1984" s="22"/>
      <c r="BJ1984" s="22"/>
      <c r="BK1984" s="22"/>
      <c r="BL1984" s="22"/>
      <c r="BM1984" s="22"/>
      <c r="BN1984" s="22"/>
      <c r="BO1984" s="22"/>
      <c r="BP1984" s="22"/>
      <c r="BQ1984" s="22"/>
      <c r="BR1984" s="22"/>
      <c r="BS1984" s="22"/>
      <c r="BT1984" s="22"/>
      <c r="BU1984" s="22"/>
      <c r="BV1984" s="22"/>
      <c r="BW1984" s="22"/>
      <c r="BX1984" s="22"/>
      <c r="BY1984" s="22"/>
      <c r="BZ1984" s="22"/>
      <c r="CA1984" s="22"/>
      <c r="CB1984" s="22"/>
      <c r="CC1984" s="22"/>
      <c r="CD1984" s="22"/>
      <c r="CE1984" s="22"/>
      <c r="CF1984" s="22"/>
      <c r="CG1984" s="22"/>
      <c r="CH1984" s="22"/>
      <c r="CI1984" s="22"/>
      <c r="CJ1984" s="22"/>
    </row>
    <row r="1985" spans="1:88">
      <c r="A1985" s="1">
        <v>574</v>
      </c>
      <c r="B1985" s="34" t="s">
        <v>948</v>
      </c>
      <c r="C1985" s="34">
        <v>551</v>
      </c>
      <c r="D1985" s="34">
        <v>2478</v>
      </c>
      <c r="E1985" s="34">
        <v>100</v>
      </c>
      <c r="F1985" s="119" t="s">
        <v>975</v>
      </c>
      <c r="G1985" s="20">
        <v>9666</v>
      </c>
      <c r="H1985" s="20">
        <v>0</v>
      </c>
      <c r="I1985" s="35">
        <v>9.6660000000000004</v>
      </c>
      <c r="J1985" s="71">
        <v>2</v>
      </c>
      <c r="K1985" s="34" t="s">
        <v>12</v>
      </c>
      <c r="L1985" s="10">
        <v>42224</v>
      </c>
      <c r="M1985" s="9" t="s">
        <v>191</v>
      </c>
      <c r="N1985" s="38">
        <v>7.5</v>
      </c>
      <c r="O1985" s="38">
        <v>0.9</v>
      </c>
      <c r="P1985" s="38">
        <v>0.65</v>
      </c>
      <c r="Q1985" s="38">
        <v>0.52500000000000002</v>
      </c>
      <c r="R1985" s="38">
        <v>2.11436</v>
      </c>
      <c r="S1985" s="38">
        <f t="shared" si="255"/>
        <v>2</v>
      </c>
      <c r="T1985" s="38">
        <v>7.9749999999999996</v>
      </c>
      <c r="U1985" s="38">
        <v>1.28</v>
      </c>
      <c r="V1985" s="38">
        <v>0.35</v>
      </c>
      <c r="W1985" s="38">
        <v>0.05</v>
      </c>
      <c r="X1985" s="38">
        <v>7.2521800000000001</v>
      </c>
      <c r="Y1985" s="38">
        <f t="shared" si="256"/>
        <v>7.5</v>
      </c>
      <c r="Z1985" s="38">
        <v>0</v>
      </c>
      <c r="AA1985" s="38">
        <v>0</v>
      </c>
      <c r="AB1985" s="38">
        <v>9.66</v>
      </c>
      <c r="AC1985" s="38">
        <v>1.00915</v>
      </c>
      <c r="AD1985" s="38">
        <v>0</v>
      </c>
      <c r="AE1985" s="38">
        <v>0</v>
      </c>
      <c r="AF1985" s="38">
        <v>0</v>
      </c>
      <c r="AG1985" s="38">
        <f t="shared" si="257"/>
        <v>0</v>
      </c>
      <c r="AH1985" s="38">
        <v>0</v>
      </c>
      <c r="AI1985" s="38">
        <v>0</v>
      </c>
      <c r="AJ1985" s="38">
        <v>0</v>
      </c>
      <c r="AK1985" s="38">
        <v>0</v>
      </c>
      <c r="AL1985" s="38">
        <v>6</v>
      </c>
      <c r="AM1985" s="38">
        <f>AL1985/(3.5*I1985*1000)*100</f>
        <v>1.7735213265939524E-2</v>
      </c>
      <c r="AN1985" s="25"/>
      <c r="AO1985" s="25"/>
      <c r="AP1985" s="25">
        <f>(AD1985+AH1985+AJ1985+AL1985)*I1985</f>
        <v>57.996000000000002</v>
      </c>
      <c r="AQ1985" s="25">
        <f t="shared" si="279"/>
        <v>9.5750000000000011</v>
      </c>
      <c r="AR1985" s="25">
        <f t="shared" si="280"/>
        <v>9.6549999999999994</v>
      </c>
      <c r="AS1985" s="268">
        <v>9.6660000000000004</v>
      </c>
      <c r="AT1985" s="41"/>
      <c r="AU1985" s="41">
        <f>SUM(N1985:Q1985)</f>
        <v>9.5750000000000011</v>
      </c>
      <c r="AV1985" s="41"/>
      <c r="AW1985" s="41"/>
      <c r="AX1985" s="22"/>
      <c r="AY1985" s="22"/>
      <c r="AZ1985" s="22"/>
      <c r="BA1985" s="22"/>
      <c r="BB1985" s="22"/>
      <c r="BC1985" s="22"/>
      <c r="BD1985" s="22"/>
      <c r="BE1985" s="22"/>
      <c r="BF1985" s="22"/>
      <c r="BG1985" s="22"/>
      <c r="BH1985" s="22"/>
      <c r="BI1985" s="22"/>
      <c r="BJ1985" s="22"/>
      <c r="BK1985" s="22"/>
      <c r="BL1985" s="22"/>
      <c r="BM1985" s="22"/>
      <c r="BN1985" s="22"/>
      <c r="BO1985" s="22"/>
      <c r="BP1985" s="22"/>
      <c r="BQ1985" s="22"/>
      <c r="BR1985" s="22"/>
      <c r="BS1985" s="22"/>
      <c r="BT1985" s="22"/>
      <c r="BU1985" s="22"/>
      <c r="BV1985" s="22"/>
      <c r="BW1985" s="22"/>
      <c r="BX1985" s="22"/>
      <c r="BY1985" s="22"/>
      <c r="BZ1985" s="22"/>
      <c r="CA1985" s="22"/>
      <c r="CB1985" s="22"/>
      <c r="CC1985" s="22"/>
      <c r="CD1985" s="22"/>
      <c r="CE1985" s="22"/>
      <c r="CF1985" s="22"/>
      <c r="CG1985" s="22"/>
      <c r="CH1985" s="22"/>
      <c r="CI1985" s="22"/>
      <c r="CJ1985" s="22"/>
    </row>
    <row r="1986" spans="1:88">
      <c r="A1986" s="1">
        <v>631</v>
      </c>
      <c r="B1986" s="34" t="s">
        <v>1017</v>
      </c>
      <c r="C1986" s="34">
        <v>555</v>
      </c>
      <c r="D1986" s="34">
        <v>2479</v>
      </c>
      <c r="E1986" s="34">
        <v>103</v>
      </c>
      <c r="F1986" s="9" t="s">
        <v>1036</v>
      </c>
      <c r="G1986" s="118" t="s">
        <v>1037</v>
      </c>
      <c r="H1986" s="118" t="s">
        <v>1038</v>
      </c>
      <c r="I1986" s="35">
        <v>4.7759999999999998</v>
      </c>
      <c r="J1986" s="71">
        <v>2</v>
      </c>
      <c r="K1986" s="34" t="s">
        <v>12</v>
      </c>
      <c r="L1986" s="10">
        <v>42186</v>
      </c>
      <c r="M1986" s="9" t="s">
        <v>191</v>
      </c>
      <c r="N1986" s="38">
        <v>4.04</v>
      </c>
      <c r="O1986" s="38">
        <v>0.56000000000000005</v>
      </c>
      <c r="P1986" s="38">
        <v>7.4999999999999997E-2</v>
      </c>
      <c r="Q1986" s="38">
        <v>7.4999999999999997E-2</v>
      </c>
      <c r="R1986" s="38">
        <v>1.99</v>
      </c>
      <c r="S1986" s="38">
        <f t="shared" si="255"/>
        <v>2</v>
      </c>
      <c r="T1986" s="38">
        <v>4.75</v>
      </c>
      <c r="U1986" s="38">
        <v>2.5000000000000001E-2</v>
      </c>
      <c r="V1986" s="38">
        <v>0</v>
      </c>
      <c r="W1986" s="38">
        <v>0</v>
      </c>
      <c r="X1986" s="38">
        <v>2.387</v>
      </c>
      <c r="Y1986" s="38">
        <f t="shared" si="256"/>
        <v>2.5</v>
      </c>
      <c r="Z1986" s="38">
        <v>0</v>
      </c>
      <c r="AA1986" s="38">
        <v>0</v>
      </c>
      <c r="AB1986" s="38">
        <v>4.7779999999999996</v>
      </c>
      <c r="AC1986" s="38">
        <v>1.117</v>
      </c>
      <c r="AD1986" s="38">
        <v>0</v>
      </c>
      <c r="AE1986" s="38">
        <v>0</v>
      </c>
      <c r="AF1986" s="38">
        <f>(AD1986+AE1986*0.5)/(3.5*I1986*1000)*100</f>
        <v>0</v>
      </c>
      <c r="AG1986" s="38">
        <f t="shared" si="257"/>
        <v>0</v>
      </c>
      <c r="AH1986" s="38">
        <v>0</v>
      </c>
      <c r="AI1986" s="38">
        <f>AH1986/(3.5*I1986*1000)*100</f>
        <v>0</v>
      </c>
      <c r="AJ1986" s="38">
        <v>0</v>
      </c>
      <c r="AK1986" s="38">
        <f>AJ1986/(3.5*I1986*1000)*100</f>
        <v>0</v>
      </c>
      <c r="AL1986" s="38">
        <v>0</v>
      </c>
      <c r="AM1986" s="38">
        <f>AL1986/(3.5*I1986*1000)*100</f>
        <v>0</v>
      </c>
      <c r="AN1986" s="25"/>
      <c r="AO1986" s="25"/>
      <c r="AP1986" s="25"/>
      <c r="AQ1986" s="25">
        <f t="shared" si="279"/>
        <v>4.75</v>
      </c>
      <c r="AR1986" s="25">
        <f t="shared" si="280"/>
        <v>4.7750000000000004</v>
      </c>
      <c r="AS1986" s="22"/>
      <c r="AT1986" s="41"/>
      <c r="AU1986" s="41"/>
      <c r="AV1986" s="41"/>
      <c r="AW1986" s="41"/>
      <c r="AX1986" s="22"/>
      <c r="AY1986" s="22"/>
      <c r="AZ1986" s="22"/>
      <c r="BA1986" s="22"/>
      <c r="BB1986" s="22"/>
      <c r="BC1986" s="22"/>
      <c r="BD1986" s="22"/>
      <c r="BE1986" s="22"/>
      <c r="BF1986" s="22"/>
      <c r="BG1986" s="22"/>
      <c r="BH1986" s="22"/>
      <c r="BI1986" s="22"/>
      <c r="BJ1986" s="22"/>
      <c r="BK1986" s="22"/>
      <c r="BL1986" s="22"/>
      <c r="BM1986" s="22"/>
      <c r="BN1986" s="22"/>
      <c r="BO1986" s="22"/>
      <c r="BP1986" s="22"/>
      <c r="BQ1986" s="22"/>
      <c r="BR1986" s="22"/>
      <c r="BS1986" s="22"/>
      <c r="BT1986" s="22"/>
      <c r="BU1986" s="22"/>
      <c r="BV1986" s="22"/>
      <c r="BW1986" s="22"/>
      <c r="BX1986" s="22"/>
      <c r="BY1986" s="22"/>
      <c r="BZ1986" s="22"/>
      <c r="CA1986" s="22"/>
      <c r="CB1986" s="22"/>
      <c r="CC1986" s="22"/>
      <c r="CD1986" s="22"/>
      <c r="CE1986" s="22"/>
      <c r="CF1986" s="22"/>
      <c r="CG1986" s="22"/>
      <c r="CH1986" s="22"/>
      <c r="CI1986" s="22"/>
      <c r="CJ1986" s="22"/>
    </row>
    <row r="1987" spans="1:88">
      <c r="A1987" s="1">
        <v>632</v>
      </c>
      <c r="B1987" s="34" t="s">
        <v>1017</v>
      </c>
      <c r="C1987" s="34">
        <v>555</v>
      </c>
      <c r="D1987" s="34">
        <v>2480</v>
      </c>
      <c r="E1987" s="34">
        <v>100</v>
      </c>
      <c r="F1987" s="9" t="s">
        <v>1039</v>
      </c>
      <c r="G1987" s="118">
        <v>0</v>
      </c>
      <c r="H1987" s="118">
        <v>744</v>
      </c>
      <c r="I1987" s="35">
        <v>0.74399999999999999</v>
      </c>
      <c r="J1987" s="71">
        <v>2</v>
      </c>
      <c r="K1987" s="34" t="s">
        <v>238</v>
      </c>
      <c r="L1987" s="10">
        <v>42188</v>
      </c>
      <c r="M1987" s="9" t="s">
        <v>191</v>
      </c>
      <c r="N1987" s="38">
        <v>0.17</v>
      </c>
      <c r="O1987" s="38">
        <v>0.48</v>
      </c>
      <c r="P1987" s="38">
        <v>0.09</v>
      </c>
      <c r="Q1987" s="38">
        <v>0</v>
      </c>
      <c r="R1987" s="38">
        <v>2.9980000000000002</v>
      </c>
      <c r="S1987" s="38">
        <f t="shared" ref="S1987:S2050" si="285">ROUND(R1987/5,1)*5</f>
        <v>3</v>
      </c>
      <c r="T1987" s="38">
        <v>0.51</v>
      </c>
      <c r="U1987" s="38">
        <v>0.17</v>
      </c>
      <c r="V1987" s="38">
        <v>0.05</v>
      </c>
      <c r="W1987" s="38">
        <v>0</v>
      </c>
      <c r="X1987" s="38">
        <v>5.9370000000000003</v>
      </c>
      <c r="Y1987" s="38">
        <f t="shared" ref="Y1987:Y2050" si="286">ROUND(X1987/5,1)*5</f>
        <v>6</v>
      </c>
      <c r="Z1987" s="38">
        <v>0</v>
      </c>
      <c r="AA1987" s="38">
        <v>0</v>
      </c>
      <c r="AB1987" s="38">
        <v>0.74</v>
      </c>
      <c r="AC1987" s="38">
        <v>1.036</v>
      </c>
      <c r="AD1987" s="38">
        <v>0</v>
      </c>
      <c r="AE1987" s="38">
        <v>0</v>
      </c>
      <c r="AF1987" s="38">
        <f>(AD1987+AE1987*0.5)/(3.5*I1987*1000)*100</f>
        <v>0</v>
      </c>
      <c r="AG1987" s="38">
        <f t="shared" ref="AG1987:AG2050" si="287">ROUND(AF1987,1)</f>
        <v>0</v>
      </c>
      <c r="AH1987" s="38">
        <v>0</v>
      </c>
      <c r="AI1987" s="38">
        <f>AH1987/(3.5*I1987*1000)*100</f>
        <v>0</v>
      </c>
      <c r="AJ1987" s="38">
        <v>0</v>
      </c>
      <c r="AK1987" s="38">
        <f>AJ1987/(3.5*I1987*1000)*100</f>
        <v>0</v>
      </c>
      <c r="AL1987" s="38">
        <v>0</v>
      </c>
      <c r="AM1987" s="38">
        <f>AL1987/(3.5*I1987*1000)*100</f>
        <v>0</v>
      </c>
      <c r="AN1987" s="25"/>
      <c r="AO1987" s="25"/>
      <c r="AP1987" s="25"/>
      <c r="AQ1987" s="25">
        <f t="shared" si="279"/>
        <v>0.74</v>
      </c>
      <c r="AR1987" s="25">
        <f t="shared" si="280"/>
        <v>0.73000000000000009</v>
      </c>
      <c r="AS1987" s="22"/>
      <c r="AT1987" s="41"/>
      <c r="AU1987" s="41"/>
      <c r="AV1987" s="41"/>
      <c r="AW1987" s="41"/>
      <c r="AX1987" s="22"/>
      <c r="AY1987" s="22"/>
      <c r="AZ1987" s="22"/>
      <c r="BA1987" s="22"/>
      <c r="BB1987" s="22"/>
      <c r="BC1987" s="22"/>
      <c r="BD1987" s="22"/>
      <c r="BE1987" s="22"/>
      <c r="BF1987" s="22"/>
      <c r="BG1987" s="22"/>
      <c r="BH1987" s="22"/>
      <c r="BI1987" s="22"/>
      <c r="BJ1987" s="22"/>
      <c r="BK1987" s="22"/>
      <c r="BL1987" s="22"/>
      <c r="BM1987" s="22"/>
      <c r="BN1987" s="22"/>
      <c r="BO1987" s="22"/>
      <c r="BP1987" s="22"/>
      <c r="BQ1987" s="22"/>
      <c r="BR1987" s="22"/>
      <c r="BS1987" s="22"/>
      <c r="BT1987" s="22"/>
      <c r="BU1987" s="22"/>
      <c r="BV1987" s="22"/>
      <c r="BW1987" s="22"/>
      <c r="BX1987" s="22"/>
      <c r="BY1987" s="22"/>
      <c r="BZ1987" s="22"/>
      <c r="CA1987" s="22"/>
      <c r="CB1987" s="22"/>
      <c r="CC1987" s="22"/>
      <c r="CD1987" s="22"/>
      <c r="CE1987" s="22"/>
      <c r="CF1987" s="22"/>
      <c r="CG1987" s="22"/>
      <c r="CH1987" s="22"/>
      <c r="CI1987" s="22"/>
      <c r="CJ1987" s="22"/>
    </row>
    <row r="1988" spans="1:88">
      <c r="A1988" s="1">
        <v>652</v>
      </c>
      <c r="B1988" s="34" t="s">
        <v>1050</v>
      </c>
      <c r="C1988" s="34">
        <v>621</v>
      </c>
      <c r="D1988" s="34">
        <v>2424</v>
      </c>
      <c r="E1988" s="34">
        <v>100</v>
      </c>
      <c r="F1988" s="34" t="s">
        <v>1060</v>
      </c>
      <c r="G1988" s="128">
        <v>2041</v>
      </c>
      <c r="H1988" s="128">
        <v>2207</v>
      </c>
      <c r="I1988" s="35">
        <v>0.16600000000000001</v>
      </c>
      <c r="J1988" s="127">
        <v>4</v>
      </c>
      <c r="K1988" s="34" t="s">
        <v>237</v>
      </c>
      <c r="L1988" s="10">
        <v>42172</v>
      </c>
      <c r="M1988" s="9" t="s">
        <v>191</v>
      </c>
      <c r="N1988" s="38">
        <v>0</v>
      </c>
      <c r="O1988" s="38">
        <v>2.5000000000000001E-2</v>
      </c>
      <c r="P1988" s="38">
        <v>7.4999999999999997E-2</v>
      </c>
      <c r="Q1988" s="38">
        <v>0.1</v>
      </c>
      <c r="R1988" s="38">
        <v>6.0062499999999996</v>
      </c>
      <c r="S1988" s="38">
        <f t="shared" si="285"/>
        <v>6</v>
      </c>
      <c r="T1988" s="38">
        <v>0.17</v>
      </c>
      <c r="U1988" s="38">
        <v>0</v>
      </c>
      <c r="V1988" s="38">
        <v>0</v>
      </c>
      <c r="W1988" s="38">
        <v>0</v>
      </c>
      <c r="X1988" s="38">
        <v>3.3907500000000002</v>
      </c>
      <c r="Y1988" s="38">
        <f t="shared" si="286"/>
        <v>3.5</v>
      </c>
      <c r="Z1988" s="38">
        <v>0</v>
      </c>
      <c r="AA1988" s="38">
        <v>0</v>
      </c>
      <c r="AB1988" s="38">
        <v>0.16600000000000001</v>
      </c>
      <c r="AC1988" s="38">
        <v>0.97524999999999995</v>
      </c>
      <c r="AD1988" s="38">
        <v>0</v>
      </c>
      <c r="AE1988" s="38">
        <v>0</v>
      </c>
      <c r="AF1988" s="38">
        <v>0</v>
      </c>
      <c r="AG1988" s="38">
        <f t="shared" si="287"/>
        <v>0</v>
      </c>
      <c r="AH1988" s="38">
        <v>0</v>
      </c>
      <c r="AI1988" s="38">
        <v>0</v>
      </c>
      <c r="AJ1988" s="38">
        <v>0</v>
      </c>
      <c r="AK1988" s="55">
        <v>0</v>
      </c>
      <c r="AL1988" s="55">
        <v>0</v>
      </c>
      <c r="AM1988" s="55">
        <v>0</v>
      </c>
      <c r="AN1988" s="25">
        <f>SUM(N1988:Q1988)</f>
        <v>0.2</v>
      </c>
      <c r="AO1988" s="25">
        <f>SUM(T1988:W1988)</f>
        <v>0.17</v>
      </c>
      <c r="AP1988" s="22"/>
      <c r="AQ1988" s="41"/>
      <c r="AR1988" s="41"/>
      <c r="AS1988" s="41"/>
      <c r="AT1988" s="41"/>
      <c r="AU1988" s="22"/>
      <c r="AV1988" s="22"/>
      <c r="AW1988" s="22"/>
      <c r="AX1988" s="22"/>
      <c r="AY1988" s="22"/>
      <c r="AZ1988" s="22"/>
      <c r="BA1988" s="22"/>
      <c r="BB1988" s="22"/>
      <c r="BC1988" s="22"/>
      <c r="BD1988" s="22"/>
      <c r="BE1988" s="22"/>
      <c r="BF1988" s="22"/>
      <c r="BG1988" s="22"/>
      <c r="BH1988" s="22"/>
      <c r="BI1988" s="22"/>
      <c r="BJ1988" s="22"/>
      <c r="BK1988" s="22"/>
      <c r="BL1988" s="22"/>
      <c r="BM1988" s="22"/>
      <c r="BN1988" s="22"/>
      <c r="BO1988" s="22"/>
      <c r="BP1988" s="22"/>
      <c r="BQ1988" s="22"/>
      <c r="BR1988" s="22"/>
      <c r="BS1988" s="22"/>
      <c r="BT1988" s="22"/>
      <c r="BU1988" s="22"/>
      <c r="BV1988" s="22"/>
      <c r="BW1988" s="22"/>
      <c r="BX1988" s="22"/>
      <c r="BY1988" s="22"/>
      <c r="BZ1988" s="22"/>
      <c r="CA1988" s="22"/>
      <c r="CB1988" s="22"/>
      <c r="CC1988" s="22"/>
      <c r="CD1988" s="22"/>
      <c r="CE1988" s="22"/>
      <c r="CF1988" s="22"/>
      <c r="CG1988" s="22"/>
      <c r="CH1988" s="22"/>
      <c r="CI1988" s="22"/>
      <c r="CJ1988" s="22"/>
    </row>
    <row r="1989" spans="1:88">
      <c r="A1989" s="1">
        <v>653</v>
      </c>
      <c r="B1989" s="34" t="s">
        <v>1050</v>
      </c>
      <c r="C1989" s="34">
        <v>621</v>
      </c>
      <c r="D1989" s="34">
        <v>2424</v>
      </c>
      <c r="E1989" s="34">
        <v>100</v>
      </c>
      <c r="F1989" s="34" t="s">
        <v>1060</v>
      </c>
      <c r="G1989" s="128">
        <v>2207</v>
      </c>
      <c r="H1989" s="128">
        <v>2041</v>
      </c>
      <c r="I1989" s="35">
        <v>0.16600000000000001</v>
      </c>
      <c r="J1989" s="127">
        <v>4</v>
      </c>
      <c r="K1989" s="34" t="s">
        <v>96</v>
      </c>
      <c r="L1989" s="10">
        <v>42172</v>
      </c>
      <c r="M1989" s="9" t="s">
        <v>191</v>
      </c>
      <c r="N1989" s="38">
        <v>0</v>
      </c>
      <c r="O1989" s="38">
        <v>0.1</v>
      </c>
      <c r="P1989" s="38">
        <v>2.5000000000000001E-2</v>
      </c>
      <c r="Q1989" s="38">
        <v>7.4999999999999997E-2</v>
      </c>
      <c r="R1989" s="38">
        <v>4.7312500000000002</v>
      </c>
      <c r="S1989" s="38">
        <f t="shared" si="285"/>
        <v>4.5</v>
      </c>
      <c r="T1989" s="38">
        <v>0.17</v>
      </c>
      <c r="U1989" s="38">
        <v>0</v>
      </c>
      <c r="V1989" s="38">
        <v>0</v>
      </c>
      <c r="W1989" s="38">
        <v>0</v>
      </c>
      <c r="X1989" s="38">
        <v>3.22187</v>
      </c>
      <c r="Y1989" s="38">
        <f t="shared" si="286"/>
        <v>3</v>
      </c>
      <c r="Z1989" s="38">
        <v>0</v>
      </c>
      <c r="AA1989" s="38">
        <v>0</v>
      </c>
      <c r="AB1989" s="38">
        <v>0.16600000000000001</v>
      </c>
      <c r="AC1989" s="38">
        <v>0.99262499999999998</v>
      </c>
      <c r="AD1989" s="38">
        <v>0</v>
      </c>
      <c r="AE1989" s="38">
        <v>0</v>
      </c>
      <c r="AF1989" s="38">
        <v>0</v>
      </c>
      <c r="AG1989" s="38">
        <f t="shared" si="287"/>
        <v>0</v>
      </c>
      <c r="AH1989" s="38">
        <v>0</v>
      </c>
      <c r="AI1989" s="38">
        <v>0</v>
      </c>
      <c r="AJ1989" s="38">
        <v>0</v>
      </c>
      <c r="AK1989" s="55">
        <v>0</v>
      </c>
      <c r="AL1989" s="55">
        <v>0</v>
      </c>
      <c r="AM1989" s="55">
        <v>0</v>
      </c>
      <c r="AN1989" s="25">
        <f>SUM(N1989:Q1989)</f>
        <v>0.2</v>
      </c>
      <c r="AO1989" s="25">
        <f>SUM(T1989:W1989)</f>
        <v>0.17</v>
      </c>
      <c r="AP1989" s="22"/>
      <c r="AQ1989" s="41"/>
      <c r="AR1989" s="41"/>
      <c r="AS1989" s="41"/>
      <c r="AT1989" s="41"/>
      <c r="AU1989" s="22"/>
      <c r="AV1989" s="22"/>
      <c r="AW1989" s="22"/>
      <c r="AX1989" s="22"/>
      <c r="AY1989" s="22"/>
      <c r="AZ1989" s="22"/>
      <c r="BA1989" s="22"/>
      <c r="BB1989" s="22"/>
      <c r="BC1989" s="22"/>
      <c r="BD1989" s="22"/>
      <c r="BE1989" s="22"/>
      <c r="BF1989" s="22"/>
      <c r="BG1989" s="22"/>
      <c r="BH1989" s="22"/>
      <c r="BI1989" s="22"/>
      <c r="BJ1989" s="22"/>
      <c r="BK1989" s="22"/>
      <c r="BL1989" s="22"/>
      <c r="BM1989" s="22"/>
      <c r="BN1989" s="22"/>
      <c r="BO1989" s="22"/>
      <c r="BP1989" s="22"/>
      <c r="BQ1989" s="22"/>
      <c r="BR1989" s="22"/>
      <c r="BS1989" s="22"/>
      <c r="BT1989" s="22"/>
      <c r="BU1989" s="22"/>
      <c r="BV1989" s="22"/>
      <c r="BW1989" s="22"/>
      <c r="BX1989" s="22"/>
      <c r="BY1989" s="22"/>
      <c r="BZ1989" s="22"/>
      <c r="CA1989" s="22"/>
      <c r="CB1989" s="22"/>
      <c r="CC1989" s="22"/>
      <c r="CD1989" s="22"/>
      <c r="CE1989" s="22"/>
      <c r="CF1989" s="22"/>
      <c r="CG1989" s="22"/>
      <c r="CH1989" s="22"/>
      <c r="CI1989" s="22"/>
      <c r="CJ1989" s="22"/>
    </row>
    <row r="1990" spans="1:88">
      <c r="A1990" s="1">
        <v>654</v>
      </c>
      <c r="B1990" s="34" t="s">
        <v>1050</v>
      </c>
      <c r="C1990" s="34">
        <v>621</v>
      </c>
      <c r="D1990" s="34">
        <v>2453</v>
      </c>
      <c r="E1990" s="34">
        <v>100</v>
      </c>
      <c r="F1990" s="34" t="s">
        <v>1061</v>
      </c>
      <c r="G1990" s="58">
        <v>0</v>
      </c>
      <c r="H1990" s="58">
        <v>487</v>
      </c>
      <c r="I1990" s="35">
        <v>0.48699999999999999</v>
      </c>
      <c r="J1990" s="127">
        <v>4</v>
      </c>
      <c r="K1990" s="34" t="s">
        <v>237</v>
      </c>
      <c r="L1990" s="10">
        <v>42172</v>
      </c>
      <c r="M1990" s="9" t="s">
        <v>191</v>
      </c>
      <c r="N1990" s="38">
        <v>0.15</v>
      </c>
      <c r="O1990" s="38">
        <v>0.1</v>
      </c>
      <c r="P1990" s="38">
        <v>0.05</v>
      </c>
      <c r="Q1990" s="38">
        <v>0.125</v>
      </c>
      <c r="R1990" s="38">
        <v>3.78</v>
      </c>
      <c r="S1990" s="38">
        <f t="shared" si="285"/>
        <v>4</v>
      </c>
      <c r="T1990" s="38">
        <v>0.45</v>
      </c>
      <c r="U1990" s="38">
        <v>2.5000000000000001E-2</v>
      </c>
      <c r="V1990" s="38">
        <v>0</v>
      </c>
      <c r="W1990" s="38">
        <v>0</v>
      </c>
      <c r="X1990" s="38">
        <v>6.3459399999999997</v>
      </c>
      <c r="Y1990" s="38">
        <f t="shared" si="286"/>
        <v>6.5</v>
      </c>
      <c r="Z1990" s="38">
        <v>0</v>
      </c>
      <c r="AA1990" s="38">
        <v>0</v>
      </c>
      <c r="AB1990" s="38">
        <v>0.48699999999999999</v>
      </c>
      <c r="AC1990" s="38">
        <v>1.1112899999999999</v>
      </c>
      <c r="AD1990" s="38">
        <v>0</v>
      </c>
      <c r="AE1990" s="38">
        <v>0</v>
      </c>
      <c r="AF1990" s="38">
        <v>0</v>
      </c>
      <c r="AG1990" s="38">
        <f t="shared" si="287"/>
        <v>0</v>
      </c>
      <c r="AH1990" s="38">
        <v>0</v>
      </c>
      <c r="AI1990" s="38">
        <v>0</v>
      </c>
      <c r="AJ1990" s="38">
        <v>0</v>
      </c>
      <c r="AK1990" s="55">
        <v>0</v>
      </c>
      <c r="AL1990" s="55">
        <v>0</v>
      </c>
      <c r="AM1990" s="55">
        <v>0</v>
      </c>
      <c r="AN1990" s="25">
        <f>SUM(N1990:Q1990)</f>
        <v>0.42499999999999999</v>
      </c>
      <c r="AO1990" s="25">
        <f>SUM(T1990:W1990)</f>
        <v>0.47500000000000003</v>
      </c>
      <c r="AP1990" s="22"/>
      <c r="AQ1990" s="41"/>
      <c r="AR1990" s="41"/>
      <c r="AS1990" s="41"/>
      <c r="AT1990" s="41"/>
      <c r="AU1990" s="22"/>
      <c r="AV1990" s="22"/>
      <c r="AW1990" s="22"/>
      <c r="AX1990" s="22"/>
      <c r="AY1990" s="22"/>
      <c r="AZ1990" s="22"/>
      <c r="BA1990" s="22"/>
      <c r="BB1990" s="22"/>
      <c r="BC1990" s="22"/>
      <c r="BD1990" s="22"/>
      <c r="BE1990" s="22"/>
      <c r="BF1990" s="22"/>
      <c r="BG1990" s="22"/>
      <c r="BH1990" s="22"/>
      <c r="BI1990" s="22"/>
      <c r="BJ1990" s="22"/>
      <c r="BK1990" s="22"/>
      <c r="BL1990" s="22"/>
      <c r="BM1990" s="22"/>
      <c r="BN1990" s="22"/>
      <c r="BO1990" s="22"/>
      <c r="BP1990" s="22"/>
      <c r="BQ1990" s="22"/>
      <c r="BR1990" s="22"/>
      <c r="BS1990" s="22"/>
      <c r="BT1990" s="22"/>
      <c r="BU1990" s="22"/>
      <c r="BV1990" s="22"/>
      <c r="BW1990" s="22"/>
      <c r="BX1990" s="22"/>
      <c r="BY1990" s="22"/>
      <c r="BZ1990" s="22"/>
      <c r="CA1990" s="22"/>
      <c r="CB1990" s="22"/>
      <c r="CC1990" s="22"/>
      <c r="CD1990" s="22"/>
      <c r="CE1990" s="22"/>
      <c r="CF1990" s="22"/>
      <c r="CG1990" s="22"/>
      <c r="CH1990" s="22"/>
      <c r="CI1990" s="22"/>
      <c r="CJ1990" s="22"/>
    </row>
    <row r="1991" spans="1:88">
      <c r="A1991" s="1">
        <v>655</v>
      </c>
      <c r="B1991" s="34" t="s">
        <v>1050</v>
      </c>
      <c r="C1991" s="34">
        <v>621</v>
      </c>
      <c r="D1991" s="34">
        <v>2453</v>
      </c>
      <c r="E1991" s="34">
        <v>100</v>
      </c>
      <c r="F1991" s="34" t="s">
        <v>1061</v>
      </c>
      <c r="G1991" s="58">
        <v>487</v>
      </c>
      <c r="H1991" s="58">
        <v>0</v>
      </c>
      <c r="I1991" s="35">
        <v>0.48699999999999999</v>
      </c>
      <c r="J1991" s="127">
        <v>4</v>
      </c>
      <c r="K1991" s="34" t="s">
        <v>96</v>
      </c>
      <c r="L1991" s="10">
        <v>42172</v>
      </c>
      <c r="M1991" s="9" t="s">
        <v>191</v>
      </c>
      <c r="N1991" s="38">
        <v>7.4999999999999997E-2</v>
      </c>
      <c r="O1991" s="38">
        <v>0.2</v>
      </c>
      <c r="P1991" s="38">
        <v>0.125</v>
      </c>
      <c r="Q1991" s="38">
        <v>2.5000000000000001E-2</v>
      </c>
      <c r="R1991" s="38">
        <v>3.3641200000000002</v>
      </c>
      <c r="S1991" s="38">
        <f t="shared" si="285"/>
        <v>3.5</v>
      </c>
      <c r="T1991" s="38">
        <v>0.45</v>
      </c>
      <c r="U1991" s="38">
        <v>2.5000000000000001E-2</v>
      </c>
      <c r="V1991" s="38">
        <v>0</v>
      </c>
      <c r="W1991" s="38">
        <v>0</v>
      </c>
      <c r="X1991" s="38">
        <v>5.2018199999999997</v>
      </c>
      <c r="Y1991" s="38">
        <f t="shared" si="286"/>
        <v>5</v>
      </c>
      <c r="Z1991" s="38">
        <v>0</v>
      </c>
      <c r="AA1991" s="38">
        <v>0</v>
      </c>
      <c r="AB1991" s="38">
        <v>0.48699999999999999</v>
      </c>
      <c r="AC1991" s="38">
        <v>1.1151800000000001</v>
      </c>
      <c r="AD1991" s="38">
        <v>0</v>
      </c>
      <c r="AE1991" s="38">
        <v>0</v>
      </c>
      <c r="AF1991" s="38">
        <v>0</v>
      </c>
      <c r="AG1991" s="38">
        <f t="shared" si="287"/>
        <v>0</v>
      </c>
      <c r="AH1991" s="38">
        <v>0</v>
      </c>
      <c r="AI1991" s="38">
        <v>0</v>
      </c>
      <c r="AJ1991" s="38">
        <v>0</v>
      </c>
      <c r="AK1991" s="55">
        <v>0</v>
      </c>
      <c r="AL1991" s="55">
        <v>0</v>
      </c>
      <c r="AM1991" s="55">
        <v>0</v>
      </c>
      <c r="AN1991" s="25">
        <f>SUM(N1991:Q1991)</f>
        <v>0.42500000000000004</v>
      </c>
      <c r="AO1991" s="25">
        <f>SUM(T1991:W1991)</f>
        <v>0.47500000000000003</v>
      </c>
      <c r="AP1991" s="22"/>
      <c r="AQ1991" s="41"/>
      <c r="AR1991" s="41"/>
      <c r="AS1991" s="41"/>
      <c r="AT1991" s="41"/>
      <c r="AU1991" s="22"/>
      <c r="AV1991" s="22"/>
      <c r="AW1991" s="22"/>
      <c r="AX1991" s="22"/>
      <c r="AY1991" s="22"/>
      <c r="AZ1991" s="22"/>
      <c r="BA1991" s="22"/>
      <c r="BB1991" s="22"/>
      <c r="BC1991" s="22"/>
      <c r="BD1991" s="22"/>
      <c r="BE1991" s="22"/>
      <c r="BF1991" s="22"/>
      <c r="BG1991" s="22"/>
      <c r="BH1991" s="22"/>
      <c r="BI1991" s="22"/>
      <c r="BJ1991" s="22"/>
      <c r="BK1991" s="22"/>
      <c r="BL1991" s="22"/>
      <c r="BM1991" s="22"/>
      <c r="BN1991" s="22"/>
      <c r="BO1991" s="22"/>
      <c r="BP1991" s="22"/>
      <c r="BQ1991" s="22"/>
      <c r="BR1991" s="22"/>
      <c r="BS1991" s="22"/>
      <c r="BT1991" s="22"/>
      <c r="BU1991" s="22"/>
      <c r="BV1991" s="22"/>
      <c r="BW1991" s="22"/>
      <c r="BX1991" s="22"/>
      <c r="BY1991" s="22"/>
      <c r="BZ1991" s="22"/>
      <c r="CA1991" s="22"/>
      <c r="CB1991" s="22"/>
      <c r="CC1991" s="22"/>
      <c r="CD1991" s="22"/>
      <c r="CE1991" s="22"/>
      <c r="CF1991" s="22"/>
      <c r="CG1991" s="22"/>
      <c r="CH1991" s="22"/>
      <c r="CI1991" s="22"/>
      <c r="CJ1991" s="22"/>
    </row>
    <row r="1992" spans="1:88">
      <c r="A1992" s="1">
        <v>656</v>
      </c>
      <c r="B1992" s="34" t="s">
        <v>1062</v>
      </c>
      <c r="C1992" s="34">
        <v>623</v>
      </c>
      <c r="D1992" s="34">
        <v>2</v>
      </c>
      <c r="E1992" s="34">
        <v>601</v>
      </c>
      <c r="F1992" s="9" t="s">
        <v>1063</v>
      </c>
      <c r="G1992" s="20" t="s">
        <v>1064</v>
      </c>
      <c r="H1992" s="20" t="s">
        <v>1065</v>
      </c>
      <c r="I1992" s="35">
        <v>15.195</v>
      </c>
      <c r="J1992" s="34">
        <v>2</v>
      </c>
      <c r="K1992" s="34" t="s">
        <v>237</v>
      </c>
      <c r="L1992" s="10">
        <v>42166</v>
      </c>
      <c r="M1992" s="9" t="s">
        <v>191</v>
      </c>
      <c r="N1992" s="38">
        <v>5.81</v>
      </c>
      <c r="O1992" s="38">
        <v>6.16</v>
      </c>
      <c r="P1992" s="38">
        <v>2.73</v>
      </c>
      <c r="Q1992" s="38">
        <v>0.49</v>
      </c>
      <c r="R1992" s="38">
        <v>3.0752000000000002</v>
      </c>
      <c r="S1992" s="38">
        <f t="shared" si="285"/>
        <v>3</v>
      </c>
      <c r="T1992" s="38">
        <v>14.44</v>
      </c>
      <c r="U1992" s="38">
        <v>0.56000000000000005</v>
      </c>
      <c r="V1992" s="38">
        <v>0.15</v>
      </c>
      <c r="W1992" s="38">
        <v>0.04</v>
      </c>
      <c r="X1992" s="38">
        <v>3.9102700000000001</v>
      </c>
      <c r="Y1992" s="38">
        <f t="shared" si="286"/>
        <v>4</v>
      </c>
      <c r="Z1992" s="38">
        <v>0</v>
      </c>
      <c r="AA1992" s="38">
        <v>0</v>
      </c>
      <c r="AB1992" s="38">
        <v>15.2</v>
      </c>
      <c r="AC1992" s="38">
        <v>1.2852699999999999</v>
      </c>
      <c r="AD1992" s="38">
        <v>0</v>
      </c>
      <c r="AE1992" s="38">
        <v>0</v>
      </c>
      <c r="AF1992" s="38">
        <v>0</v>
      </c>
      <c r="AG1992" s="38">
        <f t="shared" si="287"/>
        <v>0</v>
      </c>
      <c r="AH1992" s="38">
        <v>0</v>
      </c>
      <c r="AI1992" s="38">
        <v>0</v>
      </c>
      <c r="AJ1992" s="38">
        <v>39.54</v>
      </c>
      <c r="AK1992" s="38">
        <v>2.4031E-2</v>
      </c>
      <c r="AL1992" s="38">
        <v>0</v>
      </c>
      <c r="AM1992" s="38">
        <v>0</v>
      </c>
      <c r="AN1992" s="25"/>
      <c r="AO1992" s="1">
        <f>AE1992*0.5</f>
        <v>0</v>
      </c>
      <c r="AP1992" s="25">
        <f>(AD1992+AH1992+AJ1992+AL1992+AO1992)*I1992</f>
        <v>600.81029999999998</v>
      </c>
      <c r="AQ1992" s="25">
        <f>SUM(N1992:Q1992)</f>
        <v>15.19</v>
      </c>
      <c r="AR1992" s="25">
        <f>SUM(T1992:W1992)</f>
        <v>15.19</v>
      </c>
      <c r="AS1992" s="22"/>
      <c r="AT1992" s="41"/>
      <c r="AU1992" s="41">
        <f>SUM(N1992:Q1992)</f>
        <v>15.19</v>
      </c>
      <c r="AV1992" s="41">
        <f>SUM(T1992:W1992)</f>
        <v>15.19</v>
      </c>
      <c r="AW1992" s="41">
        <f>SUM(Z1992:AB1992)</f>
        <v>15.2</v>
      </c>
      <c r="AX1992" s="22"/>
      <c r="AY1992" s="22">
        <f>I1992/AU1992</f>
        <v>1.000329163923634</v>
      </c>
      <c r="AZ1992" s="22">
        <f>I1992/AV1992</f>
        <v>1.000329163923634</v>
      </c>
      <c r="BA1992" s="22">
        <f>I1992/AW1992</f>
        <v>0.99967105263157896</v>
      </c>
      <c r="BB1992" s="22"/>
      <c r="BC1992" s="22"/>
      <c r="BD1992" s="22"/>
      <c r="BE1992" s="22"/>
      <c r="BF1992" s="22"/>
      <c r="BG1992" s="22"/>
      <c r="BH1992" s="22"/>
      <c r="BI1992" s="22"/>
      <c r="BJ1992" s="22"/>
      <c r="BK1992" s="22"/>
      <c r="BL1992" s="22"/>
      <c r="BM1992" s="22"/>
      <c r="BN1992" s="22"/>
      <c r="BO1992" s="22"/>
      <c r="BP1992" s="22"/>
      <c r="BQ1992" s="22"/>
      <c r="BR1992" s="22"/>
      <c r="BS1992" s="22"/>
      <c r="BT1992" s="22"/>
      <c r="BU1992" s="22"/>
      <c r="BV1992" s="22"/>
      <c r="BW1992" s="22"/>
      <c r="BX1992" s="22"/>
      <c r="BY1992" s="22"/>
      <c r="BZ1992" s="22"/>
      <c r="CA1992" s="22"/>
      <c r="CB1992" s="22"/>
      <c r="CC1992" s="22"/>
      <c r="CD1992" s="22"/>
      <c r="CE1992" s="22"/>
      <c r="CF1992" s="22"/>
      <c r="CG1992" s="22"/>
      <c r="CH1992" s="22"/>
      <c r="CI1992" s="22"/>
      <c r="CJ1992" s="22"/>
    </row>
    <row r="1993" spans="1:88">
      <c r="A1993" s="1">
        <v>665</v>
      </c>
      <c r="B1993" s="34" t="s">
        <v>1062</v>
      </c>
      <c r="C1993" s="34">
        <v>623</v>
      </c>
      <c r="D1993" s="34">
        <v>2265</v>
      </c>
      <c r="E1993" s="34">
        <v>100</v>
      </c>
      <c r="F1993" s="9" t="s">
        <v>1074</v>
      </c>
      <c r="G1993" s="20">
        <v>0</v>
      </c>
      <c r="H1993" s="20">
        <v>1325</v>
      </c>
      <c r="I1993" s="35">
        <v>1.325</v>
      </c>
      <c r="J1993" s="34">
        <v>2</v>
      </c>
      <c r="K1993" s="34" t="s">
        <v>238</v>
      </c>
      <c r="L1993" s="10">
        <v>42167</v>
      </c>
      <c r="M1993" s="9" t="s">
        <v>191</v>
      </c>
      <c r="N1993" s="38">
        <v>0.05</v>
      </c>
      <c r="O1993" s="38">
        <v>0.5</v>
      </c>
      <c r="P1993" s="38">
        <v>0.38</v>
      </c>
      <c r="Q1993" s="38">
        <v>0.4</v>
      </c>
      <c r="R1993" s="38">
        <v>4.6130199999999997</v>
      </c>
      <c r="S1993" s="38">
        <f t="shared" si="285"/>
        <v>4.5</v>
      </c>
      <c r="T1993" s="38">
        <v>1.3</v>
      </c>
      <c r="U1993" s="38">
        <v>0.03</v>
      </c>
      <c r="V1993" s="38">
        <v>0</v>
      </c>
      <c r="W1993" s="38">
        <v>0</v>
      </c>
      <c r="X1993" s="38">
        <v>4.2918900000000004</v>
      </c>
      <c r="Y1993" s="38">
        <f t="shared" si="286"/>
        <v>4.5</v>
      </c>
      <c r="Z1993" s="38">
        <v>0</v>
      </c>
      <c r="AA1993" s="38">
        <v>0</v>
      </c>
      <c r="AB1993" s="38">
        <v>1.33</v>
      </c>
      <c r="AC1993" s="38">
        <v>1.02921</v>
      </c>
      <c r="AD1993" s="38">
        <v>0</v>
      </c>
      <c r="AE1993" s="38">
        <v>0</v>
      </c>
      <c r="AF1993" s="38">
        <v>0</v>
      </c>
      <c r="AG1993" s="38">
        <f t="shared" si="287"/>
        <v>0</v>
      </c>
      <c r="AH1993" s="38">
        <v>0</v>
      </c>
      <c r="AI1993" s="38">
        <v>0</v>
      </c>
      <c r="AJ1993" s="38">
        <v>29.5</v>
      </c>
      <c r="AK1993" s="38">
        <v>0.63611899999999999</v>
      </c>
      <c r="AL1993" s="38">
        <v>0</v>
      </c>
      <c r="AM1993" s="38">
        <v>0</v>
      </c>
      <c r="AN1993" s="25"/>
      <c r="AO1993" s="1">
        <f>AE1993*0.5</f>
        <v>0</v>
      </c>
      <c r="AP1993" s="25">
        <f>(AD1993+AH1993+AJ1993+AL1993+AO1993)*I1993</f>
        <v>39.087499999999999</v>
      </c>
      <c r="AQ1993" s="25">
        <f>SUM(N1993:Q1993)</f>
        <v>1.33</v>
      </c>
      <c r="AR1993" s="25">
        <f>SUM(T1993:W1993)</f>
        <v>1.33</v>
      </c>
      <c r="AS1993" s="22"/>
      <c r="AT1993" s="41"/>
      <c r="AU1993" s="41">
        <f>SUM(N1993:Q1993)</f>
        <v>1.33</v>
      </c>
      <c r="AV1993" s="41">
        <f>SUM(T1993:W1993)</f>
        <v>1.33</v>
      </c>
      <c r="AW1993" s="41">
        <f>SUM(Z1993:AB1993)</f>
        <v>1.33</v>
      </c>
      <c r="AX1993" s="22"/>
      <c r="AY1993" s="22">
        <f>I1993/AU1993</f>
        <v>0.99624060150375926</v>
      </c>
      <c r="AZ1993" s="22">
        <f>I1993/AV1993</f>
        <v>0.99624060150375926</v>
      </c>
      <c r="BA1993" s="22">
        <f>I1993/AW1993</f>
        <v>0.99624060150375926</v>
      </c>
      <c r="BB1993" s="22"/>
      <c r="BC1993" s="22"/>
      <c r="BD1993" s="22"/>
      <c r="BE1993" s="22"/>
      <c r="BF1993" s="22"/>
      <c r="BG1993" s="22"/>
      <c r="BH1993" s="22"/>
      <c r="BI1993" s="22"/>
      <c r="BJ1993" s="22"/>
      <c r="BK1993" s="22"/>
      <c r="BL1993" s="22"/>
      <c r="BM1993" s="22"/>
      <c r="BN1993" s="22"/>
      <c r="BO1993" s="22"/>
      <c r="BP1993" s="22"/>
      <c r="BQ1993" s="22"/>
      <c r="BR1993" s="22"/>
      <c r="BS1993" s="22"/>
      <c r="BT1993" s="22"/>
      <c r="BU1993" s="22"/>
      <c r="BV1993" s="22"/>
      <c r="BW1993" s="22"/>
      <c r="BX1993" s="22"/>
      <c r="BY1993" s="22"/>
      <c r="BZ1993" s="22"/>
      <c r="CA1993" s="22"/>
      <c r="CB1993" s="22"/>
      <c r="CC1993" s="22"/>
      <c r="CD1993" s="22"/>
      <c r="CE1993" s="22"/>
      <c r="CF1993" s="22"/>
      <c r="CG1993" s="22"/>
      <c r="CH1993" s="22"/>
      <c r="CI1993" s="22"/>
      <c r="CJ1993" s="22"/>
    </row>
    <row r="1994" spans="1:88">
      <c r="A1994" s="1">
        <v>666</v>
      </c>
      <c r="B1994" s="34" t="s">
        <v>1062</v>
      </c>
      <c r="C1994" s="34">
        <v>623</v>
      </c>
      <c r="D1994" s="34">
        <v>2266</v>
      </c>
      <c r="E1994" s="34">
        <v>200</v>
      </c>
      <c r="F1994" s="9" t="s">
        <v>1075</v>
      </c>
      <c r="G1994" s="20">
        <v>31983</v>
      </c>
      <c r="H1994" s="20">
        <v>25778</v>
      </c>
      <c r="I1994" s="35">
        <v>6.2050000000000001</v>
      </c>
      <c r="J1994" s="34">
        <v>2</v>
      </c>
      <c r="K1994" s="34" t="s">
        <v>12</v>
      </c>
      <c r="L1994" s="10">
        <v>42167</v>
      </c>
      <c r="M1994" s="9" t="s">
        <v>191</v>
      </c>
      <c r="N1994" s="38">
        <v>4.99</v>
      </c>
      <c r="O1994" s="38">
        <v>0.98</v>
      </c>
      <c r="P1994" s="38">
        <v>0.19</v>
      </c>
      <c r="Q1994" s="38">
        <v>0.05</v>
      </c>
      <c r="R1994" s="38">
        <v>2.0436100000000001</v>
      </c>
      <c r="S1994" s="38">
        <f t="shared" si="285"/>
        <v>2</v>
      </c>
      <c r="T1994" s="38">
        <v>6.11</v>
      </c>
      <c r="U1994" s="38">
        <v>0.05</v>
      </c>
      <c r="V1994" s="38">
        <v>0.03</v>
      </c>
      <c r="W1994" s="38">
        <v>0.03</v>
      </c>
      <c r="X1994" s="38">
        <v>3.6068199999999999</v>
      </c>
      <c r="Y1994" s="38">
        <f t="shared" si="286"/>
        <v>3.5</v>
      </c>
      <c r="Z1994" s="38">
        <v>0</v>
      </c>
      <c r="AA1994" s="38">
        <v>0</v>
      </c>
      <c r="AB1994" s="38">
        <v>6.21</v>
      </c>
      <c r="AC1994" s="38">
        <v>1.10249</v>
      </c>
      <c r="AD1994" s="38">
        <v>0</v>
      </c>
      <c r="AE1994" s="38">
        <v>0</v>
      </c>
      <c r="AF1994" s="38">
        <v>0</v>
      </c>
      <c r="AG1994" s="38">
        <f t="shared" si="287"/>
        <v>0</v>
      </c>
      <c r="AH1994" s="38">
        <v>0</v>
      </c>
      <c r="AI1994" s="38">
        <v>0</v>
      </c>
      <c r="AJ1994" s="38">
        <v>0</v>
      </c>
      <c r="AK1994" s="38">
        <v>0</v>
      </c>
      <c r="AL1994" s="38">
        <v>0</v>
      </c>
      <c r="AM1994" s="38">
        <v>0</v>
      </c>
      <c r="AN1994" s="25"/>
      <c r="AO1994" s="1">
        <f>AE1994*0.5</f>
        <v>0</v>
      </c>
      <c r="AP1994" s="25">
        <f>(AD1994+AH1994+AJ1994+AL1994+AO1994)*I1994</f>
        <v>0</v>
      </c>
      <c r="AQ1994" s="25">
        <f>SUM(N1994:Q1994)</f>
        <v>6.2100000000000009</v>
      </c>
      <c r="AR1994" s="25">
        <f>SUM(T1994:W1994)</f>
        <v>6.2200000000000006</v>
      </c>
      <c r="AS1994" s="22"/>
      <c r="AT1994" s="41"/>
      <c r="AU1994" s="41">
        <f>SUM(N1994:Q1994)</f>
        <v>6.2100000000000009</v>
      </c>
      <c r="AV1994" s="41">
        <f>SUM(T1994:W1994)</f>
        <v>6.2200000000000006</v>
      </c>
      <c r="AW1994" s="41">
        <f>SUM(Z1994:AB1994)</f>
        <v>6.21</v>
      </c>
      <c r="AX1994" s="22"/>
      <c r="AY1994" s="22">
        <f>I1994/AU1994</f>
        <v>0.99919484702093386</v>
      </c>
      <c r="AZ1994" s="22">
        <f>I1994/AV1994</f>
        <v>0.99758842443729889</v>
      </c>
      <c r="BA1994" s="22">
        <f>I1994/AW1994</f>
        <v>0.99919484702093397</v>
      </c>
      <c r="BB1994" s="22"/>
      <c r="BC1994" s="22"/>
      <c r="BD1994" s="22"/>
      <c r="BE1994" s="22"/>
      <c r="BF1994" s="22"/>
      <c r="BG1994" s="22"/>
      <c r="BH1994" s="22"/>
      <c r="BI1994" s="22"/>
      <c r="BJ1994" s="22"/>
      <c r="BK1994" s="22"/>
      <c r="BL1994" s="22"/>
      <c r="BM1994" s="22"/>
      <c r="BN1994" s="22"/>
      <c r="BO1994" s="22"/>
      <c r="BP1994" s="22"/>
      <c r="BQ1994" s="22"/>
      <c r="BR1994" s="22"/>
      <c r="BS1994" s="22"/>
      <c r="BT1994" s="22"/>
      <c r="BU1994" s="22"/>
      <c r="BV1994" s="22"/>
      <c r="BW1994" s="22"/>
      <c r="BX1994" s="22"/>
      <c r="BY1994" s="22"/>
      <c r="BZ1994" s="22"/>
      <c r="CA1994" s="22"/>
      <c r="CB1994" s="22"/>
      <c r="CC1994" s="22"/>
      <c r="CD1994" s="22"/>
      <c r="CE1994" s="22"/>
      <c r="CF1994" s="22"/>
      <c r="CG1994" s="22"/>
      <c r="CH1994" s="22"/>
      <c r="CI1994" s="22"/>
      <c r="CJ1994" s="22"/>
    </row>
    <row r="1995" spans="1:88" ht="23.25" customHeight="1">
      <c r="A1995" s="1">
        <v>1994</v>
      </c>
      <c r="B1995" s="34" t="s">
        <v>2615</v>
      </c>
      <c r="C1995" s="34">
        <v>322</v>
      </c>
      <c r="D1995" s="75">
        <v>4267</v>
      </c>
      <c r="E1995" s="8">
        <v>100</v>
      </c>
      <c r="F1995" s="34" t="s">
        <v>2635</v>
      </c>
      <c r="G1995" s="58" t="s">
        <v>2636</v>
      </c>
      <c r="H1995" s="58" t="s">
        <v>92</v>
      </c>
      <c r="I1995" s="21">
        <v>3.5</v>
      </c>
      <c r="J1995" s="8">
        <v>5</v>
      </c>
      <c r="K1995" s="8" t="s">
        <v>96</v>
      </c>
      <c r="L1995" s="18">
        <v>42126</v>
      </c>
      <c r="M1995" s="9" t="s">
        <v>191</v>
      </c>
      <c r="N1995" s="38">
        <v>2.9</v>
      </c>
      <c r="O1995" s="38">
        <v>0.42499999999999999</v>
      </c>
      <c r="P1995" s="38">
        <v>0.05</v>
      </c>
      <c r="Q1995" s="38">
        <v>0.125</v>
      </c>
      <c r="R1995" s="38">
        <v>2.177</v>
      </c>
      <c r="S1995" s="38">
        <f t="shared" si="285"/>
        <v>2</v>
      </c>
      <c r="T1995" s="38">
        <v>3.5</v>
      </c>
      <c r="U1995" s="38">
        <v>0</v>
      </c>
      <c r="V1995" s="38">
        <v>0</v>
      </c>
      <c r="W1995" s="38">
        <v>0</v>
      </c>
      <c r="X1995" s="38">
        <v>2.024</v>
      </c>
      <c r="Y1995" s="38">
        <f t="shared" si="286"/>
        <v>2</v>
      </c>
      <c r="Z1995" s="38">
        <v>0</v>
      </c>
      <c r="AA1995" s="38">
        <v>0</v>
      </c>
      <c r="AB1995" s="38">
        <v>3.4999999999999996</v>
      </c>
      <c r="AC1995" s="38">
        <v>1.4590000000000001</v>
      </c>
      <c r="AD1995" s="38"/>
      <c r="AE1995" s="38"/>
      <c r="AF1995" s="38"/>
      <c r="AG1995" s="38">
        <f t="shared" si="287"/>
        <v>0</v>
      </c>
      <c r="AH1995" s="38"/>
      <c r="AI1995" s="38"/>
      <c r="AJ1995" s="38"/>
      <c r="AK1995" s="38"/>
      <c r="AL1995" s="38"/>
      <c r="AM1995" s="38">
        <f>AL1995/(3.5*I1995*1000)*100</f>
        <v>0</v>
      </c>
      <c r="AN1995" s="72"/>
      <c r="AO1995" s="41"/>
      <c r="AP1995" s="41"/>
      <c r="AQ1995" s="73"/>
      <c r="AR1995" s="73"/>
      <c r="AS1995" s="73"/>
      <c r="AT1995" s="73"/>
    </row>
    <row r="1996" spans="1:88">
      <c r="A1996" s="1">
        <v>667</v>
      </c>
      <c r="B1996" s="34" t="s">
        <v>1062</v>
      </c>
      <c r="C1996" s="34">
        <v>623</v>
      </c>
      <c r="D1996" s="34">
        <v>2313</v>
      </c>
      <c r="E1996" s="34">
        <v>100</v>
      </c>
      <c r="F1996" s="9" t="s">
        <v>1076</v>
      </c>
      <c r="G1996" s="20">
        <v>0</v>
      </c>
      <c r="H1996" s="20">
        <v>450</v>
      </c>
      <c r="I1996" s="35">
        <v>0.45</v>
      </c>
      <c r="J1996" s="34">
        <v>2</v>
      </c>
      <c r="K1996" s="34" t="s">
        <v>238</v>
      </c>
      <c r="L1996" s="10">
        <v>42168</v>
      </c>
      <c r="M1996" s="9" t="s">
        <v>191</v>
      </c>
      <c r="N1996" s="38">
        <v>0.23</v>
      </c>
      <c r="O1996" s="38">
        <v>0.14000000000000001</v>
      </c>
      <c r="P1996" s="38">
        <v>0.03</v>
      </c>
      <c r="Q1996" s="38">
        <v>7.0000000000000007E-2</v>
      </c>
      <c r="R1996" s="38">
        <v>3.476</v>
      </c>
      <c r="S1996" s="38">
        <f t="shared" si="285"/>
        <v>3.5</v>
      </c>
      <c r="T1996" s="38">
        <v>0.43</v>
      </c>
      <c r="U1996" s="38">
        <v>0.03</v>
      </c>
      <c r="V1996" s="38">
        <v>0</v>
      </c>
      <c r="W1996" s="38">
        <v>0</v>
      </c>
      <c r="X1996" s="38">
        <v>4.6385500000000004</v>
      </c>
      <c r="Y1996" s="38">
        <f t="shared" si="286"/>
        <v>4.5</v>
      </c>
      <c r="Z1996" s="38">
        <v>0</v>
      </c>
      <c r="AA1996" s="38">
        <v>0</v>
      </c>
      <c r="AB1996" s="38">
        <v>0.45</v>
      </c>
      <c r="AC1996" s="38">
        <v>0.93149999999999999</v>
      </c>
      <c r="AD1996" s="38">
        <v>0</v>
      </c>
      <c r="AE1996" s="38">
        <v>0</v>
      </c>
      <c r="AF1996" s="38">
        <v>0</v>
      </c>
      <c r="AG1996" s="38">
        <f t="shared" si="287"/>
        <v>0</v>
      </c>
      <c r="AH1996" s="38">
        <v>0</v>
      </c>
      <c r="AI1996" s="38">
        <v>0</v>
      </c>
      <c r="AJ1996" s="38">
        <v>0</v>
      </c>
      <c r="AK1996" s="38">
        <v>0</v>
      </c>
      <c r="AL1996" s="38">
        <v>0</v>
      </c>
      <c r="AM1996" s="38">
        <v>0</v>
      </c>
      <c r="AN1996" s="25"/>
      <c r="AO1996" s="1">
        <f t="shared" ref="AO1996:AO2023" si="288">AE1996*0.5</f>
        <v>0</v>
      </c>
      <c r="AP1996" s="25">
        <f t="shared" ref="AP1996:AP2023" si="289">(AD1996+AH1996+AJ1996+AL1996+AO1996)*I1996</f>
        <v>0</v>
      </c>
      <c r="AQ1996" s="25">
        <f t="shared" ref="AQ1996:AQ2019" si="290">SUM(N1996:Q1996)</f>
        <v>0.47000000000000003</v>
      </c>
      <c r="AR1996" s="25">
        <f t="shared" ref="AR1996:AR2019" si="291">SUM(T1996:W1996)</f>
        <v>0.45999999999999996</v>
      </c>
      <c r="AS1996" s="22"/>
      <c r="AT1996" s="41"/>
      <c r="AU1996" s="41">
        <f>SUM(N1996:Q1996)</f>
        <v>0.47000000000000003</v>
      </c>
      <c r="AV1996" s="41">
        <f>SUM(T1996:W1996)</f>
        <v>0.45999999999999996</v>
      </c>
      <c r="AW1996" s="41">
        <f>SUM(Z1996:AB1996)</f>
        <v>0.45</v>
      </c>
      <c r="AX1996" s="22"/>
      <c r="AY1996" s="22">
        <f>I1996/AU1996</f>
        <v>0.95744680851063824</v>
      </c>
      <c r="AZ1996" s="22">
        <f>I1996/AV1996</f>
        <v>0.97826086956521752</v>
      </c>
      <c r="BA1996" s="22">
        <f>I1996/AW1996</f>
        <v>1</v>
      </c>
      <c r="BB1996" s="22"/>
      <c r="BC1996" s="22"/>
      <c r="BD1996" s="22"/>
      <c r="BE1996" s="22"/>
      <c r="BF1996" s="22"/>
      <c r="BG1996" s="22"/>
      <c r="BH1996" s="22"/>
      <c r="BI1996" s="22"/>
      <c r="BJ1996" s="22"/>
      <c r="BK1996" s="22"/>
      <c r="BL1996" s="22"/>
      <c r="BM1996" s="22"/>
      <c r="BN1996" s="22"/>
      <c r="BO1996" s="22"/>
      <c r="BP1996" s="22"/>
      <c r="BQ1996" s="22"/>
      <c r="BR1996" s="22"/>
      <c r="BS1996" s="22"/>
      <c r="BT1996" s="22"/>
      <c r="BU1996" s="22"/>
      <c r="BV1996" s="22"/>
      <c r="BW1996" s="22"/>
      <c r="BX1996" s="22"/>
      <c r="BY1996" s="22"/>
      <c r="BZ1996" s="22"/>
      <c r="CA1996" s="22"/>
      <c r="CB1996" s="22"/>
      <c r="CC1996" s="22"/>
      <c r="CD1996" s="22"/>
      <c r="CE1996" s="22"/>
      <c r="CF1996" s="22"/>
      <c r="CG1996" s="22"/>
      <c r="CH1996" s="22"/>
      <c r="CI1996" s="22"/>
      <c r="CJ1996" s="22"/>
    </row>
    <row r="1997" spans="1:88">
      <c r="A1997" s="1">
        <v>681</v>
      </c>
      <c r="B1997" s="34" t="s">
        <v>1084</v>
      </c>
      <c r="C1997" s="34">
        <v>624</v>
      </c>
      <c r="D1997" s="34">
        <v>2096</v>
      </c>
      <c r="E1997" s="34">
        <v>101</v>
      </c>
      <c r="F1997" s="34" t="s">
        <v>1091</v>
      </c>
      <c r="G1997" s="58">
        <v>0</v>
      </c>
      <c r="H1997" s="58">
        <v>40000</v>
      </c>
      <c r="I1997" s="35">
        <v>40</v>
      </c>
      <c r="J1997" s="127">
        <v>2</v>
      </c>
      <c r="K1997" s="34" t="s">
        <v>238</v>
      </c>
      <c r="L1997" s="10">
        <v>42170</v>
      </c>
      <c r="M1997" s="9" t="s">
        <v>191</v>
      </c>
      <c r="N1997" s="38">
        <v>31.1</v>
      </c>
      <c r="O1997" s="38">
        <v>6.875</v>
      </c>
      <c r="P1997" s="38">
        <v>1.5</v>
      </c>
      <c r="Q1997" s="38">
        <v>0.42499999999999999</v>
      </c>
      <c r="R1997" s="38">
        <v>2.0767199999999999</v>
      </c>
      <c r="S1997" s="38">
        <f t="shared" si="285"/>
        <v>2</v>
      </c>
      <c r="T1997" s="38">
        <v>35.674999999999997</v>
      </c>
      <c r="U1997" s="38">
        <v>3.5750000000000002</v>
      </c>
      <c r="V1997" s="38">
        <v>0.55000000000000004</v>
      </c>
      <c r="W1997" s="38">
        <v>0.1</v>
      </c>
      <c r="X1997" s="38">
        <v>5.9935299999999998</v>
      </c>
      <c r="Y1997" s="38">
        <f t="shared" si="286"/>
        <v>6</v>
      </c>
      <c r="Z1997" s="38">
        <v>0</v>
      </c>
      <c r="AA1997" s="38">
        <v>0</v>
      </c>
      <c r="AB1997" s="38">
        <f>N1997+O1997+P1997+Q1997</f>
        <v>39.9</v>
      </c>
      <c r="AC1997" s="38">
        <v>1.1649799999999999</v>
      </c>
      <c r="AD1997" s="38">
        <v>0</v>
      </c>
      <c r="AE1997" s="38">
        <v>0</v>
      </c>
      <c r="AF1997" s="38">
        <v>0</v>
      </c>
      <c r="AG1997" s="38">
        <f t="shared" si="287"/>
        <v>0</v>
      </c>
      <c r="AH1997" s="38">
        <v>0</v>
      </c>
      <c r="AI1997" s="38">
        <v>0</v>
      </c>
      <c r="AJ1997" s="38">
        <v>2.31</v>
      </c>
      <c r="AK1997" s="38">
        <v>1.65E-3</v>
      </c>
      <c r="AL1997" s="38">
        <v>0</v>
      </c>
      <c r="AM1997" s="38">
        <v>0</v>
      </c>
      <c r="AN1997" s="25"/>
      <c r="AO1997" s="25">
        <f t="shared" si="288"/>
        <v>0</v>
      </c>
      <c r="AP1997" s="25">
        <f t="shared" si="289"/>
        <v>92.4</v>
      </c>
      <c r="AQ1997" s="25">
        <f t="shared" si="290"/>
        <v>39.9</v>
      </c>
      <c r="AR1997" s="25">
        <f t="shared" si="291"/>
        <v>39.9</v>
      </c>
      <c r="AS1997" s="22"/>
      <c r="AT1997" s="41"/>
      <c r="AU1997" s="41"/>
      <c r="AV1997" s="41"/>
      <c r="AW1997" s="41"/>
      <c r="AX1997" s="22"/>
      <c r="AY1997" s="22"/>
      <c r="AZ1997" s="22"/>
      <c r="BA1997" s="22"/>
      <c r="BB1997" s="22"/>
      <c r="BC1997" s="22"/>
      <c r="BD1997" s="22"/>
      <c r="BE1997" s="22"/>
      <c r="BF1997" s="22"/>
      <c r="BG1997" s="22"/>
      <c r="BH1997" s="22"/>
      <c r="BI1997" s="22"/>
      <c r="BJ1997" s="22"/>
      <c r="BK1997" s="22"/>
      <c r="BL1997" s="22"/>
      <c r="BM1997" s="22"/>
      <c r="BN1997" s="22"/>
      <c r="BO1997" s="22"/>
      <c r="BP1997" s="22"/>
      <c r="BQ1997" s="22"/>
      <c r="BR1997" s="22"/>
      <c r="BS1997" s="22"/>
      <c r="BT1997" s="22"/>
      <c r="BU1997" s="22"/>
      <c r="BV1997" s="22"/>
      <c r="BW1997" s="22"/>
      <c r="BX1997" s="22"/>
      <c r="BY1997" s="22"/>
      <c r="BZ1997" s="22"/>
      <c r="CA1997" s="22"/>
      <c r="CB1997" s="22"/>
      <c r="CC1997" s="22"/>
      <c r="CD1997" s="22"/>
      <c r="CE1997" s="22"/>
      <c r="CF1997" s="22"/>
      <c r="CG1997" s="22"/>
      <c r="CH1997" s="22"/>
      <c r="CI1997" s="22"/>
      <c r="CJ1997" s="22"/>
    </row>
    <row r="1998" spans="1:88">
      <c r="A1998" s="1">
        <v>709</v>
      </c>
      <c r="B1998" s="34" t="s">
        <v>1106</v>
      </c>
      <c r="C1998" s="34">
        <v>626</v>
      </c>
      <c r="D1998" s="34">
        <v>2217</v>
      </c>
      <c r="E1998" s="34">
        <v>200</v>
      </c>
      <c r="F1998" s="34" t="s">
        <v>1118</v>
      </c>
      <c r="G1998" s="58">
        <v>23446</v>
      </c>
      <c r="H1998" s="58">
        <v>29411</v>
      </c>
      <c r="I1998" s="35">
        <v>5.9649999999999999</v>
      </c>
      <c r="J1998" s="127">
        <v>2</v>
      </c>
      <c r="K1998" s="34" t="s">
        <v>238</v>
      </c>
      <c r="L1998" s="10">
        <v>42174</v>
      </c>
      <c r="M1998" s="9" t="s">
        <v>191</v>
      </c>
      <c r="N1998" s="38">
        <v>3.6</v>
      </c>
      <c r="O1998" s="38">
        <v>1.2</v>
      </c>
      <c r="P1998" s="38">
        <v>0.625</v>
      </c>
      <c r="Q1998" s="38">
        <v>0.42499999999999999</v>
      </c>
      <c r="R1998" s="38">
        <v>2.6909399999999999</v>
      </c>
      <c r="S1998" s="38">
        <f t="shared" si="285"/>
        <v>2.5</v>
      </c>
      <c r="T1998" s="38">
        <v>5.5750000000000002</v>
      </c>
      <c r="U1998" s="38">
        <v>0.22500000000000001</v>
      </c>
      <c r="V1998" s="38">
        <v>0.05</v>
      </c>
      <c r="W1998" s="38">
        <v>0</v>
      </c>
      <c r="X1998" s="38">
        <v>4.3079299999999998</v>
      </c>
      <c r="Y1998" s="38">
        <f t="shared" si="286"/>
        <v>4.5</v>
      </c>
      <c r="Z1998" s="38">
        <v>0</v>
      </c>
      <c r="AA1998" s="38">
        <v>0</v>
      </c>
      <c r="AB1998" s="38">
        <f>N1998+O1998+P1998+Q1998</f>
        <v>5.85</v>
      </c>
      <c r="AC1998" s="38">
        <v>1.2472099999999999</v>
      </c>
      <c r="AD1998" s="38">
        <v>0</v>
      </c>
      <c r="AE1998" s="38">
        <v>0</v>
      </c>
      <c r="AF1998" s="38">
        <f>(AD1998+AE1998*0.5)/(3.5*I1998*1000)*100</f>
        <v>0</v>
      </c>
      <c r="AG1998" s="38">
        <f t="shared" si="287"/>
        <v>0</v>
      </c>
      <c r="AH1998" s="38">
        <v>0</v>
      </c>
      <c r="AI1998" s="38">
        <f>AH1998/(3.5*I1998*1000)*100</f>
        <v>0</v>
      </c>
      <c r="AJ1998" s="38">
        <v>0</v>
      </c>
      <c r="AK1998" s="38">
        <f>AJ1998/(3.5*I1998*1000)*100</f>
        <v>0</v>
      </c>
      <c r="AL1998" s="38">
        <v>0</v>
      </c>
      <c r="AM1998" s="38">
        <f t="shared" ref="AM1998:AM2003" si="292">AL1998/(3.5*I1998*1000)*100</f>
        <v>0</v>
      </c>
      <c r="AN1998" s="25"/>
      <c r="AO1998" s="25">
        <f t="shared" si="288"/>
        <v>0</v>
      </c>
      <c r="AP1998" s="25">
        <f t="shared" si="289"/>
        <v>0</v>
      </c>
      <c r="AQ1998" s="25">
        <f t="shared" si="290"/>
        <v>5.85</v>
      </c>
      <c r="AR1998" s="25">
        <f t="shared" si="291"/>
        <v>5.85</v>
      </c>
      <c r="AS1998" s="268">
        <v>5.9649999999999999</v>
      </c>
      <c r="AT1998" s="41"/>
      <c r="AU1998" s="41"/>
      <c r="AV1998" s="41"/>
      <c r="AW1998" s="41"/>
      <c r="AX1998" s="22"/>
      <c r="AY1998" s="22"/>
      <c r="AZ1998" s="22"/>
      <c r="BA1998" s="22"/>
      <c r="BB1998" s="22"/>
      <c r="BC1998" s="22"/>
      <c r="BD1998" s="22"/>
      <c r="BE1998" s="22"/>
      <c r="BF1998" s="22"/>
      <c r="BG1998" s="22"/>
      <c r="BH1998" s="22"/>
      <c r="BI1998" s="22"/>
      <c r="BJ1998" s="22"/>
      <c r="BK1998" s="22"/>
      <c r="BL1998" s="22"/>
      <c r="BM1998" s="22"/>
      <c r="BN1998" s="22"/>
      <c r="BO1998" s="22"/>
      <c r="BP1998" s="22"/>
      <c r="BQ1998" s="22"/>
      <c r="BR1998" s="22"/>
      <c r="BS1998" s="22"/>
      <c r="BT1998" s="22"/>
      <c r="BU1998" s="22"/>
      <c r="BV1998" s="22"/>
      <c r="BW1998" s="22"/>
      <c r="BX1998" s="22"/>
      <c r="BY1998" s="22"/>
      <c r="BZ1998" s="22"/>
      <c r="CA1998" s="22"/>
      <c r="CB1998" s="22"/>
      <c r="CC1998" s="22"/>
      <c r="CD1998" s="22"/>
      <c r="CE1998" s="22"/>
      <c r="CF1998" s="22"/>
      <c r="CG1998" s="22"/>
      <c r="CH1998" s="22"/>
      <c r="CI1998" s="22"/>
      <c r="CJ1998" s="22"/>
    </row>
    <row r="1999" spans="1:88">
      <c r="A1999" s="1">
        <v>711</v>
      </c>
      <c r="B1999" s="91" t="s">
        <v>1106</v>
      </c>
      <c r="C1999" s="91">
        <v>626</v>
      </c>
      <c r="D1999" s="91">
        <v>2354</v>
      </c>
      <c r="E1999" s="91">
        <v>102</v>
      </c>
      <c r="F1999" s="91" t="s">
        <v>1120</v>
      </c>
      <c r="G1999" s="139">
        <v>49560</v>
      </c>
      <c r="H1999" s="139">
        <v>72323</v>
      </c>
      <c r="I1999" s="140">
        <v>22.763000000000002</v>
      </c>
      <c r="J1999" s="141">
        <v>2</v>
      </c>
      <c r="K1999" s="91" t="s">
        <v>12</v>
      </c>
      <c r="L1999" s="142">
        <v>42175</v>
      </c>
      <c r="M1999" s="98" t="s">
        <v>191</v>
      </c>
      <c r="N1999" s="99">
        <v>3.625</v>
      </c>
      <c r="O1999" s="99">
        <v>8.2249999999999996</v>
      </c>
      <c r="P1999" s="99">
        <v>8</v>
      </c>
      <c r="Q1999" s="99">
        <v>3.0249999999999999</v>
      </c>
      <c r="R1999" s="99">
        <v>3.7551000000000001</v>
      </c>
      <c r="S1999" s="38">
        <f t="shared" si="285"/>
        <v>4</v>
      </c>
      <c r="T1999" s="99">
        <v>19.925000000000001</v>
      </c>
      <c r="U1999" s="99">
        <v>2.4750000000000001</v>
      </c>
      <c r="V1999" s="99">
        <v>0.35</v>
      </c>
      <c r="W1999" s="99">
        <v>0.125</v>
      </c>
      <c r="X1999" s="99">
        <v>5.9984500000000001</v>
      </c>
      <c r="Y1999" s="38">
        <f t="shared" si="286"/>
        <v>6</v>
      </c>
      <c r="Z1999" s="38">
        <v>0</v>
      </c>
      <c r="AA1999" s="38">
        <v>0</v>
      </c>
      <c r="AB1999" s="38">
        <f>N1999+O1999+P1999+Q1999</f>
        <v>22.875</v>
      </c>
      <c r="AC1999" s="99">
        <v>1.2172000000000001</v>
      </c>
      <c r="AD1999" s="99">
        <v>0</v>
      </c>
      <c r="AE1999" s="99">
        <v>0</v>
      </c>
      <c r="AF1999" s="99">
        <f>(AD1999+AE1999*0.5)/(3.5*I1999*1000)*100</f>
        <v>0</v>
      </c>
      <c r="AG1999" s="38">
        <f t="shared" si="287"/>
        <v>0</v>
      </c>
      <c r="AH1999" s="99">
        <v>0</v>
      </c>
      <c r="AI1999" s="38">
        <f>AH1999/(3.5*I1999*1000)*100</f>
        <v>0</v>
      </c>
      <c r="AJ1999" s="99">
        <v>161.37</v>
      </c>
      <c r="AK1999" s="38">
        <f>AJ1999/(3.5*I1999*1000)*100</f>
        <v>0.20254673938283307</v>
      </c>
      <c r="AL1999" s="99">
        <v>0</v>
      </c>
      <c r="AM1999" s="38">
        <f t="shared" si="292"/>
        <v>0</v>
      </c>
      <c r="AN1999" s="143"/>
      <c r="AO1999" s="25">
        <f t="shared" si="288"/>
        <v>0</v>
      </c>
      <c r="AP1999" s="25">
        <f t="shared" si="289"/>
        <v>3673.2653100000002</v>
      </c>
      <c r="AQ1999" s="143">
        <f t="shared" si="290"/>
        <v>22.875</v>
      </c>
      <c r="AR1999" s="143">
        <f t="shared" si="291"/>
        <v>22.875000000000004</v>
      </c>
      <c r="AS1999" s="273">
        <v>22.763000000000002</v>
      </c>
      <c r="AT1999" s="144"/>
      <c r="AU1999" s="144"/>
      <c r="AV1999" s="144"/>
      <c r="AW1999" s="144"/>
      <c r="AX1999" s="100"/>
      <c r="AY1999" s="100"/>
      <c r="AZ1999" s="100"/>
      <c r="BA1999" s="100"/>
      <c r="BB1999" s="100"/>
      <c r="BC1999" s="100"/>
      <c r="BD1999" s="100"/>
      <c r="BE1999" s="100"/>
      <c r="BF1999" s="100"/>
      <c r="BG1999" s="100"/>
      <c r="BH1999" s="100"/>
      <c r="BI1999" s="100"/>
      <c r="BJ1999" s="100"/>
      <c r="BK1999" s="100"/>
      <c r="BL1999" s="100"/>
      <c r="BM1999" s="100"/>
      <c r="BN1999" s="100"/>
      <c r="BO1999" s="100"/>
      <c r="BP1999" s="100"/>
      <c r="BQ1999" s="100"/>
      <c r="BR1999" s="100"/>
      <c r="BS1999" s="100"/>
      <c r="BT1999" s="100"/>
      <c r="BU1999" s="100"/>
      <c r="BV1999" s="100"/>
      <c r="BW1999" s="100"/>
      <c r="BX1999" s="100"/>
      <c r="BY1999" s="100"/>
      <c r="BZ1999" s="100"/>
      <c r="CA1999" s="100"/>
      <c r="CB1999" s="100"/>
      <c r="CC1999" s="100"/>
      <c r="CD1999" s="100"/>
      <c r="CE1999" s="100"/>
      <c r="CF1999" s="100"/>
      <c r="CG1999" s="100"/>
      <c r="CH1999" s="100"/>
      <c r="CI1999" s="100"/>
      <c r="CJ1999" s="100"/>
    </row>
    <row r="2000" spans="1:88">
      <c r="A2000" s="1">
        <v>721</v>
      </c>
      <c r="B2000" s="34" t="s">
        <v>1123</v>
      </c>
      <c r="C2000" s="34">
        <v>627</v>
      </c>
      <c r="D2000" s="34">
        <v>229</v>
      </c>
      <c r="E2000" s="34">
        <v>200</v>
      </c>
      <c r="F2000" s="34" t="s">
        <v>1128</v>
      </c>
      <c r="G2000" s="58">
        <v>54473</v>
      </c>
      <c r="H2000" s="58">
        <v>54885</v>
      </c>
      <c r="I2000" s="51">
        <v>0.41199999999999998</v>
      </c>
      <c r="J2000" s="127">
        <v>2</v>
      </c>
      <c r="K2000" s="34" t="s">
        <v>238</v>
      </c>
      <c r="L2000" s="10">
        <v>42177</v>
      </c>
      <c r="M2000" s="9" t="s">
        <v>191</v>
      </c>
      <c r="N2000" s="38">
        <v>0.27500000000000002</v>
      </c>
      <c r="O2000" s="38">
        <v>0.05</v>
      </c>
      <c r="P2000" s="38">
        <v>0.1</v>
      </c>
      <c r="Q2000" s="38">
        <v>0.05</v>
      </c>
      <c r="R2000" s="38">
        <v>3.1326299999999998</v>
      </c>
      <c r="S2000" s="38">
        <f t="shared" si="285"/>
        <v>3</v>
      </c>
      <c r="T2000" s="38">
        <v>0.4</v>
      </c>
      <c r="U2000" s="38">
        <v>0</v>
      </c>
      <c r="V2000" s="38">
        <v>2.5000000000000001E-2</v>
      </c>
      <c r="W2000" s="38">
        <v>0</v>
      </c>
      <c r="X2000" s="38">
        <v>5.48367</v>
      </c>
      <c r="Y2000" s="38">
        <f t="shared" si="286"/>
        <v>5.5</v>
      </c>
      <c r="Z2000" s="38">
        <v>0</v>
      </c>
      <c r="AA2000" s="38">
        <v>0</v>
      </c>
      <c r="AB2000" s="38">
        <v>0.41</v>
      </c>
      <c r="AC2000" s="38">
        <v>1.05426</v>
      </c>
      <c r="AD2000" s="38">
        <v>0</v>
      </c>
      <c r="AE2000" s="38">
        <v>0</v>
      </c>
      <c r="AF2000" s="38">
        <v>0</v>
      </c>
      <c r="AG2000" s="38">
        <f t="shared" si="287"/>
        <v>0</v>
      </c>
      <c r="AH2000" s="38">
        <v>0</v>
      </c>
      <c r="AI2000" s="38">
        <v>0</v>
      </c>
      <c r="AJ2000" s="38">
        <v>0</v>
      </c>
      <c r="AK2000" s="38">
        <v>0</v>
      </c>
      <c r="AL2000" s="38">
        <v>0</v>
      </c>
      <c r="AM2000" s="147">
        <f t="shared" si="292"/>
        <v>0</v>
      </c>
      <c r="AN2000" s="25"/>
      <c r="AO2000" s="25">
        <f t="shared" si="288"/>
        <v>0</v>
      </c>
      <c r="AP2000" s="25">
        <f t="shared" si="289"/>
        <v>0</v>
      </c>
      <c r="AQ2000" s="25">
        <f t="shared" si="290"/>
        <v>0.47500000000000003</v>
      </c>
      <c r="AR2000" s="25">
        <f t="shared" si="291"/>
        <v>0.42500000000000004</v>
      </c>
      <c r="AS2000" s="268">
        <v>0.41199999999999998</v>
      </c>
      <c r="AT2000" s="41"/>
      <c r="AU2000" s="41"/>
      <c r="AV2000" s="41"/>
      <c r="AW2000" s="41"/>
      <c r="AX2000" s="22"/>
      <c r="AY2000" s="22"/>
      <c r="AZ2000" s="22"/>
      <c r="BA2000" s="22"/>
      <c r="BB2000" s="22"/>
      <c r="BC2000" s="22"/>
      <c r="BD2000" s="22"/>
      <c r="BE2000" s="22"/>
      <c r="BF2000" s="22"/>
      <c r="BG2000" s="22"/>
      <c r="BH2000" s="22"/>
      <c r="BI2000" s="22"/>
      <c r="BJ2000" s="22"/>
      <c r="BK2000" s="22"/>
      <c r="BL2000" s="22"/>
      <c r="BM2000" s="22"/>
      <c r="BN2000" s="22"/>
      <c r="BO2000" s="22"/>
      <c r="BP2000" s="22"/>
      <c r="BQ2000" s="22"/>
      <c r="BR2000" s="22"/>
      <c r="BS2000" s="22"/>
      <c r="BT2000" s="22"/>
      <c r="BU2000" s="22"/>
      <c r="BV2000" s="22"/>
      <c r="BW2000" s="22"/>
      <c r="BX2000" s="22"/>
      <c r="BY2000" s="22"/>
      <c r="BZ2000" s="22"/>
      <c r="CA2000" s="22"/>
      <c r="CB2000" s="22"/>
      <c r="CC2000" s="22"/>
      <c r="CD2000" s="22"/>
      <c r="CE2000" s="22"/>
      <c r="CF2000" s="22"/>
      <c r="CG2000" s="22"/>
      <c r="CH2000" s="22"/>
      <c r="CI2000" s="22"/>
      <c r="CJ2000" s="22"/>
    </row>
    <row r="2001" spans="1:88">
      <c r="A2001" s="1">
        <v>729</v>
      </c>
      <c r="B2001" s="34" t="s">
        <v>1123</v>
      </c>
      <c r="C2001" s="34">
        <v>627</v>
      </c>
      <c r="D2001" s="34">
        <v>2187</v>
      </c>
      <c r="E2001" s="34">
        <v>102</v>
      </c>
      <c r="F2001" s="34" t="s">
        <v>1135</v>
      </c>
      <c r="G2001" s="58">
        <v>9340</v>
      </c>
      <c r="H2001" s="58">
        <v>36930</v>
      </c>
      <c r="I2001" s="51">
        <v>27.59</v>
      </c>
      <c r="J2001" s="127">
        <v>2</v>
      </c>
      <c r="K2001" s="34" t="s">
        <v>238</v>
      </c>
      <c r="L2001" s="10">
        <v>42177</v>
      </c>
      <c r="M2001" s="9" t="s">
        <v>191</v>
      </c>
      <c r="N2001" s="38">
        <v>19.774999999999999</v>
      </c>
      <c r="O2001" s="38">
        <v>5.9249999999999998</v>
      </c>
      <c r="P2001" s="38">
        <v>1.5249999999999999</v>
      </c>
      <c r="Q2001" s="38">
        <v>0.27500000000000002</v>
      </c>
      <c r="R2001" s="38">
        <v>2.1363400000000001</v>
      </c>
      <c r="S2001" s="38">
        <f t="shared" si="285"/>
        <v>2</v>
      </c>
      <c r="T2001" s="38">
        <v>27.074999999999999</v>
      </c>
      <c r="U2001" s="38">
        <v>0.375</v>
      </c>
      <c r="V2001" s="38">
        <v>0.05</v>
      </c>
      <c r="W2001" s="38">
        <v>0</v>
      </c>
      <c r="X2001" s="38">
        <v>3.0643099999999999</v>
      </c>
      <c r="Y2001" s="38">
        <f t="shared" si="286"/>
        <v>3</v>
      </c>
      <c r="Z2001" s="38">
        <v>0</v>
      </c>
      <c r="AA2001" s="38">
        <v>0</v>
      </c>
      <c r="AB2001" s="38">
        <v>27.59</v>
      </c>
      <c r="AC2001" s="38">
        <v>0.99690699999999999</v>
      </c>
      <c r="AD2001" s="38">
        <v>0</v>
      </c>
      <c r="AE2001" s="38">
        <v>0</v>
      </c>
      <c r="AF2001" s="38">
        <v>0</v>
      </c>
      <c r="AG2001" s="38">
        <f t="shared" si="287"/>
        <v>0</v>
      </c>
      <c r="AH2001" s="38">
        <v>0</v>
      </c>
      <c r="AI2001" s="38">
        <v>0</v>
      </c>
      <c r="AJ2001" s="38">
        <v>33.18</v>
      </c>
      <c r="AK2001" s="38">
        <v>3.4360000000000002E-2</v>
      </c>
      <c r="AL2001" s="38">
        <v>0</v>
      </c>
      <c r="AM2001" s="147">
        <f t="shared" si="292"/>
        <v>0</v>
      </c>
      <c r="AN2001" s="25"/>
      <c r="AO2001" s="25">
        <f t="shared" si="288"/>
        <v>0</v>
      </c>
      <c r="AP2001" s="25">
        <f t="shared" si="289"/>
        <v>915.43619999999999</v>
      </c>
      <c r="AQ2001" s="25">
        <f t="shared" si="290"/>
        <v>27.499999999999996</v>
      </c>
      <c r="AR2001" s="25">
        <f t="shared" si="291"/>
        <v>27.5</v>
      </c>
      <c r="AS2001" s="268">
        <v>27.59</v>
      </c>
      <c r="AT2001" s="41"/>
      <c r="AU2001" s="41"/>
      <c r="AV2001" s="41"/>
      <c r="AW2001" s="41"/>
      <c r="AX2001" s="22"/>
      <c r="AY2001" s="22"/>
      <c r="AZ2001" s="22"/>
      <c r="BA2001" s="22"/>
      <c r="BB2001" s="22"/>
      <c r="BC2001" s="22"/>
      <c r="BD2001" s="22"/>
      <c r="BE2001" s="22"/>
      <c r="BF2001" s="22"/>
      <c r="BG2001" s="22"/>
      <c r="BH2001" s="22"/>
      <c r="BI2001" s="22"/>
      <c r="BJ2001" s="22"/>
      <c r="BK2001" s="22"/>
      <c r="BL2001" s="22"/>
      <c r="BM2001" s="22"/>
      <c r="BN2001" s="22"/>
      <c r="BO2001" s="22"/>
      <c r="BP2001" s="22"/>
      <c r="BQ2001" s="22"/>
      <c r="BR2001" s="22"/>
      <c r="BS2001" s="22"/>
      <c r="BT2001" s="22"/>
      <c r="BU2001" s="22"/>
      <c r="BV2001" s="22"/>
      <c r="BW2001" s="22"/>
      <c r="BX2001" s="22"/>
      <c r="BY2001" s="22"/>
      <c r="BZ2001" s="22"/>
      <c r="CA2001" s="22"/>
      <c r="CB2001" s="22"/>
      <c r="CC2001" s="22"/>
      <c r="CD2001" s="22"/>
      <c r="CE2001" s="22"/>
      <c r="CF2001" s="22"/>
      <c r="CG2001" s="22"/>
      <c r="CH2001" s="22"/>
      <c r="CI2001" s="22"/>
      <c r="CJ2001" s="22"/>
    </row>
    <row r="2002" spans="1:88">
      <c r="A2002" s="1">
        <v>730</v>
      </c>
      <c r="B2002" s="34" t="s">
        <v>1123</v>
      </c>
      <c r="C2002" s="34">
        <v>627</v>
      </c>
      <c r="D2002" s="34">
        <v>2216</v>
      </c>
      <c r="E2002" s="34">
        <v>100</v>
      </c>
      <c r="F2002" s="34" t="s">
        <v>957</v>
      </c>
      <c r="G2002" s="58">
        <v>0</v>
      </c>
      <c r="H2002" s="58">
        <v>513</v>
      </c>
      <c r="I2002" s="51">
        <v>0.51300000000000001</v>
      </c>
      <c r="J2002" s="127">
        <v>2</v>
      </c>
      <c r="K2002" s="34" t="s">
        <v>238</v>
      </c>
      <c r="L2002" s="10">
        <v>42178</v>
      </c>
      <c r="M2002" s="9" t="s">
        <v>191</v>
      </c>
      <c r="N2002" s="38">
        <v>0.32500000000000001</v>
      </c>
      <c r="O2002" s="38">
        <v>0.15</v>
      </c>
      <c r="P2002" s="38">
        <v>7.4999999999999997E-2</v>
      </c>
      <c r="Q2002" s="38">
        <v>2.5000000000000001E-2</v>
      </c>
      <c r="R2002" s="38">
        <v>2.7056499999999999</v>
      </c>
      <c r="S2002" s="38">
        <f t="shared" si="285"/>
        <v>2.5</v>
      </c>
      <c r="T2002" s="38">
        <v>0.57499999999999996</v>
      </c>
      <c r="U2002" s="38">
        <v>0</v>
      </c>
      <c r="V2002" s="38">
        <v>0</v>
      </c>
      <c r="W2002" s="38">
        <v>0</v>
      </c>
      <c r="X2002" s="38">
        <v>1.8924799999999999</v>
      </c>
      <c r="Y2002" s="38">
        <f t="shared" si="286"/>
        <v>2</v>
      </c>
      <c r="Z2002" s="38">
        <v>0</v>
      </c>
      <c r="AA2002" s="38">
        <v>0</v>
      </c>
      <c r="AB2002" s="38">
        <v>0.51</v>
      </c>
      <c r="AC2002" s="38">
        <v>1.12374</v>
      </c>
      <c r="AD2002" s="38">
        <v>0</v>
      </c>
      <c r="AE2002" s="38">
        <v>0</v>
      </c>
      <c r="AF2002" s="38">
        <v>0</v>
      </c>
      <c r="AG2002" s="38">
        <f t="shared" si="287"/>
        <v>0</v>
      </c>
      <c r="AH2002" s="38">
        <v>0</v>
      </c>
      <c r="AI2002" s="38">
        <v>0</v>
      </c>
      <c r="AJ2002" s="38">
        <v>0</v>
      </c>
      <c r="AK2002" s="38">
        <v>0</v>
      </c>
      <c r="AL2002" s="38">
        <v>0</v>
      </c>
      <c r="AM2002" s="147">
        <f t="shared" si="292"/>
        <v>0</v>
      </c>
      <c r="AN2002" s="25"/>
      <c r="AO2002" s="25">
        <f t="shared" si="288"/>
        <v>0</v>
      </c>
      <c r="AP2002" s="25">
        <f t="shared" si="289"/>
        <v>0</v>
      </c>
      <c r="AQ2002" s="25">
        <f t="shared" si="290"/>
        <v>0.57499999999999996</v>
      </c>
      <c r="AR2002" s="25">
        <f t="shared" si="291"/>
        <v>0.57499999999999996</v>
      </c>
      <c r="AS2002" s="268">
        <v>0.51300000000000001</v>
      </c>
      <c r="AT2002" s="41"/>
      <c r="AU2002" s="41"/>
      <c r="AV2002" s="41"/>
      <c r="AW2002" s="41"/>
      <c r="AX2002" s="22"/>
      <c r="AY2002" s="22"/>
      <c r="AZ2002" s="22"/>
      <c r="BA2002" s="22"/>
      <c r="BB2002" s="22"/>
      <c r="BC2002" s="22"/>
      <c r="BD2002" s="22"/>
      <c r="BE2002" s="22"/>
      <c r="BF2002" s="22"/>
      <c r="BG2002" s="22"/>
      <c r="BH2002" s="22"/>
      <c r="BI2002" s="22"/>
      <c r="BJ2002" s="22"/>
      <c r="BK2002" s="22"/>
      <c r="BL2002" s="22"/>
      <c r="BM2002" s="22"/>
      <c r="BN2002" s="22"/>
      <c r="BO2002" s="22"/>
      <c r="BP2002" s="22"/>
      <c r="BQ2002" s="22"/>
      <c r="BR2002" s="22"/>
      <c r="BS2002" s="22"/>
      <c r="BT2002" s="22"/>
      <c r="BU2002" s="22"/>
      <c r="BV2002" s="22"/>
      <c r="BW2002" s="22"/>
      <c r="BX2002" s="22"/>
      <c r="BY2002" s="22"/>
      <c r="BZ2002" s="22"/>
      <c r="CA2002" s="22"/>
      <c r="CB2002" s="22"/>
      <c r="CC2002" s="22"/>
      <c r="CD2002" s="22"/>
      <c r="CE2002" s="22"/>
      <c r="CF2002" s="22"/>
      <c r="CG2002" s="22"/>
      <c r="CH2002" s="22"/>
      <c r="CI2002" s="22"/>
      <c r="CJ2002" s="22"/>
    </row>
    <row r="2003" spans="1:88">
      <c r="A2003" s="1">
        <v>731</v>
      </c>
      <c r="B2003" s="34" t="s">
        <v>1123</v>
      </c>
      <c r="C2003" s="34">
        <v>627</v>
      </c>
      <c r="D2003" s="34">
        <v>2361</v>
      </c>
      <c r="E2003" s="34">
        <v>100</v>
      </c>
      <c r="F2003" s="34" t="s">
        <v>1136</v>
      </c>
      <c r="G2003" s="58">
        <v>0</v>
      </c>
      <c r="H2003" s="58">
        <v>12100</v>
      </c>
      <c r="I2003" s="35">
        <v>12.1</v>
      </c>
      <c r="J2003" s="127">
        <v>2</v>
      </c>
      <c r="K2003" s="34" t="s">
        <v>238</v>
      </c>
      <c r="L2003" s="10">
        <v>42178</v>
      </c>
      <c r="M2003" s="9" t="s">
        <v>191</v>
      </c>
      <c r="N2003" s="38">
        <v>8.0500000000000007</v>
      </c>
      <c r="O2003" s="38">
        <v>2.2999999999999998</v>
      </c>
      <c r="P2003" s="38">
        <v>1.4</v>
      </c>
      <c r="Q2003" s="38">
        <v>0.6</v>
      </c>
      <c r="R2003" s="38">
        <v>2.5160100000000001</v>
      </c>
      <c r="S2003" s="38">
        <f t="shared" si="285"/>
        <v>2.5</v>
      </c>
      <c r="T2003" s="38">
        <v>11.85</v>
      </c>
      <c r="U2003" s="38">
        <v>0.3</v>
      </c>
      <c r="V2003" s="38">
        <v>0.15</v>
      </c>
      <c r="W2003" s="38">
        <v>0.05</v>
      </c>
      <c r="X2003" s="38">
        <v>3.28424</v>
      </c>
      <c r="Y2003" s="38">
        <f t="shared" si="286"/>
        <v>3.5</v>
      </c>
      <c r="Z2003" s="38">
        <v>0</v>
      </c>
      <c r="AA2003" s="38">
        <v>0</v>
      </c>
      <c r="AB2003" s="38">
        <v>12.1</v>
      </c>
      <c r="AC2003" s="38">
        <v>1.0676699999999999</v>
      </c>
      <c r="AD2003" s="38">
        <v>0</v>
      </c>
      <c r="AE2003" s="38">
        <v>0</v>
      </c>
      <c r="AF2003" s="38">
        <v>0</v>
      </c>
      <c r="AG2003" s="38">
        <f t="shared" si="287"/>
        <v>0</v>
      </c>
      <c r="AH2003" s="38">
        <v>0</v>
      </c>
      <c r="AI2003" s="38">
        <v>0</v>
      </c>
      <c r="AJ2003" s="38">
        <v>0</v>
      </c>
      <c r="AK2003" s="38">
        <v>0</v>
      </c>
      <c r="AL2003" s="38">
        <v>27.58</v>
      </c>
      <c r="AM2003" s="145">
        <f t="shared" si="292"/>
        <v>6.5123966942148767E-2</v>
      </c>
      <c r="AN2003" s="25"/>
      <c r="AO2003" s="25">
        <f t="shared" si="288"/>
        <v>0</v>
      </c>
      <c r="AP2003" s="25">
        <f t="shared" si="289"/>
        <v>333.71799999999996</v>
      </c>
      <c r="AQ2003" s="25">
        <f t="shared" si="290"/>
        <v>12.350000000000001</v>
      </c>
      <c r="AR2003" s="25">
        <f t="shared" si="291"/>
        <v>12.350000000000001</v>
      </c>
      <c r="AS2003" s="268">
        <v>12.1</v>
      </c>
      <c r="AT2003" s="41"/>
      <c r="AU2003" s="41"/>
      <c r="AV2003" s="41"/>
      <c r="AW2003" s="41"/>
      <c r="AX2003" s="22"/>
      <c r="AY2003" s="22"/>
      <c r="AZ2003" s="22"/>
      <c r="BA2003" s="22"/>
      <c r="BB2003" s="22"/>
      <c r="BC2003" s="22"/>
      <c r="BD2003" s="22"/>
      <c r="BE2003" s="22"/>
      <c r="BF2003" s="22"/>
      <c r="BG2003" s="22"/>
      <c r="BH2003" s="22"/>
      <c r="BI2003" s="22"/>
      <c r="BJ2003" s="22"/>
      <c r="BK2003" s="22"/>
      <c r="BL2003" s="22"/>
      <c r="BM2003" s="22"/>
      <c r="BN2003" s="22"/>
      <c r="BO2003" s="22"/>
      <c r="BP2003" s="22"/>
      <c r="BQ2003" s="22"/>
      <c r="BR2003" s="22"/>
      <c r="BS2003" s="22"/>
      <c r="BT2003" s="22"/>
      <c r="BU2003" s="22"/>
      <c r="BV2003" s="22"/>
      <c r="BW2003" s="22"/>
      <c r="BX2003" s="22"/>
      <c r="BY2003" s="22"/>
      <c r="BZ2003" s="22"/>
      <c r="CA2003" s="22"/>
      <c r="CB2003" s="22"/>
      <c r="CC2003" s="22"/>
      <c r="CD2003" s="22"/>
      <c r="CE2003" s="22"/>
      <c r="CF2003" s="22"/>
      <c r="CG2003" s="22"/>
      <c r="CH2003" s="22"/>
      <c r="CI2003" s="22"/>
      <c r="CJ2003" s="22"/>
    </row>
    <row r="2004" spans="1:88">
      <c r="A2004" s="1">
        <v>735</v>
      </c>
      <c r="B2004" s="34" t="s">
        <v>1138</v>
      </c>
      <c r="C2004" s="34">
        <v>628</v>
      </c>
      <c r="D2004" s="34">
        <v>2061</v>
      </c>
      <c r="E2004" s="34">
        <v>100</v>
      </c>
      <c r="F2004" s="34" t="s">
        <v>1140</v>
      </c>
      <c r="G2004" s="58">
        <v>0</v>
      </c>
      <c r="H2004" s="58">
        <v>1400</v>
      </c>
      <c r="I2004" s="51">
        <v>1.4</v>
      </c>
      <c r="J2004" s="34">
        <v>2</v>
      </c>
      <c r="K2004" s="34" t="s">
        <v>238</v>
      </c>
      <c r="L2004" s="10">
        <v>42173</v>
      </c>
      <c r="M2004" s="9" t="s">
        <v>191</v>
      </c>
      <c r="N2004" s="38">
        <v>1.125</v>
      </c>
      <c r="O2004" s="38">
        <v>0.25</v>
      </c>
      <c r="P2004" s="38">
        <v>0</v>
      </c>
      <c r="Q2004" s="38">
        <v>2.5000000000000001E-2</v>
      </c>
      <c r="R2004" s="38">
        <v>2.0748199999999999</v>
      </c>
      <c r="S2004" s="38">
        <f t="shared" si="285"/>
        <v>2</v>
      </c>
      <c r="T2004" s="38">
        <v>1.375</v>
      </c>
      <c r="U2004" s="38">
        <v>2.5000000000000001E-2</v>
      </c>
      <c r="V2004" s="38">
        <v>0</v>
      </c>
      <c r="W2004" s="38">
        <v>0</v>
      </c>
      <c r="X2004" s="38">
        <v>4.6672500000000001</v>
      </c>
      <c r="Y2004" s="38">
        <f t="shared" si="286"/>
        <v>4.5</v>
      </c>
      <c r="Z2004" s="38">
        <v>0</v>
      </c>
      <c r="AA2004" s="38">
        <v>0</v>
      </c>
      <c r="AB2004" s="38">
        <f>N2004+O2004+P2004+Q2004</f>
        <v>1.4</v>
      </c>
      <c r="AC2004" s="38">
        <v>1.2960199999999999</v>
      </c>
      <c r="AD2004" s="38">
        <v>0</v>
      </c>
      <c r="AE2004" s="38">
        <v>0</v>
      </c>
      <c r="AF2004" s="38">
        <v>0</v>
      </c>
      <c r="AG2004" s="38">
        <f t="shared" si="287"/>
        <v>0</v>
      </c>
      <c r="AH2004" s="38">
        <v>0.99</v>
      </c>
      <c r="AI2004" s="38">
        <v>2.0204081632653068E-2</v>
      </c>
      <c r="AJ2004" s="38">
        <v>0</v>
      </c>
      <c r="AK2004" s="38">
        <v>0</v>
      </c>
      <c r="AL2004" s="38">
        <v>0</v>
      </c>
      <c r="AM2004" s="38">
        <v>0</v>
      </c>
      <c r="AN2004" s="25"/>
      <c r="AO2004" s="25">
        <f t="shared" si="288"/>
        <v>0</v>
      </c>
      <c r="AP2004" s="25">
        <f t="shared" si="289"/>
        <v>1.3859999999999999</v>
      </c>
      <c r="AQ2004" s="25">
        <f t="shared" si="290"/>
        <v>1.4</v>
      </c>
      <c r="AR2004" s="25">
        <f t="shared" si="291"/>
        <v>1.4</v>
      </c>
      <c r="AS2004" s="22"/>
      <c r="AT2004" s="41"/>
      <c r="AU2004" s="41"/>
      <c r="AV2004" s="41"/>
      <c r="AW2004" s="41"/>
      <c r="AX2004" s="22"/>
      <c r="AY2004" s="22"/>
      <c r="AZ2004" s="22"/>
      <c r="BA2004" s="22"/>
      <c r="BB2004" s="22"/>
      <c r="BC2004" s="22"/>
      <c r="BD2004" s="22"/>
      <c r="BE2004" s="22"/>
      <c r="BF2004" s="22"/>
      <c r="BG2004" s="22"/>
      <c r="BH2004" s="22"/>
      <c r="BI2004" s="22"/>
      <c r="BJ2004" s="22"/>
      <c r="BK2004" s="22"/>
      <c r="BL2004" s="22"/>
      <c r="BM2004" s="22"/>
      <c r="BN2004" s="22"/>
      <c r="BO2004" s="22"/>
      <c r="BP2004" s="22"/>
      <c r="BQ2004" s="22"/>
      <c r="BR2004" s="22"/>
      <c r="BS2004" s="22"/>
      <c r="BT2004" s="22"/>
      <c r="BU2004" s="22"/>
      <c r="BV2004" s="22"/>
      <c r="BW2004" s="22"/>
      <c r="BX2004" s="22"/>
      <c r="BY2004" s="22"/>
      <c r="BZ2004" s="22"/>
      <c r="CA2004" s="22"/>
      <c r="CB2004" s="22"/>
      <c r="CC2004" s="22"/>
      <c r="CD2004" s="22"/>
      <c r="CE2004" s="22"/>
      <c r="CF2004" s="22"/>
      <c r="CG2004" s="22"/>
      <c r="CH2004" s="22"/>
      <c r="CI2004" s="22"/>
      <c r="CJ2004" s="22"/>
    </row>
    <row r="2005" spans="1:88">
      <c r="A2005" s="1">
        <v>741</v>
      </c>
      <c r="B2005" s="34" t="s">
        <v>1138</v>
      </c>
      <c r="C2005" s="34">
        <v>628</v>
      </c>
      <c r="D2005" s="34">
        <v>2301</v>
      </c>
      <c r="E2005" s="34">
        <v>100</v>
      </c>
      <c r="F2005" s="34" t="s">
        <v>1146</v>
      </c>
      <c r="G2005" s="58">
        <v>0</v>
      </c>
      <c r="H2005" s="58">
        <v>35785</v>
      </c>
      <c r="I2005" s="51">
        <v>35.784999999999997</v>
      </c>
      <c r="J2005" s="34">
        <v>2</v>
      </c>
      <c r="K2005" s="34" t="s">
        <v>238</v>
      </c>
      <c r="L2005" s="10">
        <v>42173</v>
      </c>
      <c r="M2005" s="9" t="s">
        <v>191</v>
      </c>
      <c r="N2005" s="38">
        <v>27.85</v>
      </c>
      <c r="O2005" s="38">
        <v>6.375</v>
      </c>
      <c r="P2005" s="38">
        <v>1.125</v>
      </c>
      <c r="Q2005" s="38">
        <v>0.27500000000000002</v>
      </c>
      <c r="R2005" s="38">
        <v>2.1560999999999999</v>
      </c>
      <c r="S2005" s="38">
        <f t="shared" si="285"/>
        <v>2</v>
      </c>
      <c r="T2005" s="38">
        <v>35</v>
      </c>
      <c r="U2005" s="38">
        <v>0.55000000000000004</v>
      </c>
      <c r="V2005" s="38">
        <v>7.4999999999999997E-2</v>
      </c>
      <c r="W2005" s="38">
        <v>0</v>
      </c>
      <c r="X2005" s="38">
        <v>3.2801</v>
      </c>
      <c r="Y2005" s="38">
        <f t="shared" si="286"/>
        <v>3.5</v>
      </c>
      <c r="Z2005" s="38">
        <v>0</v>
      </c>
      <c r="AA2005" s="38">
        <v>0</v>
      </c>
      <c r="AB2005" s="38">
        <f>N2005+O2005+P2005+Q2005</f>
        <v>35.625</v>
      </c>
      <c r="AC2005" s="38">
        <v>1.2488600000000001</v>
      </c>
      <c r="AD2005" s="38">
        <v>0</v>
      </c>
      <c r="AE2005" s="38">
        <v>0</v>
      </c>
      <c r="AF2005" s="38">
        <v>0</v>
      </c>
      <c r="AG2005" s="38">
        <f t="shared" si="287"/>
        <v>0</v>
      </c>
      <c r="AH2005" s="38">
        <v>5.76</v>
      </c>
      <c r="AI2005" s="38">
        <v>4.5988941895047809E-3</v>
      </c>
      <c r="AJ2005" s="38">
        <v>0</v>
      </c>
      <c r="AK2005" s="38">
        <v>0</v>
      </c>
      <c r="AL2005" s="38">
        <v>0</v>
      </c>
      <c r="AM2005" s="38">
        <v>0</v>
      </c>
      <c r="AN2005" s="25"/>
      <c r="AO2005" s="25">
        <f t="shared" si="288"/>
        <v>0</v>
      </c>
      <c r="AP2005" s="25">
        <f t="shared" si="289"/>
        <v>206.12159999999997</v>
      </c>
      <c r="AQ2005" s="25">
        <f t="shared" si="290"/>
        <v>35.625</v>
      </c>
      <c r="AR2005" s="25">
        <f t="shared" si="291"/>
        <v>35.625</v>
      </c>
      <c r="AS2005" s="22"/>
      <c r="AT2005" s="41"/>
      <c r="AU2005" s="41"/>
      <c r="AV2005" s="41"/>
      <c r="AW2005" s="41"/>
      <c r="AX2005" s="22"/>
      <c r="AY2005" s="22"/>
      <c r="AZ2005" s="22"/>
      <c r="BA2005" s="22"/>
      <c r="BB2005" s="22"/>
      <c r="BC2005" s="22"/>
      <c r="BD2005" s="22"/>
      <c r="BE2005" s="22"/>
      <c r="BF2005" s="22"/>
      <c r="BG2005" s="22"/>
      <c r="BH2005" s="22"/>
      <c r="BI2005" s="22"/>
      <c r="BJ2005" s="22"/>
      <c r="BK2005" s="22"/>
      <c r="BL2005" s="22"/>
      <c r="BM2005" s="22"/>
      <c r="BN2005" s="22"/>
      <c r="BO2005" s="22"/>
      <c r="BP2005" s="22"/>
      <c r="BQ2005" s="22"/>
      <c r="BR2005" s="22"/>
      <c r="BS2005" s="22"/>
      <c r="BT2005" s="22"/>
      <c r="BU2005" s="22"/>
      <c r="BV2005" s="22"/>
      <c r="BW2005" s="22"/>
      <c r="BX2005" s="22"/>
      <c r="BY2005" s="22"/>
      <c r="BZ2005" s="22"/>
      <c r="CA2005" s="22"/>
      <c r="CB2005" s="22"/>
      <c r="CC2005" s="22"/>
      <c r="CD2005" s="22"/>
      <c r="CE2005" s="22"/>
      <c r="CF2005" s="22"/>
      <c r="CG2005" s="22"/>
      <c r="CH2005" s="22"/>
      <c r="CI2005" s="22"/>
      <c r="CJ2005" s="22"/>
    </row>
    <row r="2006" spans="1:88">
      <c r="A2006" s="1">
        <v>757</v>
      </c>
      <c r="B2006" s="34" t="s">
        <v>1106</v>
      </c>
      <c r="C2006" s="34">
        <v>626</v>
      </c>
      <c r="D2006" s="34">
        <v>2217</v>
      </c>
      <c r="E2006" s="34">
        <v>200</v>
      </c>
      <c r="F2006" s="34" t="s">
        <v>1118</v>
      </c>
      <c r="G2006" s="58">
        <v>23446</v>
      </c>
      <c r="H2006" s="58">
        <v>29411</v>
      </c>
      <c r="I2006" s="35">
        <v>5.9649999999999999</v>
      </c>
      <c r="J2006" s="127">
        <v>2</v>
      </c>
      <c r="K2006" s="34" t="s">
        <v>238</v>
      </c>
      <c r="L2006" s="10">
        <v>42174</v>
      </c>
      <c r="M2006" s="9" t="s">
        <v>191</v>
      </c>
      <c r="N2006" s="38">
        <v>3.6</v>
      </c>
      <c r="O2006" s="38">
        <v>1.2</v>
      </c>
      <c r="P2006" s="38">
        <v>0.625</v>
      </c>
      <c r="Q2006" s="38">
        <v>0.42499999999999999</v>
      </c>
      <c r="R2006" s="38">
        <v>2.6909399999999999</v>
      </c>
      <c r="S2006" s="38">
        <f t="shared" si="285"/>
        <v>2.5</v>
      </c>
      <c r="T2006" s="38">
        <v>5.5750000000000002</v>
      </c>
      <c r="U2006" s="38">
        <v>0.22500000000000001</v>
      </c>
      <c r="V2006" s="38">
        <v>0.05</v>
      </c>
      <c r="W2006" s="38">
        <v>0</v>
      </c>
      <c r="X2006" s="38">
        <v>4.3079299999999998</v>
      </c>
      <c r="Y2006" s="38">
        <f t="shared" si="286"/>
        <v>4.5</v>
      </c>
      <c r="Z2006" s="38">
        <v>0</v>
      </c>
      <c r="AA2006" s="38">
        <v>0</v>
      </c>
      <c r="AB2006" s="38">
        <f>N2006+O2006+P2006+Q2006</f>
        <v>5.85</v>
      </c>
      <c r="AC2006" s="38">
        <v>1.2472099999999999</v>
      </c>
      <c r="AD2006" s="38">
        <v>0</v>
      </c>
      <c r="AE2006" s="38">
        <v>0</v>
      </c>
      <c r="AF2006" s="38">
        <f>(AD2006+AE2006*0.5)/(3.5*I2006*1000)*100</f>
        <v>0</v>
      </c>
      <c r="AG2006" s="38">
        <f t="shared" si="287"/>
        <v>0</v>
      </c>
      <c r="AH2006" s="38">
        <v>0</v>
      </c>
      <c r="AI2006" s="38">
        <f>AH2006/(3.5*I2006*1000)*100</f>
        <v>0</v>
      </c>
      <c r="AJ2006" s="38">
        <v>0</v>
      </c>
      <c r="AK2006" s="38">
        <f>AJ2006/(3.5*I2006*1000)*100</f>
        <v>0</v>
      </c>
      <c r="AL2006" s="38">
        <v>0</v>
      </c>
      <c r="AM2006" s="38">
        <f>AL2006/(3.5*I2006*1000)*100</f>
        <v>0</v>
      </c>
      <c r="AN2006" s="25"/>
      <c r="AO2006" s="25">
        <f t="shared" si="288"/>
        <v>0</v>
      </c>
      <c r="AP2006" s="25">
        <f t="shared" si="289"/>
        <v>0</v>
      </c>
      <c r="AQ2006" s="25">
        <f t="shared" si="290"/>
        <v>5.85</v>
      </c>
      <c r="AR2006" s="25">
        <f t="shared" si="291"/>
        <v>5.85</v>
      </c>
      <c r="AS2006" s="268">
        <v>5.9649999999999999</v>
      </c>
      <c r="AT2006" s="41"/>
      <c r="AU2006" s="41"/>
      <c r="AV2006" s="41"/>
      <c r="AW2006" s="41"/>
      <c r="AX2006" s="22"/>
      <c r="AY2006" s="22"/>
      <c r="AZ2006" s="22"/>
      <c r="BA2006" s="22"/>
      <c r="BB2006" s="22"/>
      <c r="BC2006" s="22"/>
      <c r="BD2006" s="22"/>
      <c r="BE2006" s="22"/>
      <c r="BF2006" s="22"/>
      <c r="BG2006" s="22"/>
      <c r="BH2006" s="22"/>
      <c r="BI2006" s="22"/>
      <c r="BJ2006" s="22"/>
      <c r="BK2006" s="22"/>
      <c r="BL2006" s="22"/>
      <c r="BM2006" s="22"/>
      <c r="BN2006" s="22"/>
      <c r="BO2006" s="22"/>
      <c r="BP2006" s="22"/>
      <c r="BQ2006" s="22"/>
      <c r="BR2006" s="22"/>
      <c r="BS2006" s="22"/>
      <c r="BT2006" s="22"/>
      <c r="BU2006" s="22"/>
      <c r="BV2006" s="22"/>
      <c r="BW2006" s="22"/>
      <c r="BX2006" s="22"/>
      <c r="BY2006" s="22"/>
      <c r="BZ2006" s="22"/>
      <c r="CA2006" s="22"/>
      <c r="CB2006" s="22"/>
      <c r="CC2006" s="22"/>
      <c r="CD2006" s="22"/>
      <c r="CE2006" s="22"/>
      <c r="CF2006" s="22"/>
      <c r="CG2006" s="22"/>
      <c r="CH2006" s="22"/>
      <c r="CI2006" s="22"/>
      <c r="CJ2006" s="22"/>
    </row>
    <row r="2007" spans="1:88">
      <c r="A2007" s="1">
        <v>759</v>
      </c>
      <c r="B2007" s="91" t="s">
        <v>1106</v>
      </c>
      <c r="C2007" s="91">
        <v>626</v>
      </c>
      <c r="D2007" s="91">
        <v>2354</v>
      </c>
      <c r="E2007" s="91">
        <v>102</v>
      </c>
      <c r="F2007" s="91" t="s">
        <v>1120</v>
      </c>
      <c r="G2007" s="139">
        <v>49560</v>
      </c>
      <c r="H2007" s="139">
        <v>72323</v>
      </c>
      <c r="I2007" s="140">
        <v>22.763000000000002</v>
      </c>
      <c r="J2007" s="141">
        <v>2</v>
      </c>
      <c r="K2007" s="91" t="s">
        <v>12</v>
      </c>
      <c r="L2007" s="142">
        <v>42175</v>
      </c>
      <c r="M2007" s="98" t="s">
        <v>191</v>
      </c>
      <c r="N2007" s="99">
        <v>3.625</v>
      </c>
      <c r="O2007" s="99">
        <v>8.2249999999999996</v>
      </c>
      <c r="P2007" s="99">
        <v>8</v>
      </c>
      <c r="Q2007" s="99">
        <v>3.0249999999999999</v>
      </c>
      <c r="R2007" s="99">
        <v>3.7551000000000001</v>
      </c>
      <c r="S2007" s="38">
        <f t="shared" si="285"/>
        <v>4</v>
      </c>
      <c r="T2007" s="99">
        <v>19.925000000000001</v>
      </c>
      <c r="U2007" s="99">
        <v>2.4750000000000001</v>
      </c>
      <c r="V2007" s="99">
        <v>0.35</v>
      </c>
      <c r="W2007" s="99">
        <v>0.125</v>
      </c>
      <c r="X2007" s="99">
        <v>5.9984500000000001</v>
      </c>
      <c r="Y2007" s="38">
        <f t="shared" si="286"/>
        <v>6</v>
      </c>
      <c r="Z2007" s="38">
        <v>0</v>
      </c>
      <c r="AA2007" s="38">
        <v>0</v>
      </c>
      <c r="AB2007" s="38">
        <f>N2007+O2007+P2007+Q2007</f>
        <v>22.875</v>
      </c>
      <c r="AC2007" s="99">
        <v>1.2172000000000001</v>
      </c>
      <c r="AD2007" s="99">
        <v>0</v>
      </c>
      <c r="AE2007" s="99">
        <v>0</v>
      </c>
      <c r="AF2007" s="99">
        <f>(AD2007+AE2007*0.5)/(3.5*I2007*1000)*100</f>
        <v>0</v>
      </c>
      <c r="AG2007" s="38">
        <f t="shared" si="287"/>
        <v>0</v>
      </c>
      <c r="AH2007" s="99">
        <v>0</v>
      </c>
      <c r="AI2007" s="38">
        <f>AH2007/(3.5*I2007*1000)*100</f>
        <v>0</v>
      </c>
      <c r="AJ2007" s="99">
        <v>161.37</v>
      </c>
      <c r="AK2007" s="38">
        <f>AJ2007/(3.5*I2007*1000)*100</f>
        <v>0.20254673938283307</v>
      </c>
      <c r="AL2007" s="99">
        <v>0</v>
      </c>
      <c r="AM2007" s="38">
        <f>AL2007/(3.5*I2007*1000)*100</f>
        <v>0</v>
      </c>
      <c r="AN2007" s="143"/>
      <c r="AO2007" s="25">
        <f t="shared" si="288"/>
        <v>0</v>
      </c>
      <c r="AP2007" s="25">
        <f t="shared" si="289"/>
        <v>3673.2653100000002</v>
      </c>
      <c r="AQ2007" s="143">
        <f t="shared" si="290"/>
        <v>22.875</v>
      </c>
      <c r="AR2007" s="143">
        <f t="shared" si="291"/>
        <v>22.875000000000004</v>
      </c>
      <c r="AS2007" s="273">
        <v>22.763000000000002</v>
      </c>
      <c r="AT2007" s="144"/>
      <c r="AU2007" s="144"/>
      <c r="AV2007" s="144"/>
      <c r="AW2007" s="144"/>
      <c r="AX2007" s="100"/>
      <c r="AY2007" s="100"/>
      <c r="AZ2007" s="100"/>
      <c r="BA2007" s="100"/>
      <c r="BB2007" s="100"/>
      <c r="BC2007" s="100"/>
      <c r="BD2007" s="100"/>
      <c r="BE2007" s="100"/>
      <c r="BF2007" s="100"/>
      <c r="BG2007" s="100"/>
      <c r="BH2007" s="100"/>
      <c r="BI2007" s="100"/>
      <c r="BJ2007" s="100"/>
      <c r="BK2007" s="100"/>
      <c r="BL2007" s="100"/>
      <c r="BM2007" s="100"/>
      <c r="BN2007" s="100"/>
      <c r="BO2007" s="100"/>
      <c r="BP2007" s="100"/>
      <c r="BQ2007" s="100"/>
      <c r="BR2007" s="100"/>
      <c r="BS2007" s="100"/>
      <c r="BT2007" s="100"/>
      <c r="BU2007" s="100"/>
      <c r="BV2007" s="100"/>
      <c r="BW2007" s="100"/>
      <c r="BX2007" s="100"/>
      <c r="BY2007" s="100"/>
      <c r="BZ2007" s="100"/>
      <c r="CA2007" s="100"/>
      <c r="CB2007" s="100"/>
      <c r="CC2007" s="100"/>
      <c r="CD2007" s="100"/>
      <c r="CE2007" s="100"/>
      <c r="CF2007" s="100"/>
      <c r="CG2007" s="100"/>
      <c r="CH2007" s="100"/>
      <c r="CI2007" s="100"/>
      <c r="CJ2007" s="100"/>
    </row>
    <row r="2008" spans="1:88">
      <c r="A2008" s="1">
        <v>773</v>
      </c>
      <c r="B2008" s="34" t="s">
        <v>1149</v>
      </c>
      <c r="C2008" s="34">
        <v>622</v>
      </c>
      <c r="D2008" s="8">
        <v>2322</v>
      </c>
      <c r="E2008" s="34">
        <v>101</v>
      </c>
      <c r="F2008" s="34" t="s">
        <v>1165</v>
      </c>
      <c r="G2008" s="58">
        <v>23962</v>
      </c>
      <c r="H2008" s="58">
        <v>0</v>
      </c>
      <c r="I2008" s="35">
        <v>23.962</v>
      </c>
      <c r="J2008" s="9">
        <v>2</v>
      </c>
      <c r="K2008" s="34" t="s">
        <v>12</v>
      </c>
      <c r="L2008" s="10">
        <v>42152</v>
      </c>
      <c r="M2008" s="9" t="s">
        <v>191</v>
      </c>
      <c r="N2008" s="38">
        <v>19.425000000000001</v>
      </c>
      <c r="O2008" s="38">
        <v>3.35</v>
      </c>
      <c r="P2008" s="38">
        <v>0.72499999999999998</v>
      </c>
      <c r="Q2008" s="38">
        <v>0.375</v>
      </c>
      <c r="R2008" s="38">
        <v>2.1800999999999999</v>
      </c>
      <c r="S2008" s="38">
        <f t="shared" si="285"/>
        <v>2</v>
      </c>
      <c r="T2008" s="38">
        <v>23.82</v>
      </c>
      <c r="U2008" s="38">
        <v>0.15</v>
      </c>
      <c r="V2008" s="38">
        <v>0</v>
      </c>
      <c r="W2008" s="38">
        <v>0</v>
      </c>
      <c r="X2008" s="38">
        <v>3.5499399999999999</v>
      </c>
      <c r="Y2008" s="38">
        <f t="shared" si="286"/>
        <v>3.5</v>
      </c>
      <c r="Z2008" s="38">
        <v>0</v>
      </c>
      <c r="AA2008" s="38">
        <v>0</v>
      </c>
      <c r="AB2008" s="38">
        <v>23.97</v>
      </c>
      <c r="AC2008" s="38">
        <v>1.2404299999999999</v>
      </c>
      <c r="AD2008" s="38">
        <v>0</v>
      </c>
      <c r="AE2008" s="38">
        <v>0</v>
      </c>
      <c r="AF2008" s="38">
        <f>(AD2008+AE2008*0.5)/(3.5*I2008*1000)*100</f>
        <v>0</v>
      </c>
      <c r="AG2008" s="38">
        <f t="shared" si="287"/>
        <v>0</v>
      </c>
      <c r="AH2008" s="38">
        <v>27</v>
      </c>
      <c r="AI2008" s="38">
        <f>AH2008/(3.5*I2008*1000)*100</f>
        <v>3.2193830708145042E-2</v>
      </c>
      <c r="AJ2008" s="38">
        <v>0</v>
      </c>
      <c r="AK2008" s="38">
        <f>AJ2008/(3.5*I2008*1000)*100</f>
        <v>0</v>
      </c>
      <c r="AL2008" s="38">
        <v>5</v>
      </c>
      <c r="AM2008" s="38">
        <f>AL2008/(3.5*I2008*1000)*100</f>
        <v>5.9618205015083406E-3</v>
      </c>
      <c r="AN2008" s="25"/>
      <c r="AO2008" s="25">
        <f t="shared" si="288"/>
        <v>0</v>
      </c>
      <c r="AP2008" s="25">
        <f t="shared" si="289"/>
        <v>766.78399999999999</v>
      </c>
      <c r="AQ2008" s="25">
        <f t="shared" si="290"/>
        <v>23.875000000000004</v>
      </c>
      <c r="AR2008" s="25">
        <f t="shared" si="291"/>
        <v>23.97</v>
      </c>
      <c r="AS2008" s="268">
        <v>23.962</v>
      </c>
      <c r="AT2008" s="41"/>
      <c r="AU2008" s="41">
        <f>SUM(N2008:Q2008)</f>
        <v>23.875000000000004</v>
      </c>
      <c r="AV2008" s="41">
        <f>SUM(T2008:W2008)</f>
        <v>23.97</v>
      </c>
      <c r="AW2008" s="41">
        <f>SUM(Z2008:AB2008)</f>
        <v>23.97</v>
      </c>
      <c r="AX2008" s="22"/>
      <c r="AY2008" s="22">
        <f>I2008/AU2008</f>
        <v>1.0036439790575915</v>
      </c>
      <c r="AZ2008" s="22">
        <f>I2008/AV2008</f>
        <v>0.9996662494785149</v>
      </c>
      <c r="BA2008" s="22">
        <f>I2008/AW2008</f>
        <v>0.9996662494785149</v>
      </c>
      <c r="BB2008" s="22"/>
      <c r="BC2008" s="22"/>
      <c r="BD2008" s="22"/>
      <c r="BE2008" s="22"/>
      <c r="BF2008" s="22"/>
      <c r="BG2008" s="22"/>
      <c r="BH2008" s="22"/>
      <c r="BI2008" s="22"/>
      <c r="BJ2008" s="22"/>
      <c r="BK2008" s="22"/>
      <c r="BL2008" s="22"/>
      <c r="BM2008" s="22"/>
      <c r="BN2008" s="22"/>
      <c r="BO2008" s="22"/>
      <c r="BP2008" s="22"/>
      <c r="BQ2008" s="22"/>
      <c r="BR2008" s="22"/>
      <c r="BS2008" s="22"/>
      <c r="BT2008" s="22"/>
      <c r="BU2008" s="22"/>
      <c r="BV2008" s="22"/>
      <c r="BW2008" s="22"/>
      <c r="BX2008" s="22"/>
      <c r="BY2008" s="22"/>
      <c r="BZ2008" s="22"/>
      <c r="CA2008" s="22"/>
      <c r="CB2008" s="22"/>
      <c r="CC2008" s="22"/>
      <c r="CD2008" s="22"/>
      <c r="CE2008" s="22"/>
      <c r="CF2008" s="22"/>
      <c r="CG2008" s="22"/>
      <c r="CH2008" s="22"/>
      <c r="CI2008" s="22"/>
      <c r="CJ2008" s="22"/>
    </row>
    <row r="2009" spans="1:88">
      <c r="A2009" s="1">
        <v>781</v>
      </c>
      <c r="B2009" s="34" t="s">
        <v>1171</v>
      </c>
      <c r="C2009" s="34">
        <v>633</v>
      </c>
      <c r="D2009" s="8">
        <v>23</v>
      </c>
      <c r="E2009" s="34">
        <v>403</v>
      </c>
      <c r="F2009" s="34" t="s">
        <v>1173</v>
      </c>
      <c r="G2009" s="58">
        <v>190562</v>
      </c>
      <c r="H2009" s="58">
        <v>220182</v>
      </c>
      <c r="I2009" s="35">
        <v>29.62</v>
      </c>
      <c r="J2009" s="9">
        <v>4</v>
      </c>
      <c r="K2009" s="34" t="s">
        <v>237</v>
      </c>
      <c r="L2009" s="10">
        <v>42147</v>
      </c>
      <c r="M2009" s="9" t="s">
        <v>191</v>
      </c>
      <c r="N2009" s="38">
        <v>25.274999999999999</v>
      </c>
      <c r="O2009" s="38">
        <v>3.05</v>
      </c>
      <c r="P2009" s="38">
        <v>0.75</v>
      </c>
      <c r="Q2009" s="38">
        <v>0.32500000000000001</v>
      </c>
      <c r="R2009" s="38">
        <v>1.8628899999999999</v>
      </c>
      <c r="S2009" s="38">
        <f t="shared" si="285"/>
        <v>2</v>
      </c>
      <c r="T2009" s="38">
        <v>29.1</v>
      </c>
      <c r="U2009" s="38">
        <v>0.27500000000000002</v>
      </c>
      <c r="V2009" s="38">
        <v>0</v>
      </c>
      <c r="W2009" s="38">
        <v>2.5000000000000001E-2</v>
      </c>
      <c r="X2009" s="38">
        <v>3.3407900000000001</v>
      </c>
      <c r="Y2009" s="38">
        <f t="shared" si="286"/>
        <v>3.5</v>
      </c>
      <c r="Z2009" s="38">
        <v>0</v>
      </c>
      <c r="AA2009" s="38">
        <v>0</v>
      </c>
      <c r="AB2009" s="38">
        <f>N2009+O2009+P2009+Q2009</f>
        <v>29.4</v>
      </c>
      <c r="AC2009" s="38">
        <v>1.1391100000000001</v>
      </c>
      <c r="AD2009" s="38">
        <v>0</v>
      </c>
      <c r="AE2009" s="38">
        <v>0</v>
      </c>
      <c r="AF2009" s="38">
        <f>(AD2009+AE2009*0.5)/(3.5*I2009*1000)*100</f>
        <v>0</v>
      </c>
      <c r="AG2009" s="38">
        <f t="shared" si="287"/>
        <v>0</v>
      </c>
      <c r="AH2009" s="38">
        <v>1</v>
      </c>
      <c r="AI2009" s="38">
        <f>AH2009/(3.5*I2009*1000)*100</f>
        <v>9.6459920902864857E-4</v>
      </c>
      <c r="AJ2009" s="38">
        <v>0</v>
      </c>
      <c r="AK2009" s="38">
        <f>AJ2009/(3.5*I2009*1000)*100</f>
        <v>0</v>
      </c>
      <c r="AL2009" s="38">
        <v>0</v>
      </c>
      <c r="AM2009" s="38">
        <f>AL2009/(3.5*I2009*1000)*100</f>
        <v>0</v>
      </c>
      <c r="AN2009" s="25"/>
      <c r="AO2009" s="25">
        <f t="shared" si="288"/>
        <v>0</v>
      </c>
      <c r="AP2009" s="25">
        <f t="shared" si="289"/>
        <v>29.62</v>
      </c>
      <c r="AQ2009" s="136">
        <f t="shared" si="290"/>
        <v>29.4</v>
      </c>
      <c r="AR2009" s="136">
        <f t="shared" si="291"/>
        <v>29.4</v>
      </c>
      <c r="AS2009" s="22"/>
      <c r="AT2009" s="41"/>
      <c r="AU2009" s="41"/>
      <c r="AV2009" s="41"/>
      <c r="AW2009" s="41"/>
      <c r="AX2009" s="22"/>
      <c r="AY2009" s="22"/>
      <c r="AZ2009" s="22"/>
      <c r="BA2009" s="22"/>
      <c r="BB2009" s="22"/>
      <c r="BC2009" s="22"/>
      <c r="BD2009" s="22"/>
      <c r="BE2009" s="22"/>
      <c r="BF2009" s="22"/>
      <c r="BG2009" s="22"/>
      <c r="BH2009" s="22"/>
      <c r="BI2009" s="22"/>
      <c r="BJ2009" s="22"/>
      <c r="BK2009" s="22"/>
      <c r="BL2009" s="22"/>
      <c r="BM2009" s="22"/>
      <c r="BN2009" s="22"/>
      <c r="BO2009" s="22"/>
      <c r="BP2009" s="22"/>
      <c r="BQ2009" s="22"/>
      <c r="BR2009" s="22"/>
      <c r="BS2009" s="22"/>
      <c r="BT2009" s="22"/>
      <c r="BU2009" s="22"/>
      <c r="BV2009" s="22"/>
      <c r="BW2009" s="22"/>
      <c r="BX2009" s="22"/>
      <c r="BY2009" s="22"/>
      <c r="BZ2009" s="22"/>
      <c r="CA2009" s="22"/>
      <c r="CB2009" s="22"/>
      <c r="CC2009" s="22"/>
      <c r="CD2009" s="22"/>
      <c r="CE2009" s="22"/>
      <c r="CF2009" s="22"/>
      <c r="CG2009" s="22"/>
      <c r="CH2009" s="22"/>
      <c r="CI2009" s="22"/>
      <c r="CJ2009" s="22"/>
    </row>
    <row r="2010" spans="1:88">
      <c r="A2010" s="1">
        <v>782</v>
      </c>
      <c r="B2010" s="34" t="s">
        <v>1171</v>
      </c>
      <c r="C2010" s="34">
        <v>633</v>
      </c>
      <c r="D2010" s="8">
        <v>23</v>
      </c>
      <c r="E2010" s="34">
        <v>403</v>
      </c>
      <c r="F2010" s="34" t="s">
        <v>1173</v>
      </c>
      <c r="G2010" s="58">
        <v>220182</v>
      </c>
      <c r="H2010" s="58">
        <v>190562</v>
      </c>
      <c r="I2010" s="35">
        <v>29.62</v>
      </c>
      <c r="J2010" s="9">
        <v>4</v>
      </c>
      <c r="K2010" s="34" t="s">
        <v>96</v>
      </c>
      <c r="L2010" s="10">
        <v>42147</v>
      </c>
      <c r="M2010" s="9" t="s">
        <v>191</v>
      </c>
      <c r="N2010" s="38">
        <v>24.9</v>
      </c>
      <c r="O2010" s="38">
        <v>3.7749999999999999</v>
      </c>
      <c r="P2010" s="38">
        <v>0.57499999999999996</v>
      </c>
      <c r="Q2010" s="38">
        <v>0.22500000000000001</v>
      </c>
      <c r="R2010" s="38">
        <v>1.9507000000000001</v>
      </c>
      <c r="S2010" s="38">
        <f t="shared" si="285"/>
        <v>2</v>
      </c>
      <c r="T2010" s="38">
        <v>27.15</v>
      </c>
      <c r="U2010" s="38">
        <v>2.15</v>
      </c>
      <c r="V2010" s="38">
        <v>0.17499999999999999</v>
      </c>
      <c r="W2010" s="38">
        <v>0</v>
      </c>
      <c r="X2010" s="38">
        <v>6.5223899999999997</v>
      </c>
      <c r="Y2010" s="38">
        <f t="shared" si="286"/>
        <v>6.5</v>
      </c>
      <c r="Z2010" s="38">
        <v>0</v>
      </c>
      <c r="AA2010" s="38">
        <v>0</v>
      </c>
      <c r="AB2010" s="38">
        <f>N2010+O2010+P2010+Q2010</f>
        <v>29.474999999999998</v>
      </c>
      <c r="AC2010" s="38">
        <v>1.1869499999999999</v>
      </c>
      <c r="AD2010" s="38">
        <v>0</v>
      </c>
      <c r="AE2010" s="38">
        <v>0</v>
      </c>
      <c r="AF2010" s="38">
        <f>(AD2010+AE2010*0.5)/(3.5*I2010*1000)*100</f>
        <v>0</v>
      </c>
      <c r="AG2010" s="38">
        <f t="shared" si="287"/>
        <v>0</v>
      </c>
      <c r="AH2010" s="38">
        <v>14</v>
      </c>
      <c r="AI2010" s="38">
        <f>AH2010/(3.5*I2010*1000)*100</f>
        <v>1.350438892640108E-2</v>
      </c>
      <c r="AJ2010" s="38">
        <v>0</v>
      </c>
      <c r="AK2010" s="38">
        <f>AJ2010/(3.5*I2010*1000)*100</f>
        <v>0</v>
      </c>
      <c r="AL2010" s="38">
        <v>0</v>
      </c>
      <c r="AM2010" s="38">
        <f>AL2010/(3.5*I2010*1000)*100</f>
        <v>0</v>
      </c>
      <c r="AN2010" s="25"/>
      <c r="AO2010" s="25">
        <f t="shared" si="288"/>
        <v>0</v>
      </c>
      <c r="AP2010" s="25">
        <f t="shared" si="289"/>
        <v>414.68</v>
      </c>
      <c r="AQ2010" s="25">
        <f t="shared" si="290"/>
        <v>29.474999999999998</v>
      </c>
      <c r="AR2010" s="25">
        <f t="shared" si="291"/>
        <v>29.474999999999998</v>
      </c>
      <c r="AS2010" s="22"/>
      <c r="AT2010" s="41"/>
      <c r="AU2010" s="41"/>
      <c r="AV2010" s="41"/>
      <c r="AW2010" s="41"/>
      <c r="AX2010" s="22"/>
      <c r="AY2010" s="22"/>
      <c r="AZ2010" s="22"/>
      <c r="BA2010" s="22"/>
      <c r="BB2010" s="22"/>
      <c r="BC2010" s="22"/>
      <c r="BD2010" s="22"/>
      <c r="BE2010" s="22"/>
      <c r="BF2010" s="22"/>
      <c r="BG2010" s="22"/>
      <c r="BH2010" s="22"/>
      <c r="BI2010" s="22"/>
      <c r="BJ2010" s="22"/>
      <c r="BK2010" s="22"/>
      <c r="BL2010" s="22"/>
      <c r="BM2010" s="22"/>
      <c r="BN2010" s="22"/>
      <c r="BO2010" s="22"/>
      <c r="BP2010" s="22"/>
      <c r="BQ2010" s="22"/>
      <c r="BR2010" s="22"/>
      <c r="BS2010" s="22"/>
      <c r="BT2010" s="22"/>
      <c r="BU2010" s="22"/>
      <c r="BV2010" s="22"/>
      <c r="BW2010" s="22"/>
      <c r="BX2010" s="22"/>
      <c r="BY2010" s="22"/>
      <c r="BZ2010" s="22"/>
      <c r="CA2010" s="22"/>
      <c r="CB2010" s="22"/>
      <c r="CC2010" s="22"/>
      <c r="CD2010" s="22"/>
      <c r="CE2010" s="22"/>
      <c r="CF2010" s="22"/>
      <c r="CG2010" s="22"/>
      <c r="CH2010" s="22"/>
      <c r="CI2010" s="22"/>
      <c r="CJ2010" s="22"/>
    </row>
    <row r="2011" spans="1:88">
      <c r="A2011" s="1">
        <v>792</v>
      </c>
      <c r="B2011" s="34" t="s">
        <v>1171</v>
      </c>
      <c r="C2011" s="34">
        <v>633</v>
      </c>
      <c r="D2011" s="8">
        <v>2477</v>
      </c>
      <c r="E2011" s="34">
        <v>100</v>
      </c>
      <c r="F2011" s="34" t="s">
        <v>1185</v>
      </c>
      <c r="G2011" s="58">
        <v>0</v>
      </c>
      <c r="H2011" s="58">
        <v>1732</v>
      </c>
      <c r="I2011" s="35">
        <v>1.732</v>
      </c>
      <c r="J2011" s="9">
        <v>4</v>
      </c>
      <c r="K2011" s="34" t="s">
        <v>237</v>
      </c>
      <c r="L2011" s="10">
        <v>42147</v>
      </c>
      <c r="M2011" s="9" t="s">
        <v>191</v>
      </c>
      <c r="N2011" s="38">
        <v>1.1000000000000001</v>
      </c>
      <c r="O2011" s="38">
        <v>0.4</v>
      </c>
      <c r="P2011" s="38">
        <v>0.17499999999999999</v>
      </c>
      <c r="Q2011" s="38">
        <v>0.1</v>
      </c>
      <c r="R2011" s="38">
        <v>2.5913000000000004</v>
      </c>
      <c r="S2011" s="38">
        <f t="shared" si="285"/>
        <v>2.5</v>
      </c>
      <c r="T2011" s="38">
        <v>1.4249999999999998</v>
      </c>
      <c r="U2011" s="38">
        <v>0.27500000000000002</v>
      </c>
      <c r="V2011" s="38">
        <v>7.4999999999999997E-2</v>
      </c>
      <c r="W2011" s="38">
        <v>0</v>
      </c>
      <c r="X2011" s="38">
        <v>5.9620449999999998</v>
      </c>
      <c r="Y2011" s="38">
        <f t="shared" si="286"/>
        <v>6</v>
      </c>
      <c r="Z2011" s="38">
        <v>0</v>
      </c>
      <c r="AA2011" s="38">
        <v>0</v>
      </c>
      <c r="AB2011" s="38">
        <f>N2011+O2011+P2011+Q2011</f>
        <v>1.7750000000000001</v>
      </c>
      <c r="AC2011" s="38">
        <v>1.34955</v>
      </c>
      <c r="AD2011" s="38">
        <v>0</v>
      </c>
      <c r="AE2011" s="38">
        <v>0</v>
      </c>
      <c r="AF2011" s="38">
        <v>0</v>
      </c>
      <c r="AG2011" s="38">
        <f t="shared" si="287"/>
        <v>0</v>
      </c>
      <c r="AH2011" s="38">
        <v>0</v>
      </c>
      <c r="AI2011" s="38">
        <v>0</v>
      </c>
      <c r="AJ2011" s="38">
        <v>61</v>
      </c>
      <c r="AK2011" s="38">
        <v>1.0062690000000001</v>
      </c>
      <c r="AL2011" s="38">
        <v>0</v>
      </c>
      <c r="AM2011" s="38">
        <v>0</v>
      </c>
      <c r="AN2011" s="25"/>
      <c r="AO2011" s="25">
        <f t="shared" si="288"/>
        <v>0</v>
      </c>
      <c r="AP2011" s="25">
        <f t="shared" si="289"/>
        <v>105.652</v>
      </c>
      <c r="AQ2011" s="136">
        <f t="shared" si="290"/>
        <v>1.7750000000000001</v>
      </c>
      <c r="AR2011" s="136">
        <f t="shared" si="291"/>
        <v>1.7749999999999997</v>
      </c>
      <c r="AS2011" s="22"/>
      <c r="AT2011" s="41"/>
      <c r="AU2011" s="41"/>
      <c r="AV2011" s="41"/>
      <c r="AW2011" s="41"/>
      <c r="AX2011" s="22"/>
      <c r="AY2011" s="22"/>
      <c r="AZ2011" s="22"/>
      <c r="BA2011" s="22"/>
      <c r="BB2011" s="22"/>
      <c r="BC2011" s="22"/>
      <c r="BD2011" s="22"/>
      <c r="BE2011" s="22"/>
      <c r="BF2011" s="22"/>
      <c r="BG2011" s="22"/>
      <c r="BH2011" s="22"/>
      <c r="BI2011" s="22"/>
      <c r="BJ2011" s="22"/>
      <c r="BK2011" s="22"/>
      <c r="BL2011" s="22"/>
      <c r="BM2011" s="22"/>
      <c r="BN2011" s="22"/>
      <c r="BO2011" s="22"/>
      <c r="BP2011" s="22"/>
      <c r="BQ2011" s="22"/>
      <c r="BR2011" s="22"/>
      <c r="BS2011" s="22"/>
      <c r="BT2011" s="22"/>
      <c r="BU2011" s="22"/>
      <c r="BV2011" s="22"/>
      <c r="BW2011" s="22"/>
      <c r="BX2011" s="22"/>
      <c r="BY2011" s="22"/>
      <c r="BZ2011" s="22"/>
      <c r="CA2011" s="22"/>
      <c r="CB2011" s="22"/>
      <c r="CC2011" s="22"/>
      <c r="CD2011" s="22"/>
      <c r="CE2011" s="22"/>
      <c r="CF2011" s="22"/>
      <c r="CG2011" s="22"/>
      <c r="CH2011" s="22"/>
      <c r="CI2011" s="22"/>
      <c r="CJ2011" s="22"/>
    </row>
    <row r="2012" spans="1:88">
      <c r="A2012" s="1">
        <v>797</v>
      </c>
      <c r="B2012" s="34" t="s">
        <v>1186</v>
      </c>
      <c r="C2012" s="34">
        <v>635</v>
      </c>
      <c r="D2012" s="8">
        <v>215</v>
      </c>
      <c r="E2012" s="34">
        <v>100</v>
      </c>
      <c r="F2012" s="34" t="s">
        <v>1190</v>
      </c>
      <c r="G2012" s="58">
        <v>1400</v>
      </c>
      <c r="H2012" s="58">
        <v>41580</v>
      </c>
      <c r="I2012" s="35">
        <v>40.18</v>
      </c>
      <c r="J2012" s="9">
        <v>2</v>
      </c>
      <c r="K2012" s="34" t="s">
        <v>238</v>
      </c>
      <c r="L2012" s="10">
        <v>42150</v>
      </c>
      <c r="M2012" s="9" t="s">
        <v>191</v>
      </c>
      <c r="N2012" s="38">
        <v>31.56</v>
      </c>
      <c r="O2012" s="38">
        <v>6.734</v>
      </c>
      <c r="P2012" s="38">
        <v>1.571</v>
      </c>
      <c r="Q2012" s="38">
        <v>0.314</v>
      </c>
      <c r="R2012" s="38">
        <v>2.8650000000000002</v>
      </c>
      <c r="S2012" s="38">
        <f t="shared" si="285"/>
        <v>3</v>
      </c>
      <c r="T2012" s="38">
        <v>39.902000000000001</v>
      </c>
      <c r="U2012" s="38">
        <v>0.251</v>
      </c>
      <c r="V2012" s="38">
        <v>2.7E-2</v>
      </c>
      <c r="W2012" s="38">
        <v>0</v>
      </c>
      <c r="X2012" s="38">
        <v>3.9710000000000001</v>
      </c>
      <c r="Y2012" s="38">
        <f t="shared" si="286"/>
        <v>4</v>
      </c>
      <c r="Z2012" s="38">
        <v>0</v>
      </c>
      <c r="AA2012" s="38">
        <v>0</v>
      </c>
      <c r="AB2012" s="35">
        <v>40.18</v>
      </c>
      <c r="AC2012" s="38">
        <v>1.1970000000000001</v>
      </c>
      <c r="AD2012" s="38">
        <v>0</v>
      </c>
      <c r="AE2012" s="38">
        <v>0</v>
      </c>
      <c r="AF2012" s="38">
        <v>0</v>
      </c>
      <c r="AG2012" s="38">
        <f t="shared" si="287"/>
        <v>0</v>
      </c>
      <c r="AH2012" s="38">
        <v>0</v>
      </c>
      <c r="AI2012" s="38">
        <v>0</v>
      </c>
      <c r="AJ2012" s="38">
        <v>15</v>
      </c>
      <c r="AK2012" s="38">
        <v>9.5619999999999993E-3</v>
      </c>
      <c r="AL2012" s="38">
        <v>0</v>
      </c>
      <c r="AM2012" s="38">
        <v>0</v>
      </c>
      <c r="AN2012" s="25"/>
      <c r="AO2012" s="25">
        <f t="shared" si="288"/>
        <v>0</v>
      </c>
      <c r="AP2012" s="25">
        <f t="shared" si="289"/>
        <v>602.70000000000005</v>
      </c>
      <c r="AQ2012" s="25">
        <f t="shared" si="290"/>
        <v>40.178999999999995</v>
      </c>
      <c r="AR2012" s="25">
        <f t="shared" si="291"/>
        <v>40.18</v>
      </c>
      <c r="AS2012" s="22"/>
      <c r="AT2012" s="41"/>
      <c r="AU2012" s="41"/>
      <c r="AV2012" s="41"/>
      <c r="AW2012" s="41"/>
      <c r="AX2012" s="22"/>
      <c r="AY2012" s="22"/>
      <c r="AZ2012" s="22"/>
      <c r="BA2012" s="22"/>
      <c r="BB2012" s="22"/>
      <c r="BC2012" s="22"/>
      <c r="BD2012" s="22"/>
      <c r="BE2012" s="22"/>
      <c r="BF2012" s="22"/>
      <c r="BG2012" s="22"/>
      <c r="BH2012" s="22"/>
      <c r="BI2012" s="22"/>
      <c r="BJ2012" s="22"/>
      <c r="BK2012" s="22"/>
      <c r="BL2012" s="22"/>
      <c r="BM2012" s="22"/>
      <c r="BN2012" s="22"/>
      <c r="BO2012" s="22"/>
      <c r="BP2012" s="22"/>
      <c r="BQ2012" s="22"/>
      <c r="BR2012" s="22"/>
      <c r="BS2012" s="22"/>
      <c r="BT2012" s="22"/>
      <c r="BU2012" s="22"/>
      <c r="BV2012" s="22"/>
      <c r="BW2012" s="22"/>
      <c r="BX2012" s="22"/>
      <c r="BY2012" s="22"/>
      <c r="BZ2012" s="22"/>
      <c r="CA2012" s="22"/>
      <c r="CB2012" s="22"/>
      <c r="CC2012" s="22"/>
      <c r="CD2012" s="22"/>
      <c r="CE2012" s="22"/>
      <c r="CF2012" s="22"/>
      <c r="CG2012" s="22"/>
      <c r="CH2012" s="22"/>
      <c r="CI2012" s="22"/>
      <c r="CJ2012" s="22"/>
    </row>
    <row r="2013" spans="1:88">
      <c r="A2013" s="1">
        <v>805</v>
      </c>
      <c r="B2013" s="34" t="s">
        <v>1186</v>
      </c>
      <c r="C2013" s="34">
        <v>635</v>
      </c>
      <c r="D2013" s="8">
        <v>2116</v>
      </c>
      <c r="E2013" s="34">
        <v>200</v>
      </c>
      <c r="F2013" s="34" t="s">
        <v>1197</v>
      </c>
      <c r="G2013" s="58">
        <v>46900</v>
      </c>
      <c r="H2013" s="58">
        <v>68200</v>
      </c>
      <c r="I2013" s="35">
        <v>21.31</v>
      </c>
      <c r="J2013" s="9">
        <v>2</v>
      </c>
      <c r="K2013" s="34" t="s">
        <v>238</v>
      </c>
      <c r="L2013" s="10">
        <v>42151</v>
      </c>
      <c r="M2013" s="9" t="s">
        <v>191</v>
      </c>
      <c r="N2013" s="38">
        <v>16.600999999999999</v>
      </c>
      <c r="O2013" s="38">
        <v>3.6160000000000001</v>
      </c>
      <c r="P2013" s="38">
        <v>0.69899999999999995</v>
      </c>
      <c r="Q2013" s="38">
        <v>0.39400000000000002</v>
      </c>
      <c r="R2013" s="38">
        <v>2.58</v>
      </c>
      <c r="S2013" s="38">
        <f t="shared" si="285"/>
        <v>2.5</v>
      </c>
      <c r="T2013" s="38">
        <v>20.611000000000001</v>
      </c>
      <c r="U2013" s="38">
        <v>0.57499999999999996</v>
      </c>
      <c r="V2013" s="38">
        <v>0.123</v>
      </c>
      <c r="W2013" s="38">
        <v>0</v>
      </c>
      <c r="X2013" s="38">
        <v>4.7206000000000001</v>
      </c>
      <c r="Y2013" s="38">
        <f t="shared" si="286"/>
        <v>4.5</v>
      </c>
      <c r="Z2013" s="38">
        <v>0</v>
      </c>
      <c r="AA2013" s="38">
        <v>0</v>
      </c>
      <c r="AB2013" s="35">
        <v>21.31</v>
      </c>
      <c r="AC2013" s="38">
        <v>1.2742</v>
      </c>
      <c r="AD2013" s="38">
        <v>0</v>
      </c>
      <c r="AE2013" s="38">
        <v>0</v>
      </c>
      <c r="AF2013" s="38">
        <v>0</v>
      </c>
      <c r="AG2013" s="38">
        <f t="shared" si="287"/>
        <v>0</v>
      </c>
      <c r="AH2013" s="38">
        <v>21</v>
      </c>
      <c r="AI2013" s="38">
        <v>2.3120000000000002E-2</v>
      </c>
      <c r="AJ2013" s="38">
        <v>67</v>
      </c>
      <c r="AK2013" s="38">
        <v>7.3764999999999997E-2</v>
      </c>
      <c r="AL2013" s="38">
        <v>0</v>
      </c>
      <c r="AM2013" s="38">
        <v>0</v>
      </c>
      <c r="AN2013" s="25"/>
      <c r="AO2013" s="25">
        <f t="shared" si="288"/>
        <v>0</v>
      </c>
      <c r="AP2013" s="25">
        <f t="shared" si="289"/>
        <v>1875.28</v>
      </c>
      <c r="AQ2013" s="136">
        <f t="shared" si="290"/>
        <v>21.31</v>
      </c>
      <c r="AR2013" s="136">
        <f t="shared" si="291"/>
        <v>21.309000000000001</v>
      </c>
      <c r="AS2013" s="22"/>
      <c r="AT2013" s="41"/>
      <c r="AU2013" s="41"/>
      <c r="AV2013" s="41"/>
      <c r="AW2013" s="41"/>
      <c r="AX2013" s="22"/>
      <c r="AY2013" s="22"/>
      <c r="AZ2013" s="22"/>
      <c r="BA2013" s="22"/>
      <c r="BB2013" s="22"/>
      <c r="BC2013" s="22"/>
      <c r="BD2013" s="22"/>
      <c r="BE2013" s="22"/>
      <c r="BF2013" s="22"/>
      <c r="BG2013" s="22"/>
      <c r="BH2013" s="22"/>
      <c r="BI2013" s="22"/>
      <c r="BJ2013" s="22"/>
      <c r="BK2013" s="22"/>
      <c r="BL2013" s="22"/>
      <c r="BM2013" s="22"/>
      <c r="BN2013" s="22"/>
      <c r="BO2013" s="22"/>
      <c r="BP2013" s="22"/>
      <c r="BQ2013" s="22"/>
      <c r="BR2013" s="22"/>
      <c r="BS2013" s="22"/>
      <c r="BT2013" s="22"/>
      <c r="BU2013" s="22"/>
      <c r="BV2013" s="22"/>
      <c r="BW2013" s="22"/>
      <c r="BX2013" s="22"/>
      <c r="BY2013" s="22"/>
      <c r="BZ2013" s="22"/>
      <c r="CA2013" s="22"/>
      <c r="CB2013" s="22"/>
      <c r="CC2013" s="22"/>
      <c r="CD2013" s="22"/>
      <c r="CE2013" s="22"/>
      <c r="CF2013" s="22"/>
      <c r="CG2013" s="22"/>
      <c r="CH2013" s="22"/>
      <c r="CI2013" s="22"/>
      <c r="CJ2013" s="22"/>
    </row>
    <row r="2014" spans="1:88">
      <c r="A2014" s="1">
        <v>807</v>
      </c>
      <c r="B2014" s="34" t="s">
        <v>1186</v>
      </c>
      <c r="C2014" s="34">
        <v>635</v>
      </c>
      <c r="D2014" s="8">
        <v>2387</v>
      </c>
      <c r="E2014" s="34">
        <v>100</v>
      </c>
      <c r="F2014" s="34" t="s">
        <v>1199</v>
      </c>
      <c r="G2014" s="58">
        <v>0</v>
      </c>
      <c r="H2014" s="58">
        <v>22737</v>
      </c>
      <c r="I2014" s="35">
        <v>22.736999999999998</v>
      </c>
      <c r="J2014" s="9">
        <v>2</v>
      </c>
      <c r="K2014" s="34" t="s">
        <v>12</v>
      </c>
      <c r="L2014" s="10">
        <v>42150</v>
      </c>
      <c r="M2014" s="9" t="s">
        <v>191</v>
      </c>
      <c r="N2014" s="38">
        <v>18.05</v>
      </c>
      <c r="O2014" s="38">
        <v>3.6749999999999998</v>
      </c>
      <c r="P2014" s="38">
        <v>0.6</v>
      </c>
      <c r="Q2014" s="38">
        <v>0.35</v>
      </c>
      <c r="R2014" s="38">
        <v>2.0948799999999999</v>
      </c>
      <c r="S2014" s="38">
        <f t="shared" si="285"/>
        <v>2</v>
      </c>
      <c r="T2014" s="38">
        <v>22.675000000000001</v>
      </c>
      <c r="U2014" s="38">
        <v>0</v>
      </c>
      <c r="V2014" s="38">
        <v>0</v>
      </c>
      <c r="W2014" s="38">
        <v>0</v>
      </c>
      <c r="X2014" s="38">
        <v>3.0152100000000002</v>
      </c>
      <c r="Y2014" s="38">
        <f t="shared" si="286"/>
        <v>3</v>
      </c>
      <c r="Z2014" s="38">
        <v>0</v>
      </c>
      <c r="AA2014" s="38">
        <v>0</v>
      </c>
      <c r="AB2014" s="35">
        <v>22.736999999999998</v>
      </c>
      <c r="AC2014" s="38">
        <v>1.35046</v>
      </c>
      <c r="AD2014" s="38">
        <v>0</v>
      </c>
      <c r="AE2014" s="38">
        <v>0</v>
      </c>
      <c r="AF2014" s="38">
        <v>0</v>
      </c>
      <c r="AG2014" s="38">
        <f t="shared" si="287"/>
        <v>0</v>
      </c>
      <c r="AH2014" s="38">
        <v>0</v>
      </c>
      <c r="AI2014" s="38">
        <v>0</v>
      </c>
      <c r="AJ2014" s="38">
        <v>9</v>
      </c>
      <c r="AK2014" s="38">
        <v>1.1309E-2</v>
      </c>
      <c r="AL2014" s="38">
        <v>0</v>
      </c>
      <c r="AM2014" s="38">
        <v>0</v>
      </c>
      <c r="AN2014" s="25"/>
      <c r="AO2014" s="25">
        <f t="shared" si="288"/>
        <v>0</v>
      </c>
      <c r="AP2014" s="25">
        <f t="shared" si="289"/>
        <v>204.63299999999998</v>
      </c>
      <c r="AQ2014" s="136">
        <f t="shared" si="290"/>
        <v>22.675000000000004</v>
      </c>
      <c r="AR2014" s="136">
        <f t="shared" si="291"/>
        <v>22.675000000000001</v>
      </c>
      <c r="AS2014" s="22"/>
      <c r="AT2014" s="41"/>
      <c r="AU2014" s="41"/>
      <c r="AV2014" s="41"/>
      <c r="AW2014" s="41"/>
    </row>
    <row r="2015" spans="1:88">
      <c r="A2015" s="1">
        <v>810</v>
      </c>
      <c r="B2015" s="34" t="s">
        <v>1186</v>
      </c>
      <c r="C2015" s="34">
        <v>635</v>
      </c>
      <c r="D2015" s="8">
        <v>2457</v>
      </c>
      <c r="E2015" s="34">
        <v>100</v>
      </c>
      <c r="F2015" s="34" t="s">
        <v>1203</v>
      </c>
      <c r="G2015" s="58">
        <v>0</v>
      </c>
      <c r="H2015" s="58">
        <v>391</v>
      </c>
      <c r="I2015" s="35">
        <v>0.39100000000000001</v>
      </c>
      <c r="J2015" s="9">
        <v>2</v>
      </c>
      <c r="K2015" s="34" t="s">
        <v>238</v>
      </c>
      <c r="L2015" s="10">
        <v>42151</v>
      </c>
      <c r="M2015" s="9" t="s">
        <v>191</v>
      </c>
      <c r="N2015" s="38">
        <v>0.05</v>
      </c>
      <c r="O2015" s="38">
        <v>0.15</v>
      </c>
      <c r="P2015" s="38">
        <v>0.1</v>
      </c>
      <c r="Q2015" s="38">
        <v>0.1</v>
      </c>
      <c r="R2015" s="38">
        <v>4.5919999999999996</v>
      </c>
      <c r="S2015" s="38">
        <f t="shared" si="285"/>
        <v>4.5</v>
      </c>
      <c r="T2015" s="38">
        <v>0.4</v>
      </c>
      <c r="U2015" s="38">
        <v>0</v>
      </c>
      <c r="V2015" s="38">
        <v>0</v>
      </c>
      <c r="W2015" s="38">
        <v>0</v>
      </c>
      <c r="X2015" s="38">
        <v>2.2200000000000002</v>
      </c>
      <c r="Y2015" s="38">
        <f t="shared" si="286"/>
        <v>2</v>
      </c>
      <c r="Z2015" s="38">
        <v>0</v>
      </c>
      <c r="AA2015" s="38">
        <v>0</v>
      </c>
      <c r="AB2015" s="35">
        <v>0.39100000000000001</v>
      </c>
      <c r="AC2015" s="38">
        <v>1.2230000000000001</v>
      </c>
      <c r="AD2015" s="38">
        <v>0</v>
      </c>
      <c r="AE2015" s="38">
        <v>0</v>
      </c>
      <c r="AF2015" s="38">
        <v>0</v>
      </c>
      <c r="AG2015" s="38">
        <f t="shared" si="287"/>
        <v>0</v>
      </c>
      <c r="AH2015" s="38">
        <v>0</v>
      </c>
      <c r="AI2015" s="38">
        <v>0</v>
      </c>
      <c r="AJ2015" s="38">
        <v>0</v>
      </c>
      <c r="AK2015" s="38">
        <v>0</v>
      </c>
      <c r="AL2015" s="38">
        <v>0</v>
      </c>
      <c r="AM2015" s="38">
        <v>0</v>
      </c>
      <c r="AN2015" s="25"/>
      <c r="AO2015" s="25">
        <f t="shared" si="288"/>
        <v>0</v>
      </c>
      <c r="AP2015" s="25">
        <f t="shared" si="289"/>
        <v>0</v>
      </c>
      <c r="AQ2015" s="25">
        <f t="shared" si="290"/>
        <v>0.4</v>
      </c>
      <c r="AR2015" s="25">
        <f t="shared" si="291"/>
        <v>0.4</v>
      </c>
      <c r="AS2015" s="22"/>
      <c r="AT2015" s="41"/>
      <c r="AU2015" s="41"/>
      <c r="AV2015" s="41"/>
      <c r="AW2015" s="41"/>
      <c r="AX2015" s="22"/>
      <c r="AY2015" s="22"/>
      <c r="AZ2015" s="22"/>
      <c r="BA2015" s="22"/>
      <c r="BB2015" s="22"/>
      <c r="BC2015" s="22"/>
      <c r="BD2015" s="22"/>
      <c r="BE2015" s="22"/>
      <c r="BF2015" s="22"/>
      <c r="BG2015" s="22"/>
      <c r="BH2015" s="22"/>
      <c r="BI2015" s="22"/>
      <c r="BJ2015" s="22"/>
      <c r="BK2015" s="22"/>
      <c r="BL2015" s="22"/>
      <c r="BM2015" s="22"/>
      <c r="BN2015" s="22"/>
      <c r="BO2015" s="22"/>
      <c r="BP2015" s="22"/>
      <c r="BQ2015" s="22"/>
      <c r="BR2015" s="22"/>
      <c r="BS2015" s="22"/>
      <c r="BT2015" s="22"/>
      <c r="BU2015" s="22"/>
      <c r="BV2015" s="22"/>
      <c r="BW2015" s="22"/>
      <c r="BX2015" s="22"/>
      <c r="BY2015" s="22"/>
      <c r="BZ2015" s="22"/>
      <c r="CA2015" s="22"/>
      <c r="CB2015" s="22"/>
      <c r="CC2015" s="22"/>
      <c r="CD2015" s="22"/>
      <c r="CE2015" s="22"/>
      <c r="CF2015" s="22"/>
      <c r="CG2015" s="22"/>
      <c r="CH2015" s="22"/>
      <c r="CI2015" s="22"/>
      <c r="CJ2015" s="22"/>
    </row>
    <row r="2016" spans="1:88">
      <c r="A2016" s="1">
        <v>813</v>
      </c>
      <c r="B2016" s="34" t="s">
        <v>1204</v>
      </c>
      <c r="C2016" s="34">
        <v>647</v>
      </c>
      <c r="D2016" s="8">
        <v>213</v>
      </c>
      <c r="E2016" s="34">
        <v>201</v>
      </c>
      <c r="F2016" s="34" t="s">
        <v>1206</v>
      </c>
      <c r="G2016" s="58">
        <v>22378</v>
      </c>
      <c r="H2016" s="58">
        <v>25788</v>
      </c>
      <c r="I2016" s="35">
        <v>3.41</v>
      </c>
      <c r="J2016" s="9">
        <v>4</v>
      </c>
      <c r="K2016" s="34" t="s">
        <v>238</v>
      </c>
      <c r="L2016" s="10">
        <v>42153</v>
      </c>
      <c r="M2016" s="9" t="s">
        <v>191</v>
      </c>
      <c r="N2016" s="38">
        <v>1.5</v>
      </c>
      <c r="O2016" s="38">
        <v>1.2250000000000001</v>
      </c>
      <c r="P2016" s="38">
        <v>0.52500000000000002</v>
      </c>
      <c r="Q2016" s="38">
        <v>0.27500000000000002</v>
      </c>
      <c r="R2016" s="38">
        <v>5.5016999999999996</v>
      </c>
      <c r="S2016" s="38">
        <f t="shared" si="285"/>
        <v>5.5</v>
      </c>
      <c r="T2016" s="38">
        <v>3.0750000000000002</v>
      </c>
      <c r="U2016" s="38">
        <v>0.1</v>
      </c>
      <c r="V2016" s="38">
        <v>0.2</v>
      </c>
      <c r="W2016" s="38">
        <v>0.15</v>
      </c>
      <c r="X2016" s="38">
        <v>7.7394999999999996</v>
      </c>
      <c r="Y2016" s="38">
        <f t="shared" si="286"/>
        <v>7.5</v>
      </c>
      <c r="Z2016" s="38">
        <v>0</v>
      </c>
      <c r="AA2016" s="38">
        <v>0</v>
      </c>
      <c r="AB2016" s="38">
        <f>N2016+O2016+P2016+Q2016</f>
        <v>3.5249999999999999</v>
      </c>
      <c r="AC2016" s="38">
        <v>1.123</v>
      </c>
      <c r="AD2016" s="38">
        <v>0</v>
      </c>
      <c r="AE2016" s="38">
        <v>0</v>
      </c>
      <c r="AF2016" s="38">
        <f>(AD2016+AE2016*0.5)/(3.5*I2016*1000)*100</f>
        <v>0</v>
      </c>
      <c r="AG2016" s="38">
        <f t="shared" si="287"/>
        <v>0</v>
      </c>
      <c r="AH2016" s="38">
        <v>0</v>
      </c>
      <c r="AI2016" s="38">
        <f>AH2016/(3.5*I2016*1000)*100</f>
        <v>0</v>
      </c>
      <c r="AJ2016" s="38">
        <v>83</v>
      </c>
      <c r="AK2016" s="38">
        <f>AJ2016/(3.5*I2016*1000)*100</f>
        <v>0.69543359865940513</v>
      </c>
      <c r="AL2016" s="38">
        <v>0</v>
      </c>
      <c r="AM2016" s="38">
        <f>AL2016/(3.5*I2016*1000)*100</f>
        <v>0</v>
      </c>
      <c r="AN2016" s="25"/>
      <c r="AO2016" s="25">
        <f t="shared" si="288"/>
        <v>0</v>
      </c>
      <c r="AP2016" s="25">
        <f t="shared" si="289"/>
        <v>283.03000000000003</v>
      </c>
      <c r="AQ2016" s="25">
        <f t="shared" si="290"/>
        <v>3.5249999999999999</v>
      </c>
      <c r="AR2016" s="25">
        <f t="shared" si="291"/>
        <v>3.5250000000000004</v>
      </c>
      <c r="AS2016" s="268">
        <v>3.41</v>
      </c>
      <c r="AT2016" s="41"/>
      <c r="AU2016" s="41"/>
      <c r="AV2016" s="41"/>
      <c r="AW2016" s="41"/>
      <c r="AX2016" s="22"/>
      <c r="AY2016" s="22"/>
      <c r="AZ2016" s="22"/>
      <c r="BA2016" s="22"/>
      <c r="BB2016" s="22"/>
      <c r="BC2016" s="22"/>
      <c r="BD2016" s="22"/>
      <c r="BE2016" s="22"/>
      <c r="BF2016" s="22"/>
      <c r="BG2016" s="22"/>
      <c r="BH2016" s="22"/>
      <c r="BI2016" s="22"/>
      <c r="BJ2016" s="22"/>
      <c r="BK2016" s="22"/>
      <c r="BL2016" s="22"/>
      <c r="BM2016" s="22"/>
      <c r="BN2016" s="22"/>
      <c r="BO2016" s="22"/>
      <c r="BP2016" s="22"/>
      <c r="BQ2016" s="22"/>
      <c r="BR2016" s="22"/>
      <c r="BS2016" s="22"/>
      <c r="BT2016" s="22"/>
      <c r="BU2016" s="22"/>
      <c r="BV2016" s="22"/>
      <c r="BW2016" s="22"/>
      <c r="BX2016" s="22"/>
      <c r="BY2016" s="22"/>
      <c r="BZ2016" s="22"/>
      <c r="CA2016" s="22"/>
      <c r="CB2016" s="22"/>
      <c r="CC2016" s="22"/>
      <c r="CD2016" s="22"/>
      <c r="CE2016" s="22"/>
      <c r="CF2016" s="22"/>
      <c r="CG2016" s="22"/>
      <c r="CH2016" s="22"/>
      <c r="CI2016" s="22"/>
      <c r="CJ2016" s="22"/>
    </row>
    <row r="2017" spans="1:88">
      <c r="A2017" s="1">
        <v>814</v>
      </c>
      <c r="B2017" s="34" t="s">
        <v>1204</v>
      </c>
      <c r="C2017" s="34">
        <v>647</v>
      </c>
      <c r="D2017" s="8">
        <v>213</v>
      </c>
      <c r="E2017" s="34">
        <v>201</v>
      </c>
      <c r="F2017" s="34" t="s">
        <v>1206</v>
      </c>
      <c r="G2017" s="58">
        <v>25788</v>
      </c>
      <c r="H2017" s="58">
        <v>22378</v>
      </c>
      <c r="I2017" s="35">
        <v>3.41</v>
      </c>
      <c r="J2017" s="9">
        <v>4</v>
      </c>
      <c r="K2017" s="34" t="s">
        <v>12</v>
      </c>
      <c r="L2017" s="10">
        <v>42153</v>
      </c>
      <c r="M2017" s="9" t="s">
        <v>191</v>
      </c>
      <c r="N2017" s="38">
        <v>2.2250000000000001</v>
      </c>
      <c r="O2017" s="38">
        <v>0.82500000000000007</v>
      </c>
      <c r="P2017" s="38">
        <v>0.32499999999999996</v>
      </c>
      <c r="Q2017" s="38">
        <v>0.17499999999999999</v>
      </c>
      <c r="R2017" s="38">
        <v>2.762</v>
      </c>
      <c r="S2017" s="38">
        <f t="shared" si="285"/>
        <v>3</v>
      </c>
      <c r="T2017" s="38">
        <v>3.125</v>
      </c>
      <c r="U2017" s="38">
        <v>0.375</v>
      </c>
      <c r="V2017" s="38">
        <v>2.5000000000000001E-2</v>
      </c>
      <c r="W2017" s="38">
        <v>2.5000000000000001E-2</v>
      </c>
      <c r="X2017" s="38">
        <v>6.9130000000000003</v>
      </c>
      <c r="Y2017" s="38">
        <f t="shared" si="286"/>
        <v>7</v>
      </c>
      <c r="Z2017" s="38">
        <v>0</v>
      </c>
      <c r="AA2017" s="38">
        <v>0</v>
      </c>
      <c r="AB2017" s="38">
        <f>N2017+O2017+P2017+Q2017</f>
        <v>3.55</v>
      </c>
      <c r="AC2017" s="38">
        <v>1.179</v>
      </c>
      <c r="AD2017" s="38">
        <v>0</v>
      </c>
      <c r="AE2017" s="38">
        <v>0</v>
      </c>
      <c r="AF2017" s="38">
        <f>(AD2017+AE2017*0.5)/(3.5*I2017*1000)*100</f>
        <v>0</v>
      </c>
      <c r="AG2017" s="38">
        <f t="shared" si="287"/>
        <v>0</v>
      </c>
      <c r="AH2017" s="38">
        <v>0</v>
      </c>
      <c r="AI2017" s="38">
        <f>AH2017/(3.5*I2017*1000)*100</f>
        <v>0</v>
      </c>
      <c r="AJ2017" s="38">
        <v>72.3</v>
      </c>
      <c r="AK2017" s="38">
        <f>AJ2017/(3.5*I2017*1000)*100</f>
        <v>0.60578131545873481</v>
      </c>
      <c r="AL2017" s="38">
        <v>0</v>
      </c>
      <c r="AM2017" s="38">
        <f>AL2017/(3.5*I2017*1000)*100</f>
        <v>0</v>
      </c>
      <c r="AN2017" s="25"/>
      <c r="AO2017" s="25">
        <f t="shared" si="288"/>
        <v>0</v>
      </c>
      <c r="AP2017" s="25">
        <f t="shared" si="289"/>
        <v>246.54300000000001</v>
      </c>
      <c r="AQ2017" s="25">
        <f t="shared" si="290"/>
        <v>3.55</v>
      </c>
      <c r="AR2017" s="25">
        <f t="shared" si="291"/>
        <v>3.55</v>
      </c>
      <c r="AS2017" s="268">
        <v>3.41</v>
      </c>
      <c r="AT2017" s="41"/>
      <c r="AU2017" s="41"/>
      <c r="AV2017" s="41"/>
      <c r="AW2017" s="41"/>
      <c r="AX2017" s="22"/>
      <c r="AY2017" s="22"/>
      <c r="AZ2017" s="22"/>
      <c r="BA2017" s="22"/>
      <c r="BB2017" s="22"/>
      <c r="BC2017" s="22"/>
      <c r="BD2017" s="22"/>
      <c r="BE2017" s="22"/>
      <c r="BF2017" s="22"/>
      <c r="BG2017" s="22"/>
      <c r="BH2017" s="22"/>
      <c r="BI2017" s="22"/>
      <c r="BJ2017" s="22"/>
      <c r="BK2017" s="22"/>
      <c r="BL2017" s="22"/>
      <c r="BM2017" s="22"/>
      <c r="BN2017" s="22"/>
      <c r="BO2017" s="22"/>
      <c r="BP2017" s="22"/>
      <c r="BQ2017" s="22"/>
      <c r="BR2017" s="22"/>
      <c r="BS2017" s="22"/>
      <c r="BT2017" s="22"/>
      <c r="BU2017" s="22"/>
      <c r="BV2017" s="22"/>
      <c r="BW2017" s="22"/>
      <c r="BX2017" s="22"/>
      <c r="BY2017" s="22"/>
      <c r="BZ2017" s="22"/>
      <c r="CA2017" s="22"/>
      <c r="CB2017" s="22"/>
      <c r="CC2017" s="22"/>
      <c r="CD2017" s="22"/>
      <c r="CE2017" s="22"/>
      <c r="CF2017" s="22"/>
      <c r="CG2017" s="22"/>
      <c r="CH2017" s="22"/>
      <c r="CI2017" s="22"/>
      <c r="CJ2017" s="22"/>
    </row>
    <row r="2018" spans="1:88">
      <c r="A2018" s="1">
        <v>826</v>
      </c>
      <c r="B2018" s="34" t="s">
        <v>1204</v>
      </c>
      <c r="C2018" s="34">
        <v>647</v>
      </c>
      <c r="D2018" s="8">
        <v>2253</v>
      </c>
      <c r="E2018" s="34">
        <v>100</v>
      </c>
      <c r="F2018" s="34" t="s">
        <v>1218</v>
      </c>
      <c r="G2018" s="58">
        <v>0</v>
      </c>
      <c r="H2018" s="58">
        <v>6659</v>
      </c>
      <c r="I2018" s="35">
        <v>0</v>
      </c>
      <c r="J2018" s="9">
        <v>2</v>
      </c>
      <c r="K2018" s="34" t="s">
        <v>238</v>
      </c>
      <c r="L2018" s="10">
        <v>42154</v>
      </c>
      <c r="M2018" s="9" t="s">
        <v>191</v>
      </c>
      <c r="N2018" s="38">
        <v>0</v>
      </c>
      <c r="O2018" s="38">
        <v>0</v>
      </c>
      <c r="P2018" s="38">
        <v>0</v>
      </c>
      <c r="Q2018" s="38">
        <v>0</v>
      </c>
      <c r="R2018" s="38">
        <v>0</v>
      </c>
      <c r="S2018" s="38">
        <f t="shared" si="285"/>
        <v>0</v>
      </c>
      <c r="T2018" s="38">
        <v>0</v>
      </c>
      <c r="U2018" s="38">
        <v>0</v>
      </c>
      <c r="V2018" s="38">
        <v>0</v>
      </c>
      <c r="W2018" s="38">
        <v>0</v>
      </c>
      <c r="X2018" s="38">
        <v>0</v>
      </c>
      <c r="Y2018" s="38">
        <f t="shared" si="286"/>
        <v>0</v>
      </c>
      <c r="Z2018" s="38">
        <v>0</v>
      </c>
      <c r="AA2018" s="38">
        <v>0</v>
      </c>
      <c r="AB2018" s="38">
        <v>0</v>
      </c>
      <c r="AC2018" s="38">
        <v>0</v>
      </c>
      <c r="AD2018" s="38">
        <v>0</v>
      </c>
      <c r="AE2018" s="38">
        <v>0</v>
      </c>
      <c r="AF2018" s="38">
        <v>0</v>
      </c>
      <c r="AG2018" s="38">
        <f t="shared" si="287"/>
        <v>0</v>
      </c>
      <c r="AH2018" s="56">
        <v>0</v>
      </c>
      <c r="AI2018" s="38">
        <v>0</v>
      </c>
      <c r="AJ2018" s="38">
        <v>0</v>
      </c>
      <c r="AK2018" s="38">
        <v>0</v>
      </c>
      <c r="AL2018" s="38">
        <v>0</v>
      </c>
      <c r="AM2018" s="38">
        <v>0</v>
      </c>
      <c r="AN2018" s="25"/>
      <c r="AO2018" s="25">
        <f t="shared" si="288"/>
        <v>0</v>
      </c>
      <c r="AP2018" s="25">
        <f t="shared" si="289"/>
        <v>0</v>
      </c>
      <c r="AQ2018" s="25">
        <f t="shared" si="290"/>
        <v>0</v>
      </c>
      <c r="AR2018" s="25">
        <f t="shared" si="291"/>
        <v>0</v>
      </c>
      <c r="AS2018" s="268">
        <v>6.6589999999999998</v>
      </c>
      <c r="AT2018" s="41"/>
      <c r="AU2018" s="41"/>
      <c r="AV2018" s="41"/>
      <c r="AW2018" s="41"/>
      <c r="AX2018" s="22"/>
      <c r="AY2018" s="22"/>
      <c r="AZ2018" s="22"/>
      <c r="BA2018" s="22"/>
      <c r="BB2018" s="22"/>
      <c r="BC2018" s="22"/>
      <c r="BD2018" s="22"/>
      <c r="BE2018" s="22"/>
      <c r="BF2018" s="22"/>
      <c r="BG2018" s="22"/>
      <c r="BH2018" s="22"/>
      <c r="BI2018" s="22"/>
      <c r="BJ2018" s="22"/>
      <c r="BK2018" s="22"/>
      <c r="BL2018" s="22"/>
      <c r="BM2018" s="22"/>
      <c r="BN2018" s="22"/>
      <c r="BO2018" s="22"/>
      <c r="BP2018" s="22"/>
      <c r="BQ2018" s="22"/>
      <c r="BR2018" s="22"/>
      <c r="BS2018" s="22"/>
      <c r="BT2018" s="22"/>
      <c r="BU2018" s="22"/>
      <c r="BV2018" s="22"/>
      <c r="BW2018" s="22"/>
      <c r="BX2018" s="22"/>
      <c r="BY2018" s="22"/>
      <c r="BZ2018" s="22"/>
      <c r="CA2018" s="22"/>
      <c r="CB2018" s="22"/>
      <c r="CC2018" s="22"/>
      <c r="CD2018" s="22"/>
      <c r="CE2018" s="22"/>
      <c r="CF2018" s="22"/>
      <c r="CG2018" s="22"/>
      <c r="CH2018" s="22"/>
      <c r="CI2018" s="22"/>
      <c r="CJ2018" s="22"/>
    </row>
    <row r="2019" spans="1:88">
      <c r="A2019" s="1">
        <v>831</v>
      </c>
      <c r="B2019" s="34" t="s">
        <v>1204</v>
      </c>
      <c r="C2019" s="34">
        <v>647</v>
      </c>
      <c r="D2019" s="8">
        <v>2388</v>
      </c>
      <c r="E2019" s="34">
        <v>100</v>
      </c>
      <c r="F2019" s="34" t="s">
        <v>1225</v>
      </c>
      <c r="G2019" s="58">
        <v>0</v>
      </c>
      <c r="H2019" s="58">
        <v>650</v>
      </c>
      <c r="I2019" s="35">
        <v>0.65</v>
      </c>
      <c r="J2019" s="9">
        <v>2</v>
      </c>
      <c r="K2019" s="34" t="s">
        <v>238</v>
      </c>
      <c r="L2019" s="152">
        <v>42153</v>
      </c>
      <c r="M2019" s="9" t="s">
        <v>191</v>
      </c>
      <c r="N2019" s="38">
        <v>0.32500000000000001</v>
      </c>
      <c r="O2019" s="38">
        <v>0.125</v>
      </c>
      <c r="P2019" s="38">
        <v>0.05</v>
      </c>
      <c r="Q2019" s="38">
        <v>0.15</v>
      </c>
      <c r="R2019" s="38">
        <v>3.9761500000000001</v>
      </c>
      <c r="S2019" s="38">
        <f t="shared" si="285"/>
        <v>4</v>
      </c>
      <c r="T2019" s="38">
        <v>0.625</v>
      </c>
      <c r="U2019" s="38">
        <v>2.5000000000000001E-2</v>
      </c>
      <c r="V2019" s="38">
        <v>0</v>
      </c>
      <c r="W2019" s="38">
        <v>0</v>
      </c>
      <c r="X2019" s="38">
        <v>2.05396</v>
      </c>
      <c r="Y2019" s="38">
        <f t="shared" si="286"/>
        <v>2</v>
      </c>
      <c r="Z2019" s="38">
        <v>0</v>
      </c>
      <c r="AA2019" s="38">
        <v>0</v>
      </c>
      <c r="AB2019" s="38">
        <f t="shared" ref="AB2019:AB2030" si="293">N2019+O2019+P2019+Q2019</f>
        <v>0.65</v>
      </c>
      <c r="AC2019" s="38">
        <v>0.99338499999999996</v>
      </c>
      <c r="AD2019" s="38">
        <v>0</v>
      </c>
      <c r="AE2019" s="38">
        <v>0</v>
      </c>
      <c r="AF2019" s="38">
        <f>(AD2019+AE2019*0.5)/(3.5*I2019*1000)*100</f>
        <v>0</v>
      </c>
      <c r="AG2019" s="38">
        <f t="shared" si="287"/>
        <v>0</v>
      </c>
      <c r="AH2019" s="38">
        <v>0</v>
      </c>
      <c r="AI2019" s="38">
        <f>AH2019/(3.5*I2019*1000)*100</f>
        <v>0</v>
      </c>
      <c r="AJ2019" s="38">
        <v>0</v>
      </c>
      <c r="AK2019" s="38">
        <v>0</v>
      </c>
      <c r="AL2019" s="38">
        <v>0</v>
      </c>
      <c r="AM2019" s="38">
        <v>0</v>
      </c>
      <c r="AN2019" s="22"/>
      <c r="AO2019" s="25">
        <f t="shared" si="288"/>
        <v>0</v>
      </c>
      <c r="AP2019" s="25">
        <f t="shared" si="289"/>
        <v>0</v>
      </c>
      <c r="AQ2019" s="25">
        <f t="shared" si="290"/>
        <v>0.65</v>
      </c>
      <c r="AR2019" s="25">
        <f t="shared" si="291"/>
        <v>0.65</v>
      </c>
      <c r="AS2019" s="268">
        <v>0.65</v>
      </c>
      <c r="AT2019" s="22"/>
      <c r="AU2019" s="22"/>
      <c r="AV2019" s="22"/>
      <c r="AW2019" s="22"/>
      <c r="AX2019" s="22"/>
      <c r="AY2019" s="22"/>
      <c r="AZ2019" s="22"/>
      <c r="BA2019" s="22"/>
      <c r="BB2019" s="22"/>
      <c r="BC2019" s="22"/>
      <c r="BD2019" s="22"/>
      <c r="BE2019" s="22"/>
      <c r="BF2019" s="22"/>
      <c r="BG2019" s="22"/>
      <c r="BH2019" s="22"/>
      <c r="BI2019" s="22"/>
      <c r="BJ2019" s="22"/>
      <c r="BK2019" s="22"/>
      <c r="BL2019" s="22"/>
      <c r="BM2019" s="22"/>
      <c r="BN2019" s="22"/>
      <c r="BO2019" s="22"/>
      <c r="BP2019" s="22"/>
      <c r="BQ2019" s="22"/>
      <c r="BR2019" s="22"/>
      <c r="BS2019" s="22"/>
      <c r="BT2019" s="22"/>
      <c r="BU2019" s="22"/>
      <c r="BV2019" s="22"/>
      <c r="BW2019" s="22"/>
      <c r="BX2019" s="22"/>
      <c r="BY2019" s="22"/>
      <c r="BZ2019" s="22"/>
      <c r="CA2019" s="22"/>
      <c r="CB2019" s="22"/>
      <c r="CC2019" s="22"/>
      <c r="CD2019" s="22"/>
      <c r="CE2019" s="22"/>
      <c r="CF2019" s="22"/>
      <c r="CG2019" s="22"/>
      <c r="CH2019" s="22"/>
      <c r="CI2019" s="22"/>
      <c r="CJ2019" s="22"/>
    </row>
    <row r="2020" spans="1:88">
      <c r="A2020" s="1">
        <v>865</v>
      </c>
      <c r="B2020" s="34" t="s">
        <v>1259</v>
      </c>
      <c r="C2020" s="34">
        <v>631</v>
      </c>
      <c r="D2020" s="8">
        <v>212</v>
      </c>
      <c r="E2020" s="34">
        <v>601</v>
      </c>
      <c r="F2020" s="34" t="s">
        <v>1260</v>
      </c>
      <c r="G2020" s="58">
        <v>532733</v>
      </c>
      <c r="H2020" s="58">
        <v>563148</v>
      </c>
      <c r="I2020" s="35">
        <v>30.414999999999999</v>
      </c>
      <c r="J2020" s="9">
        <v>4</v>
      </c>
      <c r="K2020" s="34" t="s">
        <v>237</v>
      </c>
      <c r="L2020" s="10">
        <v>42139</v>
      </c>
      <c r="M2020" s="9" t="s">
        <v>191</v>
      </c>
      <c r="N2020" s="38">
        <v>19.675000000000001</v>
      </c>
      <c r="O2020" s="38">
        <v>6.95</v>
      </c>
      <c r="P2020" s="38">
        <v>2.65</v>
      </c>
      <c r="Q2020" s="38">
        <v>1.175</v>
      </c>
      <c r="R2020" s="38">
        <v>2.4858199999999999</v>
      </c>
      <c r="S2020" s="38">
        <f t="shared" si="285"/>
        <v>2.5</v>
      </c>
      <c r="T2020" s="38">
        <v>28.25</v>
      </c>
      <c r="U2020" s="38">
        <v>1.925</v>
      </c>
      <c r="V2020" s="38">
        <v>0.22500000000000001</v>
      </c>
      <c r="W2020" s="38">
        <v>0.05</v>
      </c>
      <c r="X2020" s="38">
        <v>5.6043599999999998</v>
      </c>
      <c r="Y2020" s="38">
        <f t="shared" si="286"/>
        <v>5.5</v>
      </c>
      <c r="Z2020" s="38">
        <v>0</v>
      </c>
      <c r="AA2020" s="38">
        <v>0</v>
      </c>
      <c r="AB2020" s="38">
        <f t="shared" si="293"/>
        <v>30.45</v>
      </c>
      <c r="AC2020" s="38">
        <v>1.3558399999999999</v>
      </c>
      <c r="AD2020" s="38">
        <v>0</v>
      </c>
      <c r="AE2020" s="38">
        <v>0</v>
      </c>
      <c r="AF2020" s="38">
        <v>0</v>
      </c>
      <c r="AG2020" s="38">
        <f t="shared" si="287"/>
        <v>0</v>
      </c>
      <c r="AH2020" s="38">
        <v>0</v>
      </c>
      <c r="AI2020" s="38">
        <v>0</v>
      </c>
      <c r="AJ2020" s="38">
        <v>93.28</v>
      </c>
      <c r="AK2020" s="38">
        <v>8.7625999999999996E-2</v>
      </c>
      <c r="AL2020" s="38">
        <v>0</v>
      </c>
      <c r="AM2020" s="38">
        <v>0</v>
      </c>
      <c r="AN2020" s="25"/>
      <c r="AO2020" s="25">
        <f t="shared" si="288"/>
        <v>0</v>
      </c>
      <c r="AP2020" s="25">
        <f t="shared" si="289"/>
        <v>2837.1111999999998</v>
      </c>
      <c r="AQ2020" s="25"/>
      <c r="AR2020" s="25"/>
      <c r="AS2020" s="25">
        <f>SUM(N2020:Q2020)</f>
        <v>30.45</v>
      </c>
      <c r="AT2020" s="25">
        <f>SUM(T2020:W2020)</f>
        <v>30.450000000000003</v>
      </c>
      <c r="AU2020" s="25"/>
      <c r="AV2020" s="22"/>
      <c r="AW2020" s="41"/>
      <c r="AX2020" s="41"/>
      <c r="AY2020" s="41"/>
      <c r="AZ2020" s="41"/>
      <c r="BA2020" s="22"/>
      <c r="BB2020" s="22"/>
      <c r="BC2020" s="22"/>
      <c r="BD2020" s="22"/>
      <c r="BE2020" s="22"/>
      <c r="BF2020" s="22"/>
      <c r="BG2020" s="22"/>
      <c r="BH2020" s="22"/>
      <c r="BI2020" s="22"/>
      <c r="BJ2020" s="22"/>
      <c r="BK2020" s="22"/>
      <c r="BL2020" s="22"/>
      <c r="BM2020" s="22"/>
      <c r="BN2020" s="22"/>
      <c r="BO2020" s="22"/>
      <c r="BP2020" s="22"/>
      <c r="BQ2020" s="22"/>
      <c r="BR2020" s="22"/>
      <c r="BS2020" s="22"/>
      <c r="BT2020" s="22"/>
      <c r="BU2020" s="22"/>
      <c r="BV2020" s="22"/>
      <c r="BW2020" s="22"/>
      <c r="BX2020" s="22"/>
      <c r="BY2020" s="22"/>
      <c r="BZ2020" s="22"/>
      <c r="CA2020" s="22"/>
      <c r="CB2020" s="22"/>
      <c r="CC2020" s="22"/>
      <c r="CD2020" s="22"/>
      <c r="CE2020" s="22"/>
      <c r="CF2020" s="22"/>
      <c r="CG2020" s="22"/>
      <c r="CH2020" s="22"/>
      <c r="CI2020" s="22"/>
      <c r="CJ2020" s="22"/>
    </row>
    <row r="2021" spans="1:88">
      <c r="A2021" s="1">
        <v>896</v>
      </c>
      <c r="B2021" s="34" t="s">
        <v>1285</v>
      </c>
      <c r="C2021" s="34">
        <v>634</v>
      </c>
      <c r="D2021" s="148">
        <v>2112</v>
      </c>
      <c r="E2021" s="34">
        <v>102</v>
      </c>
      <c r="F2021" s="34" t="s">
        <v>1290</v>
      </c>
      <c r="G2021" s="58">
        <v>16000</v>
      </c>
      <c r="H2021" s="58">
        <v>76174</v>
      </c>
      <c r="I2021" s="35">
        <v>60.173999999999999</v>
      </c>
      <c r="J2021" s="9">
        <v>2</v>
      </c>
      <c r="K2021" s="34" t="s">
        <v>238</v>
      </c>
      <c r="L2021" s="10">
        <v>42145</v>
      </c>
      <c r="M2021" s="9" t="s">
        <v>191</v>
      </c>
      <c r="N2021" s="38">
        <v>23.074999999999999</v>
      </c>
      <c r="O2021" s="38">
        <v>20.625</v>
      </c>
      <c r="P2021" s="38">
        <v>10.625</v>
      </c>
      <c r="Q2021" s="38">
        <v>5.4749999999999996</v>
      </c>
      <c r="R2021" s="38">
        <v>3.1206700000000001</v>
      </c>
      <c r="S2021" s="38">
        <f t="shared" si="285"/>
        <v>3</v>
      </c>
      <c r="T2021" s="38">
        <v>57.575000000000003</v>
      </c>
      <c r="U2021" s="38">
        <v>1.95</v>
      </c>
      <c r="V2021" s="38">
        <v>0.2</v>
      </c>
      <c r="W2021" s="38">
        <v>7.4999999999999997E-2</v>
      </c>
      <c r="X2021" s="38">
        <v>4.7646600000000001</v>
      </c>
      <c r="Y2021" s="38">
        <f t="shared" si="286"/>
        <v>5</v>
      </c>
      <c r="Z2021" s="38">
        <v>0</v>
      </c>
      <c r="AA2021" s="38">
        <v>0</v>
      </c>
      <c r="AB2021" s="38">
        <f t="shared" si="293"/>
        <v>59.800000000000004</v>
      </c>
      <c r="AC2021" s="38">
        <v>1.8781099999999999</v>
      </c>
      <c r="AD2021" s="38">
        <v>0</v>
      </c>
      <c r="AE2021" s="38">
        <v>0</v>
      </c>
      <c r="AF2021" s="38">
        <v>0</v>
      </c>
      <c r="AG2021" s="38">
        <f t="shared" si="287"/>
        <v>0</v>
      </c>
      <c r="AH2021" s="38">
        <v>0</v>
      </c>
      <c r="AI2021" s="38">
        <v>0</v>
      </c>
      <c r="AJ2021" s="38">
        <v>1826.84</v>
      </c>
      <c r="AK2021" s="38">
        <v>0.86740799999999996</v>
      </c>
      <c r="AL2021" s="38">
        <v>0</v>
      </c>
      <c r="AM2021" s="38">
        <v>0</v>
      </c>
      <c r="AN2021" s="25"/>
      <c r="AO2021" s="25">
        <f t="shared" si="288"/>
        <v>0</v>
      </c>
      <c r="AP2021" s="25">
        <f t="shared" si="289"/>
        <v>109928.27016</v>
      </c>
      <c r="AQ2021" s="25">
        <f>SUM(N2021:Q2021)</f>
        <v>59.800000000000004</v>
      </c>
      <c r="AR2021" s="25">
        <f>SUM(T2021:W2021)</f>
        <v>59.800000000000011</v>
      </c>
      <c r="AS2021" s="22"/>
      <c r="AT2021" s="41"/>
      <c r="AU2021" s="41"/>
      <c r="AV2021" s="41"/>
      <c r="AW2021" s="41"/>
      <c r="AX2021" s="22"/>
      <c r="AY2021" s="22"/>
      <c r="AZ2021" s="22"/>
      <c r="BA2021" s="22"/>
      <c r="BB2021" s="22"/>
      <c r="BC2021" s="22"/>
      <c r="BD2021" s="22"/>
      <c r="BE2021" s="22"/>
      <c r="BF2021" s="22"/>
      <c r="BG2021" s="22"/>
      <c r="BH2021" s="22"/>
      <c r="BI2021" s="22"/>
      <c r="BJ2021" s="22"/>
      <c r="BK2021" s="22"/>
      <c r="BL2021" s="22"/>
      <c r="BM2021" s="22"/>
      <c r="BN2021" s="22"/>
      <c r="BO2021" s="22"/>
      <c r="BP2021" s="22"/>
      <c r="BQ2021" s="22"/>
      <c r="BR2021" s="22"/>
      <c r="BS2021" s="22"/>
      <c r="BT2021" s="22"/>
      <c r="BU2021" s="22"/>
      <c r="BV2021" s="22"/>
      <c r="BW2021" s="22"/>
      <c r="BX2021" s="22"/>
      <c r="BY2021" s="22"/>
      <c r="BZ2021" s="22"/>
      <c r="CA2021" s="22"/>
      <c r="CB2021" s="22"/>
      <c r="CC2021" s="22"/>
      <c r="CD2021" s="22"/>
      <c r="CE2021" s="22"/>
      <c r="CF2021" s="22"/>
      <c r="CG2021" s="22"/>
      <c r="CH2021" s="22"/>
      <c r="CI2021" s="22"/>
      <c r="CJ2021" s="22"/>
    </row>
    <row r="2022" spans="1:88">
      <c r="A2022" s="1">
        <v>904</v>
      </c>
      <c r="B2022" s="34" t="s">
        <v>1285</v>
      </c>
      <c r="C2022" s="34">
        <v>634</v>
      </c>
      <c r="D2022" s="162">
        <v>2377</v>
      </c>
      <c r="E2022" s="34">
        <v>100</v>
      </c>
      <c r="F2022" s="34" t="s">
        <v>1298</v>
      </c>
      <c r="G2022" s="58">
        <v>0</v>
      </c>
      <c r="H2022" s="58">
        <v>1280</v>
      </c>
      <c r="I2022" s="35">
        <v>1.28</v>
      </c>
      <c r="J2022" s="9">
        <v>2</v>
      </c>
      <c r="K2022" s="34" t="s">
        <v>238</v>
      </c>
      <c r="L2022" s="10">
        <v>42146</v>
      </c>
      <c r="M2022" s="9" t="s">
        <v>191</v>
      </c>
      <c r="N2022" s="38">
        <v>0.92500000000000004</v>
      </c>
      <c r="O2022" s="38">
        <v>0.25</v>
      </c>
      <c r="P2022" s="38">
        <v>7.4999999999999997E-2</v>
      </c>
      <c r="Q2022" s="38">
        <v>7.4999999999999997E-2</v>
      </c>
      <c r="R2022" s="38">
        <v>2.5152600000000001</v>
      </c>
      <c r="S2022" s="38">
        <f t="shared" si="285"/>
        <v>2.5</v>
      </c>
      <c r="T2022" s="38">
        <v>1.325</v>
      </c>
      <c r="U2022" s="38">
        <v>0</v>
      </c>
      <c r="V2022" s="38">
        <v>0</v>
      </c>
      <c r="W2022" s="38">
        <v>0</v>
      </c>
      <c r="X2022" s="38">
        <v>4.3869999999999996</v>
      </c>
      <c r="Y2022" s="38">
        <f t="shared" si="286"/>
        <v>4.5</v>
      </c>
      <c r="Z2022" s="38">
        <v>0</v>
      </c>
      <c r="AA2022" s="38">
        <v>0</v>
      </c>
      <c r="AB2022" s="38">
        <f t="shared" si="293"/>
        <v>1.325</v>
      </c>
      <c r="AC2022" s="38">
        <v>1.24722</v>
      </c>
      <c r="AD2022" s="38">
        <v>0</v>
      </c>
      <c r="AE2022" s="38">
        <v>0</v>
      </c>
      <c r="AF2022" s="38">
        <v>0</v>
      </c>
      <c r="AG2022" s="38">
        <f t="shared" si="287"/>
        <v>0</v>
      </c>
      <c r="AH2022" s="38">
        <v>0</v>
      </c>
      <c r="AI2022" s="38">
        <v>0</v>
      </c>
      <c r="AJ2022" s="38">
        <v>0</v>
      </c>
      <c r="AK2022" s="38">
        <v>0</v>
      </c>
      <c r="AL2022" s="38">
        <v>0</v>
      </c>
      <c r="AM2022" s="38">
        <v>0</v>
      </c>
      <c r="AN2022" s="25"/>
      <c r="AO2022" s="25">
        <f t="shared" si="288"/>
        <v>0</v>
      </c>
      <c r="AP2022" s="25">
        <f t="shared" si="289"/>
        <v>0</v>
      </c>
      <c r="AQ2022" s="25">
        <f>SUM(N2022:Q2022)</f>
        <v>1.325</v>
      </c>
      <c r="AR2022" s="25">
        <f>SUM(T2022:W2022)</f>
        <v>1.325</v>
      </c>
      <c r="AS2022" s="22"/>
      <c r="AT2022" s="41"/>
      <c r="AU2022" s="41"/>
      <c r="AV2022" s="41"/>
      <c r="AW2022" s="41"/>
      <c r="AX2022" s="22"/>
      <c r="AY2022" s="22"/>
      <c r="AZ2022" s="22"/>
      <c r="BA2022" s="22"/>
      <c r="BB2022" s="22"/>
      <c r="BC2022" s="22"/>
      <c r="BD2022" s="22"/>
      <c r="BE2022" s="22"/>
      <c r="BF2022" s="22"/>
      <c r="BG2022" s="22"/>
      <c r="BH2022" s="22"/>
      <c r="BI2022" s="22"/>
      <c r="BJ2022" s="22"/>
      <c r="BK2022" s="22"/>
      <c r="BL2022" s="22"/>
      <c r="BM2022" s="22"/>
      <c r="BN2022" s="22"/>
      <c r="BO2022" s="22"/>
      <c r="BP2022" s="22"/>
      <c r="BQ2022" s="22"/>
      <c r="BR2022" s="22"/>
      <c r="BS2022" s="22"/>
      <c r="BT2022" s="22"/>
      <c r="BU2022" s="22"/>
      <c r="BV2022" s="22"/>
      <c r="BW2022" s="22"/>
      <c r="BX2022" s="22"/>
      <c r="BY2022" s="22"/>
      <c r="BZ2022" s="22"/>
      <c r="CA2022" s="22"/>
      <c r="CB2022" s="22"/>
      <c r="CC2022" s="22"/>
      <c r="CD2022" s="22"/>
      <c r="CE2022" s="22"/>
      <c r="CF2022" s="22"/>
      <c r="CG2022" s="22"/>
      <c r="CH2022" s="22"/>
      <c r="CI2022" s="22"/>
      <c r="CJ2022" s="22"/>
    </row>
    <row r="2023" spans="1:88">
      <c r="A2023" s="1">
        <v>907</v>
      </c>
      <c r="B2023" s="34" t="s">
        <v>1285</v>
      </c>
      <c r="C2023" s="34">
        <v>634</v>
      </c>
      <c r="D2023" s="162">
        <v>2455</v>
      </c>
      <c r="E2023" s="34">
        <v>100</v>
      </c>
      <c r="F2023" s="34" t="s">
        <v>1300</v>
      </c>
      <c r="G2023" s="58">
        <v>0</v>
      </c>
      <c r="H2023" s="58">
        <v>475</v>
      </c>
      <c r="I2023" s="35">
        <v>0.47499999999999998</v>
      </c>
      <c r="J2023" s="9">
        <v>2</v>
      </c>
      <c r="K2023" s="34" t="s">
        <v>238</v>
      </c>
      <c r="L2023" s="10">
        <v>42145</v>
      </c>
      <c r="M2023" s="9" t="s">
        <v>191</v>
      </c>
      <c r="N2023" s="38">
        <v>7.4999999999999997E-2</v>
      </c>
      <c r="O2023" s="38">
        <v>0.125</v>
      </c>
      <c r="P2023" s="38">
        <v>0.27500000000000002</v>
      </c>
      <c r="Q2023" s="38">
        <v>0.05</v>
      </c>
      <c r="R2023" s="38">
        <v>5.4668400000000004</v>
      </c>
      <c r="S2023" s="38">
        <f t="shared" si="285"/>
        <v>5.5</v>
      </c>
      <c r="T2023" s="38">
        <v>0.52500000000000002</v>
      </c>
      <c r="U2023" s="38">
        <v>0</v>
      </c>
      <c r="V2023" s="38">
        <v>0</v>
      </c>
      <c r="W2023" s="38">
        <v>0</v>
      </c>
      <c r="X2023" s="38">
        <v>4.5114999999999998</v>
      </c>
      <c r="Y2023" s="38">
        <f t="shared" si="286"/>
        <v>4.5</v>
      </c>
      <c r="Z2023" s="38">
        <v>0</v>
      </c>
      <c r="AA2023" s="38">
        <v>0</v>
      </c>
      <c r="AB2023" s="38">
        <f t="shared" si="293"/>
        <v>0.52500000000000002</v>
      </c>
      <c r="AC2023" s="38">
        <v>1.3973800000000001</v>
      </c>
      <c r="AD2023" s="38">
        <v>0</v>
      </c>
      <c r="AE2023" s="38">
        <v>0</v>
      </c>
      <c r="AF2023" s="38">
        <v>0</v>
      </c>
      <c r="AG2023" s="38">
        <f t="shared" si="287"/>
        <v>0</v>
      </c>
      <c r="AH2023" s="38">
        <v>0</v>
      </c>
      <c r="AI2023" s="38">
        <v>0</v>
      </c>
      <c r="AJ2023" s="38">
        <v>0</v>
      </c>
      <c r="AK2023" s="38">
        <v>0</v>
      </c>
      <c r="AL2023" s="38">
        <v>0</v>
      </c>
      <c r="AM2023" s="38">
        <v>0</v>
      </c>
      <c r="AN2023" s="25"/>
      <c r="AO2023" s="25">
        <f t="shared" si="288"/>
        <v>0</v>
      </c>
      <c r="AP2023" s="25">
        <f t="shared" si="289"/>
        <v>0</v>
      </c>
      <c r="AQ2023" s="25">
        <f>SUM(N2023:Q2023)</f>
        <v>0.52500000000000002</v>
      </c>
      <c r="AR2023" s="25">
        <f>SUM(T2023:W2023)</f>
        <v>0.52500000000000002</v>
      </c>
      <c r="AS2023" s="22"/>
      <c r="AT2023" s="41"/>
      <c r="AU2023" s="41"/>
      <c r="AV2023" s="41"/>
      <c r="AW2023" s="41"/>
      <c r="AX2023" s="22"/>
      <c r="AY2023" s="22"/>
      <c r="AZ2023" s="22"/>
      <c r="BA2023" s="22"/>
      <c r="BB2023" s="22"/>
      <c r="BC2023" s="22"/>
      <c r="BD2023" s="22"/>
      <c r="BE2023" s="22"/>
      <c r="BF2023" s="22"/>
      <c r="BG2023" s="22"/>
      <c r="BH2023" s="22"/>
      <c r="BI2023" s="22"/>
      <c r="BJ2023" s="22"/>
      <c r="BK2023" s="22"/>
      <c r="BL2023" s="22"/>
      <c r="BM2023" s="22"/>
      <c r="BN2023" s="22"/>
      <c r="BO2023" s="22"/>
      <c r="BP2023" s="22"/>
      <c r="BQ2023" s="22"/>
      <c r="BR2023" s="22"/>
      <c r="BS2023" s="22"/>
      <c r="BT2023" s="22"/>
      <c r="BU2023" s="22"/>
      <c r="BV2023" s="22"/>
      <c r="BW2023" s="22"/>
      <c r="BX2023" s="22"/>
      <c r="BY2023" s="22"/>
      <c r="BZ2023" s="22"/>
      <c r="CA2023" s="22"/>
      <c r="CB2023" s="22"/>
      <c r="CC2023" s="22"/>
      <c r="CD2023" s="22"/>
      <c r="CE2023" s="22"/>
      <c r="CF2023" s="22"/>
      <c r="CG2023" s="22"/>
      <c r="CH2023" s="22"/>
      <c r="CI2023" s="22"/>
      <c r="CJ2023" s="22"/>
    </row>
    <row r="2024" spans="1:88">
      <c r="A2024" s="1">
        <v>915</v>
      </c>
      <c r="B2024" s="34" t="s">
        <v>1309</v>
      </c>
      <c r="C2024" s="34">
        <v>638</v>
      </c>
      <c r="D2024" s="8">
        <v>220</v>
      </c>
      <c r="E2024" s="34">
        <v>102</v>
      </c>
      <c r="F2024" s="34" t="s">
        <v>1310</v>
      </c>
      <c r="G2024" s="58">
        <v>21293</v>
      </c>
      <c r="H2024" s="58">
        <v>56294</v>
      </c>
      <c r="I2024" s="35">
        <v>35.000999999999998</v>
      </c>
      <c r="J2024" s="9">
        <v>2</v>
      </c>
      <c r="K2024" s="34" t="s">
        <v>238</v>
      </c>
      <c r="L2024" s="10">
        <v>42136</v>
      </c>
      <c r="M2024" s="9" t="s">
        <v>191</v>
      </c>
      <c r="N2024" s="38">
        <v>26.074999999999999</v>
      </c>
      <c r="O2024" s="38">
        <v>6.65</v>
      </c>
      <c r="P2024" s="38">
        <v>1.625</v>
      </c>
      <c r="Q2024" s="38">
        <v>0.47499999999999998</v>
      </c>
      <c r="R2024" s="38">
        <v>2.1915100000000001</v>
      </c>
      <c r="S2024" s="38">
        <f t="shared" si="285"/>
        <v>2</v>
      </c>
      <c r="T2024" s="38">
        <v>33.825000000000003</v>
      </c>
      <c r="U2024" s="38">
        <v>0.92500000000000004</v>
      </c>
      <c r="V2024" s="38">
        <v>7.4999999999999997E-2</v>
      </c>
      <c r="W2024" s="38">
        <v>0</v>
      </c>
      <c r="X2024" s="38">
        <v>4.5382400000000001</v>
      </c>
      <c r="Y2024" s="38">
        <f t="shared" si="286"/>
        <v>4.5</v>
      </c>
      <c r="Z2024" s="38">
        <v>0</v>
      </c>
      <c r="AA2024" s="38">
        <v>0</v>
      </c>
      <c r="AB2024" s="38">
        <f t="shared" si="293"/>
        <v>34.825000000000003</v>
      </c>
      <c r="AC2024" s="38">
        <v>1.3329299999999999</v>
      </c>
      <c r="AD2024" s="38">
        <v>0</v>
      </c>
      <c r="AE2024" s="38">
        <v>0</v>
      </c>
      <c r="AF2024" s="38">
        <v>0</v>
      </c>
      <c r="AG2024" s="38">
        <f t="shared" si="287"/>
        <v>0</v>
      </c>
      <c r="AH2024" s="38">
        <v>0</v>
      </c>
      <c r="AI2024" s="38">
        <v>0</v>
      </c>
      <c r="AJ2024" s="38">
        <v>15.46</v>
      </c>
      <c r="AK2024" s="38">
        <v>1.2619999999999999E-2</v>
      </c>
      <c r="AL2024" s="38">
        <v>0</v>
      </c>
      <c r="AM2024" s="38">
        <v>0</v>
      </c>
      <c r="AN2024" s="40"/>
      <c r="AO2024" s="40"/>
      <c r="AP2024" s="40">
        <f t="shared" ref="AP2024:AP2030" si="294">AE2024*0.5</f>
        <v>0</v>
      </c>
      <c r="AQ2024" s="25">
        <f t="shared" ref="AQ2024:AQ2030" si="295">(AD2024+AH2024+AJ2024+AL2024+AP2024)*I2024</f>
        <v>541.11545999999998</v>
      </c>
      <c r="AR2024" s="25"/>
      <c r="AS2024" s="25"/>
      <c r="AT2024" s="25">
        <f t="shared" ref="AT2024:AT2030" si="296">SUM(N2024:Q2024)</f>
        <v>34.825000000000003</v>
      </c>
      <c r="AU2024" s="25">
        <f t="shared" ref="AU2024:AU2030" si="297">SUM(T2024:W2024)</f>
        <v>34.825000000000003</v>
      </c>
      <c r="AV2024" s="22"/>
      <c r="AW2024" s="41"/>
      <c r="AX2024" s="41"/>
      <c r="AY2024" s="41"/>
      <c r="AZ2024" s="41"/>
      <c r="BA2024" s="22"/>
      <c r="BB2024" s="22"/>
      <c r="BC2024" s="22"/>
      <c r="BD2024" s="22"/>
      <c r="BE2024" s="22"/>
      <c r="BF2024" s="22"/>
      <c r="BG2024" s="22"/>
      <c r="BH2024" s="22"/>
      <c r="BI2024" s="22"/>
      <c r="BJ2024" s="22"/>
      <c r="BK2024" s="22"/>
      <c r="BL2024" s="22"/>
      <c r="BM2024" s="22"/>
      <c r="BN2024" s="22"/>
      <c r="BO2024" s="22"/>
      <c r="BP2024" s="22"/>
      <c r="BQ2024" s="22"/>
      <c r="BR2024" s="22"/>
      <c r="BS2024" s="22"/>
      <c r="BT2024" s="22"/>
      <c r="BU2024" s="22"/>
      <c r="BV2024" s="22"/>
      <c r="BW2024" s="22"/>
      <c r="BX2024" s="22"/>
      <c r="BY2024" s="22"/>
      <c r="BZ2024" s="22"/>
      <c r="CA2024" s="22"/>
      <c r="CB2024" s="22"/>
      <c r="CC2024" s="22"/>
      <c r="CD2024" s="22"/>
      <c r="CE2024" s="22"/>
      <c r="CF2024" s="22"/>
      <c r="CG2024" s="22"/>
      <c r="CH2024" s="22"/>
      <c r="CI2024" s="22"/>
      <c r="CJ2024" s="22"/>
    </row>
    <row r="2025" spans="1:88">
      <c r="A2025" s="1">
        <v>920</v>
      </c>
      <c r="B2025" s="34" t="s">
        <v>1309</v>
      </c>
      <c r="C2025" s="34">
        <v>638</v>
      </c>
      <c r="D2025" s="8">
        <v>2083</v>
      </c>
      <c r="E2025" s="34">
        <v>101</v>
      </c>
      <c r="F2025" s="34" t="s">
        <v>1314</v>
      </c>
      <c r="G2025" s="58">
        <v>0</v>
      </c>
      <c r="H2025" s="58">
        <v>9782</v>
      </c>
      <c r="I2025" s="35">
        <v>9.782</v>
      </c>
      <c r="J2025" s="9">
        <v>2</v>
      </c>
      <c r="K2025" s="34" t="s">
        <v>237</v>
      </c>
      <c r="L2025" s="10">
        <v>42136</v>
      </c>
      <c r="M2025" s="9" t="s">
        <v>191</v>
      </c>
      <c r="N2025" s="38">
        <v>7.2</v>
      </c>
      <c r="O2025" s="38">
        <v>1.85</v>
      </c>
      <c r="P2025" s="38">
        <v>0.7</v>
      </c>
      <c r="Q2025" s="38">
        <v>0.25</v>
      </c>
      <c r="R2025" s="38">
        <v>2.3445499999999999</v>
      </c>
      <c r="S2025" s="38">
        <f t="shared" si="285"/>
        <v>2.5</v>
      </c>
      <c r="T2025" s="38">
        <v>9.4749999999999996</v>
      </c>
      <c r="U2025" s="38">
        <v>0.5</v>
      </c>
      <c r="V2025" s="38">
        <v>0</v>
      </c>
      <c r="W2025" s="38">
        <v>2.5000000000000001E-2</v>
      </c>
      <c r="X2025" s="38">
        <v>5.4150999999999998</v>
      </c>
      <c r="Y2025" s="38">
        <f t="shared" si="286"/>
        <v>5.5</v>
      </c>
      <c r="Z2025" s="38">
        <v>0</v>
      </c>
      <c r="AA2025" s="38">
        <v>0</v>
      </c>
      <c r="AB2025" s="38">
        <f t="shared" si="293"/>
        <v>10</v>
      </c>
      <c r="AC2025" s="38">
        <v>1.25488</v>
      </c>
      <c r="AD2025" s="38">
        <v>0</v>
      </c>
      <c r="AE2025" s="38">
        <v>0</v>
      </c>
      <c r="AF2025" s="38">
        <v>0</v>
      </c>
      <c r="AG2025" s="38">
        <f t="shared" si="287"/>
        <v>0</v>
      </c>
      <c r="AH2025" s="38">
        <v>0</v>
      </c>
      <c r="AI2025" s="38">
        <v>0</v>
      </c>
      <c r="AJ2025" s="38">
        <v>28.26</v>
      </c>
      <c r="AK2025" s="38">
        <v>8.2540000000000002E-2</v>
      </c>
      <c r="AL2025" s="38">
        <v>0</v>
      </c>
      <c r="AM2025" s="38">
        <v>0</v>
      </c>
      <c r="AN2025" s="40"/>
      <c r="AO2025" s="40"/>
      <c r="AP2025" s="40">
        <f t="shared" si="294"/>
        <v>0</v>
      </c>
      <c r="AQ2025" s="25">
        <f t="shared" si="295"/>
        <v>276.43932000000001</v>
      </c>
      <c r="AR2025" s="25"/>
      <c r="AS2025" s="25"/>
      <c r="AT2025" s="25">
        <f t="shared" si="296"/>
        <v>10</v>
      </c>
      <c r="AU2025" s="25">
        <f t="shared" si="297"/>
        <v>10</v>
      </c>
      <c r="AV2025" s="22"/>
      <c r="AW2025" s="41"/>
      <c r="AX2025" s="41"/>
      <c r="AY2025" s="41"/>
      <c r="AZ2025" s="41"/>
      <c r="BA2025" s="22"/>
      <c r="BB2025" s="22"/>
      <c r="BC2025" s="22"/>
      <c r="BD2025" s="22"/>
      <c r="BE2025" s="22"/>
      <c r="BF2025" s="22"/>
      <c r="BG2025" s="22"/>
      <c r="BH2025" s="22"/>
      <c r="BI2025" s="22"/>
      <c r="BJ2025" s="22"/>
      <c r="BK2025" s="22"/>
      <c r="BL2025" s="22"/>
      <c r="BM2025" s="22"/>
      <c r="BN2025" s="22"/>
      <c r="BO2025" s="22"/>
      <c r="BP2025" s="22"/>
      <c r="BQ2025" s="22"/>
      <c r="BR2025" s="22"/>
      <c r="BS2025" s="22"/>
      <c r="BT2025" s="22"/>
      <c r="BU2025" s="22"/>
      <c r="BV2025" s="22"/>
      <c r="BW2025" s="22"/>
      <c r="BX2025" s="22"/>
      <c r="BY2025" s="22"/>
      <c r="BZ2025" s="22"/>
      <c r="CA2025" s="22"/>
      <c r="CB2025" s="22"/>
      <c r="CC2025" s="22"/>
      <c r="CD2025" s="22"/>
      <c r="CE2025" s="22"/>
      <c r="CF2025" s="22"/>
      <c r="CG2025" s="22"/>
      <c r="CH2025" s="22"/>
      <c r="CI2025" s="22"/>
      <c r="CJ2025" s="22"/>
    </row>
    <row r="2026" spans="1:88">
      <c r="A2026" s="1">
        <v>926</v>
      </c>
      <c r="B2026" s="34" t="s">
        <v>1309</v>
      </c>
      <c r="C2026" s="34">
        <v>638</v>
      </c>
      <c r="D2026" s="8">
        <v>2167</v>
      </c>
      <c r="E2026" s="34">
        <v>100</v>
      </c>
      <c r="F2026" s="34" t="s">
        <v>1320</v>
      </c>
      <c r="G2026" s="58">
        <v>0</v>
      </c>
      <c r="H2026" s="58">
        <v>37826</v>
      </c>
      <c r="I2026" s="35">
        <v>37.826000000000001</v>
      </c>
      <c r="J2026" s="9">
        <v>2</v>
      </c>
      <c r="K2026" s="34" t="s">
        <v>238</v>
      </c>
      <c r="L2026" s="10">
        <v>42136</v>
      </c>
      <c r="M2026" s="9" t="s">
        <v>191</v>
      </c>
      <c r="N2026" s="38">
        <v>21.35</v>
      </c>
      <c r="O2026" s="38">
        <v>11.425000000000001</v>
      </c>
      <c r="P2026" s="38">
        <v>3.7</v>
      </c>
      <c r="Q2026" s="38">
        <v>1.175</v>
      </c>
      <c r="R2026" s="38">
        <v>2.6070099999999998</v>
      </c>
      <c r="S2026" s="38">
        <f t="shared" si="285"/>
        <v>2.5</v>
      </c>
      <c r="T2026" s="38">
        <v>36.125</v>
      </c>
      <c r="U2026" s="38">
        <v>1.25</v>
      </c>
      <c r="V2026" s="38">
        <v>0.2</v>
      </c>
      <c r="W2026" s="38">
        <v>7.4999999999999997E-2</v>
      </c>
      <c r="X2026" s="38">
        <v>4.6367900000000004</v>
      </c>
      <c r="Y2026" s="38">
        <f t="shared" si="286"/>
        <v>4.5</v>
      </c>
      <c r="Z2026" s="38">
        <v>0</v>
      </c>
      <c r="AA2026" s="38">
        <v>0</v>
      </c>
      <c r="AB2026" s="38">
        <f t="shared" si="293"/>
        <v>37.650000000000006</v>
      </c>
      <c r="AC2026" s="38">
        <v>1.3298399999999999</v>
      </c>
      <c r="AD2026" s="38">
        <v>0</v>
      </c>
      <c r="AE2026" s="38">
        <v>0</v>
      </c>
      <c r="AF2026" s="38">
        <v>0</v>
      </c>
      <c r="AG2026" s="38">
        <f t="shared" si="287"/>
        <v>0</v>
      </c>
      <c r="AH2026" s="38">
        <v>0</v>
      </c>
      <c r="AI2026" s="38">
        <v>0</v>
      </c>
      <c r="AJ2026" s="38">
        <v>182.54</v>
      </c>
      <c r="AK2026" s="38">
        <v>0.137879</v>
      </c>
      <c r="AL2026" s="38">
        <v>0</v>
      </c>
      <c r="AM2026" s="38">
        <v>0</v>
      </c>
      <c r="AN2026" s="40"/>
      <c r="AO2026" s="40"/>
      <c r="AP2026" s="40">
        <f t="shared" si="294"/>
        <v>0</v>
      </c>
      <c r="AQ2026" s="25">
        <f t="shared" si="295"/>
        <v>6904.7580399999997</v>
      </c>
      <c r="AR2026" s="25"/>
      <c r="AS2026" s="25"/>
      <c r="AT2026" s="25">
        <f t="shared" si="296"/>
        <v>37.650000000000006</v>
      </c>
      <c r="AU2026" s="25">
        <f t="shared" si="297"/>
        <v>37.650000000000006</v>
      </c>
      <c r="AV2026" s="22"/>
      <c r="AW2026" s="41"/>
      <c r="AX2026" s="41"/>
      <c r="AY2026" s="41"/>
      <c r="AZ2026" s="41"/>
      <c r="BA2026" s="22"/>
      <c r="BB2026" s="22"/>
      <c r="BC2026" s="22"/>
      <c r="BD2026" s="22"/>
      <c r="BE2026" s="22"/>
      <c r="BF2026" s="22"/>
      <c r="BG2026" s="22"/>
      <c r="BH2026" s="22"/>
      <c r="BI2026" s="22"/>
      <c r="BJ2026" s="22"/>
      <c r="BK2026" s="22"/>
      <c r="BL2026" s="22"/>
      <c r="BM2026" s="22"/>
      <c r="BN2026" s="22"/>
      <c r="BO2026" s="22"/>
      <c r="BP2026" s="22"/>
      <c r="BQ2026" s="22"/>
      <c r="BR2026" s="22"/>
      <c r="BS2026" s="22"/>
      <c r="BT2026" s="22"/>
      <c r="BU2026" s="22"/>
      <c r="BV2026" s="22"/>
      <c r="BW2026" s="22"/>
      <c r="BX2026" s="22"/>
      <c r="BY2026" s="22"/>
      <c r="BZ2026" s="22"/>
      <c r="CA2026" s="22"/>
      <c r="CB2026" s="22"/>
      <c r="CC2026" s="22"/>
      <c r="CD2026" s="22"/>
      <c r="CE2026" s="22"/>
      <c r="CF2026" s="22"/>
      <c r="CG2026" s="22"/>
      <c r="CH2026" s="22"/>
      <c r="CI2026" s="22"/>
      <c r="CJ2026" s="22"/>
    </row>
    <row r="2027" spans="1:88">
      <c r="A2027" s="1">
        <v>928</v>
      </c>
      <c r="B2027" s="34" t="s">
        <v>1309</v>
      </c>
      <c r="C2027" s="34">
        <v>638</v>
      </c>
      <c r="D2027" s="8">
        <v>2201</v>
      </c>
      <c r="E2027" s="34">
        <v>102</v>
      </c>
      <c r="F2027" s="34" t="s">
        <v>1322</v>
      </c>
      <c r="G2027" s="58">
        <v>15828</v>
      </c>
      <c r="H2027" s="58">
        <v>53625</v>
      </c>
      <c r="I2027" s="35">
        <v>17.87</v>
      </c>
      <c r="J2027" s="9">
        <v>2</v>
      </c>
      <c r="K2027" s="34" t="s">
        <v>238</v>
      </c>
      <c r="L2027" s="10">
        <v>42137</v>
      </c>
      <c r="M2027" s="9" t="s">
        <v>191</v>
      </c>
      <c r="N2027" s="38">
        <v>8.8000000000000007</v>
      </c>
      <c r="O2027" s="38">
        <v>6.15</v>
      </c>
      <c r="P2027" s="38">
        <v>1.75</v>
      </c>
      <c r="Q2027" s="38">
        <v>1.075</v>
      </c>
      <c r="R2027" s="38">
        <v>2.7881499999999999</v>
      </c>
      <c r="S2027" s="38">
        <f t="shared" si="285"/>
        <v>3</v>
      </c>
      <c r="T2027" s="38">
        <v>17.7</v>
      </c>
      <c r="U2027" s="38">
        <v>7.4999999999999997E-2</v>
      </c>
      <c r="V2027" s="38">
        <v>0</v>
      </c>
      <c r="W2027" s="38">
        <v>0</v>
      </c>
      <c r="X2027" s="38">
        <v>2.62791</v>
      </c>
      <c r="Y2027" s="38">
        <f t="shared" si="286"/>
        <v>2.5</v>
      </c>
      <c r="Z2027" s="38">
        <v>0</v>
      </c>
      <c r="AA2027" s="38">
        <v>0</v>
      </c>
      <c r="AB2027" s="38">
        <f t="shared" si="293"/>
        <v>17.775000000000002</v>
      </c>
      <c r="AC2027" s="38">
        <v>1.2704299999999999</v>
      </c>
      <c r="AD2027" s="38">
        <v>0</v>
      </c>
      <c r="AE2027" s="38">
        <v>0</v>
      </c>
      <c r="AF2027" s="38">
        <v>0</v>
      </c>
      <c r="AG2027" s="38">
        <f t="shared" si="287"/>
        <v>0</v>
      </c>
      <c r="AH2027" s="38">
        <v>0</v>
      </c>
      <c r="AI2027" s="38">
        <v>0</v>
      </c>
      <c r="AJ2027" s="38">
        <v>61</v>
      </c>
      <c r="AK2027" s="38">
        <v>4.6109999999999998E-2</v>
      </c>
      <c r="AL2027" s="38">
        <v>0</v>
      </c>
      <c r="AM2027" s="38">
        <v>0</v>
      </c>
      <c r="AN2027" s="40"/>
      <c r="AO2027" s="40"/>
      <c r="AP2027" s="40">
        <f t="shared" si="294"/>
        <v>0</v>
      </c>
      <c r="AQ2027" s="25">
        <f t="shared" si="295"/>
        <v>1090.0700000000002</v>
      </c>
      <c r="AR2027" s="25"/>
      <c r="AS2027" s="25"/>
      <c r="AT2027" s="25">
        <f t="shared" si="296"/>
        <v>17.775000000000002</v>
      </c>
      <c r="AU2027" s="25">
        <f t="shared" si="297"/>
        <v>17.774999999999999</v>
      </c>
      <c r="AV2027" s="22"/>
      <c r="AW2027" s="41"/>
      <c r="AX2027" s="41"/>
      <c r="AY2027" s="41"/>
      <c r="AZ2027" s="41"/>
      <c r="BA2027" s="22"/>
      <c r="BB2027" s="22"/>
      <c r="BC2027" s="22"/>
      <c r="BD2027" s="22"/>
      <c r="BE2027" s="22"/>
      <c r="BF2027" s="22"/>
      <c r="BG2027" s="22"/>
      <c r="BH2027" s="22"/>
      <c r="BI2027" s="22"/>
      <c r="BJ2027" s="22"/>
      <c r="BK2027" s="22"/>
      <c r="BL2027" s="22"/>
      <c r="BM2027" s="22"/>
      <c r="BN2027" s="22"/>
      <c r="BO2027" s="22"/>
      <c r="BP2027" s="22"/>
      <c r="BQ2027" s="22"/>
      <c r="BR2027" s="22"/>
      <c r="BS2027" s="22"/>
      <c r="BT2027" s="22"/>
      <c r="BU2027" s="22"/>
      <c r="BV2027" s="22"/>
      <c r="BW2027" s="22"/>
      <c r="BX2027" s="22"/>
      <c r="BY2027" s="22"/>
      <c r="BZ2027" s="22"/>
      <c r="CA2027" s="22"/>
      <c r="CB2027" s="22"/>
      <c r="CC2027" s="22"/>
      <c r="CD2027" s="22"/>
      <c r="CE2027" s="22"/>
      <c r="CF2027" s="22"/>
      <c r="CG2027" s="22"/>
      <c r="CH2027" s="22"/>
      <c r="CI2027" s="22"/>
      <c r="CJ2027" s="22"/>
    </row>
    <row r="2028" spans="1:88">
      <c r="A2028" s="1">
        <v>929</v>
      </c>
      <c r="B2028" s="34" t="s">
        <v>1309</v>
      </c>
      <c r="C2028" s="34">
        <v>638</v>
      </c>
      <c r="D2028" s="8">
        <v>2341</v>
      </c>
      <c r="E2028" s="34">
        <v>100</v>
      </c>
      <c r="F2028" s="34" t="s">
        <v>1323</v>
      </c>
      <c r="G2028" s="58">
        <v>0</v>
      </c>
      <c r="H2028" s="58">
        <v>71794</v>
      </c>
      <c r="I2028" s="35">
        <v>71.793999999999997</v>
      </c>
      <c r="J2028" s="9">
        <v>2</v>
      </c>
      <c r="K2028" s="34" t="s">
        <v>238</v>
      </c>
      <c r="L2028" s="10">
        <v>42137</v>
      </c>
      <c r="M2028" s="9" t="s">
        <v>191</v>
      </c>
      <c r="N2028" s="38">
        <v>37.1</v>
      </c>
      <c r="O2028" s="38">
        <v>13.574999999999999</v>
      </c>
      <c r="P2028" s="38">
        <v>10.55</v>
      </c>
      <c r="Q2028" s="38">
        <v>9.9749999999999996</v>
      </c>
      <c r="R2028" s="38">
        <v>3.1245799999999999</v>
      </c>
      <c r="S2028" s="38">
        <f t="shared" si="285"/>
        <v>3</v>
      </c>
      <c r="T2028" s="38">
        <v>68.95</v>
      </c>
      <c r="U2028" s="38">
        <v>1.85</v>
      </c>
      <c r="V2028" s="38">
        <v>0.3</v>
      </c>
      <c r="W2028" s="38">
        <v>0.1</v>
      </c>
      <c r="X2028" s="38">
        <v>3.5100099999999999</v>
      </c>
      <c r="Y2028" s="38">
        <f t="shared" si="286"/>
        <v>3.5</v>
      </c>
      <c r="Z2028" s="38">
        <v>0</v>
      </c>
      <c r="AA2028" s="38">
        <v>0</v>
      </c>
      <c r="AB2028" s="38">
        <f t="shared" si="293"/>
        <v>71.199999999999989</v>
      </c>
      <c r="AC2028" s="38">
        <v>1.5507200000000001</v>
      </c>
      <c r="AD2028" s="38">
        <v>0</v>
      </c>
      <c r="AE2028" s="38">
        <v>0</v>
      </c>
      <c r="AF2028" s="38">
        <v>0</v>
      </c>
      <c r="AG2028" s="38">
        <f t="shared" si="287"/>
        <v>0</v>
      </c>
      <c r="AH2028" s="38">
        <v>64.78</v>
      </c>
      <c r="AI2028" s="38">
        <v>2.5780000000000001E-2</v>
      </c>
      <c r="AJ2028" s="38">
        <v>3002.11</v>
      </c>
      <c r="AK2028" s="38">
        <v>1.1947319999999999</v>
      </c>
      <c r="AL2028" s="38">
        <v>84.16</v>
      </c>
      <c r="AM2028" s="38">
        <v>3.3489999999999999E-2</v>
      </c>
      <c r="AN2028" s="40"/>
      <c r="AO2028" s="40"/>
      <c r="AP2028" s="40">
        <f t="shared" si="294"/>
        <v>0</v>
      </c>
      <c r="AQ2028" s="25">
        <f t="shared" si="295"/>
        <v>226226.48370000001</v>
      </c>
      <c r="AR2028" s="25"/>
      <c r="AS2028" s="25"/>
      <c r="AT2028" s="25">
        <f t="shared" si="296"/>
        <v>71.199999999999989</v>
      </c>
      <c r="AU2028" s="25">
        <f t="shared" si="297"/>
        <v>71.199999999999989</v>
      </c>
      <c r="AV2028" s="22"/>
      <c r="AW2028" s="41"/>
      <c r="AX2028" s="41"/>
      <c r="AY2028" s="41"/>
      <c r="AZ2028" s="41"/>
      <c r="BA2028" s="22"/>
      <c r="BB2028" s="22"/>
      <c r="BC2028" s="22"/>
      <c r="BD2028" s="22"/>
      <c r="BE2028" s="22"/>
      <c r="BF2028" s="22"/>
      <c r="BG2028" s="22"/>
      <c r="BH2028" s="22"/>
      <c r="BI2028" s="22"/>
      <c r="BJ2028" s="22"/>
      <c r="BK2028" s="22"/>
      <c r="BL2028" s="22"/>
      <c r="BM2028" s="22"/>
      <c r="BN2028" s="22"/>
      <c r="BO2028" s="22"/>
      <c r="BP2028" s="22"/>
      <c r="BQ2028" s="22"/>
      <c r="BR2028" s="22"/>
      <c r="BS2028" s="22"/>
      <c r="BT2028" s="22"/>
      <c r="BU2028" s="22"/>
      <c r="BV2028" s="22"/>
      <c r="BW2028" s="22"/>
      <c r="BX2028" s="22"/>
      <c r="BY2028" s="22"/>
      <c r="BZ2028" s="22"/>
      <c r="CA2028" s="22"/>
      <c r="CB2028" s="22"/>
      <c r="CC2028" s="22"/>
      <c r="CD2028" s="22"/>
      <c r="CE2028" s="22"/>
      <c r="CF2028" s="22"/>
      <c r="CG2028" s="22"/>
      <c r="CH2028" s="22"/>
      <c r="CI2028" s="22"/>
      <c r="CJ2028" s="22"/>
    </row>
    <row r="2029" spans="1:88">
      <c r="A2029" s="1">
        <v>930</v>
      </c>
      <c r="B2029" s="34" t="s">
        <v>1309</v>
      </c>
      <c r="C2029" s="34">
        <v>638</v>
      </c>
      <c r="D2029" s="8">
        <v>2349</v>
      </c>
      <c r="E2029" s="34">
        <v>100</v>
      </c>
      <c r="F2029" s="34" t="s">
        <v>1324</v>
      </c>
      <c r="G2029" s="58">
        <v>0</v>
      </c>
      <c r="H2029" s="58">
        <v>12113</v>
      </c>
      <c r="I2029" s="35">
        <v>12.113</v>
      </c>
      <c r="J2029" s="9">
        <v>2</v>
      </c>
      <c r="K2029" s="34" t="s">
        <v>238</v>
      </c>
      <c r="L2029" s="10">
        <v>42138</v>
      </c>
      <c r="M2029" s="9" t="s">
        <v>191</v>
      </c>
      <c r="N2029" s="38">
        <v>8.4499999999999993</v>
      </c>
      <c r="O2029" s="38">
        <v>2.3250000000000002</v>
      </c>
      <c r="P2029" s="38">
        <v>1.0249999999999999</v>
      </c>
      <c r="Q2029" s="38">
        <v>0.3</v>
      </c>
      <c r="R2029" s="38">
        <v>2.33873</v>
      </c>
      <c r="S2029" s="38">
        <f t="shared" si="285"/>
        <v>2.5</v>
      </c>
      <c r="T2029" s="38">
        <v>11.6</v>
      </c>
      <c r="U2029" s="38">
        <v>0.32500000000000001</v>
      </c>
      <c r="V2029" s="38">
        <v>0.17499999999999999</v>
      </c>
      <c r="W2029" s="38">
        <v>0</v>
      </c>
      <c r="X2029" s="38">
        <v>3.1013999999999999</v>
      </c>
      <c r="Y2029" s="38">
        <f t="shared" si="286"/>
        <v>3</v>
      </c>
      <c r="Z2029" s="38">
        <v>0</v>
      </c>
      <c r="AA2029" s="38">
        <v>0</v>
      </c>
      <c r="AB2029" s="38">
        <f t="shared" si="293"/>
        <v>12.1</v>
      </c>
      <c r="AC2029" s="38">
        <v>1.28206</v>
      </c>
      <c r="AD2029" s="38">
        <v>0</v>
      </c>
      <c r="AE2029" s="38">
        <v>0</v>
      </c>
      <c r="AF2029" s="38">
        <v>0</v>
      </c>
      <c r="AG2029" s="38">
        <f t="shared" si="287"/>
        <v>0</v>
      </c>
      <c r="AH2029" s="38">
        <v>0</v>
      </c>
      <c r="AI2029" s="38">
        <v>0</v>
      </c>
      <c r="AJ2029" s="38">
        <v>30.34</v>
      </c>
      <c r="AK2029" s="38">
        <v>7.1559999999999999E-2</v>
      </c>
      <c r="AL2029" s="38">
        <v>0</v>
      </c>
      <c r="AM2029" s="38">
        <v>0</v>
      </c>
      <c r="AN2029" s="40"/>
      <c r="AO2029" s="40"/>
      <c r="AP2029" s="40">
        <f t="shared" si="294"/>
        <v>0</v>
      </c>
      <c r="AQ2029" s="25">
        <f t="shared" si="295"/>
        <v>367.50842</v>
      </c>
      <c r="AR2029" s="25"/>
      <c r="AS2029" s="25"/>
      <c r="AT2029" s="25">
        <f t="shared" si="296"/>
        <v>12.1</v>
      </c>
      <c r="AU2029" s="25">
        <f t="shared" si="297"/>
        <v>12.1</v>
      </c>
      <c r="AV2029" s="22"/>
      <c r="AW2029" s="41"/>
      <c r="AX2029" s="41"/>
      <c r="AY2029" s="41"/>
      <c r="AZ2029" s="41"/>
      <c r="BA2029" s="22"/>
      <c r="BB2029" s="22"/>
      <c r="BC2029" s="22"/>
      <c r="BD2029" s="22"/>
      <c r="BE2029" s="22"/>
      <c r="BF2029" s="22"/>
      <c r="BG2029" s="22"/>
      <c r="BH2029" s="22"/>
      <c r="BI2029" s="22"/>
      <c r="BJ2029" s="22"/>
      <c r="BK2029" s="22"/>
      <c r="BL2029" s="22"/>
      <c r="BM2029" s="22"/>
      <c r="BN2029" s="22"/>
      <c r="BO2029" s="22"/>
      <c r="BP2029" s="22"/>
      <c r="BQ2029" s="22"/>
      <c r="BR2029" s="22"/>
      <c r="BS2029" s="22"/>
      <c r="BT2029" s="22"/>
      <c r="BU2029" s="22"/>
      <c r="BV2029" s="22"/>
      <c r="BW2029" s="22"/>
      <c r="BX2029" s="22"/>
      <c r="BY2029" s="22"/>
      <c r="BZ2029" s="22"/>
      <c r="CA2029" s="22"/>
      <c r="CB2029" s="22"/>
      <c r="CC2029" s="22"/>
      <c r="CD2029" s="22"/>
      <c r="CE2029" s="22"/>
      <c r="CF2029" s="22"/>
      <c r="CG2029" s="22"/>
      <c r="CH2029" s="22"/>
      <c r="CI2029" s="22"/>
      <c r="CJ2029" s="22"/>
    </row>
    <row r="2030" spans="1:88">
      <c r="A2030" s="1">
        <v>931</v>
      </c>
      <c r="B2030" s="34" t="s">
        <v>1309</v>
      </c>
      <c r="C2030" s="34">
        <v>638</v>
      </c>
      <c r="D2030" s="8">
        <v>2351</v>
      </c>
      <c r="E2030" s="34">
        <v>200</v>
      </c>
      <c r="F2030" s="34" t="s">
        <v>1325</v>
      </c>
      <c r="G2030" s="58">
        <v>35200</v>
      </c>
      <c r="H2030" s="58">
        <v>37454</v>
      </c>
      <c r="I2030" s="35">
        <v>2.254</v>
      </c>
      <c r="J2030" s="9">
        <v>2</v>
      </c>
      <c r="K2030" s="34" t="s">
        <v>238</v>
      </c>
      <c r="L2030" s="10">
        <v>42136</v>
      </c>
      <c r="M2030" s="9" t="s">
        <v>191</v>
      </c>
      <c r="N2030" s="38">
        <v>1.7749999999999999</v>
      </c>
      <c r="O2030" s="38">
        <v>0.35</v>
      </c>
      <c r="P2030" s="38">
        <v>0.05</v>
      </c>
      <c r="Q2030" s="38">
        <v>0.1</v>
      </c>
      <c r="R2030" s="38">
        <v>2.2290100000000002</v>
      </c>
      <c r="S2030" s="38">
        <f t="shared" si="285"/>
        <v>2</v>
      </c>
      <c r="T2030" s="38">
        <v>2.2749999999999999</v>
      </c>
      <c r="U2030" s="38">
        <v>0</v>
      </c>
      <c r="V2030" s="38">
        <v>0</v>
      </c>
      <c r="W2030" s="38">
        <v>0</v>
      </c>
      <c r="X2030" s="38">
        <v>2.6352199999999999</v>
      </c>
      <c r="Y2030" s="38">
        <f t="shared" si="286"/>
        <v>2.5</v>
      </c>
      <c r="Z2030" s="38">
        <v>0</v>
      </c>
      <c r="AA2030" s="38">
        <v>0</v>
      </c>
      <c r="AB2030" s="38">
        <f t="shared" si="293"/>
        <v>2.2749999999999999</v>
      </c>
      <c r="AC2030" s="38">
        <v>1.2153700000000001</v>
      </c>
      <c r="AD2030" s="38">
        <v>0</v>
      </c>
      <c r="AE2030" s="38">
        <v>0</v>
      </c>
      <c r="AF2030" s="38">
        <v>0</v>
      </c>
      <c r="AG2030" s="38">
        <f t="shared" si="287"/>
        <v>0</v>
      </c>
      <c r="AH2030" s="38">
        <v>0</v>
      </c>
      <c r="AI2030" s="38">
        <v>0</v>
      </c>
      <c r="AJ2030" s="38">
        <v>0</v>
      </c>
      <c r="AK2030" s="38">
        <v>0</v>
      </c>
      <c r="AL2030" s="38">
        <v>0</v>
      </c>
      <c r="AM2030" s="38">
        <v>0</v>
      </c>
      <c r="AN2030" s="40"/>
      <c r="AO2030" s="40"/>
      <c r="AP2030" s="40">
        <f t="shared" si="294"/>
        <v>0</v>
      </c>
      <c r="AQ2030" s="25">
        <f t="shared" si="295"/>
        <v>0</v>
      </c>
      <c r="AR2030" s="25"/>
      <c r="AS2030" s="25"/>
      <c r="AT2030" s="25">
        <f t="shared" si="296"/>
        <v>2.2749999999999999</v>
      </c>
      <c r="AU2030" s="25">
        <f t="shared" si="297"/>
        <v>2.2749999999999999</v>
      </c>
      <c r="AV2030" s="22"/>
      <c r="AW2030" s="41"/>
      <c r="AX2030" s="41"/>
      <c r="AY2030" s="41"/>
      <c r="AZ2030" s="41"/>
      <c r="BA2030" s="22"/>
      <c r="BB2030" s="22"/>
      <c r="BC2030" s="22"/>
      <c r="BD2030" s="22"/>
      <c r="BE2030" s="22"/>
      <c r="BF2030" s="22"/>
      <c r="BG2030" s="22"/>
      <c r="BH2030" s="22"/>
      <c r="BI2030" s="22"/>
      <c r="BJ2030" s="22"/>
      <c r="BK2030" s="22"/>
      <c r="BL2030" s="22"/>
      <c r="BM2030" s="22"/>
      <c r="BN2030" s="22"/>
      <c r="BO2030" s="22"/>
      <c r="BP2030" s="22"/>
      <c r="BQ2030" s="22"/>
      <c r="BR2030" s="22"/>
      <c r="BS2030" s="22"/>
      <c r="BT2030" s="22"/>
      <c r="BU2030" s="22"/>
      <c r="BV2030" s="22"/>
      <c r="BW2030" s="22"/>
      <c r="BX2030" s="22"/>
      <c r="BY2030" s="22"/>
      <c r="BZ2030" s="22"/>
      <c r="CA2030" s="22"/>
      <c r="CB2030" s="22"/>
      <c r="CC2030" s="22"/>
      <c r="CD2030" s="22"/>
      <c r="CE2030" s="22"/>
      <c r="CF2030" s="22"/>
      <c r="CG2030" s="22"/>
      <c r="CH2030" s="22"/>
      <c r="CI2030" s="22"/>
      <c r="CJ2030" s="22"/>
    </row>
    <row r="2031" spans="1:88">
      <c r="A2031" s="1">
        <v>941</v>
      </c>
      <c r="B2031" s="34" t="s">
        <v>1329</v>
      </c>
      <c r="C2031" s="34">
        <v>611</v>
      </c>
      <c r="D2031" s="161">
        <v>206</v>
      </c>
      <c r="E2031" s="34">
        <v>100</v>
      </c>
      <c r="F2031" s="34" t="s">
        <v>1339</v>
      </c>
      <c r="G2031" s="58">
        <v>14702</v>
      </c>
      <c r="H2031" s="58">
        <v>0</v>
      </c>
      <c r="I2031" s="35">
        <v>14.702</v>
      </c>
      <c r="J2031" s="71">
        <v>4</v>
      </c>
      <c r="K2031" s="34" t="s">
        <v>96</v>
      </c>
      <c r="L2031" s="10">
        <v>42119</v>
      </c>
      <c r="M2031" s="9" t="s">
        <v>191</v>
      </c>
      <c r="N2031" s="38">
        <v>8.9250000000000007</v>
      </c>
      <c r="O2031" s="38">
        <v>3.0249999999999999</v>
      </c>
      <c r="P2031" s="38">
        <v>1.9750000000000001</v>
      </c>
      <c r="Q2031" s="38">
        <v>0.7</v>
      </c>
      <c r="R2031" s="38">
        <v>2.8091699999999999</v>
      </c>
      <c r="S2031" s="38">
        <f t="shared" si="285"/>
        <v>3</v>
      </c>
      <c r="T2031" s="38">
        <v>9.9</v>
      </c>
      <c r="U2031" s="38">
        <v>2.4750000000000001</v>
      </c>
      <c r="V2031" s="38">
        <v>1.1499999999999999</v>
      </c>
      <c r="W2031" s="38">
        <v>1.1000000000000001</v>
      </c>
      <c r="X2031" s="38">
        <v>7.2329299999999996</v>
      </c>
      <c r="Y2031" s="38">
        <f t="shared" si="286"/>
        <v>7</v>
      </c>
      <c r="Z2031" s="38">
        <v>0</v>
      </c>
      <c r="AA2031" s="38">
        <v>0</v>
      </c>
      <c r="AB2031" s="38">
        <v>14.702</v>
      </c>
      <c r="AC2031" s="38">
        <v>1.2904899999999999</v>
      </c>
      <c r="AD2031" s="38">
        <v>0</v>
      </c>
      <c r="AE2031" s="38">
        <v>0</v>
      </c>
      <c r="AF2031" s="38">
        <f t="shared" ref="AF2031:AF2039" si="298">(AD2031+AE2031*0.5)/(3.5*I2031*1000)*100</f>
        <v>0</v>
      </c>
      <c r="AG2031" s="38">
        <f t="shared" si="287"/>
        <v>0</v>
      </c>
      <c r="AH2031" s="38">
        <v>12.22</v>
      </c>
      <c r="AI2031" s="38">
        <f t="shared" ref="AI2031:AI2039" si="299">AH2031/(3.5*I2031*1000)*100</f>
        <v>2.3747983753425191E-2</v>
      </c>
      <c r="AJ2031" s="38">
        <v>0</v>
      </c>
      <c r="AK2031" s="38">
        <f t="shared" ref="AK2031:AK2039" si="300">AJ2031/(3.5*I2031*1000)*100</f>
        <v>0</v>
      </c>
      <c r="AL2031" s="38">
        <v>0</v>
      </c>
      <c r="AM2031" s="38">
        <f t="shared" ref="AM2031:AM2039" si="301">AL2031/(3.5*I2031*1000)*100</f>
        <v>0</v>
      </c>
      <c r="AN2031" s="25"/>
      <c r="AO2031" s="25">
        <f t="shared" ref="AO2031:AO2038" si="302">AE2031*0.5</f>
        <v>0</v>
      </c>
      <c r="AP2031" s="25">
        <f t="shared" ref="AP2031:AP2038" si="303">(AD2031+AH2031+AJ2031+AL2031+AO2031)*I2031</f>
        <v>179.65844000000001</v>
      </c>
      <c r="AQ2031" s="25"/>
      <c r="AR2031" s="25">
        <f t="shared" ref="AR2031:AR2038" si="304">SUM(N2031:Q2031)</f>
        <v>14.625</v>
      </c>
      <c r="AS2031" s="25">
        <f t="shared" ref="AS2031:AS2038" si="305">SUM(T2031:W2031)</f>
        <v>14.625</v>
      </c>
      <c r="AT2031" s="268">
        <v>14.702</v>
      </c>
      <c r="AU2031" s="41"/>
      <c r="AV2031" s="41"/>
      <c r="AW2031" s="41"/>
      <c r="AX2031" s="22"/>
      <c r="AY2031" s="22"/>
      <c r="AZ2031" s="22"/>
      <c r="BA2031" s="22"/>
      <c r="BB2031" s="22"/>
      <c r="BC2031" s="22"/>
      <c r="BD2031" s="22"/>
      <c r="BE2031" s="22"/>
      <c r="BF2031" s="22"/>
      <c r="BG2031" s="22"/>
      <c r="BH2031" s="22"/>
      <c r="BI2031" s="22"/>
      <c r="BJ2031" s="22"/>
      <c r="BK2031" s="22"/>
      <c r="BL2031" s="22"/>
      <c r="BM2031" s="22"/>
      <c r="BN2031" s="22"/>
      <c r="BO2031" s="22"/>
      <c r="BP2031" s="22"/>
      <c r="BQ2031" s="22"/>
      <c r="BR2031" s="22"/>
      <c r="BS2031" s="22"/>
      <c r="BT2031" s="22"/>
      <c r="BU2031" s="22"/>
      <c r="BV2031" s="22"/>
      <c r="BW2031" s="22"/>
      <c r="BX2031" s="22"/>
      <c r="BY2031" s="22"/>
      <c r="BZ2031" s="22"/>
      <c r="CA2031" s="22"/>
      <c r="CB2031" s="22"/>
      <c r="CC2031" s="22"/>
      <c r="CD2031" s="22"/>
      <c r="CE2031" s="22"/>
      <c r="CF2031" s="22"/>
      <c r="CG2031" s="22"/>
      <c r="CH2031" s="22"/>
      <c r="CI2031" s="22"/>
      <c r="CJ2031" s="22"/>
    </row>
    <row r="2032" spans="1:88">
      <c r="A2032" s="1">
        <v>943</v>
      </c>
      <c r="B2032" s="34" t="s">
        <v>1329</v>
      </c>
      <c r="C2032" s="34">
        <v>611</v>
      </c>
      <c r="D2032" s="161">
        <v>2067</v>
      </c>
      <c r="E2032" s="34">
        <v>101</v>
      </c>
      <c r="F2032" s="34" t="s">
        <v>1343</v>
      </c>
      <c r="G2032" s="58">
        <v>0</v>
      </c>
      <c r="H2032" s="58">
        <v>7120</v>
      </c>
      <c r="I2032" s="35">
        <v>7.12</v>
      </c>
      <c r="J2032" s="71">
        <v>4</v>
      </c>
      <c r="K2032" s="34" t="s">
        <v>238</v>
      </c>
      <c r="L2032" s="10">
        <v>42118</v>
      </c>
      <c r="M2032" s="9" t="s">
        <v>191</v>
      </c>
      <c r="N2032" s="38">
        <v>5.5250000000000004</v>
      </c>
      <c r="O2032" s="38">
        <v>1.25</v>
      </c>
      <c r="P2032" s="38">
        <v>0.2</v>
      </c>
      <c r="Q2032" s="38">
        <v>0.15</v>
      </c>
      <c r="R2032" s="38">
        <v>2.1267299999999998</v>
      </c>
      <c r="S2032" s="38">
        <f t="shared" si="285"/>
        <v>2</v>
      </c>
      <c r="T2032" s="38">
        <v>5.7750000000000004</v>
      </c>
      <c r="U2032" s="38">
        <v>0.65</v>
      </c>
      <c r="V2032" s="38">
        <v>0.45</v>
      </c>
      <c r="W2032" s="38">
        <v>0.25</v>
      </c>
      <c r="X2032" s="38">
        <v>6.3252899999999999</v>
      </c>
      <c r="Y2032" s="38">
        <f t="shared" si="286"/>
        <v>6.5</v>
      </c>
      <c r="Z2032" s="38">
        <v>0</v>
      </c>
      <c r="AA2032" s="38">
        <v>0</v>
      </c>
      <c r="AB2032" s="38">
        <v>7.12</v>
      </c>
      <c r="AC2032" s="38">
        <v>1.33846</v>
      </c>
      <c r="AD2032" s="38">
        <v>0</v>
      </c>
      <c r="AE2032" s="38">
        <v>0</v>
      </c>
      <c r="AF2032" s="38">
        <f t="shared" si="298"/>
        <v>0</v>
      </c>
      <c r="AG2032" s="38">
        <f t="shared" si="287"/>
        <v>0</v>
      </c>
      <c r="AH2032" s="38">
        <v>0</v>
      </c>
      <c r="AI2032" s="38">
        <f t="shared" si="299"/>
        <v>0</v>
      </c>
      <c r="AJ2032" s="38">
        <v>0</v>
      </c>
      <c r="AK2032" s="38">
        <f t="shared" si="300"/>
        <v>0</v>
      </c>
      <c r="AL2032" s="38">
        <v>0</v>
      </c>
      <c r="AM2032" s="38">
        <f t="shared" si="301"/>
        <v>0</v>
      </c>
      <c r="AN2032" s="25"/>
      <c r="AO2032" s="25">
        <f t="shared" si="302"/>
        <v>0</v>
      </c>
      <c r="AP2032" s="25">
        <f t="shared" si="303"/>
        <v>0</v>
      </c>
      <c r="AQ2032" s="25"/>
      <c r="AR2032" s="25">
        <f t="shared" si="304"/>
        <v>7.1250000000000009</v>
      </c>
      <c r="AS2032" s="25">
        <f t="shared" si="305"/>
        <v>7.1250000000000009</v>
      </c>
      <c r="AT2032" s="268">
        <v>7.12</v>
      </c>
      <c r="AU2032" s="41"/>
      <c r="AV2032" s="41"/>
      <c r="AW2032" s="41"/>
      <c r="AX2032" s="22"/>
      <c r="AY2032" s="22"/>
      <c r="AZ2032" s="22"/>
      <c r="BA2032" s="22"/>
      <c r="BB2032" s="22"/>
      <c r="BC2032" s="22"/>
      <c r="BD2032" s="22"/>
      <c r="BE2032" s="22"/>
      <c r="BF2032" s="22"/>
      <c r="BG2032" s="22"/>
      <c r="BH2032" s="22"/>
      <c r="BI2032" s="22"/>
      <c r="BJ2032" s="22"/>
      <c r="BK2032" s="22"/>
      <c r="BL2032" s="22"/>
      <c r="BM2032" s="22"/>
      <c r="BN2032" s="22"/>
      <c r="BO2032" s="22"/>
      <c r="BP2032" s="22"/>
      <c r="BQ2032" s="22"/>
      <c r="BR2032" s="22"/>
      <c r="BS2032" s="22"/>
      <c r="BT2032" s="22"/>
      <c r="BU2032" s="22"/>
      <c r="BV2032" s="22"/>
      <c r="BW2032" s="22"/>
      <c r="BX2032" s="22"/>
      <c r="BY2032" s="22"/>
      <c r="BZ2032" s="22"/>
      <c r="CA2032" s="22"/>
      <c r="CB2032" s="22"/>
      <c r="CC2032" s="22"/>
      <c r="CD2032" s="22"/>
      <c r="CE2032" s="22"/>
      <c r="CF2032" s="22"/>
      <c r="CG2032" s="22"/>
      <c r="CH2032" s="22"/>
      <c r="CI2032" s="22"/>
      <c r="CJ2032" s="22"/>
    </row>
    <row r="2033" spans="1:88" s="22" customFormat="1">
      <c r="A2033" s="1">
        <v>944</v>
      </c>
      <c r="B2033" s="34" t="s">
        <v>1329</v>
      </c>
      <c r="C2033" s="34">
        <v>611</v>
      </c>
      <c r="D2033" s="161">
        <v>2067</v>
      </c>
      <c r="E2033" s="34">
        <v>101</v>
      </c>
      <c r="F2033" s="34" t="s">
        <v>1343</v>
      </c>
      <c r="G2033" s="58">
        <v>7120</v>
      </c>
      <c r="H2033" s="58">
        <v>0</v>
      </c>
      <c r="I2033" s="35">
        <v>7.12</v>
      </c>
      <c r="J2033" s="71">
        <v>4</v>
      </c>
      <c r="K2033" s="34" t="s">
        <v>12</v>
      </c>
      <c r="L2033" s="10">
        <v>42118</v>
      </c>
      <c r="M2033" s="9" t="s">
        <v>191</v>
      </c>
      <c r="N2033" s="38">
        <v>5.6749999999999998</v>
      </c>
      <c r="O2033" s="38">
        <v>0.95</v>
      </c>
      <c r="P2033" s="38">
        <v>0.25</v>
      </c>
      <c r="Q2033" s="38">
        <v>0.22500000000000001</v>
      </c>
      <c r="R2033" s="38">
        <v>2.1824699999999999</v>
      </c>
      <c r="S2033" s="38">
        <f t="shared" si="285"/>
        <v>2</v>
      </c>
      <c r="T2033" s="38">
        <v>6.4749999999999996</v>
      </c>
      <c r="U2033" s="38">
        <v>0.45</v>
      </c>
      <c r="V2033" s="38">
        <v>0</v>
      </c>
      <c r="W2033" s="38">
        <v>0.17499999999999999</v>
      </c>
      <c r="X2033" s="38">
        <v>5.6738799999999996</v>
      </c>
      <c r="Y2033" s="38">
        <f t="shared" si="286"/>
        <v>5.5</v>
      </c>
      <c r="Z2033" s="38">
        <v>0</v>
      </c>
      <c r="AA2033" s="38">
        <v>0</v>
      </c>
      <c r="AB2033" s="38">
        <v>7.12</v>
      </c>
      <c r="AC2033" s="38">
        <v>1.43259</v>
      </c>
      <c r="AD2033" s="38">
        <v>0</v>
      </c>
      <c r="AE2033" s="38">
        <v>0</v>
      </c>
      <c r="AF2033" s="38">
        <f t="shared" si="298"/>
        <v>0</v>
      </c>
      <c r="AG2033" s="38">
        <f t="shared" si="287"/>
        <v>0</v>
      </c>
      <c r="AH2033" s="38">
        <v>0</v>
      </c>
      <c r="AI2033" s="38">
        <f t="shared" si="299"/>
        <v>0</v>
      </c>
      <c r="AJ2033" s="38">
        <v>0</v>
      </c>
      <c r="AK2033" s="38">
        <f t="shared" si="300"/>
        <v>0</v>
      </c>
      <c r="AL2033" s="38">
        <v>5</v>
      </c>
      <c r="AM2033" s="38">
        <f t="shared" si="301"/>
        <v>2.0064205457463884E-2</v>
      </c>
      <c r="AN2033" s="25"/>
      <c r="AO2033" s="25">
        <f t="shared" si="302"/>
        <v>0</v>
      </c>
      <c r="AP2033" s="25">
        <f t="shared" si="303"/>
        <v>35.6</v>
      </c>
      <c r="AQ2033" s="25"/>
      <c r="AR2033" s="25">
        <f t="shared" si="304"/>
        <v>7.1</v>
      </c>
      <c r="AS2033" s="25">
        <f t="shared" si="305"/>
        <v>7.1</v>
      </c>
      <c r="AT2033" s="268">
        <v>7.12</v>
      </c>
      <c r="AU2033" s="41"/>
      <c r="AV2033" s="41"/>
      <c r="AW2033" s="41"/>
    </row>
    <row r="2034" spans="1:88">
      <c r="A2034" s="1">
        <v>945</v>
      </c>
      <c r="B2034" s="34" t="s">
        <v>1329</v>
      </c>
      <c r="C2034" s="34">
        <v>611</v>
      </c>
      <c r="D2034" s="161">
        <v>2067</v>
      </c>
      <c r="E2034" s="34">
        <v>102</v>
      </c>
      <c r="F2034" s="34" t="s">
        <v>1344</v>
      </c>
      <c r="G2034" s="58">
        <v>12908</v>
      </c>
      <c r="H2034" s="58">
        <v>28542</v>
      </c>
      <c r="I2034" s="35">
        <v>15.634</v>
      </c>
      <c r="J2034" s="71">
        <v>2</v>
      </c>
      <c r="K2034" s="34" t="s">
        <v>238</v>
      </c>
      <c r="L2034" s="10">
        <v>42118</v>
      </c>
      <c r="M2034" s="9" t="s">
        <v>191</v>
      </c>
      <c r="N2034" s="38">
        <v>11.975</v>
      </c>
      <c r="O2034" s="38">
        <v>2.75</v>
      </c>
      <c r="P2034" s="38">
        <v>0.72499999999999998</v>
      </c>
      <c r="Q2034" s="38">
        <v>0.3</v>
      </c>
      <c r="R2034" s="38">
        <v>2.2170000000000001</v>
      </c>
      <c r="S2034" s="38">
        <f t="shared" si="285"/>
        <v>2</v>
      </c>
      <c r="T2034" s="38">
        <v>15.4</v>
      </c>
      <c r="U2034" s="38">
        <v>0.27500000000000002</v>
      </c>
      <c r="V2034" s="38">
        <v>7.4999999999999997E-2</v>
      </c>
      <c r="W2034" s="38">
        <v>0</v>
      </c>
      <c r="X2034" s="38">
        <v>4.6114899999999999</v>
      </c>
      <c r="Y2034" s="38">
        <f t="shared" si="286"/>
        <v>4.5</v>
      </c>
      <c r="Z2034" s="38">
        <v>0</v>
      </c>
      <c r="AA2034" s="38">
        <v>0</v>
      </c>
      <c r="AB2034" s="38">
        <v>15.634</v>
      </c>
      <c r="AC2034" s="38">
        <v>1.9890000000000001</v>
      </c>
      <c r="AD2034" s="38">
        <v>0</v>
      </c>
      <c r="AE2034" s="38">
        <v>0</v>
      </c>
      <c r="AF2034" s="38">
        <f t="shared" si="298"/>
        <v>0</v>
      </c>
      <c r="AG2034" s="38">
        <f t="shared" si="287"/>
        <v>0</v>
      </c>
      <c r="AH2034" s="38">
        <v>0</v>
      </c>
      <c r="AI2034" s="38">
        <f t="shared" si="299"/>
        <v>0</v>
      </c>
      <c r="AJ2034" s="38">
        <v>0</v>
      </c>
      <c r="AK2034" s="38">
        <f t="shared" si="300"/>
        <v>0</v>
      </c>
      <c r="AL2034" s="38">
        <v>0</v>
      </c>
      <c r="AM2034" s="38">
        <f t="shared" si="301"/>
        <v>0</v>
      </c>
      <c r="AN2034" s="25"/>
      <c r="AO2034" s="25">
        <f t="shared" si="302"/>
        <v>0</v>
      </c>
      <c r="AP2034" s="25">
        <f t="shared" si="303"/>
        <v>0</v>
      </c>
      <c r="AQ2034" s="25"/>
      <c r="AR2034" s="25">
        <f t="shared" si="304"/>
        <v>15.75</v>
      </c>
      <c r="AS2034" s="25">
        <f t="shared" si="305"/>
        <v>15.75</v>
      </c>
      <c r="AT2034" s="268">
        <v>15.634</v>
      </c>
      <c r="AU2034" s="41"/>
      <c r="AV2034" s="41"/>
      <c r="AW2034" s="41"/>
      <c r="AX2034" s="22"/>
      <c r="AY2034" s="22"/>
      <c r="AZ2034" s="22"/>
      <c r="BA2034" s="22"/>
      <c r="BB2034" s="22"/>
      <c r="BC2034" s="22"/>
      <c r="BD2034" s="22"/>
      <c r="BE2034" s="22"/>
      <c r="BF2034" s="22"/>
      <c r="BG2034" s="22"/>
      <c r="BH2034" s="22"/>
      <c r="BI2034" s="22"/>
      <c r="BJ2034" s="22"/>
      <c r="BK2034" s="22"/>
      <c r="BL2034" s="22"/>
      <c r="BM2034" s="22"/>
      <c r="BN2034" s="22"/>
      <c r="BO2034" s="22"/>
      <c r="BP2034" s="22"/>
      <c r="BQ2034" s="22"/>
      <c r="BR2034" s="22"/>
      <c r="BS2034" s="22"/>
      <c r="BT2034" s="22"/>
      <c r="BU2034" s="22"/>
      <c r="BV2034" s="22"/>
      <c r="BW2034" s="22"/>
      <c r="BX2034" s="22"/>
      <c r="BY2034" s="22"/>
      <c r="BZ2034" s="22"/>
      <c r="CA2034" s="22"/>
      <c r="CB2034" s="22"/>
      <c r="CC2034" s="22"/>
      <c r="CD2034" s="22"/>
      <c r="CE2034" s="22"/>
      <c r="CF2034" s="22"/>
      <c r="CG2034" s="22"/>
      <c r="CH2034" s="22"/>
      <c r="CI2034" s="22"/>
      <c r="CJ2034" s="22"/>
    </row>
    <row r="2035" spans="1:88">
      <c r="A2035" s="1">
        <v>946</v>
      </c>
      <c r="B2035" s="34" t="s">
        <v>1329</v>
      </c>
      <c r="C2035" s="34">
        <v>611</v>
      </c>
      <c r="D2035" s="161">
        <v>2073</v>
      </c>
      <c r="E2035" s="34">
        <v>200</v>
      </c>
      <c r="F2035" s="34" t="s">
        <v>1345</v>
      </c>
      <c r="G2035" s="58">
        <v>60189</v>
      </c>
      <c r="H2035" s="58">
        <v>85504</v>
      </c>
      <c r="I2035" s="35">
        <v>25.315000000000001</v>
      </c>
      <c r="J2035" s="71">
        <v>2</v>
      </c>
      <c r="K2035" s="34" t="s">
        <v>238</v>
      </c>
      <c r="L2035" s="10">
        <v>42119</v>
      </c>
      <c r="M2035" s="9" t="s">
        <v>191</v>
      </c>
      <c r="N2035" s="38">
        <v>16</v>
      </c>
      <c r="O2035" s="38">
        <v>5.9749999999999996</v>
      </c>
      <c r="P2035" s="38">
        <v>2.15</v>
      </c>
      <c r="Q2035" s="38">
        <v>1.0249999999999999</v>
      </c>
      <c r="R2035" s="38">
        <v>2.63795</v>
      </c>
      <c r="S2035" s="38">
        <f t="shared" si="285"/>
        <v>2.5</v>
      </c>
      <c r="T2035" s="38">
        <v>24.225000000000001</v>
      </c>
      <c r="U2035" s="38">
        <v>0.92500000000000004</v>
      </c>
      <c r="V2035" s="38">
        <v>0</v>
      </c>
      <c r="W2035" s="38">
        <v>0</v>
      </c>
      <c r="X2035" s="38">
        <v>4.4086499999999997</v>
      </c>
      <c r="Y2035" s="38">
        <f t="shared" si="286"/>
        <v>4.5</v>
      </c>
      <c r="Z2035" s="38">
        <v>0</v>
      </c>
      <c r="AA2035" s="38">
        <v>0</v>
      </c>
      <c r="AB2035" s="38">
        <v>25.315000000000001</v>
      </c>
      <c r="AC2035" s="38">
        <v>1.2910200000000001</v>
      </c>
      <c r="AD2035" s="38">
        <v>0</v>
      </c>
      <c r="AE2035" s="38">
        <v>0</v>
      </c>
      <c r="AF2035" s="38">
        <f t="shared" si="298"/>
        <v>0</v>
      </c>
      <c r="AG2035" s="38">
        <f t="shared" si="287"/>
        <v>0</v>
      </c>
      <c r="AH2035" s="38">
        <v>0</v>
      </c>
      <c r="AI2035" s="38">
        <f t="shared" si="299"/>
        <v>0</v>
      </c>
      <c r="AJ2035" s="38">
        <v>0</v>
      </c>
      <c r="AK2035" s="38">
        <f t="shared" si="300"/>
        <v>0</v>
      </c>
      <c r="AL2035" s="38">
        <v>0</v>
      </c>
      <c r="AM2035" s="38">
        <f t="shared" si="301"/>
        <v>0</v>
      </c>
      <c r="AN2035" s="25"/>
      <c r="AO2035" s="25">
        <f t="shared" si="302"/>
        <v>0</v>
      </c>
      <c r="AP2035" s="25">
        <f t="shared" si="303"/>
        <v>0</v>
      </c>
      <c r="AQ2035" s="25"/>
      <c r="AR2035" s="25">
        <f t="shared" si="304"/>
        <v>25.15</v>
      </c>
      <c r="AS2035" s="25">
        <f t="shared" si="305"/>
        <v>25.150000000000002</v>
      </c>
      <c r="AT2035" s="268">
        <v>25.315000000000001</v>
      </c>
      <c r="AU2035" s="41"/>
      <c r="AV2035" s="41"/>
      <c r="AW2035" s="41"/>
      <c r="AX2035" s="22"/>
      <c r="AY2035" s="22"/>
      <c r="AZ2035" s="22"/>
      <c r="BA2035" s="22"/>
      <c r="BB2035" s="22"/>
      <c r="BC2035" s="22"/>
      <c r="BD2035" s="22"/>
      <c r="BE2035" s="22"/>
      <c r="BF2035" s="22"/>
      <c r="BG2035" s="22"/>
      <c r="BH2035" s="22"/>
      <c r="BI2035" s="22"/>
      <c r="BJ2035" s="22"/>
      <c r="BK2035" s="22"/>
      <c r="BL2035" s="22"/>
      <c r="BM2035" s="22"/>
      <c r="BN2035" s="22"/>
      <c r="BO2035" s="22"/>
      <c r="BP2035" s="22"/>
      <c r="BQ2035" s="22"/>
      <c r="BR2035" s="22"/>
      <c r="BS2035" s="22"/>
      <c r="BT2035" s="22"/>
      <c r="BU2035" s="22"/>
      <c r="BV2035" s="22"/>
      <c r="BW2035" s="22"/>
      <c r="BX2035" s="22"/>
      <c r="BY2035" s="22"/>
      <c r="BZ2035" s="22"/>
      <c r="CA2035" s="22"/>
      <c r="CB2035" s="22"/>
      <c r="CC2035" s="22"/>
      <c r="CD2035" s="22"/>
      <c r="CE2035" s="22"/>
      <c r="CF2035" s="22"/>
      <c r="CG2035" s="22"/>
      <c r="CH2035" s="22"/>
      <c r="CI2035" s="22"/>
      <c r="CJ2035" s="22"/>
    </row>
    <row r="2036" spans="1:88">
      <c r="A2036" s="1">
        <v>950</v>
      </c>
      <c r="B2036" s="34" t="s">
        <v>1329</v>
      </c>
      <c r="C2036" s="34">
        <v>611</v>
      </c>
      <c r="D2036" s="161">
        <v>2198</v>
      </c>
      <c r="E2036" s="34">
        <v>200</v>
      </c>
      <c r="F2036" s="34" t="s">
        <v>1349</v>
      </c>
      <c r="G2036" s="58">
        <v>400</v>
      </c>
      <c r="H2036" s="58">
        <v>23427</v>
      </c>
      <c r="I2036" s="35">
        <v>23.027000000000001</v>
      </c>
      <c r="J2036" s="71">
        <v>2</v>
      </c>
      <c r="K2036" s="34" t="s">
        <v>238</v>
      </c>
      <c r="L2036" s="10">
        <v>42117</v>
      </c>
      <c r="M2036" s="9" t="s">
        <v>191</v>
      </c>
      <c r="N2036" s="38">
        <v>19.574999999999999</v>
      </c>
      <c r="O2036" s="38">
        <v>2.4750000000000001</v>
      </c>
      <c r="P2036" s="38">
        <v>0.6</v>
      </c>
      <c r="Q2036" s="38">
        <v>0.27500000000000002</v>
      </c>
      <c r="R2036" s="38">
        <v>1.96086</v>
      </c>
      <c r="S2036" s="38">
        <f t="shared" si="285"/>
        <v>2</v>
      </c>
      <c r="T2036" s="38">
        <v>22.475000000000001</v>
      </c>
      <c r="U2036" s="38">
        <v>0.4</v>
      </c>
      <c r="V2036" s="38">
        <v>0.05</v>
      </c>
      <c r="W2036" s="38">
        <v>0</v>
      </c>
      <c r="X2036" s="38">
        <v>4.1578200000000001</v>
      </c>
      <c r="Y2036" s="38">
        <f t="shared" si="286"/>
        <v>4</v>
      </c>
      <c r="Z2036" s="38">
        <v>0</v>
      </c>
      <c r="AA2036" s="38">
        <v>0</v>
      </c>
      <c r="AB2036" s="38">
        <v>23.027000000000001</v>
      </c>
      <c r="AC2036" s="38">
        <v>1.3618399999999999</v>
      </c>
      <c r="AD2036" s="38">
        <v>0</v>
      </c>
      <c r="AE2036" s="38">
        <v>0</v>
      </c>
      <c r="AF2036" s="38">
        <f t="shared" si="298"/>
        <v>0</v>
      </c>
      <c r="AG2036" s="38">
        <f t="shared" si="287"/>
        <v>0</v>
      </c>
      <c r="AH2036" s="38">
        <v>153.33000000000001</v>
      </c>
      <c r="AI2036" s="38">
        <f t="shared" si="299"/>
        <v>0.19024871424228701</v>
      </c>
      <c r="AJ2036" s="38">
        <v>0</v>
      </c>
      <c r="AK2036" s="38">
        <f t="shared" si="300"/>
        <v>0</v>
      </c>
      <c r="AL2036" s="38">
        <v>0</v>
      </c>
      <c r="AM2036" s="38">
        <f t="shared" si="301"/>
        <v>0</v>
      </c>
      <c r="AN2036" s="25"/>
      <c r="AO2036" s="25">
        <f t="shared" si="302"/>
        <v>0</v>
      </c>
      <c r="AP2036" s="25">
        <f t="shared" si="303"/>
        <v>3530.7299100000005</v>
      </c>
      <c r="AQ2036" s="25"/>
      <c r="AR2036" s="25">
        <f t="shared" si="304"/>
        <v>22.925000000000001</v>
      </c>
      <c r="AS2036" s="25">
        <f t="shared" si="305"/>
        <v>22.925000000000001</v>
      </c>
      <c r="AT2036" s="268">
        <v>23.027000000000001</v>
      </c>
      <c r="AU2036" s="41"/>
      <c r="AV2036" s="41"/>
      <c r="AW2036" s="41"/>
      <c r="AX2036" s="22"/>
      <c r="AY2036" s="22"/>
      <c r="AZ2036" s="22"/>
      <c r="BA2036" s="22"/>
      <c r="BB2036" s="22"/>
      <c r="BC2036" s="22"/>
      <c r="BD2036" s="22"/>
      <c r="BE2036" s="22"/>
      <c r="BF2036" s="22"/>
      <c r="BG2036" s="22"/>
      <c r="BH2036" s="22"/>
      <c r="BI2036" s="22"/>
      <c r="BJ2036" s="22"/>
      <c r="BK2036" s="22"/>
      <c r="BL2036" s="22"/>
      <c r="BM2036" s="22"/>
      <c r="BN2036" s="22"/>
      <c r="BO2036" s="22"/>
      <c r="BP2036" s="22"/>
      <c r="BQ2036" s="22"/>
      <c r="BR2036" s="22"/>
      <c r="BS2036" s="22"/>
      <c r="BT2036" s="22"/>
      <c r="BU2036" s="22"/>
      <c r="BV2036" s="22"/>
      <c r="BW2036" s="22"/>
      <c r="BX2036" s="22"/>
      <c r="BY2036" s="22"/>
      <c r="BZ2036" s="22"/>
      <c r="CA2036" s="22"/>
      <c r="CB2036" s="22"/>
      <c r="CC2036" s="22"/>
      <c r="CD2036" s="22"/>
      <c r="CE2036" s="22"/>
      <c r="CF2036" s="22"/>
      <c r="CG2036" s="22"/>
      <c r="CH2036" s="22"/>
      <c r="CI2036" s="22"/>
      <c r="CJ2036" s="22"/>
    </row>
    <row r="2037" spans="1:88">
      <c r="A2037" s="1">
        <v>952</v>
      </c>
      <c r="B2037" s="34" t="s">
        <v>1329</v>
      </c>
      <c r="C2037" s="34">
        <v>611</v>
      </c>
      <c r="D2037" s="161">
        <v>2246</v>
      </c>
      <c r="E2037" s="34">
        <v>201</v>
      </c>
      <c r="F2037" s="34" t="s">
        <v>1351</v>
      </c>
      <c r="G2037" s="58">
        <v>27175</v>
      </c>
      <c r="H2037" s="58">
        <v>39877</v>
      </c>
      <c r="I2037" s="35">
        <v>12.702</v>
      </c>
      <c r="J2037" s="71">
        <v>2</v>
      </c>
      <c r="K2037" s="34" t="s">
        <v>238</v>
      </c>
      <c r="L2037" s="10">
        <v>42118</v>
      </c>
      <c r="M2037" s="9" t="s">
        <v>191</v>
      </c>
      <c r="N2037" s="38">
        <v>9.5749999999999993</v>
      </c>
      <c r="O2037" s="38">
        <v>2.25</v>
      </c>
      <c r="P2037" s="38">
        <v>0.52500000000000002</v>
      </c>
      <c r="Q2037" s="38">
        <v>0.27500000000000002</v>
      </c>
      <c r="R2037" s="38">
        <v>2.1892999999999998</v>
      </c>
      <c r="S2037" s="38">
        <f t="shared" si="285"/>
        <v>2</v>
      </c>
      <c r="T2037" s="38">
        <v>12.1</v>
      </c>
      <c r="U2037" s="38">
        <v>0.4</v>
      </c>
      <c r="V2037" s="38">
        <v>7.4999999999999997E-2</v>
      </c>
      <c r="W2037" s="38">
        <v>0.05</v>
      </c>
      <c r="X2037" s="38">
        <v>4.5539699999999996</v>
      </c>
      <c r="Y2037" s="38">
        <f t="shared" si="286"/>
        <v>4.5</v>
      </c>
      <c r="Z2037" s="38">
        <v>0</v>
      </c>
      <c r="AA2037" s="38">
        <v>0</v>
      </c>
      <c r="AB2037" s="38">
        <v>12.702</v>
      </c>
      <c r="AC2037" s="38">
        <v>1.33992</v>
      </c>
      <c r="AD2037" s="38">
        <v>0</v>
      </c>
      <c r="AE2037" s="38">
        <v>0</v>
      </c>
      <c r="AF2037" s="38">
        <f t="shared" si="298"/>
        <v>0</v>
      </c>
      <c r="AG2037" s="38">
        <f t="shared" si="287"/>
        <v>0</v>
      </c>
      <c r="AH2037" s="38">
        <v>5.7</v>
      </c>
      <c r="AI2037" s="38">
        <f t="shared" si="299"/>
        <v>1.2821377960726094E-2</v>
      </c>
      <c r="AJ2037" s="38">
        <v>0</v>
      </c>
      <c r="AK2037" s="38">
        <f t="shared" si="300"/>
        <v>0</v>
      </c>
      <c r="AL2037" s="38">
        <v>0</v>
      </c>
      <c r="AM2037" s="38">
        <f t="shared" si="301"/>
        <v>0</v>
      </c>
      <c r="AN2037" s="25"/>
      <c r="AO2037" s="25">
        <f t="shared" si="302"/>
        <v>0</v>
      </c>
      <c r="AP2037" s="25">
        <f t="shared" si="303"/>
        <v>72.401399999999995</v>
      </c>
      <c r="AQ2037" s="25"/>
      <c r="AR2037" s="25">
        <f t="shared" si="304"/>
        <v>12.625</v>
      </c>
      <c r="AS2037" s="25">
        <f t="shared" si="305"/>
        <v>12.625</v>
      </c>
      <c r="AT2037" s="268">
        <v>12.702</v>
      </c>
      <c r="AU2037" s="41"/>
      <c r="AV2037" s="41"/>
      <c r="AW2037" s="41"/>
      <c r="AX2037" s="22"/>
      <c r="AY2037" s="22"/>
      <c r="AZ2037" s="22"/>
      <c r="BA2037" s="22"/>
      <c r="BB2037" s="22"/>
      <c r="BC2037" s="22"/>
      <c r="BD2037" s="22"/>
      <c r="BE2037" s="22"/>
      <c r="BF2037" s="22"/>
      <c r="BG2037" s="22"/>
      <c r="BH2037" s="22"/>
      <c r="BI2037" s="22"/>
      <c r="BJ2037" s="22"/>
      <c r="BK2037" s="22"/>
      <c r="BL2037" s="22"/>
      <c r="BM2037" s="22"/>
      <c r="BN2037" s="22"/>
      <c r="BO2037" s="22"/>
      <c r="BP2037" s="22"/>
      <c r="BQ2037" s="22"/>
      <c r="BR2037" s="22"/>
      <c r="BS2037" s="22"/>
      <c r="BT2037" s="22"/>
      <c r="BU2037" s="22"/>
      <c r="BV2037" s="22"/>
      <c r="BW2037" s="22"/>
      <c r="BX2037" s="22"/>
      <c r="BY2037" s="22"/>
      <c r="BZ2037" s="22"/>
      <c r="CA2037" s="22"/>
      <c r="CB2037" s="22"/>
      <c r="CC2037" s="22"/>
      <c r="CD2037" s="22"/>
      <c r="CE2037" s="22"/>
      <c r="CF2037" s="22"/>
      <c r="CG2037" s="22"/>
      <c r="CH2037" s="22"/>
      <c r="CI2037" s="22"/>
      <c r="CJ2037" s="22"/>
    </row>
    <row r="2038" spans="1:88">
      <c r="A2038" s="1">
        <v>958</v>
      </c>
      <c r="B2038" s="34" t="s">
        <v>1329</v>
      </c>
      <c r="C2038" s="34">
        <v>611</v>
      </c>
      <c r="D2038" s="161">
        <v>2438</v>
      </c>
      <c r="E2038" s="34">
        <v>100</v>
      </c>
      <c r="F2038" s="34" t="s">
        <v>1356</v>
      </c>
      <c r="G2038" s="58">
        <v>620</v>
      </c>
      <c r="H2038" s="58">
        <v>0</v>
      </c>
      <c r="I2038" s="35">
        <v>0.62</v>
      </c>
      <c r="J2038" s="71">
        <v>4</v>
      </c>
      <c r="K2038" s="34" t="s">
        <v>96</v>
      </c>
      <c r="L2038" s="10">
        <v>42119</v>
      </c>
      <c r="M2038" s="9" t="s">
        <v>191</v>
      </c>
      <c r="N2038" s="38">
        <v>0.25</v>
      </c>
      <c r="O2038" s="38">
        <v>7.4999999999999997E-2</v>
      </c>
      <c r="P2038" s="38">
        <v>0.1</v>
      </c>
      <c r="Q2038" s="38">
        <v>0.2</v>
      </c>
      <c r="R2038" s="38">
        <v>4.056</v>
      </c>
      <c r="S2038" s="38">
        <f t="shared" si="285"/>
        <v>4</v>
      </c>
      <c r="T2038" s="38">
        <v>0.57499999999999996</v>
      </c>
      <c r="U2038" s="38">
        <v>0.05</v>
      </c>
      <c r="V2038" s="38">
        <v>0</v>
      </c>
      <c r="W2038" s="38">
        <v>0</v>
      </c>
      <c r="X2038" s="38">
        <v>5.0445599999999997</v>
      </c>
      <c r="Y2038" s="38">
        <f t="shared" si="286"/>
        <v>5</v>
      </c>
      <c r="Z2038" s="38">
        <v>0</v>
      </c>
      <c r="AA2038" s="38">
        <v>0</v>
      </c>
      <c r="AB2038" s="38">
        <v>0.62</v>
      </c>
      <c r="AC2038" s="38">
        <v>1.2450000000000001</v>
      </c>
      <c r="AD2038" s="38">
        <v>0</v>
      </c>
      <c r="AE2038" s="38">
        <v>0</v>
      </c>
      <c r="AF2038" s="38">
        <f t="shared" si="298"/>
        <v>0</v>
      </c>
      <c r="AG2038" s="38">
        <f t="shared" si="287"/>
        <v>0</v>
      </c>
      <c r="AH2038" s="38">
        <v>17.59</v>
      </c>
      <c r="AI2038" s="38">
        <f t="shared" si="299"/>
        <v>0.81059907834101375</v>
      </c>
      <c r="AJ2038" s="38">
        <v>0</v>
      </c>
      <c r="AK2038" s="38">
        <f t="shared" si="300"/>
        <v>0</v>
      </c>
      <c r="AL2038" s="38">
        <v>0</v>
      </c>
      <c r="AM2038" s="38">
        <f t="shared" si="301"/>
        <v>0</v>
      </c>
      <c r="AN2038" s="25"/>
      <c r="AO2038" s="25">
        <f t="shared" si="302"/>
        <v>0</v>
      </c>
      <c r="AP2038" s="25">
        <f t="shared" si="303"/>
        <v>10.905799999999999</v>
      </c>
      <c r="AQ2038" s="25"/>
      <c r="AR2038" s="25">
        <f t="shared" si="304"/>
        <v>0.625</v>
      </c>
      <c r="AS2038" s="25">
        <f t="shared" si="305"/>
        <v>0.625</v>
      </c>
      <c r="AT2038" s="268">
        <v>0.62</v>
      </c>
      <c r="AU2038" s="41"/>
      <c r="AV2038" s="41"/>
      <c r="AW2038" s="41"/>
      <c r="AX2038" s="22"/>
      <c r="AY2038" s="22"/>
      <c r="AZ2038" s="22"/>
      <c r="BA2038" s="22"/>
      <c r="BB2038" s="22"/>
      <c r="BC2038" s="22"/>
      <c r="BD2038" s="22"/>
      <c r="BE2038" s="22"/>
      <c r="BF2038" s="22"/>
      <c r="BG2038" s="22"/>
      <c r="BH2038" s="22"/>
      <c r="BI2038" s="22"/>
      <c r="BJ2038" s="22"/>
      <c r="BK2038" s="22"/>
      <c r="BL2038" s="22"/>
      <c r="BM2038" s="22"/>
      <c r="BN2038" s="22"/>
      <c r="BO2038" s="22"/>
      <c r="BP2038" s="22"/>
      <c r="BQ2038" s="22"/>
      <c r="BR2038" s="22"/>
      <c r="BS2038" s="22"/>
      <c r="BT2038" s="22"/>
      <c r="BU2038" s="22"/>
      <c r="BV2038" s="22"/>
      <c r="BW2038" s="22"/>
      <c r="BX2038" s="22"/>
      <c r="BY2038" s="22"/>
      <c r="BZ2038" s="22"/>
      <c r="CA2038" s="22"/>
      <c r="CB2038" s="22"/>
      <c r="CC2038" s="22"/>
      <c r="CD2038" s="22"/>
      <c r="CE2038" s="22"/>
      <c r="CF2038" s="22"/>
      <c r="CG2038" s="22"/>
      <c r="CH2038" s="22"/>
      <c r="CI2038" s="22"/>
      <c r="CJ2038" s="22"/>
    </row>
    <row r="2039" spans="1:88">
      <c r="A2039" s="1">
        <v>961</v>
      </c>
      <c r="B2039" s="9" t="s">
        <v>1359</v>
      </c>
      <c r="C2039" s="9">
        <v>612</v>
      </c>
      <c r="D2039" s="8">
        <v>201</v>
      </c>
      <c r="E2039" s="9">
        <v>101</v>
      </c>
      <c r="F2039" s="9" t="s">
        <v>1360</v>
      </c>
      <c r="G2039" s="20">
        <v>0</v>
      </c>
      <c r="H2039" s="20">
        <v>31910</v>
      </c>
      <c r="I2039" s="35">
        <v>31.91</v>
      </c>
      <c r="J2039" s="9">
        <v>2</v>
      </c>
      <c r="K2039" s="9" t="s">
        <v>238</v>
      </c>
      <c r="L2039" s="18">
        <v>42116</v>
      </c>
      <c r="M2039" s="9" t="s">
        <v>191</v>
      </c>
      <c r="N2039" s="11">
        <v>21.975000000000001</v>
      </c>
      <c r="O2039" s="11">
        <v>5.8</v>
      </c>
      <c r="P2039" s="11">
        <v>2.6</v>
      </c>
      <c r="Q2039" s="11">
        <v>1.375</v>
      </c>
      <c r="R2039" s="11">
        <v>2.81433</v>
      </c>
      <c r="S2039" s="38">
        <f t="shared" si="285"/>
        <v>3</v>
      </c>
      <c r="T2039" s="11">
        <v>28.574999999999999</v>
      </c>
      <c r="U2039" s="11">
        <v>2.35</v>
      </c>
      <c r="V2039" s="11">
        <v>0.55000000000000004</v>
      </c>
      <c r="W2039" s="11">
        <v>0.27500000000000002</v>
      </c>
      <c r="X2039" s="11">
        <v>5.1818299999999997</v>
      </c>
      <c r="Y2039" s="38">
        <f t="shared" si="286"/>
        <v>5</v>
      </c>
      <c r="Z2039" s="11">
        <v>0</v>
      </c>
      <c r="AA2039" s="11">
        <v>0</v>
      </c>
      <c r="AB2039" s="11">
        <f>T2039+U2039+V2039+W2039</f>
        <v>31.75</v>
      </c>
      <c r="AC2039" s="11">
        <v>1.33229</v>
      </c>
      <c r="AD2039" s="11">
        <v>0</v>
      </c>
      <c r="AE2039" s="11">
        <v>0</v>
      </c>
      <c r="AF2039" s="11">
        <f t="shared" si="298"/>
        <v>0</v>
      </c>
      <c r="AG2039" s="38">
        <f t="shared" si="287"/>
        <v>0</v>
      </c>
      <c r="AH2039" s="11">
        <v>0</v>
      </c>
      <c r="AI2039" s="38">
        <f t="shared" si="299"/>
        <v>0</v>
      </c>
      <c r="AJ2039" s="11">
        <v>0</v>
      </c>
      <c r="AK2039" s="38">
        <f t="shared" si="300"/>
        <v>0</v>
      </c>
      <c r="AL2039" s="11">
        <v>0</v>
      </c>
      <c r="AM2039" s="38">
        <f t="shared" si="301"/>
        <v>0</v>
      </c>
      <c r="AN2039" s="40"/>
      <c r="AO2039" s="40"/>
      <c r="AP2039" s="40"/>
      <c r="AQ2039" s="25"/>
      <c r="AR2039" s="25"/>
      <c r="AS2039" s="25"/>
      <c r="AT2039" s="25"/>
      <c r="AU2039" s="25">
        <f t="shared" ref="AU2039:AU2045" si="306">SUM(N2039:Q2039)</f>
        <v>31.750000000000004</v>
      </c>
      <c r="AV2039" s="41">
        <f t="shared" ref="AV2039:AV2045" si="307">SUM(T2039:W2039)</f>
        <v>31.75</v>
      </c>
      <c r="AW2039" s="41"/>
      <c r="AX2039" s="41"/>
      <c r="AY2039" s="41"/>
      <c r="AZ2039" s="22"/>
      <c r="BA2039" s="22"/>
      <c r="BB2039" s="22"/>
      <c r="BC2039" s="22"/>
      <c r="BD2039" s="22"/>
      <c r="BE2039" s="22"/>
      <c r="BF2039" s="22"/>
      <c r="BG2039" s="22"/>
      <c r="BH2039" s="22"/>
      <c r="BI2039" s="22"/>
      <c r="BJ2039" s="22"/>
      <c r="BK2039" s="22"/>
      <c r="BL2039" s="22"/>
      <c r="BM2039" s="22"/>
      <c r="BN2039" s="22"/>
      <c r="BO2039" s="22"/>
      <c r="BP2039" s="22"/>
      <c r="BQ2039" s="22"/>
      <c r="BR2039" s="22"/>
      <c r="BS2039" s="22"/>
      <c r="BT2039" s="22"/>
      <c r="BU2039" s="22"/>
      <c r="BV2039" s="22"/>
      <c r="BW2039" s="22"/>
      <c r="BX2039" s="22"/>
      <c r="BY2039" s="22"/>
      <c r="BZ2039" s="22"/>
      <c r="CA2039" s="22"/>
      <c r="CB2039" s="22"/>
      <c r="CC2039" s="22"/>
      <c r="CD2039" s="22"/>
      <c r="CE2039" s="22"/>
      <c r="CF2039" s="22"/>
      <c r="CG2039" s="22"/>
      <c r="CH2039" s="22"/>
      <c r="CI2039" s="22"/>
      <c r="CJ2039" s="22"/>
    </row>
    <row r="2040" spans="1:88">
      <c r="A2040" s="1">
        <v>967</v>
      </c>
      <c r="B2040" s="9" t="s">
        <v>1359</v>
      </c>
      <c r="C2040" s="9">
        <v>612</v>
      </c>
      <c r="D2040" s="8">
        <v>2148</v>
      </c>
      <c r="E2040" s="9">
        <v>102</v>
      </c>
      <c r="F2040" s="9" t="s">
        <v>1366</v>
      </c>
      <c r="G2040" s="20">
        <v>19300</v>
      </c>
      <c r="H2040" s="20">
        <v>21166</v>
      </c>
      <c r="I2040" s="35">
        <v>1.8660000000000001</v>
      </c>
      <c r="J2040" s="9">
        <v>4</v>
      </c>
      <c r="K2040" s="9" t="s">
        <v>237</v>
      </c>
      <c r="L2040" s="18">
        <v>42115</v>
      </c>
      <c r="M2040" s="9" t="s">
        <v>191</v>
      </c>
      <c r="N2040" s="11">
        <v>0.57499999999999996</v>
      </c>
      <c r="O2040" s="11">
        <v>0.65</v>
      </c>
      <c r="P2040" s="11">
        <v>0.42499999999999999</v>
      </c>
      <c r="Q2040" s="11">
        <v>0.2</v>
      </c>
      <c r="R2040" s="11">
        <v>3.3990499999999999</v>
      </c>
      <c r="S2040" s="38">
        <f t="shared" si="285"/>
        <v>3.5</v>
      </c>
      <c r="T2040" s="11">
        <v>0.2</v>
      </c>
      <c r="U2040" s="11">
        <v>0.82499999999999996</v>
      </c>
      <c r="V2040" s="11">
        <v>0.5</v>
      </c>
      <c r="W2040" s="11">
        <v>0.32500000000000001</v>
      </c>
      <c r="X2040" s="11">
        <v>15.4803</v>
      </c>
      <c r="Y2040" s="38">
        <f t="shared" si="286"/>
        <v>15.5</v>
      </c>
      <c r="Z2040" s="11">
        <v>0</v>
      </c>
      <c r="AA2040" s="11">
        <v>0</v>
      </c>
      <c r="AB2040" s="11">
        <f t="shared" ref="AB2040:AB2057" si="308">SUM(N2040:Q2040)</f>
        <v>1.85</v>
      </c>
      <c r="AC2040" s="11">
        <v>1.0382</v>
      </c>
      <c r="AD2040" s="11">
        <v>0</v>
      </c>
      <c r="AE2040" s="11">
        <v>0</v>
      </c>
      <c r="AF2040" s="11">
        <v>0</v>
      </c>
      <c r="AG2040" s="38">
        <f t="shared" si="287"/>
        <v>0</v>
      </c>
      <c r="AH2040" s="11">
        <v>79</v>
      </c>
      <c r="AI2040" s="11">
        <v>1.2096199999999999</v>
      </c>
      <c r="AJ2040" s="11">
        <v>0</v>
      </c>
      <c r="AK2040" s="11">
        <v>0</v>
      </c>
      <c r="AL2040" s="11">
        <v>0</v>
      </c>
      <c r="AM2040" s="11">
        <v>0</v>
      </c>
      <c r="AN2040" s="72"/>
      <c r="AO2040" s="72"/>
      <c r="AP2040" s="72">
        <f t="shared" ref="AP2040:AP2045" si="309">AE2040*0.5</f>
        <v>0</v>
      </c>
      <c r="AQ2040" s="25">
        <f t="shared" ref="AQ2040:AQ2045" si="310">(AD2039+AH2039+AJ2039+AL2039+AP2040)*I2039</f>
        <v>0</v>
      </c>
      <c r="AR2040" s="25"/>
      <c r="AS2040" s="25"/>
      <c r="AT2040" s="25"/>
      <c r="AU2040" s="25">
        <f t="shared" si="306"/>
        <v>1.85</v>
      </c>
      <c r="AV2040" s="41">
        <f t="shared" si="307"/>
        <v>1.8499999999999999</v>
      </c>
      <c r="AW2040" s="41"/>
      <c r="AX2040" s="41"/>
      <c r="AY2040" s="41"/>
      <c r="AZ2040" s="22"/>
      <c r="BA2040" s="22"/>
      <c r="BB2040" s="22"/>
      <c r="BC2040" s="22"/>
      <c r="BD2040" s="22"/>
      <c r="BE2040" s="22"/>
      <c r="BF2040" s="22"/>
      <c r="BG2040" s="22"/>
      <c r="BH2040" s="22"/>
      <c r="BI2040" s="22"/>
      <c r="BJ2040" s="22"/>
      <c r="BK2040" s="22"/>
      <c r="BL2040" s="22"/>
      <c r="BM2040" s="22"/>
      <c r="BN2040" s="22"/>
      <c r="BO2040" s="22"/>
      <c r="BP2040" s="22"/>
      <c r="BQ2040" s="22"/>
      <c r="BR2040" s="22"/>
      <c r="BS2040" s="22"/>
      <c r="BT2040" s="22"/>
      <c r="BU2040" s="22"/>
      <c r="BV2040" s="22"/>
      <c r="BW2040" s="22"/>
      <c r="BX2040" s="22"/>
      <c r="BY2040" s="22"/>
      <c r="BZ2040" s="22"/>
      <c r="CA2040" s="22"/>
      <c r="CB2040" s="22"/>
      <c r="CC2040" s="22"/>
      <c r="CD2040" s="22"/>
      <c r="CE2040" s="22"/>
      <c r="CF2040" s="22"/>
      <c r="CG2040" s="22"/>
      <c r="CH2040" s="22"/>
      <c r="CI2040" s="22"/>
      <c r="CJ2040" s="22"/>
    </row>
    <row r="2041" spans="1:88">
      <c r="A2041" s="1">
        <v>968</v>
      </c>
      <c r="B2041" s="9" t="s">
        <v>1359</v>
      </c>
      <c r="C2041" s="9">
        <v>612</v>
      </c>
      <c r="D2041" s="8">
        <v>2148</v>
      </c>
      <c r="E2041" s="9">
        <v>102</v>
      </c>
      <c r="F2041" s="9" t="s">
        <v>1366</v>
      </c>
      <c r="G2041" s="20">
        <v>21166</v>
      </c>
      <c r="H2041" s="20">
        <v>19300</v>
      </c>
      <c r="I2041" s="35">
        <v>1.8660000000000001</v>
      </c>
      <c r="J2041" s="9">
        <v>4</v>
      </c>
      <c r="K2041" s="9" t="s">
        <v>96</v>
      </c>
      <c r="L2041" s="18">
        <v>42115</v>
      </c>
      <c r="M2041" s="9" t="s">
        <v>191</v>
      </c>
      <c r="N2041" s="11">
        <v>1.075</v>
      </c>
      <c r="O2041" s="11">
        <v>0.7</v>
      </c>
      <c r="P2041" s="11">
        <v>7.4999999999999997E-2</v>
      </c>
      <c r="Q2041" s="11">
        <v>0.05</v>
      </c>
      <c r="R2041" s="11">
        <v>2.6234199999999999</v>
      </c>
      <c r="S2041" s="38">
        <f t="shared" si="285"/>
        <v>2.5</v>
      </c>
      <c r="T2041" s="11">
        <v>0.42499999999999999</v>
      </c>
      <c r="U2041" s="11">
        <v>0.55000000000000004</v>
      </c>
      <c r="V2041" s="11">
        <v>0.75</v>
      </c>
      <c r="W2041" s="11">
        <v>0.17499999999999999</v>
      </c>
      <c r="X2041" s="11">
        <v>13.9063</v>
      </c>
      <c r="Y2041" s="38">
        <f t="shared" si="286"/>
        <v>14</v>
      </c>
      <c r="Z2041" s="11">
        <v>0</v>
      </c>
      <c r="AA2041" s="11">
        <v>0</v>
      </c>
      <c r="AB2041" s="11">
        <f t="shared" si="308"/>
        <v>1.9</v>
      </c>
      <c r="AC2041" s="11">
        <v>1.06236</v>
      </c>
      <c r="AD2041" s="11">
        <v>0</v>
      </c>
      <c r="AE2041" s="11">
        <v>0</v>
      </c>
      <c r="AF2041" s="11">
        <v>0</v>
      </c>
      <c r="AG2041" s="38">
        <f t="shared" si="287"/>
        <v>0</v>
      </c>
      <c r="AH2041" s="11">
        <v>22</v>
      </c>
      <c r="AI2041" s="11">
        <v>0.33684999999999998</v>
      </c>
      <c r="AJ2041" s="11">
        <v>0</v>
      </c>
      <c r="AK2041" s="11">
        <v>0</v>
      </c>
      <c r="AL2041" s="11">
        <v>0</v>
      </c>
      <c r="AM2041" s="11">
        <v>0</v>
      </c>
      <c r="AN2041" s="72"/>
      <c r="AO2041" s="72"/>
      <c r="AP2041" s="72">
        <f t="shared" si="309"/>
        <v>0</v>
      </c>
      <c r="AQ2041" s="25">
        <f t="shared" si="310"/>
        <v>147.41400000000002</v>
      </c>
      <c r="AR2041" s="25"/>
      <c r="AS2041" s="25"/>
      <c r="AT2041" s="25"/>
      <c r="AU2041" s="25">
        <f t="shared" si="306"/>
        <v>1.9</v>
      </c>
      <c r="AV2041" s="41">
        <f t="shared" si="307"/>
        <v>1.9000000000000001</v>
      </c>
      <c r="AW2041" s="41"/>
      <c r="AX2041" s="41"/>
      <c r="AY2041" s="41"/>
      <c r="AZ2041" s="22"/>
      <c r="BA2041" s="22"/>
      <c r="BB2041" s="22"/>
      <c r="BC2041" s="22"/>
      <c r="BD2041" s="22"/>
      <c r="BE2041" s="22"/>
      <c r="BF2041" s="22"/>
      <c r="BG2041" s="22"/>
      <c r="BH2041" s="22"/>
      <c r="BI2041" s="22"/>
      <c r="BJ2041" s="22"/>
      <c r="BK2041" s="22"/>
      <c r="BL2041" s="22"/>
      <c r="BM2041" s="22"/>
      <c r="BN2041" s="22"/>
      <c r="BO2041" s="22"/>
      <c r="BP2041" s="22"/>
      <c r="BQ2041" s="22"/>
      <c r="BR2041" s="22"/>
      <c r="BS2041" s="22"/>
      <c r="BT2041" s="22"/>
      <c r="BU2041" s="22"/>
      <c r="BV2041" s="22"/>
      <c r="BW2041" s="22"/>
      <c r="BX2041" s="22"/>
      <c r="BY2041" s="22"/>
      <c r="BZ2041" s="22"/>
      <c r="CA2041" s="22"/>
      <c r="CB2041" s="22"/>
      <c r="CC2041" s="22"/>
      <c r="CD2041" s="22"/>
      <c r="CE2041" s="22"/>
      <c r="CF2041" s="22"/>
      <c r="CG2041" s="22"/>
      <c r="CH2041" s="22"/>
      <c r="CI2041" s="22"/>
      <c r="CJ2041" s="22"/>
    </row>
    <row r="2042" spans="1:88">
      <c r="A2042" s="1">
        <v>971</v>
      </c>
      <c r="B2042" s="9" t="s">
        <v>1359</v>
      </c>
      <c r="C2042" s="9">
        <v>612</v>
      </c>
      <c r="D2042" s="8">
        <v>2198</v>
      </c>
      <c r="E2042" s="9">
        <v>100</v>
      </c>
      <c r="F2042" s="9" t="s">
        <v>1369</v>
      </c>
      <c r="G2042" s="20">
        <v>0</v>
      </c>
      <c r="H2042" s="20">
        <v>400</v>
      </c>
      <c r="I2042" s="35">
        <v>0.4</v>
      </c>
      <c r="J2042" s="9">
        <v>2</v>
      </c>
      <c r="K2042" s="9" t="s">
        <v>238</v>
      </c>
      <c r="L2042" s="18">
        <v>42115</v>
      </c>
      <c r="M2042" s="9" t="s">
        <v>191</v>
      </c>
      <c r="N2042" s="11">
        <v>0.77500000000000002</v>
      </c>
      <c r="O2042" s="11">
        <v>0.05</v>
      </c>
      <c r="P2042" s="11">
        <v>0.05</v>
      </c>
      <c r="Q2042" s="11">
        <v>2.5000000000000001E-2</v>
      </c>
      <c r="R2042" s="11">
        <v>2.0958299999999999</v>
      </c>
      <c r="S2042" s="38">
        <f t="shared" si="285"/>
        <v>2</v>
      </c>
      <c r="T2042" s="11">
        <v>0.9</v>
      </c>
      <c r="U2042" s="11">
        <v>0</v>
      </c>
      <c r="V2042" s="11">
        <v>0</v>
      </c>
      <c r="W2042" s="11">
        <v>0</v>
      </c>
      <c r="X2042" s="11">
        <v>3.12975</v>
      </c>
      <c r="Y2042" s="38">
        <f t="shared" si="286"/>
        <v>3</v>
      </c>
      <c r="Z2042" s="11">
        <v>0</v>
      </c>
      <c r="AA2042" s="11">
        <v>0</v>
      </c>
      <c r="AB2042" s="11">
        <f t="shared" si="308"/>
        <v>0.90000000000000013</v>
      </c>
      <c r="AC2042" s="11">
        <v>1.0750599999999999</v>
      </c>
      <c r="AD2042" s="11">
        <v>0</v>
      </c>
      <c r="AE2042" s="11">
        <v>0</v>
      </c>
      <c r="AF2042" s="11">
        <v>0</v>
      </c>
      <c r="AG2042" s="38">
        <f t="shared" si="287"/>
        <v>0</v>
      </c>
      <c r="AH2042" s="11">
        <v>0</v>
      </c>
      <c r="AI2042" s="11">
        <v>0</v>
      </c>
      <c r="AJ2042" s="11">
        <v>0</v>
      </c>
      <c r="AK2042" s="11">
        <v>0</v>
      </c>
      <c r="AL2042" s="11">
        <v>0</v>
      </c>
      <c r="AM2042" s="11">
        <v>0</v>
      </c>
      <c r="AN2042" s="72"/>
      <c r="AO2042" s="72"/>
      <c r="AP2042" s="72">
        <f t="shared" si="309"/>
        <v>0</v>
      </c>
      <c r="AQ2042" s="25">
        <f t="shared" si="310"/>
        <v>41.052</v>
      </c>
      <c r="AR2042" s="25"/>
      <c r="AS2042" s="25"/>
      <c r="AT2042" s="25"/>
      <c r="AU2042" s="25">
        <f t="shared" si="306"/>
        <v>0.90000000000000013</v>
      </c>
      <c r="AV2042" s="41">
        <f t="shared" si="307"/>
        <v>0.9</v>
      </c>
      <c r="AW2042" s="41"/>
      <c r="AX2042" s="41"/>
      <c r="AY2042" s="41"/>
      <c r="AZ2042" s="22"/>
      <c r="BA2042" s="22"/>
      <c r="BB2042" s="22"/>
      <c r="BC2042" s="22"/>
      <c r="BD2042" s="22"/>
      <c r="BE2042" s="22"/>
      <c r="BF2042" s="22"/>
      <c r="BG2042" s="22"/>
      <c r="BH2042" s="22"/>
      <c r="BI2042" s="22"/>
      <c r="BJ2042" s="22"/>
      <c r="BK2042" s="22"/>
      <c r="BL2042" s="22"/>
      <c r="BM2042" s="22"/>
      <c r="BN2042" s="22"/>
      <c r="BO2042" s="22"/>
      <c r="BP2042" s="22"/>
      <c r="BQ2042" s="22"/>
      <c r="BR2042" s="22"/>
      <c r="BS2042" s="22"/>
      <c r="BT2042" s="22"/>
      <c r="BU2042" s="22"/>
      <c r="BV2042" s="22"/>
      <c r="BW2042" s="22"/>
      <c r="BX2042" s="22"/>
      <c r="BY2042" s="22"/>
      <c r="BZ2042" s="22"/>
      <c r="CA2042" s="22"/>
      <c r="CB2042" s="22"/>
      <c r="CC2042" s="22"/>
      <c r="CD2042" s="22"/>
      <c r="CE2042" s="22"/>
      <c r="CF2042" s="22"/>
      <c r="CG2042" s="22"/>
      <c r="CH2042" s="22"/>
      <c r="CI2042" s="22"/>
      <c r="CJ2042" s="22"/>
    </row>
    <row r="2043" spans="1:88">
      <c r="A2043" s="1">
        <v>972</v>
      </c>
      <c r="B2043" s="9" t="s">
        <v>1359</v>
      </c>
      <c r="C2043" s="9">
        <v>612</v>
      </c>
      <c r="D2043" s="8">
        <v>2217</v>
      </c>
      <c r="E2043" s="9">
        <v>100</v>
      </c>
      <c r="F2043" s="9" t="s">
        <v>1370</v>
      </c>
      <c r="G2043" s="20">
        <v>0</v>
      </c>
      <c r="H2043" s="20">
        <v>23446</v>
      </c>
      <c r="I2043" s="35">
        <v>23.446000000000002</v>
      </c>
      <c r="J2043" s="9">
        <v>2</v>
      </c>
      <c r="K2043" s="9" t="s">
        <v>238</v>
      </c>
      <c r="L2043" s="18">
        <v>42116</v>
      </c>
      <c r="M2043" s="9" t="s">
        <v>191</v>
      </c>
      <c r="N2043" s="11">
        <v>19.079999999999998</v>
      </c>
      <c r="O2043" s="11">
        <v>3.25</v>
      </c>
      <c r="P2043" s="11">
        <v>0.65</v>
      </c>
      <c r="Q2043" s="11">
        <v>0.375</v>
      </c>
      <c r="R2043" s="11">
        <v>2.1086</v>
      </c>
      <c r="S2043" s="38">
        <f t="shared" si="285"/>
        <v>2</v>
      </c>
      <c r="T2043" s="11">
        <v>23</v>
      </c>
      <c r="U2043" s="11">
        <v>0.3</v>
      </c>
      <c r="V2043" s="11">
        <v>0.05</v>
      </c>
      <c r="W2043" s="11">
        <v>0</v>
      </c>
      <c r="X2043" s="11">
        <v>3.9210099999999999</v>
      </c>
      <c r="Y2043" s="38">
        <f t="shared" si="286"/>
        <v>4</v>
      </c>
      <c r="Z2043" s="11">
        <v>0</v>
      </c>
      <c r="AA2043" s="11">
        <v>0</v>
      </c>
      <c r="AB2043" s="11">
        <f t="shared" si="308"/>
        <v>23.354999999999997</v>
      </c>
      <c r="AC2043" s="11">
        <v>1.2365699999999999</v>
      </c>
      <c r="AD2043" s="11">
        <v>0</v>
      </c>
      <c r="AE2043" s="11">
        <v>0</v>
      </c>
      <c r="AF2043" s="11">
        <v>0</v>
      </c>
      <c r="AG2043" s="38">
        <f t="shared" si="287"/>
        <v>0</v>
      </c>
      <c r="AH2043" s="11">
        <v>350</v>
      </c>
      <c r="AI2043" s="11">
        <v>0.42651</v>
      </c>
      <c r="AJ2043" s="11">
        <v>0</v>
      </c>
      <c r="AK2043" s="11">
        <v>0</v>
      </c>
      <c r="AL2043" s="11">
        <v>4</v>
      </c>
      <c r="AM2043" s="11">
        <v>4.8700000000000002E-3</v>
      </c>
      <c r="AN2043" s="72"/>
      <c r="AO2043" s="72"/>
      <c r="AP2043" s="72">
        <f t="shared" si="309"/>
        <v>0</v>
      </c>
      <c r="AQ2043" s="25">
        <f t="shared" si="310"/>
        <v>0</v>
      </c>
      <c r="AR2043" s="25"/>
      <c r="AS2043" s="25"/>
      <c r="AT2043" s="25"/>
      <c r="AU2043" s="25">
        <f t="shared" si="306"/>
        <v>23.354999999999997</v>
      </c>
      <c r="AV2043" s="41">
        <f t="shared" si="307"/>
        <v>23.35</v>
      </c>
      <c r="AW2043" s="41"/>
      <c r="AX2043" s="41"/>
      <c r="AY2043" s="41"/>
      <c r="AZ2043" s="22"/>
    </row>
    <row r="2044" spans="1:88">
      <c r="A2044" s="1">
        <v>978</v>
      </c>
      <c r="B2044" s="9" t="s">
        <v>1359</v>
      </c>
      <c r="C2044" s="9">
        <v>612</v>
      </c>
      <c r="D2044" s="8">
        <v>2274</v>
      </c>
      <c r="E2044" s="9">
        <v>100</v>
      </c>
      <c r="F2044" s="9" t="s">
        <v>1377</v>
      </c>
      <c r="G2044" s="20">
        <v>0</v>
      </c>
      <c r="H2044" s="20">
        <v>10521</v>
      </c>
      <c r="I2044" s="35">
        <v>10.521000000000001</v>
      </c>
      <c r="J2044" s="9">
        <v>2</v>
      </c>
      <c r="K2044" s="9" t="s">
        <v>238</v>
      </c>
      <c r="L2044" s="18">
        <v>42117</v>
      </c>
      <c r="M2044" s="9" t="s">
        <v>191</v>
      </c>
      <c r="N2044" s="11">
        <v>5.125</v>
      </c>
      <c r="O2044" s="11">
        <v>2.5750000000000002</v>
      </c>
      <c r="P2044" s="11">
        <v>1.1499999999999999</v>
      </c>
      <c r="Q2044" s="11">
        <v>0.47499999999999998</v>
      </c>
      <c r="R2044" s="11">
        <v>0.93700000000000006</v>
      </c>
      <c r="S2044" s="38">
        <f t="shared" si="285"/>
        <v>1</v>
      </c>
      <c r="T2044" s="11">
        <v>8.875</v>
      </c>
      <c r="U2044" s="11">
        <v>0.35</v>
      </c>
      <c r="V2044" s="11">
        <v>0.05</v>
      </c>
      <c r="W2044" s="11">
        <v>5.7079999999999999E-2</v>
      </c>
      <c r="X2044" s="11">
        <v>4.3825700000000003</v>
      </c>
      <c r="Y2044" s="38">
        <f t="shared" si="286"/>
        <v>4.5</v>
      </c>
      <c r="Z2044" s="11">
        <v>0</v>
      </c>
      <c r="AA2044" s="11">
        <v>0</v>
      </c>
      <c r="AB2044" s="11">
        <f t="shared" si="308"/>
        <v>9.3249999999999993</v>
      </c>
      <c r="AC2044" s="11">
        <v>1.48865</v>
      </c>
      <c r="AD2044" s="11">
        <v>0</v>
      </c>
      <c r="AE2044" s="11">
        <v>0</v>
      </c>
      <c r="AF2044" s="11">
        <v>0</v>
      </c>
      <c r="AG2044" s="38">
        <f t="shared" si="287"/>
        <v>0</v>
      </c>
      <c r="AH2044" s="11">
        <v>197</v>
      </c>
      <c r="AI2044" s="11">
        <v>0.93700000000000006</v>
      </c>
      <c r="AJ2044" s="11">
        <v>0</v>
      </c>
      <c r="AK2044" s="11">
        <v>0</v>
      </c>
      <c r="AL2044" s="11">
        <v>12</v>
      </c>
      <c r="AM2044" s="11">
        <v>5.7079999999999999E-2</v>
      </c>
      <c r="AN2044" s="72"/>
      <c r="AO2044" s="72"/>
      <c r="AP2044" s="72">
        <f t="shared" si="309"/>
        <v>0</v>
      </c>
      <c r="AQ2044" s="25">
        <f t="shared" si="310"/>
        <v>8299.884</v>
      </c>
      <c r="AR2044" s="25"/>
      <c r="AS2044" s="25"/>
      <c r="AT2044" s="25"/>
      <c r="AU2044" s="25">
        <f t="shared" si="306"/>
        <v>9.3249999999999993</v>
      </c>
      <c r="AV2044" s="41">
        <f t="shared" si="307"/>
        <v>9.3320799999999995</v>
      </c>
      <c r="AW2044" s="41"/>
      <c r="AX2044" s="41"/>
      <c r="AY2044" s="41"/>
      <c r="AZ2044" s="22"/>
      <c r="BA2044" s="22"/>
      <c r="BB2044" s="22"/>
      <c r="BC2044" s="22"/>
      <c r="BD2044" s="22"/>
      <c r="BE2044" s="22"/>
      <c r="BF2044" s="22"/>
      <c r="BG2044" s="22"/>
      <c r="BH2044" s="22"/>
      <c r="BI2044" s="22"/>
      <c r="BJ2044" s="22"/>
      <c r="BK2044" s="22"/>
      <c r="BL2044" s="22"/>
      <c r="BM2044" s="22"/>
      <c r="BN2044" s="22"/>
      <c r="BO2044" s="22"/>
      <c r="BP2044" s="22"/>
      <c r="BQ2044" s="22"/>
      <c r="BR2044" s="22"/>
      <c r="BS2044" s="22"/>
      <c r="BT2044" s="22"/>
      <c r="BU2044" s="22"/>
      <c r="BV2044" s="22"/>
      <c r="BW2044" s="22"/>
      <c r="BX2044" s="22"/>
      <c r="BY2044" s="22"/>
      <c r="BZ2044" s="22"/>
      <c r="CA2044" s="22"/>
      <c r="CB2044" s="22"/>
      <c r="CC2044" s="22"/>
      <c r="CD2044" s="22"/>
      <c r="CE2044" s="22"/>
      <c r="CF2044" s="22"/>
      <c r="CG2044" s="22"/>
      <c r="CH2044" s="22"/>
      <c r="CI2044" s="22"/>
      <c r="CJ2044" s="22"/>
    </row>
    <row r="2045" spans="1:88">
      <c r="A2045" s="1">
        <v>980</v>
      </c>
      <c r="B2045" s="9" t="s">
        <v>1359</v>
      </c>
      <c r="C2045" s="9">
        <v>612</v>
      </c>
      <c r="D2045" s="8">
        <v>2434</v>
      </c>
      <c r="E2045" s="9">
        <v>100</v>
      </c>
      <c r="F2045" s="9" t="s">
        <v>1379</v>
      </c>
      <c r="G2045" s="20">
        <v>0</v>
      </c>
      <c r="H2045" s="20">
        <v>6007</v>
      </c>
      <c r="I2045" s="35">
        <v>6.0069999999999997</v>
      </c>
      <c r="J2045" s="9">
        <v>4</v>
      </c>
      <c r="K2045" s="9" t="s">
        <v>237</v>
      </c>
      <c r="L2045" s="18">
        <v>42116</v>
      </c>
      <c r="M2045" s="9" t="s">
        <v>191</v>
      </c>
      <c r="N2045" s="11">
        <v>5.1749999999999998</v>
      </c>
      <c r="O2045" s="11">
        <v>0.27500000000000002</v>
      </c>
      <c r="P2045" s="11">
        <v>0.25</v>
      </c>
      <c r="Q2045" s="11">
        <v>0.27500000000000002</v>
      </c>
      <c r="R2045" s="11">
        <v>2.3087399999999998</v>
      </c>
      <c r="S2045" s="38">
        <f t="shared" si="285"/>
        <v>2.5</v>
      </c>
      <c r="T2045" s="11">
        <v>5.7249999999999996</v>
      </c>
      <c r="U2045" s="11">
        <v>0.22500000000000001</v>
      </c>
      <c r="V2045" s="11">
        <v>2.5000000000000001E-2</v>
      </c>
      <c r="W2045" s="11">
        <v>0</v>
      </c>
      <c r="X2045" s="11">
        <v>3.8826800000000001</v>
      </c>
      <c r="Y2045" s="38">
        <f t="shared" si="286"/>
        <v>4</v>
      </c>
      <c r="Z2045" s="11">
        <v>0</v>
      </c>
      <c r="AA2045" s="11">
        <v>0</v>
      </c>
      <c r="AB2045" s="11">
        <f t="shared" si="308"/>
        <v>5.9750000000000005</v>
      </c>
      <c r="AC2045" s="11">
        <v>1.1619699999999999</v>
      </c>
      <c r="AD2045" s="11">
        <v>0</v>
      </c>
      <c r="AE2045" s="11">
        <v>0</v>
      </c>
      <c r="AF2045" s="11">
        <v>0</v>
      </c>
      <c r="AG2045" s="38">
        <f t="shared" si="287"/>
        <v>0</v>
      </c>
      <c r="AH2045" s="11">
        <v>197</v>
      </c>
      <c r="AI2045" s="11">
        <v>0.93700000000000006</v>
      </c>
      <c r="AJ2045" s="11">
        <v>0</v>
      </c>
      <c r="AK2045" s="11">
        <v>0</v>
      </c>
      <c r="AL2045" s="11">
        <v>12</v>
      </c>
      <c r="AM2045" s="11">
        <v>5.7079999999999999E-2</v>
      </c>
      <c r="AN2045" s="72"/>
      <c r="AO2045" s="72"/>
      <c r="AP2045" s="72">
        <f t="shared" si="309"/>
        <v>0</v>
      </c>
      <c r="AQ2045" s="25">
        <f t="shared" si="310"/>
        <v>2198.8890000000001</v>
      </c>
      <c r="AR2045" s="25"/>
      <c r="AS2045" s="25"/>
      <c r="AT2045" s="25"/>
      <c r="AU2045" s="25">
        <f t="shared" si="306"/>
        <v>5.9750000000000005</v>
      </c>
      <c r="AV2045" s="41">
        <f t="shared" si="307"/>
        <v>5.9749999999999996</v>
      </c>
      <c r="AW2045" s="41"/>
      <c r="AX2045" s="41"/>
      <c r="AY2045" s="41"/>
      <c r="AZ2045" s="22"/>
      <c r="BA2045" s="22"/>
      <c r="BB2045" s="22"/>
      <c r="BC2045" s="22"/>
      <c r="BD2045" s="22"/>
      <c r="BE2045" s="22"/>
      <c r="BF2045" s="22"/>
      <c r="BG2045" s="22"/>
      <c r="BH2045" s="22"/>
      <c r="BI2045" s="22"/>
      <c r="BJ2045" s="22"/>
      <c r="BK2045" s="22"/>
      <c r="BL2045" s="22"/>
      <c r="BM2045" s="22"/>
      <c r="BN2045" s="22"/>
      <c r="BO2045" s="22"/>
      <c r="BP2045" s="22"/>
      <c r="BQ2045" s="22"/>
      <c r="BR2045" s="22"/>
      <c r="BS2045" s="22"/>
      <c r="BT2045" s="22"/>
      <c r="BU2045" s="22"/>
      <c r="BV2045" s="22"/>
      <c r="BW2045" s="22"/>
      <c r="BX2045" s="22"/>
      <c r="BY2045" s="22"/>
      <c r="BZ2045" s="22"/>
      <c r="CA2045" s="22"/>
      <c r="CB2045" s="22"/>
      <c r="CC2045" s="22"/>
      <c r="CD2045" s="22"/>
      <c r="CE2045" s="22"/>
      <c r="CF2045" s="22"/>
      <c r="CG2045" s="22"/>
      <c r="CH2045" s="22"/>
      <c r="CI2045" s="22"/>
      <c r="CJ2045" s="22"/>
    </row>
    <row r="2046" spans="1:88">
      <c r="A2046" s="1">
        <v>983</v>
      </c>
      <c r="B2046" s="91" t="s">
        <v>1380</v>
      </c>
      <c r="C2046" s="91">
        <v>614</v>
      </c>
      <c r="D2046" s="165">
        <v>224</v>
      </c>
      <c r="E2046" s="91">
        <v>202</v>
      </c>
      <c r="F2046" s="91" t="s">
        <v>1382</v>
      </c>
      <c r="G2046" s="139">
        <v>33259</v>
      </c>
      <c r="H2046" s="139">
        <v>35759</v>
      </c>
      <c r="I2046" s="140">
        <v>2.5</v>
      </c>
      <c r="J2046" s="166">
        <v>4</v>
      </c>
      <c r="K2046" s="91" t="s">
        <v>238</v>
      </c>
      <c r="L2046" s="142">
        <v>42125</v>
      </c>
      <c r="M2046" s="9" t="s">
        <v>191</v>
      </c>
      <c r="N2046" s="38">
        <v>2.0750000000000002</v>
      </c>
      <c r="O2046" s="38">
        <v>0.25</v>
      </c>
      <c r="P2046" s="38">
        <v>0.2</v>
      </c>
      <c r="Q2046" s="38">
        <v>2.5000000000000001E-2</v>
      </c>
      <c r="R2046" s="38">
        <v>1.8643099999999999</v>
      </c>
      <c r="S2046" s="38">
        <f t="shared" si="285"/>
        <v>2</v>
      </c>
      <c r="T2046" s="38">
        <v>2.5499999999999998</v>
      </c>
      <c r="U2046" s="38">
        <v>0</v>
      </c>
      <c r="V2046" s="38">
        <v>0</v>
      </c>
      <c r="W2046" s="38">
        <v>0</v>
      </c>
      <c r="X2046" s="38">
        <v>2.9239099999999998</v>
      </c>
      <c r="Y2046" s="38">
        <f t="shared" si="286"/>
        <v>3</v>
      </c>
      <c r="Z2046" s="38">
        <v>0</v>
      </c>
      <c r="AA2046" s="38">
        <v>0</v>
      </c>
      <c r="AB2046" s="38">
        <f t="shared" si="308"/>
        <v>2.5500000000000003</v>
      </c>
      <c r="AC2046" s="38">
        <v>1.3077799999999999</v>
      </c>
      <c r="AD2046" s="38">
        <v>0</v>
      </c>
      <c r="AE2046" s="38">
        <v>0</v>
      </c>
      <c r="AF2046" s="11">
        <f t="shared" ref="AF2046:AF2061" si="311">(AD2046+AE2046*0.5)/(3.5*I2046*1000)*100</f>
        <v>0</v>
      </c>
      <c r="AG2046" s="38">
        <f t="shared" si="287"/>
        <v>0</v>
      </c>
      <c r="AH2046" s="38">
        <v>0</v>
      </c>
      <c r="AI2046" s="38">
        <f t="shared" ref="AI2046:AI2061" si="312">AH2046/(3.5*I2046*1000)*100</f>
        <v>0</v>
      </c>
      <c r="AJ2046" s="38">
        <v>0</v>
      </c>
      <c r="AK2046" s="38">
        <f t="shared" ref="AK2046:AK2061" si="313">AJ2046/(3.5*I2046*1000)*100</f>
        <v>0</v>
      </c>
      <c r="AL2046" s="38">
        <v>0</v>
      </c>
      <c r="AM2046" s="38">
        <f t="shared" ref="AM2046:AM2061" si="314">AL2046/(3.5*I2046*1000)*100</f>
        <v>0</v>
      </c>
      <c r="AN2046" s="25"/>
      <c r="AO2046" s="25">
        <f>(AD2046+AH2046+AJ2046+AL2046)*I2046</f>
        <v>0</v>
      </c>
      <c r="AP2046" s="25"/>
      <c r="AQ2046" s="25">
        <f>SUM(N2046:Q2046)</f>
        <v>2.5500000000000003</v>
      </c>
      <c r="AR2046" s="25">
        <f>SUM(T2046:W2046)</f>
        <v>2.5499999999999998</v>
      </c>
      <c r="AS2046" s="273">
        <v>2.5</v>
      </c>
      <c r="AT2046" s="41"/>
      <c r="AU2046" s="41"/>
      <c r="AV2046" s="144"/>
      <c r="AW2046" s="100"/>
      <c r="AX2046" s="100"/>
      <c r="AY2046" s="100"/>
      <c r="AZ2046" s="100"/>
      <c r="BA2046" s="100"/>
      <c r="BB2046" s="100"/>
      <c r="BC2046" s="100"/>
      <c r="BD2046" s="100"/>
      <c r="BE2046" s="100"/>
      <c r="BF2046" s="100"/>
      <c r="BG2046" s="100"/>
      <c r="BH2046" s="100"/>
      <c r="BI2046" s="100"/>
      <c r="BJ2046" s="100"/>
      <c r="BK2046" s="100"/>
      <c r="BL2046" s="100"/>
      <c r="BM2046" s="100"/>
      <c r="BN2046" s="100"/>
      <c r="BO2046" s="100"/>
      <c r="BP2046" s="100"/>
      <c r="BQ2046" s="100"/>
      <c r="BR2046" s="100"/>
      <c r="BS2046" s="100"/>
      <c r="BT2046" s="100"/>
      <c r="BU2046" s="100"/>
      <c r="BV2046" s="100"/>
      <c r="BW2046" s="100"/>
      <c r="BX2046" s="100"/>
      <c r="BY2046" s="100"/>
      <c r="BZ2046" s="100"/>
      <c r="CA2046" s="100"/>
      <c r="CB2046" s="100"/>
      <c r="CC2046" s="100"/>
      <c r="CD2046" s="100"/>
      <c r="CE2046" s="100"/>
      <c r="CF2046" s="100"/>
      <c r="CG2046" s="100"/>
      <c r="CH2046" s="100"/>
      <c r="CI2046" s="100"/>
      <c r="CJ2046" s="100"/>
    </row>
    <row r="2047" spans="1:88">
      <c r="A2047" s="1">
        <v>984</v>
      </c>
      <c r="B2047" s="34" t="s">
        <v>1380</v>
      </c>
      <c r="C2047" s="34">
        <v>614</v>
      </c>
      <c r="D2047" s="161">
        <v>224</v>
      </c>
      <c r="E2047" s="34">
        <v>202</v>
      </c>
      <c r="F2047" s="34" t="s">
        <v>1382</v>
      </c>
      <c r="G2047" s="58">
        <v>35759</v>
      </c>
      <c r="H2047" s="139">
        <v>33259</v>
      </c>
      <c r="I2047" s="35">
        <v>2.5</v>
      </c>
      <c r="J2047" s="71">
        <v>4</v>
      </c>
      <c r="K2047" s="34" t="s">
        <v>12</v>
      </c>
      <c r="L2047" s="10">
        <v>42125</v>
      </c>
      <c r="M2047" s="9" t="s">
        <v>191</v>
      </c>
      <c r="N2047" s="38">
        <v>1.9259999999999999</v>
      </c>
      <c r="O2047" s="38">
        <v>0.32500000000000001</v>
      </c>
      <c r="P2047" s="38">
        <v>0.14099999999999999</v>
      </c>
      <c r="Q2047" s="38">
        <v>0.108</v>
      </c>
      <c r="R2047" s="38">
        <v>2.0443500000000001</v>
      </c>
      <c r="S2047" s="38">
        <f t="shared" si="285"/>
        <v>2</v>
      </c>
      <c r="T2047" s="38">
        <v>1.7390000000000001</v>
      </c>
      <c r="U2047" s="38">
        <v>0.59799999999999998</v>
      </c>
      <c r="V2047" s="38">
        <v>0.16300000000000001</v>
      </c>
      <c r="W2047" s="38">
        <v>0</v>
      </c>
      <c r="X2047" s="38">
        <v>8.2324800000000007</v>
      </c>
      <c r="Y2047" s="38">
        <f t="shared" si="286"/>
        <v>8</v>
      </c>
      <c r="Z2047" s="38">
        <v>0</v>
      </c>
      <c r="AA2047" s="38">
        <v>0</v>
      </c>
      <c r="AB2047" s="38">
        <f t="shared" si="308"/>
        <v>2.5</v>
      </c>
      <c r="AC2047" s="38">
        <v>1.15388</v>
      </c>
      <c r="AD2047" s="38">
        <v>0</v>
      </c>
      <c r="AE2047" s="38">
        <v>0</v>
      </c>
      <c r="AF2047" s="11">
        <f t="shared" si="311"/>
        <v>0</v>
      </c>
      <c r="AG2047" s="38">
        <f t="shared" si="287"/>
        <v>0</v>
      </c>
      <c r="AH2047" s="38">
        <v>16.73</v>
      </c>
      <c r="AI2047" s="38">
        <f t="shared" si="312"/>
        <v>0.19120000000000001</v>
      </c>
      <c r="AJ2047" s="38">
        <v>0</v>
      </c>
      <c r="AK2047" s="38">
        <f t="shared" si="313"/>
        <v>0</v>
      </c>
      <c r="AL2047" s="38">
        <v>0</v>
      </c>
      <c r="AM2047" s="38">
        <f t="shared" si="314"/>
        <v>0</v>
      </c>
      <c r="AN2047" s="25"/>
      <c r="AO2047" s="25">
        <f>(AD2047+AH2047+AJ2047+AL2047)*I2047</f>
        <v>41.825000000000003</v>
      </c>
      <c r="AP2047" s="25"/>
      <c r="AQ2047" s="25">
        <f>SUM(N2047:Q2047)</f>
        <v>2.5</v>
      </c>
      <c r="AR2047" s="25">
        <f>SUM(T2047:W2047)</f>
        <v>2.5</v>
      </c>
      <c r="AS2047" s="268">
        <v>2.5</v>
      </c>
      <c r="AT2047" s="41"/>
      <c r="AU2047" s="41"/>
      <c r="AV2047" s="41"/>
    </row>
    <row r="2048" spans="1:88">
      <c r="A2048" s="1">
        <v>986</v>
      </c>
      <c r="B2048" s="34" t="s">
        <v>1380</v>
      </c>
      <c r="C2048" s="34">
        <v>614</v>
      </c>
      <c r="D2048" s="8">
        <v>224</v>
      </c>
      <c r="E2048" s="34">
        <v>203</v>
      </c>
      <c r="F2048" s="34" t="s">
        <v>1383</v>
      </c>
      <c r="G2048" s="58">
        <v>104799</v>
      </c>
      <c r="H2048" s="58">
        <v>35759</v>
      </c>
      <c r="I2048" s="35">
        <v>69.040000000000006</v>
      </c>
      <c r="J2048" s="9">
        <v>4</v>
      </c>
      <c r="K2048" s="34" t="s">
        <v>12</v>
      </c>
      <c r="L2048" s="10">
        <v>42125</v>
      </c>
      <c r="M2048" s="9" t="s">
        <v>191</v>
      </c>
      <c r="N2048" s="38">
        <v>54.491999999999997</v>
      </c>
      <c r="O2048" s="38">
        <v>9.2739999999999991</v>
      </c>
      <c r="P2048" s="38">
        <v>3.69</v>
      </c>
      <c r="Q2048" s="38">
        <v>1.5840000000000001</v>
      </c>
      <c r="R2048" s="38">
        <v>2.0554999999999999</v>
      </c>
      <c r="S2048" s="38">
        <f t="shared" si="285"/>
        <v>2</v>
      </c>
      <c r="T2048" s="38">
        <v>64.668999999999997</v>
      </c>
      <c r="U2048" s="38">
        <v>3.86</v>
      </c>
      <c r="V2048" s="38">
        <v>0.48099999999999998</v>
      </c>
      <c r="W2048" s="38">
        <v>0.03</v>
      </c>
      <c r="X2048" s="38">
        <v>4.96089</v>
      </c>
      <c r="Y2048" s="38">
        <f t="shared" si="286"/>
        <v>5</v>
      </c>
      <c r="Z2048" s="38">
        <v>0</v>
      </c>
      <c r="AA2048" s="38">
        <v>0</v>
      </c>
      <c r="AB2048" s="38">
        <f t="shared" si="308"/>
        <v>69.040000000000006</v>
      </c>
      <c r="AC2048" s="38">
        <v>1.5159400000000001</v>
      </c>
      <c r="AD2048" s="38">
        <v>0</v>
      </c>
      <c r="AE2048" s="38">
        <v>0</v>
      </c>
      <c r="AF2048" s="11">
        <f t="shared" si="311"/>
        <v>0</v>
      </c>
      <c r="AG2048" s="38">
        <f t="shared" si="287"/>
        <v>0</v>
      </c>
      <c r="AH2048" s="38">
        <v>127.91</v>
      </c>
      <c r="AI2048" s="38">
        <f t="shared" si="312"/>
        <v>5.2934116868068197E-2</v>
      </c>
      <c r="AJ2048" s="38">
        <v>0</v>
      </c>
      <c r="AK2048" s="38">
        <f t="shared" si="313"/>
        <v>0</v>
      </c>
      <c r="AL2048" s="38">
        <v>0</v>
      </c>
      <c r="AM2048" s="38">
        <f t="shared" si="314"/>
        <v>0</v>
      </c>
      <c r="AN2048" s="25"/>
      <c r="AO2048" s="25">
        <f>(AD2048+AH2048+AJ2048+AL2048)*I2048</f>
        <v>8830.9063999999998</v>
      </c>
      <c r="AP2048" s="25"/>
      <c r="AQ2048" s="25">
        <f>SUM(N2048:Q2048)</f>
        <v>69.040000000000006</v>
      </c>
      <c r="AR2048" s="25">
        <f>SUM(T2048:W2048)</f>
        <v>69.039999999999992</v>
      </c>
      <c r="AS2048" s="268">
        <v>69.040000000000006</v>
      </c>
      <c r="AT2048" s="41"/>
      <c r="AU2048" s="41"/>
      <c r="AV2048" s="41"/>
      <c r="AW2048" s="22"/>
      <c r="AX2048" s="22"/>
      <c r="AY2048" s="22"/>
      <c r="AZ2048" s="22"/>
      <c r="BA2048" s="22"/>
      <c r="BB2048" s="22"/>
      <c r="BC2048" s="22"/>
      <c r="BD2048" s="22"/>
      <c r="BE2048" s="22"/>
      <c r="BF2048" s="22"/>
      <c r="BG2048" s="22"/>
      <c r="BH2048" s="22"/>
      <c r="BI2048" s="22"/>
      <c r="BJ2048" s="22"/>
      <c r="BK2048" s="22"/>
      <c r="BL2048" s="22"/>
      <c r="BM2048" s="22"/>
      <c r="BN2048" s="22"/>
      <c r="BO2048" s="22"/>
      <c r="BP2048" s="22"/>
      <c r="BQ2048" s="22"/>
      <c r="BR2048" s="22"/>
      <c r="BS2048" s="22"/>
      <c r="BT2048" s="22"/>
      <c r="BU2048" s="22"/>
      <c r="BV2048" s="22"/>
      <c r="BW2048" s="22"/>
      <c r="BX2048" s="22"/>
      <c r="BY2048" s="22"/>
      <c r="BZ2048" s="22"/>
      <c r="CA2048" s="22"/>
      <c r="CB2048" s="22"/>
      <c r="CC2048" s="22"/>
      <c r="CD2048" s="22"/>
      <c r="CE2048" s="22"/>
      <c r="CF2048" s="22"/>
      <c r="CG2048" s="22"/>
      <c r="CH2048" s="22"/>
      <c r="CI2048" s="22"/>
      <c r="CJ2048" s="22"/>
    </row>
    <row r="2049" spans="1:88">
      <c r="A2049" s="1">
        <v>987</v>
      </c>
      <c r="B2049" s="34" t="s">
        <v>1380</v>
      </c>
      <c r="C2049" s="34">
        <v>614</v>
      </c>
      <c r="D2049" s="8">
        <v>2072</v>
      </c>
      <c r="E2049" s="34">
        <v>100</v>
      </c>
      <c r="F2049" s="34" t="s">
        <v>1384</v>
      </c>
      <c r="G2049" s="58">
        <v>0</v>
      </c>
      <c r="H2049" s="58">
        <v>16600</v>
      </c>
      <c r="I2049" s="35">
        <v>16.600000000000001</v>
      </c>
      <c r="J2049" s="9">
        <v>2</v>
      </c>
      <c r="K2049" s="34" t="s">
        <v>238</v>
      </c>
      <c r="L2049" s="10">
        <v>42125</v>
      </c>
      <c r="M2049" s="9" t="s">
        <v>191</v>
      </c>
      <c r="N2049" s="38">
        <v>12.375</v>
      </c>
      <c r="O2049" s="38">
        <v>2.7250000000000001</v>
      </c>
      <c r="P2049" s="38">
        <v>1.1499999999999999</v>
      </c>
      <c r="Q2049" s="38">
        <v>0.27500000000000002</v>
      </c>
      <c r="R2049" s="38">
        <v>2.1673499999999999</v>
      </c>
      <c r="S2049" s="38">
        <f t="shared" si="285"/>
        <v>2</v>
      </c>
      <c r="T2049" s="38">
        <v>15.7</v>
      </c>
      <c r="U2049" s="38">
        <v>0.7</v>
      </c>
      <c r="V2049" s="38">
        <v>0.125</v>
      </c>
      <c r="W2049" s="38">
        <v>0</v>
      </c>
      <c r="X2049" s="38">
        <v>4.2302299999999997</v>
      </c>
      <c r="Y2049" s="38">
        <f t="shared" si="286"/>
        <v>4</v>
      </c>
      <c r="Z2049" s="38">
        <v>0</v>
      </c>
      <c r="AA2049" s="38">
        <v>0</v>
      </c>
      <c r="AB2049" s="38">
        <f t="shared" si="308"/>
        <v>16.524999999999999</v>
      </c>
      <c r="AC2049" s="38">
        <v>1.40259</v>
      </c>
      <c r="AD2049" s="38">
        <v>0</v>
      </c>
      <c r="AE2049" s="38">
        <v>0</v>
      </c>
      <c r="AF2049" s="11">
        <f t="shared" si="311"/>
        <v>0</v>
      </c>
      <c r="AG2049" s="38">
        <f t="shared" si="287"/>
        <v>0</v>
      </c>
      <c r="AH2049" s="38">
        <v>270.62</v>
      </c>
      <c r="AI2049" s="38">
        <f t="shared" si="312"/>
        <v>0.46578313253012049</v>
      </c>
      <c r="AJ2049" s="38">
        <v>0</v>
      </c>
      <c r="AK2049" s="38">
        <f t="shared" si="313"/>
        <v>0</v>
      </c>
      <c r="AL2049" s="38">
        <v>0</v>
      </c>
      <c r="AM2049" s="38">
        <f t="shared" si="314"/>
        <v>0</v>
      </c>
      <c r="AN2049" s="25"/>
      <c r="AO2049" s="25">
        <f>(AD2049+AH2049+AJ2049+AL2049)*I2049</f>
        <v>4492.2920000000004</v>
      </c>
      <c r="AP2049" s="25"/>
      <c r="AQ2049" s="25">
        <f>SUM(N2049:Q2049)</f>
        <v>16.524999999999999</v>
      </c>
      <c r="AR2049" s="25">
        <f>SUM(T2049:W2049)</f>
        <v>16.524999999999999</v>
      </c>
      <c r="AS2049" s="268">
        <v>16.600000000000001</v>
      </c>
      <c r="AT2049" s="41"/>
      <c r="AU2049" s="41"/>
      <c r="AV2049" s="41"/>
      <c r="AW2049" s="22"/>
      <c r="AX2049" s="22"/>
      <c r="AY2049" s="22"/>
      <c r="AZ2049" s="22"/>
      <c r="BA2049" s="22"/>
      <c r="BB2049" s="22"/>
      <c r="BC2049" s="22"/>
      <c r="BD2049" s="22"/>
      <c r="BE2049" s="22"/>
      <c r="BF2049" s="22"/>
      <c r="BG2049" s="22"/>
      <c r="BH2049" s="22"/>
      <c r="BI2049" s="22"/>
      <c r="BJ2049" s="22"/>
      <c r="BK2049" s="22"/>
      <c r="BL2049" s="22"/>
      <c r="BM2049" s="22"/>
      <c r="BN2049" s="22"/>
      <c r="BO2049" s="22"/>
      <c r="BP2049" s="22"/>
      <c r="BQ2049" s="22"/>
      <c r="BR2049" s="22"/>
      <c r="BS2049" s="22"/>
      <c r="BT2049" s="22"/>
      <c r="BU2049" s="22"/>
      <c r="BV2049" s="22"/>
      <c r="BW2049" s="22"/>
      <c r="BX2049" s="22"/>
      <c r="BY2049" s="22"/>
      <c r="BZ2049" s="22"/>
      <c r="CA2049" s="22"/>
      <c r="CB2049" s="22"/>
      <c r="CC2049" s="22"/>
      <c r="CD2049" s="22"/>
      <c r="CE2049" s="22"/>
      <c r="CF2049" s="22"/>
      <c r="CG2049" s="22"/>
      <c r="CH2049" s="22"/>
      <c r="CI2049" s="22"/>
      <c r="CJ2049" s="22"/>
    </row>
    <row r="2050" spans="1:88">
      <c r="A2050" s="1">
        <v>992</v>
      </c>
      <c r="B2050" s="34" t="s">
        <v>1380</v>
      </c>
      <c r="C2050" s="34">
        <v>614</v>
      </c>
      <c r="D2050" s="8">
        <v>2356</v>
      </c>
      <c r="E2050" s="34">
        <v>100</v>
      </c>
      <c r="F2050" s="34" t="s">
        <v>1390</v>
      </c>
      <c r="G2050" s="58">
        <v>0</v>
      </c>
      <c r="H2050" s="58">
        <v>250</v>
      </c>
      <c r="I2050" s="35">
        <v>0.25</v>
      </c>
      <c r="J2050" s="9">
        <v>2</v>
      </c>
      <c r="K2050" s="34" t="s">
        <v>238</v>
      </c>
      <c r="L2050" s="10">
        <v>42125</v>
      </c>
      <c r="M2050" s="9" t="s">
        <v>191</v>
      </c>
      <c r="N2050" s="38">
        <v>0.121</v>
      </c>
      <c r="O2050" s="38">
        <v>0.04</v>
      </c>
      <c r="P2050" s="38">
        <v>2.4E-2</v>
      </c>
      <c r="Q2050" s="38">
        <v>6.5000000000000002E-2</v>
      </c>
      <c r="R2050" s="38">
        <v>3.7741699999999998</v>
      </c>
      <c r="S2050" s="38">
        <f t="shared" si="285"/>
        <v>4</v>
      </c>
      <c r="T2050" s="38">
        <v>0.27500000000000002</v>
      </c>
      <c r="U2050" s="38">
        <v>2.5000000000000001E-2</v>
      </c>
      <c r="V2050" s="38">
        <v>0</v>
      </c>
      <c r="W2050" s="38">
        <v>0</v>
      </c>
      <c r="X2050" s="38">
        <v>4.5970800000000001</v>
      </c>
      <c r="Y2050" s="38">
        <f t="shared" si="286"/>
        <v>4.5</v>
      </c>
      <c r="Z2050" s="38">
        <v>0</v>
      </c>
      <c r="AA2050" s="38">
        <v>0</v>
      </c>
      <c r="AB2050" s="38">
        <f t="shared" si="308"/>
        <v>0.25</v>
      </c>
      <c r="AC2050" s="38">
        <v>0.99675000000000002</v>
      </c>
      <c r="AD2050" s="38">
        <v>0</v>
      </c>
      <c r="AE2050" s="38">
        <v>0</v>
      </c>
      <c r="AF2050" s="11">
        <f t="shared" si="311"/>
        <v>0</v>
      </c>
      <c r="AG2050" s="38">
        <f t="shared" si="287"/>
        <v>0</v>
      </c>
      <c r="AH2050" s="38">
        <v>31.17</v>
      </c>
      <c r="AI2050" s="38">
        <f t="shared" si="312"/>
        <v>3.5622857142857143</v>
      </c>
      <c r="AJ2050" s="38">
        <v>0</v>
      </c>
      <c r="AK2050" s="38">
        <f t="shared" si="313"/>
        <v>0</v>
      </c>
      <c r="AL2050" s="38">
        <v>4</v>
      </c>
      <c r="AM2050" s="38">
        <f t="shared" si="314"/>
        <v>0.45714285714285718</v>
      </c>
      <c r="AN2050" s="25"/>
      <c r="AO2050" s="25">
        <f>(AD2050+AH2050+AJ2050+AL2050)*I2050</f>
        <v>8.7925000000000004</v>
      </c>
      <c r="AP2050" s="25"/>
      <c r="AQ2050" s="25">
        <f>SUM(N2050:Q2050)</f>
        <v>0.25</v>
      </c>
      <c r="AR2050" s="25">
        <f>SUM(T2050:W2050)</f>
        <v>0.30000000000000004</v>
      </c>
      <c r="AS2050" s="268">
        <v>0.25</v>
      </c>
      <c r="AT2050" s="41"/>
      <c r="AU2050" s="41"/>
      <c r="AV2050" s="167"/>
    </row>
    <row r="2051" spans="1:88">
      <c r="A2051" s="1">
        <v>1003</v>
      </c>
      <c r="B2051" s="170" t="s">
        <v>1394</v>
      </c>
      <c r="C2051" s="170">
        <v>617</v>
      </c>
      <c r="D2051" s="8">
        <v>224</v>
      </c>
      <c r="E2051" s="170">
        <v>301</v>
      </c>
      <c r="F2051" s="9" t="s">
        <v>1400</v>
      </c>
      <c r="G2051" s="20">
        <v>104799</v>
      </c>
      <c r="H2051" s="20">
        <v>127124</v>
      </c>
      <c r="I2051" s="35">
        <v>22.324999999999999</v>
      </c>
      <c r="J2051" s="9">
        <v>2</v>
      </c>
      <c r="K2051" s="9" t="s">
        <v>238</v>
      </c>
      <c r="L2051" s="172">
        <v>42130</v>
      </c>
      <c r="M2051" s="9" t="s">
        <v>191</v>
      </c>
      <c r="N2051" s="173">
        <v>15.78</v>
      </c>
      <c r="O2051" s="173">
        <v>4.7249999999999996</v>
      </c>
      <c r="P2051" s="173">
        <v>1.2</v>
      </c>
      <c r="Q2051" s="173">
        <v>0.52500000000000002</v>
      </c>
      <c r="R2051" s="173">
        <v>2.35799</v>
      </c>
      <c r="S2051" s="38">
        <f t="shared" ref="S2051:S2114" si="315">ROUND(R2051/5,1)*5</f>
        <v>2.5</v>
      </c>
      <c r="T2051" s="173">
        <v>21.6</v>
      </c>
      <c r="U2051" s="173">
        <v>0.5</v>
      </c>
      <c r="V2051" s="173">
        <v>7.4999999999999997E-2</v>
      </c>
      <c r="W2051" s="173">
        <v>0.05</v>
      </c>
      <c r="X2051" s="173">
        <v>4.2943199999999999</v>
      </c>
      <c r="Y2051" s="38">
        <f t="shared" ref="Y2051:Y2114" si="316">ROUND(X2051/5,1)*5</f>
        <v>4.5</v>
      </c>
      <c r="Z2051" s="11">
        <v>0</v>
      </c>
      <c r="AA2051" s="11">
        <v>0</v>
      </c>
      <c r="AB2051" s="11">
        <f t="shared" si="308"/>
        <v>22.229999999999997</v>
      </c>
      <c r="AC2051" s="173">
        <v>1.38079</v>
      </c>
      <c r="AD2051" s="11">
        <v>0</v>
      </c>
      <c r="AE2051" s="11">
        <v>0</v>
      </c>
      <c r="AF2051" s="169">
        <f t="shared" si="311"/>
        <v>0</v>
      </c>
      <c r="AG2051" s="38">
        <f t="shared" ref="AG2051:AG2114" si="317">ROUND(AF2051,1)</f>
        <v>0</v>
      </c>
      <c r="AH2051" s="11">
        <v>50.86</v>
      </c>
      <c r="AI2051" s="99">
        <f t="shared" si="312"/>
        <v>6.5090385538313866E-2</v>
      </c>
      <c r="AJ2051" s="11">
        <v>12.58</v>
      </c>
      <c r="AK2051" s="99">
        <f t="shared" si="313"/>
        <v>1.6099824028155494E-2</v>
      </c>
      <c r="AL2051" s="11">
        <v>0</v>
      </c>
      <c r="AM2051" s="99">
        <f t="shared" si="314"/>
        <v>0</v>
      </c>
      <c r="AN2051" s="12"/>
      <c r="AO2051" s="25">
        <f t="shared" ref="AO2051:AO2057" si="318">AE2051*0.5</f>
        <v>0</v>
      </c>
      <c r="AP2051" s="25">
        <f t="shared" ref="AP2051:AP2057" si="319">(AD2051+AH2051+AJ2051+AL2051+AO2051)*I2051</f>
        <v>1416.298</v>
      </c>
      <c r="AQ2051" s="12"/>
      <c r="AR2051" s="12"/>
      <c r="AS2051" s="25">
        <f t="shared" ref="AS2051:AS2060" si="320">SUM(N2051:Q2051)</f>
        <v>22.229999999999997</v>
      </c>
      <c r="AT2051" s="25">
        <f t="shared" ref="AT2051:AT2060" si="321">SUM(T2051:W2051)</f>
        <v>22.225000000000001</v>
      </c>
      <c r="AU2051" s="41"/>
      <c r="AV2051" s="41"/>
      <c r="AW2051" s="41"/>
    </row>
    <row r="2052" spans="1:88">
      <c r="A2052" s="1">
        <v>1012</v>
      </c>
      <c r="B2052" s="9" t="s">
        <v>1394</v>
      </c>
      <c r="C2052" s="9">
        <v>617</v>
      </c>
      <c r="D2052" s="8">
        <v>226</v>
      </c>
      <c r="E2052" s="9">
        <v>205</v>
      </c>
      <c r="F2052" s="9" t="s">
        <v>1412</v>
      </c>
      <c r="G2052" s="20">
        <v>147079</v>
      </c>
      <c r="H2052" s="20">
        <v>155863</v>
      </c>
      <c r="I2052" s="35">
        <v>8.7840000000000007</v>
      </c>
      <c r="J2052" s="9">
        <v>4</v>
      </c>
      <c r="K2052" s="9" t="s">
        <v>237</v>
      </c>
      <c r="L2052" s="18">
        <v>42131</v>
      </c>
      <c r="M2052" s="9" t="s">
        <v>191</v>
      </c>
      <c r="N2052" s="11">
        <v>5</v>
      </c>
      <c r="O2052" s="11">
        <v>2.0249999999999999</v>
      </c>
      <c r="P2052" s="11">
        <v>1.1499999999999999</v>
      </c>
      <c r="Q2052" s="11">
        <v>0.57499999999999996</v>
      </c>
      <c r="R2052" s="11">
        <v>3.1693600000000002</v>
      </c>
      <c r="S2052" s="38">
        <f t="shared" si="315"/>
        <v>3</v>
      </c>
      <c r="T2052" s="11">
        <v>6.75</v>
      </c>
      <c r="U2052" s="11">
        <v>1.325</v>
      </c>
      <c r="V2052" s="11">
        <v>0.47499999999999998</v>
      </c>
      <c r="W2052" s="11">
        <v>0.2</v>
      </c>
      <c r="X2052" s="11">
        <v>8.0470900000000007</v>
      </c>
      <c r="Y2052" s="38">
        <f t="shared" si="316"/>
        <v>8</v>
      </c>
      <c r="Z2052" s="11">
        <v>0</v>
      </c>
      <c r="AA2052" s="11">
        <v>0</v>
      </c>
      <c r="AB2052" s="11">
        <f t="shared" si="308"/>
        <v>8.75</v>
      </c>
      <c r="AC2052" s="11">
        <v>1.2532000000000001</v>
      </c>
      <c r="AD2052" s="11">
        <v>0</v>
      </c>
      <c r="AE2052" s="11">
        <v>0</v>
      </c>
      <c r="AF2052" s="11">
        <f t="shared" si="311"/>
        <v>0</v>
      </c>
      <c r="AG2052" s="38">
        <f t="shared" si="317"/>
        <v>0</v>
      </c>
      <c r="AH2052" s="11">
        <v>16.43</v>
      </c>
      <c r="AI2052" s="38">
        <f t="shared" si="312"/>
        <v>5.3441321883944827E-2</v>
      </c>
      <c r="AJ2052" s="11">
        <v>384.61</v>
      </c>
      <c r="AK2052" s="38">
        <f t="shared" si="313"/>
        <v>1.2510083268279988</v>
      </c>
      <c r="AL2052" s="11">
        <v>0</v>
      </c>
      <c r="AM2052" s="38">
        <f t="shared" si="314"/>
        <v>0</v>
      </c>
      <c r="AN2052" s="25"/>
      <c r="AO2052" s="25">
        <f t="shared" si="318"/>
        <v>0</v>
      </c>
      <c r="AP2052" s="25">
        <f t="shared" si="319"/>
        <v>3522.7353600000006</v>
      </c>
      <c r="AQ2052" s="25"/>
      <c r="AR2052" s="25"/>
      <c r="AS2052" s="25">
        <f t="shared" si="320"/>
        <v>8.75</v>
      </c>
      <c r="AT2052" s="25">
        <f t="shared" si="321"/>
        <v>8.7499999999999982</v>
      </c>
      <c r="AU2052" s="41"/>
      <c r="AV2052" s="41"/>
      <c r="AW2052" s="41"/>
      <c r="AX2052" s="22"/>
      <c r="AY2052" s="22"/>
      <c r="AZ2052" s="22"/>
      <c r="BA2052" s="22"/>
      <c r="BB2052" s="22"/>
      <c r="BC2052" s="22"/>
      <c r="BD2052" s="22"/>
      <c r="BE2052" s="22"/>
      <c r="BF2052" s="22"/>
      <c r="BG2052" s="22"/>
      <c r="BH2052" s="22"/>
      <c r="BI2052" s="22"/>
      <c r="BJ2052" s="22"/>
      <c r="BK2052" s="22"/>
      <c r="BL2052" s="22"/>
      <c r="BM2052" s="22"/>
      <c r="BN2052" s="22"/>
      <c r="BO2052" s="22"/>
      <c r="BP2052" s="22"/>
      <c r="BQ2052" s="22"/>
      <c r="BR2052" s="22"/>
      <c r="BS2052" s="22"/>
      <c r="BT2052" s="22"/>
      <c r="BU2052" s="22"/>
      <c r="BV2052" s="22"/>
      <c r="BW2052" s="22"/>
      <c r="BX2052" s="22"/>
      <c r="BY2052" s="22"/>
      <c r="BZ2052" s="22"/>
      <c r="CA2052" s="22"/>
      <c r="CB2052" s="22"/>
      <c r="CC2052" s="22"/>
      <c r="CD2052" s="22"/>
      <c r="CE2052" s="22"/>
      <c r="CF2052" s="22"/>
      <c r="CG2052" s="22"/>
      <c r="CH2052" s="22"/>
      <c r="CI2052" s="22"/>
      <c r="CJ2052" s="22"/>
    </row>
    <row r="2053" spans="1:88">
      <c r="A2053" s="1">
        <v>1022</v>
      </c>
      <c r="B2053" s="9" t="s">
        <v>1394</v>
      </c>
      <c r="C2053" s="9">
        <v>617</v>
      </c>
      <c r="D2053" s="8">
        <v>2074</v>
      </c>
      <c r="E2053" s="9">
        <v>101</v>
      </c>
      <c r="F2053" s="9" t="s">
        <v>1422</v>
      </c>
      <c r="G2053" s="20" t="s">
        <v>1423</v>
      </c>
      <c r="H2053" s="20" t="s">
        <v>129</v>
      </c>
      <c r="I2053" s="35">
        <v>51.718000000000004</v>
      </c>
      <c r="J2053" s="9">
        <v>4</v>
      </c>
      <c r="K2053" s="9" t="s">
        <v>238</v>
      </c>
      <c r="L2053" s="18">
        <v>42128</v>
      </c>
      <c r="M2053" s="9" t="s">
        <v>191</v>
      </c>
      <c r="N2053" s="11">
        <v>30.35</v>
      </c>
      <c r="O2053" s="11">
        <v>14.074999999999999</v>
      </c>
      <c r="P2053" s="11">
        <v>5.2750000000000004</v>
      </c>
      <c r="Q2053" s="11">
        <v>1.925</v>
      </c>
      <c r="R2053" s="11">
        <v>2.9232</v>
      </c>
      <c r="S2053" s="38">
        <f t="shared" si="315"/>
        <v>3</v>
      </c>
      <c r="T2053" s="11">
        <v>35.625</v>
      </c>
      <c r="U2053" s="11">
        <v>10.66</v>
      </c>
      <c r="V2053" s="11">
        <v>5.3639999999999999</v>
      </c>
      <c r="W2053" s="11">
        <v>6.9000000000000006E-2</v>
      </c>
      <c r="X2053" s="11">
        <v>6.3816499999999996</v>
      </c>
      <c r="Y2053" s="38">
        <f t="shared" si="316"/>
        <v>6.5</v>
      </c>
      <c r="Z2053" s="11">
        <v>0</v>
      </c>
      <c r="AA2053" s="11">
        <v>0</v>
      </c>
      <c r="AB2053" s="11">
        <f t="shared" si="308"/>
        <v>51.624999999999993</v>
      </c>
      <c r="AC2053" s="11">
        <v>1.20299</v>
      </c>
      <c r="AD2053" s="11">
        <v>0</v>
      </c>
      <c r="AE2053" s="11">
        <v>0</v>
      </c>
      <c r="AF2053" s="11">
        <f t="shared" si="311"/>
        <v>0</v>
      </c>
      <c r="AG2053" s="38">
        <f t="shared" si="317"/>
        <v>0</v>
      </c>
      <c r="AH2053" s="11">
        <v>96.44</v>
      </c>
      <c r="AI2053" s="38">
        <f t="shared" si="312"/>
        <v>5.3277941363327488E-2</v>
      </c>
      <c r="AJ2053" s="11">
        <v>0</v>
      </c>
      <c r="AK2053" s="38">
        <f t="shared" si="313"/>
        <v>0</v>
      </c>
      <c r="AL2053" s="11">
        <v>0</v>
      </c>
      <c r="AM2053" s="38">
        <f t="shared" si="314"/>
        <v>0</v>
      </c>
      <c r="AN2053" s="25"/>
      <c r="AO2053" s="25">
        <f t="shared" si="318"/>
        <v>0</v>
      </c>
      <c r="AP2053" s="25">
        <f t="shared" si="319"/>
        <v>4987.6839200000004</v>
      </c>
      <c r="AQ2053" s="25"/>
      <c r="AR2053" s="25"/>
      <c r="AS2053" s="25">
        <f t="shared" si="320"/>
        <v>51.624999999999993</v>
      </c>
      <c r="AT2053" s="25">
        <f t="shared" si="321"/>
        <v>51.717999999999996</v>
      </c>
      <c r="AU2053" s="41"/>
      <c r="AV2053" s="41"/>
      <c r="AW2053" s="41"/>
      <c r="AX2053" s="22"/>
      <c r="AY2053" s="22"/>
      <c r="AZ2053" s="22"/>
      <c r="BA2053" s="22"/>
      <c r="BB2053" s="22"/>
      <c r="BC2053" s="22"/>
      <c r="BD2053" s="22"/>
      <c r="BE2053" s="22"/>
      <c r="BF2053" s="22"/>
      <c r="BG2053" s="22"/>
      <c r="BH2053" s="22"/>
      <c r="BI2053" s="22"/>
      <c r="BJ2053" s="22"/>
      <c r="BK2053" s="22"/>
      <c r="BL2053" s="22"/>
      <c r="BM2053" s="22"/>
      <c r="BN2053" s="22"/>
      <c r="BO2053" s="22"/>
      <c r="BP2053" s="22"/>
      <c r="BQ2053" s="22"/>
      <c r="BR2053" s="22"/>
      <c r="BS2053" s="22"/>
      <c r="BT2053" s="22"/>
      <c r="BU2053" s="22"/>
      <c r="BV2053" s="22"/>
      <c r="BW2053" s="22"/>
      <c r="BX2053" s="22"/>
      <c r="BY2053" s="22"/>
      <c r="BZ2053" s="22"/>
      <c r="CA2053" s="22"/>
      <c r="CB2053" s="22"/>
      <c r="CC2053" s="22"/>
      <c r="CD2053" s="22"/>
      <c r="CE2053" s="22"/>
      <c r="CF2053" s="22"/>
      <c r="CG2053" s="22"/>
      <c r="CH2053" s="22"/>
      <c r="CI2053" s="22"/>
      <c r="CJ2053" s="22"/>
    </row>
    <row r="2054" spans="1:88">
      <c r="A2054" s="1">
        <v>1026</v>
      </c>
      <c r="B2054" s="9" t="s">
        <v>1394</v>
      </c>
      <c r="C2054" s="9">
        <v>617</v>
      </c>
      <c r="D2054" s="8">
        <v>2074</v>
      </c>
      <c r="E2054" s="9">
        <v>103</v>
      </c>
      <c r="F2054" s="9" t="s">
        <v>1425</v>
      </c>
      <c r="G2054" s="20">
        <v>52000</v>
      </c>
      <c r="H2054" s="20">
        <v>63695</v>
      </c>
      <c r="I2054" s="35">
        <v>11.695</v>
      </c>
      <c r="J2054" s="9">
        <v>4</v>
      </c>
      <c r="K2054" s="9" t="s">
        <v>12</v>
      </c>
      <c r="L2054" s="18">
        <v>42128</v>
      </c>
      <c r="M2054" s="9" t="s">
        <v>191</v>
      </c>
      <c r="N2054" s="11">
        <v>7.7</v>
      </c>
      <c r="O2054" s="11">
        <v>2.7749999999999999</v>
      </c>
      <c r="P2054" s="11">
        <v>0.97499999999999998</v>
      </c>
      <c r="Q2054" s="11">
        <v>0.15</v>
      </c>
      <c r="R2054" s="11">
        <v>2.38836</v>
      </c>
      <c r="S2054" s="38">
        <f t="shared" si="315"/>
        <v>2.5</v>
      </c>
      <c r="T2054" s="11">
        <v>10.35</v>
      </c>
      <c r="U2054" s="11">
        <v>1.075</v>
      </c>
      <c r="V2054" s="11">
        <v>0.1</v>
      </c>
      <c r="W2054" s="11">
        <v>7.4999999999999997E-2</v>
      </c>
      <c r="X2054" s="11">
        <v>6.04582</v>
      </c>
      <c r="Y2054" s="38">
        <f t="shared" si="316"/>
        <v>6</v>
      </c>
      <c r="Z2054" s="11">
        <v>0</v>
      </c>
      <c r="AA2054" s="11">
        <v>0</v>
      </c>
      <c r="AB2054" s="11">
        <f t="shared" si="308"/>
        <v>11.6</v>
      </c>
      <c r="AC2054" s="11">
        <v>1.3883099999999999</v>
      </c>
      <c r="AD2054" s="11">
        <v>0</v>
      </c>
      <c r="AE2054" s="11">
        <v>0</v>
      </c>
      <c r="AF2054" s="11">
        <f t="shared" si="311"/>
        <v>0</v>
      </c>
      <c r="AG2054" s="38">
        <f t="shared" si="317"/>
        <v>0</v>
      </c>
      <c r="AH2054" s="11">
        <v>8.83</v>
      </c>
      <c r="AI2054" s="38">
        <f t="shared" si="312"/>
        <v>2.1572100409210281E-2</v>
      </c>
      <c r="AJ2054" s="11">
        <v>0</v>
      </c>
      <c r="AK2054" s="38">
        <f t="shared" si="313"/>
        <v>0</v>
      </c>
      <c r="AL2054" s="11">
        <v>0</v>
      </c>
      <c r="AM2054" s="38">
        <f t="shared" si="314"/>
        <v>0</v>
      </c>
      <c r="AN2054" s="25"/>
      <c r="AO2054" s="25">
        <f t="shared" si="318"/>
        <v>0</v>
      </c>
      <c r="AP2054" s="25">
        <f t="shared" si="319"/>
        <v>103.26685000000001</v>
      </c>
      <c r="AQ2054" s="25"/>
      <c r="AR2054" s="25"/>
      <c r="AS2054" s="25">
        <f t="shared" si="320"/>
        <v>11.6</v>
      </c>
      <c r="AT2054" s="25">
        <f t="shared" si="321"/>
        <v>11.599999999999998</v>
      </c>
      <c r="AU2054" s="41"/>
      <c r="AV2054" s="41"/>
      <c r="AW2054" s="41"/>
      <c r="AX2054" s="22"/>
      <c r="AY2054" s="22"/>
      <c r="AZ2054" s="22"/>
      <c r="BA2054" s="22"/>
      <c r="BB2054" s="22"/>
      <c r="BC2054" s="22"/>
      <c r="BD2054" s="22"/>
      <c r="BE2054" s="22"/>
      <c r="BF2054" s="22"/>
      <c r="BG2054" s="22"/>
      <c r="BH2054" s="22"/>
      <c r="BI2054" s="22"/>
      <c r="BJ2054" s="22"/>
      <c r="BK2054" s="22"/>
      <c r="BL2054" s="22"/>
      <c r="BM2054" s="22"/>
      <c r="BN2054" s="22"/>
      <c r="BO2054" s="22"/>
      <c r="BP2054" s="22"/>
      <c r="BQ2054" s="22"/>
      <c r="BR2054" s="22"/>
      <c r="BS2054" s="22"/>
      <c r="BT2054" s="22"/>
      <c r="BU2054" s="22"/>
      <c r="BV2054" s="22"/>
      <c r="BW2054" s="22"/>
      <c r="BX2054" s="22"/>
      <c r="BY2054" s="22"/>
      <c r="BZ2054" s="22"/>
      <c r="CA2054" s="22"/>
      <c r="CB2054" s="22"/>
      <c r="CC2054" s="22"/>
      <c r="CD2054" s="22"/>
      <c r="CE2054" s="22"/>
      <c r="CF2054" s="22"/>
      <c r="CG2054" s="22"/>
      <c r="CH2054" s="22"/>
      <c r="CI2054" s="22"/>
      <c r="CJ2054" s="22"/>
    </row>
    <row r="2055" spans="1:88">
      <c r="A2055" s="1">
        <v>1030</v>
      </c>
      <c r="B2055" s="9" t="s">
        <v>1394</v>
      </c>
      <c r="C2055" s="9">
        <v>617</v>
      </c>
      <c r="D2055" s="8">
        <v>2120</v>
      </c>
      <c r="E2055" s="9">
        <v>100</v>
      </c>
      <c r="F2055" s="9" t="s">
        <v>1430</v>
      </c>
      <c r="G2055" s="20">
        <v>0</v>
      </c>
      <c r="H2055" s="20">
        <v>14699</v>
      </c>
      <c r="I2055" s="35">
        <v>14.699</v>
      </c>
      <c r="J2055" s="9">
        <v>2</v>
      </c>
      <c r="K2055" s="9" t="s">
        <v>12</v>
      </c>
      <c r="L2055" s="18">
        <v>42130</v>
      </c>
      <c r="M2055" s="9" t="s">
        <v>191</v>
      </c>
      <c r="N2055" s="11">
        <v>9.3249999999999993</v>
      </c>
      <c r="O2055" s="11">
        <v>3.8</v>
      </c>
      <c r="P2055" s="11">
        <v>1.075</v>
      </c>
      <c r="Q2055" s="11">
        <v>0.42499999999999999</v>
      </c>
      <c r="R2055" s="11">
        <v>2.4162400000000002</v>
      </c>
      <c r="S2055" s="38">
        <f t="shared" si="315"/>
        <v>2.5</v>
      </c>
      <c r="T2055" s="11">
        <v>14.074999999999999</v>
      </c>
      <c r="U2055" s="11">
        <v>0.4</v>
      </c>
      <c r="V2055" s="11">
        <v>0.1</v>
      </c>
      <c r="W2055" s="11">
        <v>0.05</v>
      </c>
      <c r="X2055" s="11">
        <v>4.7725</v>
      </c>
      <c r="Y2055" s="38">
        <f t="shared" si="316"/>
        <v>5</v>
      </c>
      <c r="Z2055" s="11">
        <v>0</v>
      </c>
      <c r="AA2055" s="11">
        <v>0</v>
      </c>
      <c r="AB2055" s="11">
        <f t="shared" si="308"/>
        <v>14.625</v>
      </c>
      <c r="AC2055" s="11">
        <v>1.2579400000000001</v>
      </c>
      <c r="AD2055" s="11">
        <v>0</v>
      </c>
      <c r="AE2055" s="11">
        <v>0</v>
      </c>
      <c r="AF2055" s="11">
        <f t="shared" si="311"/>
        <v>0</v>
      </c>
      <c r="AG2055" s="38">
        <f t="shared" si="317"/>
        <v>0</v>
      </c>
      <c r="AH2055" s="11">
        <v>645.89</v>
      </c>
      <c r="AI2055" s="38">
        <f t="shared" si="312"/>
        <v>1.2554595550717735</v>
      </c>
      <c r="AJ2055" s="11">
        <v>568.55999999999995</v>
      </c>
      <c r="AK2055" s="38">
        <f t="shared" si="313"/>
        <v>1.10514806643795</v>
      </c>
      <c r="AL2055" s="11">
        <v>0</v>
      </c>
      <c r="AM2055" s="38">
        <f t="shared" si="314"/>
        <v>0</v>
      </c>
      <c r="AN2055" s="25"/>
      <c r="AO2055" s="25">
        <f t="shared" si="318"/>
        <v>0</v>
      </c>
      <c r="AP2055" s="25">
        <f t="shared" si="319"/>
        <v>17851.200549999998</v>
      </c>
      <c r="AQ2055" s="25"/>
      <c r="AR2055" s="25"/>
      <c r="AS2055" s="25">
        <f t="shared" si="320"/>
        <v>14.625</v>
      </c>
      <c r="AT2055" s="25">
        <f t="shared" si="321"/>
        <v>14.625</v>
      </c>
      <c r="AU2055" s="41"/>
      <c r="AV2055" s="41"/>
      <c r="AW2055" s="41"/>
      <c r="AX2055" s="22"/>
      <c r="AY2055" s="22"/>
      <c r="AZ2055" s="22"/>
      <c r="BA2055" s="22"/>
      <c r="BB2055" s="22"/>
      <c r="BC2055" s="22"/>
      <c r="BD2055" s="22"/>
      <c r="BE2055" s="22"/>
      <c r="BF2055" s="22"/>
      <c r="BG2055" s="22"/>
      <c r="BH2055" s="22"/>
      <c r="BI2055" s="22"/>
      <c r="BJ2055" s="22"/>
      <c r="BK2055" s="22"/>
      <c r="BL2055" s="22"/>
      <c r="BM2055" s="22"/>
      <c r="BN2055" s="22"/>
      <c r="BO2055" s="22"/>
      <c r="BP2055" s="22"/>
      <c r="BQ2055" s="22"/>
      <c r="BR2055" s="22"/>
      <c r="BS2055" s="22"/>
      <c r="BT2055" s="22"/>
      <c r="BU2055" s="22"/>
      <c r="BV2055" s="22"/>
      <c r="BW2055" s="22"/>
      <c r="BX2055" s="22"/>
      <c r="BY2055" s="22"/>
      <c r="BZ2055" s="22"/>
      <c r="CA2055" s="22"/>
      <c r="CB2055" s="22"/>
      <c r="CC2055" s="22"/>
      <c r="CD2055" s="22"/>
      <c r="CE2055" s="22"/>
      <c r="CF2055" s="22"/>
      <c r="CG2055" s="22"/>
      <c r="CH2055" s="22"/>
      <c r="CI2055" s="22"/>
      <c r="CJ2055" s="22"/>
    </row>
    <row r="2056" spans="1:88">
      <c r="A2056" s="1">
        <v>1045</v>
      </c>
      <c r="B2056" s="9" t="s">
        <v>1394</v>
      </c>
      <c r="C2056" s="9">
        <v>617</v>
      </c>
      <c r="D2056" s="8">
        <v>2445</v>
      </c>
      <c r="E2056" s="9">
        <v>103</v>
      </c>
      <c r="F2056" s="9" t="s">
        <v>1444</v>
      </c>
      <c r="G2056" s="20">
        <v>59401</v>
      </c>
      <c r="H2056" s="20">
        <v>69732</v>
      </c>
      <c r="I2056" s="35">
        <v>10.331</v>
      </c>
      <c r="J2056" s="9">
        <v>4</v>
      </c>
      <c r="K2056" s="9" t="s">
        <v>237</v>
      </c>
      <c r="L2056" s="18">
        <v>42131</v>
      </c>
      <c r="M2056" s="9" t="s">
        <v>191</v>
      </c>
      <c r="N2056" s="11">
        <v>7.5250000000000004</v>
      </c>
      <c r="O2056" s="11">
        <v>2.1</v>
      </c>
      <c r="P2056" s="11">
        <v>0.45</v>
      </c>
      <c r="Q2056" s="11">
        <v>0.25</v>
      </c>
      <c r="R2056" s="11">
        <v>2.5581900000000002</v>
      </c>
      <c r="S2056" s="38">
        <f t="shared" si="315"/>
        <v>2.5</v>
      </c>
      <c r="T2056" s="11">
        <v>9.7750000000000004</v>
      </c>
      <c r="U2056" s="11">
        <v>0.47499999999999998</v>
      </c>
      <c r="V2056" s="11">
        <v>7.4999999999999997E-2</v>
      </c>
      <c r="W2056" s="11">
        <v>0</v>
      </c>
      <c r="X2056" s="11">
        <v>4.2866400000000002</v>
      </c>
      <c r="Y2056" s="38">
        <f t="shared" si="316"/>
        <v>4.5</v>
      </c>
      <c r="Z2056" s="11">
        <v>0</v>
      </c>
      <c r="AA2056" s="11">
        <v>0</v>
      </c>
      <c r="AB2056" s="11">
        <f t="shared" si="308"/>
        <v>10.324999999999999</v>
      </c>
      <c r="AC2056" s="11">
        <v>1.4189099999999999</v>
      </c>
      <c r="AD2056" s="11">
        <v>0</v>
      </c>
      <c r="AE2056" s="11">
        <v>0</v>
      </c>
      <c r="AF2056" s="11">
        <f t="shared" si="311"/>
        <v>0</v>
      </c>
      <c r="AG2056" s="38">
        <f t="shared" si="317"/>
        <v>0</v>
      </c>
      <c r="AH2056" s="11">
        <v>0</v>
      </c>
      <c r="AI2056" s="38">
        <f t="shared" si="312"/>
        <v>0</v>
      </c>
      <c r="AJ2056" s="11">
        <v>21.06</v>
      </c>
      <c r="AK2056" s="38">
        <f t="shared" si="313"/>
        <v>5.824356651962885E-2</v>
      </c>
      <c r="AL2056" s="11">
        <v>0</v>
      </c>
      <c r="AM2056" s="38">
        <f t="shared" si="314"/>
        <v>0</v>
      </c>
      <c r="AN2056" s="25"/>
      <c r="AO2056" s="25">
        <f t="shared" si="318"/>
        <v>0</v>
      </c>
      <c r="AP2056" s="25">
        <f t="shared" si="319"/>
        <v>217.57085999999998</v>
      </c>
      <c r="AQ2056" s="25"/>
      <c r="AR2056" s="25"/>
      <c r="AS2056" s="25">
        <f t="shared" si="320"/>
        <v>10.324999999999999</v>
      </c>
      <c r="AT2056" s="25">
        <f t="shared" si="321"/>
        <v>10.324999999999999</v>
      </c>
      <c r="AU2056" s="41"/>
      <c r="AV2056" s="41"/>
      <c r="AW2056" s="41"/>
      <c r="AX2056" s="22"/>
      <c r="AY2056" s="22"/>
      <c r="AZ2056" s="22"/>
      <c r="BA2056" s="22"/>
      <c r="BB2056" s="22"/>
      <c r="BC2056" s="22"/>
      <c r="BD2056" s="22"/>
      <c r="BE2056" s="22"/>
      <c r="BF2056" s="22"/>
      <c r="BG2056" s="22"/>
      <c r="BH2056" s="22"/>
      <c r="BI2056" s="22"/>
      <c r="BJ2056" s="22"/>
      <c r="BK2056" s="22"/>
      <c r="BL2056" s="22"/>
      <c r="BM2056" s="22"/>
      <c r="BN2056" s="22"/>
      <c r="BO2056" s="22"/>
      <c r="BP2056" s="22"/>
      <c r="BQ2056" s="22"/>
      <c r="BR2056" s="22"/>
      <c r="BS2056" s="22"/>
      <c r="BT2056" s="22"/>
      <c r="BU2056" s="22"/>
      <c r="BV2056" s="22"/>
      <c r="BW2056" s="22"/>
      <c r="BX2056" s="22"/>
      <c r="BY2056" s="22"/>
      <c r="BZ2056" s="22"/>
      <c r="CA2056" s="22"/>
      <c r="CB2056" s="22"/>
      <c r="CC2056" s="22"/>
      <c r="CD2056" s="22"/>
      <c r="CE2056" s="22"/>
      <c r="CF2056" s="22"/>
      <c r="CG2056" s="22"/>
      <c r="CH2056" s="22"/>
      <c r="CI2056" s="22"/>
      <c r="CJ2056" s="22"/>
    </row>
    <row r="2057" spans="1:88">
      <c r="A2057" s="1">
        <v>1047</v>
      </c>
      <c r="B2057" s="9" t="s">
        <v>1394</v>
      </c>
      <c r="C2057" s="9">
        <v>617</v>
      </c>
      <c r="D2057" s="8">
        <v>2446</v>
      </c>
      <c r="E2057" s="9">
        <v>100</v>
      </c>
      <c r="F2057" s="9" t="s">
        <v>1445</v>
      </c>
      <c r="G2057" s="20">
        <v>0</v>
      </c>
      <c r="H2057" s="20">
        <v>5207</v>
      </c>
      <c r="I2057" s="35">
        <v>5.2069999999999999</v>
      </c>
      <c r="J2057" s="9">
        <v>2</v>
      </c>
      <c r="K2057" s="9" t="s">
        <v>238</v>
      </c>
      <c r="L2057" s="18">
        <v>42130</v>
      </c>
      <c r="M2057" s="9" t="s">
        <v>191</v>
      </c>
      <c r="N2057" s="11">
        <v>3.5</v>
      </c>
      <c r="O2057" s="11">
        <v>1.2749999999999999</v>
      </c>
      <c r="P2057" s="11">
        <v>0.35</v>
      </c>
      <c r="Q2057" s="11">
        <v>7.4999999999999997E-2</v>
      </c>
      <c r="R2057" s="11">
        <v>2.3900999999999999</v>
      </c>
      <c r="S2057" s="38">
        <f t="shared" si="315"/>
        <v>2.5</v>
      </c>
      <c r="T2057" s="11">
        <v>5.1749999999999998</v>
      </c>
      <c r="U2057" s="11">
        <v>2.5000000000000001E-2</v>
      </c>
      <c r="V2057" s="11">
        <v>0</v>
      </c>
      <c r="W2057" s="11">
        <v>0</v>
      </c>
      <c r="X2057" s="11">
        <v>3.2136</v>
      </c>
      <c r="Y2057" s="38">
        <f t="shared" si="316"/>
        <v>3</v>
      </c>
      <c r="Z2057" s="11">
        <v>0</v>
      </c>
      <c r="AA2057" s="11">
        <v>0</v>
      </c>
      <c r="AB2057" s="11">
        <f t="shared" si="308"/>
        <v>5.2</v>
      </c>
      <c r="AC2057" s="11">
        <v>1.21163</v>
      </c>
      <c r="AD2057" s="11">
        <v>0</v>
      </c>
      <c r="AE2057" s="11">
        <v>0</v>
      </c>
      <c r="AF2057" s="11">
        <f t="shared" si="311"/>
        <v>0</v>
      </c>
      <c r="AG2057" s="38">
        <f t="shared" si="317"/>
        <v>0</v>
      </c>
      <c r="AH2057" s="11">
        <v>0</v>
      </c>
      <c r="AI2057" s="38">
        <f t="shared" si="312"/>
        <v>0</v>
      </c>
      <c r="AJ2057" s="11">
        <v>0</v>
      </c>
      <c r="AK2057" s="38">
        <f t="shared" si="313"/>
        <v>0</v>
      </c>
      <c r="AL2057" s="11">
        <v>0</v>
      </c>
      <c r="AM2057" s="38">
        <f t="shared" si="314"/>
        <v>0</v>
      </c>
      <c r="AN2057" s="25"/>
      <c r="AO2057" s="25">
        <f t="shared" si="318"/>
        <v>0</v>
      </c>
      <c r="AP2057" s="25">
        <f t="shared" si="319"/>
        <v>0</v>
      </c>
      <c r="AQ2057" s="25"/>
      <c r="AR2057" s="25"/>
      <c r="AS2057" s="25">
        <f t="shared" si="320"/>
        <v>5.2</v>
      </c>
      <c r="AT2057" s="25">
        <f t="shared" si="321"/>
        <v>5.2</v>
      </c>
      <c r="AU2057" s="41"/>
      <c r="AV2057" s="41"/>
      <c r="AW2057" s="41"/>
      <c r="AX2057" s="22"/>
      <c r="AY2057" s="22"/>
      <c r="AZ2057" s="22"/>
      <c r="BA2057" s="22"/>
      <c r="BB2057" s="22"/>
      <c r="BC2057" s="22"/>
      <c r="BD2057" s="22"/>
      <c r="BE2057" s="22"/>
      <c r="BF2057" s="22"/>
      <c r="BG2057" s="22"/>
      <c r="BH2057" s="22"/>
      <c r="BI2057" s="22"/>
      <c r="BJ2057" s="22"/>
      <c r="BK2057" s="22"/>
      <c r="BL2057" s="22"/>
      <c r="BM2057" s="22"/>
      <c r="BN2057" s="22"/>
      <c r="BO2057" s="22"/>
      <c r="BP2057" s="22"/>
      <c r="BQ2057" s="22"/>
      <c r="BR2057" s="22"/>
      <c r="BS2057" s="22"/>
      <c r="BT2057" s="22"/>
      <c r="BU2057" s="22"/>
      <c r="BV2057" s="22"/>
      <c r="BW2057" s="22"/>
      <c r="BX2057" s="22"/>
      <c r="BY2057" s="22"/>
      <c r="BZ2057" s="22"/>
      <c r="CA2057" s="22"/>
      <c r="CB2057" s="22"/>
      <c r="CC2057" s="22"/>
      <c r="CD2057" s="22"/>
      <c r="CE2057" s="22"/>
      <c r="CF2057" s="22"/>
      <c r="CG2057" s="22"/>
      <c r="CH2057" s="22"/>
      <c r="CI2057" s="22"/>
      <c r="CJ2057" s="22"/>
    </row>
    <row r="2058" spans="1:88">
      <c r="A2058" s="1">
        <v>1070</v>
      </c>
      <c r="B2058" s="34" t="s">
        <v>1467</v>
      </c>
      <c r="C2058" s="34">
        <v>619</v>
      </c>
      <c r="D2058" s="8">
        <v>372</v>
      </c>
      <c r="E2058" s="34">
        <v>100</v>
      </c>
      <c r="F2058" s="34" t="s">
        <v>1473</v>
      </c>
      <c r="G2058" s="58">
        <v>0</v>
      </c>
      <c r="H2058" s="58">
        <v>5371</v>
      </c>
      <c r="I2058" s="35">
        <v>5.3710000000000004</v>
      </c>
      <c r="J2058" s="9">
        <v>2</v>
      </c>
      <c r="K2058" s="34" t="s">
        <v>12</v>
      </c>
      <c r="L2058" s="10">
        <v>42094</v>
      </c>
      <c r="M2058" s="9" t="s">
        <v>191</v>
      </c>
      <c r="N2058" s="38">
        <v>3.98</v>
      </c>
      <c r="O2058" s="38">
        <v>1.04</v>
      </c>
      <c r="P2058" s="38">
        <v>0.23</v>
      </c>
      <c r="Q2058" s="38">
        <v>0.13</v>
      </c>
      <c r="R2058" s="38">
        <v>3.0320499999999999</v>
      </c>
      <c r="S2058" s="38">
        <f t="shared" si="315"/>
        <v>3</v>
      </c>
      <c r="T2058" s="38">
        <v>3.43</v>
      </c>
      <c r="U2058" s="38">
        <v>1.24</v>
      </c>
      <c r="V2058" s="38">
        <v>0.43</v>
      </c>
      <c r="W2058" s="38">
        <v>0.28000000000000003</v>
      </c>
      <c r="X2058" s="38">
        <v>7.6205400000000001</v>
      </c>
      <c r="Y2058" s="38">
        <f t="shared" si="316"/>
        <v>7.5</v>
      </c>
      <c r="Z2058" s="117">
        <v>0</v>
      </c>
      <c r="AA2058" s="117">
        <v>0</v>
      </c>
      <c r="AB2058" s="117">
        <v>5.37</v>
      </c>
      <c r="AC2058" s="38">
        <v>1.1727700000000001</v>
      </c>
      <c r="AD2058" s="38">
        <v>0</v>
      </c>
      <c r="AE2058" s="38">
        <v>0</v>
      </c>
      <c r="AF2058" s="169">
        <f t="shared" si="311"/>
        <v>0</v>
      </c>
      <c r="AG2058" s="38">
        <f t="shared" si="317"/>
        <v>0</v>
      </c>
      <c r="AH2058" s="38">
        <v>0</v>
      </c>
      <c r="AI2058" s="99">
        <f t="shared" si="312"/>
        <v>0</v>
      </c>
      <c r="AJ2058" s="38">
        <v>34.79</v>
      </c>
      <c r="AK2058" s="99">
        <f t="shared" si="313"/>
        <v>0.18506795754980451</v>
      </c>
      <c r="AL2058" s="38">
        <v>0</v>
      </c>
      <c r="AM2058" s="99">
        <f t="shared" si="314"/>
        <v>0</v>
      </c>
      <c r="AN2058" s="25"/>
      <c r="AO2058" s="25"/>
      <c r="AP2058" s="12">
        <f>AE2058*0.5</f>
        <v>0</v>
      </c>
      <c r="AQ2058" s="12">
        <f>(AD2058+AH2058+AJ2058+AL2058+AP2058)*I2058</f>
        <v>186.85709</v>
      </c>
      <c r="AR2058" s="25"/>
      <c r="AS2058" s="25">
        <f t="shared" si="320"/>
        <v>5.38</v>
      </c>
      <c r="AT2058" s="22">
        <f t="shared" si="321"/>
        <v>5.38</v>
      </c>
      <c r="AU2058" s="268">
        <v>5.3710000000000004</v>
      </c>
      <c r="AV2058" s="41">
        <f>SUM(N2058:Q2058)</f>
        <v>5.38</v>
      </c>
      <c r="AW2058" s="41">
        <f>SUM(T2058:W2058)</f>
        <v>5.38</v>
      </c>
      <c r="AX2058" s="41">
        <f>SUM(Z2058:AB2058)</f>
        <v>5.37</v>
      </c>
      <c r="AY2058" s="22"/>
      <c r="AZ2058" s="22">
        <f>I2058/AV2058</f>
        <v>0.99832713754646851</v>
      </c>
      <c r="BA2058" s="22">
        <f>I2058/AW2058</f>
        <v>0.99832713754646851</v>
      </c>
      <c r="BB2058" s="22">
        <f>I2058/AX2058</f>
        <v>1.0001862197392923</v>
      </c>
      <c r="BC2058" s="22"/>
      <c r="BD2058" s="22"/>
      <c r="BE2058" s="22"/>
      <c r="BF2058" s="22"/>
      <c r="BG2058" s="22"/>
      <c r="BH2058" s="22"/>
      <c r="BI2058" s="22"/>
      <c r="BJ2058" s="22"/>
      <c r="BK2058" s="22"/>
      <c r="BL2058" s="22"/>
      <c r="BM2058" s="22"/>
      <c r="BN2058" s="22"/>
      <c r="BO2058" s="22"/>
      <c r="BP2058" s="22"/>
      <c r="BQ2058" s="22"/>
      <c r="BR2058" s="22"/>
      <c r="BS2058" s="22"/>
      <c r="BT2058" s="22"/>
      <c r="BU2058" s="22"/>
      <c r="BV2058" s="22"/>
      <c r="BW2058" s="22"/>
      <c r="BX2058" s="22"/>
      <c r="BY2058" s="22"/>
      <c r="BZ2058" s="22"/>
      <c r="CA2058" s="22"/>
      <c r="CB2058" s="22"/>
      <c r="CC2058" s="22"/>
      <c r="CD2058" s="22"/>
      <c r="CE2058" s="22"/>
      <c r="CF2058" s="22"/>
      <c r="CG2058" s="22"/>
      <c r="CH2058" s="22"/>
      <c r="CI2058" s="22"/>
      <c r="CJ2058" s="22"/>
    </row>
    <row r="2059" spans="1:88">
      <c r="A2059" s="1">
        <v>1080</v>
      </c>
      <c r="B2059" s="34" t="s">
        <v>1467</v>
      </c>
      <c r="C2059" s="34">
        <v>619</v>
      </c>
      <c r="D2059" s="8">
        <v>3395</v>
      </c>
      <c r="E2059" s="34">
        <v>203</v>
      </c>
      <c r="F2059" s="34" t="s">
        <v>1488</v>
      </c>
      <c r="G2059" s="58" t="s">
        <v>1489</v>
      </c>
      <c r="H2059" s="58" t="s">
        <v>1490</v>
      </c>
      <c r="I2059" s="35">
        <v>0.5</v>
      </c>
      <c r="J2059" s="9">
        <v>2</v>
      </c>
      <c r="K2059" s="34" t="s">
        <v>237</v>
      </c>
      <c r="L2059" s="10">
        <v>42094</v>
      </c>
      <c r="M2059" s="9" t="s">
        <v>191</v>
      </c>
      <c r="N2059" s="38">
        <v>0.38</v>
      </c>
      <c r="O2059" s="38">
        <v>0.1</v>
      </c>
      <c r="P2059" s="38">
        <v>0.03</v>
      </c>
      <c r="Q2059" s="38">
        <v>0</v>
      </c>
      <c r="R2059" s="38">
        <v>2.1669999999999998</v>
      </c>
      <c r="S2059" s="38">
        <f t="shared" si="315"/>
        <v>2</v>
      </c>
      <c r="T2059" s="38">
        <v>0.5</v>
      </c>
      <c r="U2059" s="38">
        <v>0</v>
      </c>
      <c r="V2059" s="38">
        <v>0</v>
      </c>
      <c r="W2059" s="38">
        <v>0</v>
      </c>
      <c r="X2059" s="38">
        <v>2.73</v>
      </c>
      <c r="Y2059" s="38">
        <f t="shared" si="316"/>
        <v>2.5</v>
      </c>
      <c r="Z2059" s="117">
        <v>0</v>
      </c>
      <c r="AA2059" s="117">
        <v>0</v>
      </c>
      <c r="AB2059" s="117">
        <v>0.5</v>
      </c>
      <c r="AC2059" s="38">
        <v>1.3480000000000001</v>
      </c>
      <c r="AD2059" s="38">
        <v>0</v>
      </c>
      <c r="AE2059" s="38">
        <v>0</v>
      </c>
      <c r="AF2059" s="11">
        <f t="shared" si="311"/>
        <v>0</v>
      </c>
      <c r="AG2059" s="38">
        <f t="shared" si="317"/>
        <v>0</v>
      </c>
      <c r="AH2059" s="38">
        <v>0</v>
      </c>
      <c r="AI2059" s="38">
        <f t="shared" si="312"/>
        <v>0</v>
      </c>
      <c r="AJ2059" s="38">
        <v>0</v>
      </c>
      <c r="AK2059" s="38">
        <f t="shared" si="313"/>
        <v>0</v>
      </c>
      <c r="AL2059" s="38">
        <v>0</v>
      </c>
      <c r="AM2059" s="38">
        <f t="shared" si="314"/>
        <v>0</v>
      </c>
      <c r="AN2059" s="25"/>
      <c r="AO2059" s="25"/>
      <c r="AP2059" s="12">
        <f>AE2059*0.5</f>
        <v>0</v>
      </c>
      <c r="AQ2059" s="12">
        <f>(AD2059+AH2059+AJ2059+AL2059+AP2059)*I2059</f>
        <v>0</v>
      </c>
      <c r="AR2059" s="25"/>
      <c r="AS2059" s="25">
        <f t="shared" si="320"/>
        <v>0.51</v>
      </c>
      <c r="AT2059" s="22">
        <f t="shared" si="321"/>
        <v>0.5</v>
      </c>
      <c r="AU2059" s="268">
        <v>0.5</v>
      </c>
      <c r="AV2059" s="41">
        <f>SUM(N2059:Q2059)</f>
        <v>0.51</v>
      </c>
      <c r="AW2059" s="41">
        <f>SUM(T2059:W2059)</f>
        <v>0.5</v>
      </c>
      <c r="AX2059" s="41">
        <f>SUM(Z2059:AB2059)</f>
        <v>0.5</v>
      </c>
      <c r="AY2059" s="22"/>
      <c r="AZ2059" s="22">
        <f>I2059/AV2059</f>
        <v>0.98039215686274506</v>
      </c>
      <c r="BA2059" s="22">
        <f>I2059/AW2059</f>
        <v>1</v>
      </c>
      <c r="BB2059" s="22">
        <f>I2059/AX2059</f>
        <v>1</v>
      </c>
      <c r="BC2059" s="22"/>
      <c r="BD2059" s="22"/>
      <c r="BE2059" s="22"/>
      <c r="BF2059" s="22"/>
      <c r="BG2059" s="22"/>
      <c r="BH2059" s="22"/>
      <c r="BI2059" s="22"/>
      <c r="BJ2059" s="22"/>
      <c r="BK2059" s="22"/>
      <c r="BL2059" s="22"/>
      <c r="BM2059" s="22"/>
      <c r="BN2059" s="22"/>
      <c r="BO2059" s="22"/>
      <c r="BP2059" s="22"/>
      <c r="BQ2059" s="22"/>
      <c r="BR2059" s="22"/>
      <c r="BS2059" s="22"/>
      <c r="BT2059" s="22"/>
      <c r="BU2059" s="22"/>
      <c r="BV2059" s="22"/>
      <c r="BW2059" s="22"/>
      <c r="BX2059" s="22"/>
      <c r="BY2059" s="22"/>
      <c r="BZ2059" s="22"/>
      <c r="CA2059" s="22"/>
      <c r="CB2059" s="22"/>
      <c r="CC2059" s="22"/>
      <c r="CD2059" s="22"/>
      <c r="CE2059" s="22"/>
      <c r="CF2059" s="22"/>
      <c r="CG2059" s="22"/>
      <c r="CH2059" s="22"/>
      <c r="CI2059" s="22"/>
      <c r="CJ2059" s="22"/>
    </row>
    <row r="2060" spans="1:88">
      <c r="A2060" s="1">
        <v>1081</v>
      </c>
      <c r="B2060" s="34" t="s">
        <v>1467</v>
      </c>
      <c r="C2060" s="34">
        <v>619</v>
      </c>
      <c r="D2060" s="8">
        <v>3395</v>
      </c>
      <c r="E2060" s="34">
        <v>203</v>
      </c>
      <c r="F2060" s="34" t="s">
        <v>1488</v>
      </c>
      <c r="G2060" s="58" t="s">
        <v>1490</v>
      </c>
      <c r="H2060" s="58" t="s">
        <v>1491</v>
      </c>
      <c r="I2060" s="35">
        <v>10.340999999999999</v>
      </c>
      <c r="J2060" s="9">
        <v>2</v>
      </c>
      <c r="K2060" s="34" t="s">
        <v>238</v>
      </c>
      <c r="L2060" s="10">
        <v>42094</v>
      </c>
      <c r="M2060" s="9" t="s">
        <v>191</v>
      </c>
      <c r="N2060" s="38">
        <v>7.37</v>
      </c>
      <c r="O2060" s="38">
        <v>2.2200000000000002</v>
      </c>
      <c r="P2060" s="38">
        <v>0.57999999999999996</v>
      </c>
      <c r="Q2060" s="38">
        <v>0.2</v>
      </c>
      <c r="R2060" s="38">
        <v>2.2530000000000001</v>
      </c>
      <c r="S2060" s="38">
        <f t="shared" si="315"/>
        <v>2.5</v>
      </c>
      <c r="T2060" s="38">
        <v>10.35</v>
      </c>
      <c r="U2060" s="38">
        <v>0</v>
      </c>
      <c r="V2060" s="38">
        <v>0</v>
      </c>
      <c r="W2060" s="38">
        <v>0</v>
      </c>
      <c r="X2060" s="38">
        <v>2.919</v>
      </c>
      <c r="Y2060" s="38">
        <f t="shared" si="316"/>
        <v>3</v>
      </c>
      <c r="Z2060" s="117">
        <v>0</v>
      </c>
      <c r="AA2060" s="117">
        <v>0</v>
      </c>
      <c r="AB2060" s="117">
        <v>10.35</v>
      </c>
      <c r="AC2060" s="38">
        <v>1.4159999999999999</v>
      </c>
      <c r="AD2060" s="38">
        <v>0</v>
      </c>
      <c r="AE2060" s="38">
        <v>0</v>
      </c>
      <c r="AF2060" s="11">
        <f t="shared" si="311"/>
        <v>0</v>
      </c>
      <c r="AG2060" s="38">
        <f t="shared" si="317"/>
        <v>0</v>
      </c>
      <c r="AH2060" s="38">
        <v>0</v>
      </c>
      <c r="AI2060" s="38">
        <f t="shared" si="312"/>
        <v>0</v>
      </c>
      <c r="AJ2060" s="38">
        <v>0</v>
      </c>
      <c r="AK2060" s="38">
        <f t="shared" si="313"/>
        <v>0</v>
      </c>
      <c r="AL2060" s="38">
        <v>0</v>
      </c>
      <c r="AM2060" s="38">
        <f t="shared" si="314"/>
        <v>0</v>
      </c>
      <c r="AN2060" s="25"/>
      <c r="AO2060" s="25"/>
      <c r="AP2060" s="12">
        <f>AE2060*0.5</f>
        <v>0</v>
      </c>
      <c r="AQ2060" s="12">
        <f>(AD2060+AH2060+AJ2060+AL2060+AP2060)*I2060</f>
        <v>0</v>
      </c>
      <c r="AR2060" s="25"/>
      <c r="AS2060" s="25">
        <f t="shared" si="320"/>
        <v>10.37</v>
      </c>
      <c r="AT2060" s="22">
        <f t="shared" si="321"/>
        <v>10.35</v>
      </c>
      <c r="AU2060" s="268">
        <v>10.340999999999999</v>
      </c>
      <c r="AV2060" s="41">
        <f>SUM(N2060:Q2060)</f>
        <v>10.37</v>
      </c>
      <c r="AW2060" s="41">
        <f>SUM(T2060:W2060)</f>
        <v>10.35</v>
      </c>
      <c r="AX2060" s="41">
        <f>SUM(Z2060:AB2060)</f>
        <v>10.35</v>
      </c>
      <c r="AY2060" s="22"/>
      <c r="AZ2060" s="22">
        <f>I2060/AV2060</f>
        <v>0.99720347155255551</v>
      </c>
      <c r="BA2060" s="22">
        <f>I2060/AW2060</f>
        <v>0.99913043478260866</v>
      </c>
      <c r="BB2060" s="22">
        <f>I2060/AX2060</f>
        <v>0.99913043478260866</v>
      </c>
      <c r="BC2060" s="22"/>
      <c r="BD2060" s="22"/>
      <c r="BE2060" s="22"/>
      <c r="BF2060" s="22"/>
      <c r="BG2060" s="22"/>
      <c r="BH2060" s="22"/>
      <c r="BI2060" s="22"/>
      <c r="BJ2060" s="22"/>
      <c r="BK2060" s="22"/>
      <c r="BL2060" s="22"/>
      <c r="BM2060" s="22"/>
      <c r="BN2060" s="22"/>
      <c r="BO2060" s="22"/>
      <c r="BP2060" s="22"/>
      <c r="BQ2060" s="22"/>
      <c r="BR2060" s="22"/>
      <c r="BS2060" s="22"/>
      <c r="BT2060" s="22"/>
      <c r="BU2060" s="22"/>
      <c r="BV2060" s="22"/>
      <c r="BW2060" s="22"/>
      <c r="BX2060" s="22"/>
      <c r="BY2060" s="22"/>
      <c r="BZ2060" s="22"/>
      <c r="CA2060" s="22"/>
      <c r="CB2060" s="22"/>
      <c r="CC2060" s="22"/>
      <c r="CD2060" s="22"/>
      <c r="CE2060" s="22"/>
      <c r="CF2060" s="22"/>
      <c r="CG2060" s="22"/>
      <c r="CH2060" s="22"/>
      <c r="CI2060" s="22"/>
      <c r="CJ2060" s="22"/>
    </row>
    <row r="2061" spans="1:88">
      <c r="A2061" s="1">
        <v>1126</v>
      </c>
      <c r="B2061" s="9" t="s">
        <v>1513</v>
      </c>
      <c r="C2061" s="34">
        <v>431</v>
      </c>
      <c r="D2061" s="75">
        <v>3354</v>
      </c>
      <c r="E2061" s="69">
        <v>101</v>
      </c>
      <c r="F2061" s="34" t="s">
        <v>1566</v>
      </c>
      <c r="G2061" s="58">
        <v>0</v>
      </c>
      <c r="H2061" s="58">
        <v>500</v>
      </c>
      <c r="I2061" s="34">
        <v>0.5</v>
      </c>
      <c r="J2061" s="5">
        <v>2</v>
      </c>
      <c r="K2061" s="5" t="s">
        <v>238</v>
      </c>
      <c r="L2061" s="18">
        <v>42282</v>
      </c>
      <c r="M2061" s="9" t="s">
        <v>191</v>
      </c>
      <c r="N2061" s="38">
        <v>0.47499999999999998</v>
      </c>
      <c r="O2061" s="38">
        <v>2.5000000000000001E-2</v>
      </c>
      <c r="P2061" s="38">
        <v>0</v>
      </c>
      <c r="Q2061" s="38">
        <v>0</v>
      </c>
      <c r="R2061" s="38">
        <v>2.621</v>
      </c>
      <c r="S2061" s="38">
        <f t="shared" si="315"/>
        <v>2.5</v>
      </c>
      <c r="T2061" s="38">
        <v>0.5</v>
      </c>
      <c r="U2061" s="38">
        <v>0</v>
      </c>
      <c r="V2061" s="38">
        <v>0</v>
      </c>
      <c r="W2061" s="38">
        <v>0</v>
      </c>
      <c r="X2061" s="38">
        <v>2.698</v>
      </c>
      <c r="Y2061" s="38">
        <f t="shared" si="316"/>
        <v>2.5</v>
      </c>
      <c r="Z2061" s="38">
        <v>0</v>
      </c>
      <c r="AA2061" s="38">
        <v>0</v>
      </c>
      <c r="AB2061" s="38">
        <v>0.5</v>
      </c>
      <c r="AC2061" s="38">
        <v>1.2809999999999999</v>
      </c>
      <c r="AD2061" s="38">
        <v>0</v>
      </c>
      <c r="AE2061" s="38">
        <v>0</v>
      </c>
      <c r="AF2061" s="38">
        <f t="shared" si="311"/>
        <v>0</v>
      </c>
      <c r="AG2061" s="38">
        <f t="shared" si="317"/>
        <v>0</v>
      </c>
      <c r="AH2061" s="38">
        <v>26.6</v>
      </c>
      <c r="AI2061" s="38">
        <f t="shared" si="312"/>
        <v>1.52</v>
      </c>
      <c r="AJ2061" s="38">
        <v>0</v>
      </c>
      <c r="AK2061" s="38">
        <f t="shared" si="313"/>
        <v>0</v>
      </c>
      <c r="AL2061" s="38">
        <v>0</v>
      </c>
      <c r="AM2061" s="38">
        <f t="shared" si="314"/>
        <v>0</v>
      </c>
      <c r="AN2061" s="41"/>
      <c r="AO2061" s="114"/>
      <c r="AP2061" s="73"/>
      <c r="AQ2061" s="73"/>
      <c r="AR2061" s="22"/>
      <c r="AS2061" s="22"/>
      <c r="AT2061" s="22"/>
      <c r="AU2061" s="22"/>
      <c r="AV2061" s="22"/>
      <c r="AW2061" s="22"/>
      <c r="AX2061" s="22"/>
      <c r="AY2061" s="22"/>
      <c r="AZ2061" s="22"/>
      <c r="BA2061" s="22"/>
      <c r="BB2061" s="22"/>
      <c r="BC2061" s="22"/>
      <c r="BD2061" s="22"/>
      <c r="BE2061" s="22"/>
      <c r="BF2061" s="22"/>
      <c r="BG2061" s="22"/>
      <c r="BH2061" s="22"/>
      <c r="BI2061" s="22"/>
      <c r="BJ2061" s="22"/>
      <c r="BK2061" s="22"/>
      <c r="BL2061" s="22"/>
      <c r="BM2061" s="22"/>
      <c r="BN2061" s="22"/>
      <c r="BO2061" s="22"/>
      <c r="BP2061" s="22"/>
      <c r="BQ2061" s="22"/>
      <c r="BR2061" s="22"/>
      <c r="BS2061" s="22"/>
      <c r="BT2061" s="22"/>
      <c r="BU2061" s="22"/>
      <c r="BV2061" s="22"/>
      <c r="BW2061" s="22"/>
      <c r="BX2061" s="22"/>
      <c r="BY2061" s="22"/>
      <c r="BZ2061" s="22"/>
      <c r="CA2061" s="22"/>
      <c r="CB2061" s="22"/>
      <c r="CC2061" s="22"/>
      <c r="CD2061" s="22"/>
      <c r="CE2061" s="22"/>
      <c r="CF2061" s="22"/>
      <c r="CG2061" s="22"/>
      <c r="CH2061" s="22"/>
      <c r="CI2061" s="22"/>
      <c r="CJ2061" s="22"/>
    </row>
    <row r="2062" spans="1:88">
      <c r="A2062" s="1">
        <v>1282</v>
      </c>
      <c r="B2062" s="74" t="s">
        <v>1820</v>
      </c>
      <c r="C2062" s="34">
        <v>441</v>
      </c>
      <c r="D2062" s="75">
        <v>3216</v>
      </c>
      <c r="E2062" s="69">
        <v>100</v>
      </c>
      <c r="F2062" s="34" t="s">
        <v>1825</v>
      </c>
      <c r="G2062" s="58" t="s">
        <v>92</v>
      </c>
      <c r="H2062" s="58" t="s">
        <v>1826</v>
      </c>
      <c r="I2062" s="55">
        <v>4.7809999999999997</v>
      </c>
      <c r="J2062" s="34">
        <v>2</v>
      </c>
      <c r="K2062" s="34" t="s">
        <v>238</v>
      </c>
      <c r="L2062" s="10">
        <v>42185</v>
      </c>
      <c r="M2062" s="9" t="s">
        <v>191</v>
      </c>
      <c r="N2062" s="38">
        <v>3.05</v>
      </c>
      <c r="O2062" s="38">
        <v>0.57499999999999996</v>
      </c>
      <c r="P2062" s="38">
        <v>0.45</v>
      </c>
      <c r="Q2062" s="38">
        <v>0.32500000000000001</v>
      </c>
      <c r="R2062" s="38">
        <v>2.5908000000000002</v>
      </c>
      <c r="S2062" s="38">
        <f t="shared" si="315"/>
        <v>2.5</v>
      </c>
      <c r="T2062" s="38">
        <v>4.4000000000000004</v>
      </c>
      <c r="U2062" s="38">
        <v>0</v>
      </c>
      <c r="V2062" s="38">
        <v>0</v>
      </c>
      <c r="W2062" s="38">
        <v>0</v>
      </c>
      <c r="X2062" s="38">
        <v>2.6320000000000001</v>
      </c>
      <c r="Y2062" s="38">
        <f t="shared" si="316"/>
        <v>2.5</v>
      </c>
      <c r="Z2062" s="38">
        <v>0</v>
      </c>
      <c r="AA2062" s="38">
        <v>0</v>
      </c>
      <c r="AB2062" s="38">
        <v>4.4000000000000004</v>
      </c>
      <c r="AC2062" s="38">
        <v>1.21759</v>
      </c>
      <c r="AD2062" s="38">
        <v>0</v>
      </c>
      <c r="AE2062" s="38">
        <v>0</v>
      </c>
      <c r="AF2062" s="38">
        <v>0</v>
      </c>
      <c r="AG2062" s="38">
        <f t="shared" si="317"/>
        <v>0</v>
      </c>
      <c r="AH2062" s="38">
        <v>0</v>
      </c>
      <c r="AI2062" s="38">
        <v>0</v>
      </c>
      <c r="AJ2062" s="38">
        <v>0</v>
      </c>
      <c r="AK2062" s="38">
        <v>0</v>
      </c>
      <c r="AL2062" s="38">
        <v>0</v>
      </c>
      <c r="AM2062" s="38">
        <v>0</v>
      </c>
      <c r="AN2062" s="40"/>
      <c r="AO2062" s="25"/>
      <c r="AP2062" s="22"/>
      <c r="AQ2062" s="22"/>
      <c r="AR2062" s="22"/>
      <c r="AS2062" s="22"/>
      <c r="AT2062" s="22"/>
      <c r="AU2062" s="22"/>
      <c r="AV2062" s="22"/>
      <c r="AW2062" s="22"/>
      <c r="AX2062" s="22"/>
      <c r="AY2062" s="22"/>
      <c r="AZ2062" s="22"/>
      <c r="BA2062" s="22"/>
      <c r="BB2062" s="22"/>
      <c r="BC2062" s="22"/>
      <c r="BD2062" s="22"/>
      <c r="BE2062" s="22"/>
      <c r="BF2062" s="22"/>
      <c r="BG2062" s="22"/>
      <c r="BH2062" s="22"/>
      <c r="BI2062" s="22"/>
      <c r="BJ2062" s="22"/>
      <c r="BK2062" s="22"/>
      <c r="BL2062" s="22"/>
      <c r="BM2062" s="22"/>
      <c r="BN2062" s="22"/>
      <c r="BO2062" s="22"/>
      <c r="BP2062" s="22"/>
      <c r="BQ2062" s="22"/>
      <c r="BR2062" s="22"/>
      <c r="BS2062" s="22"/>
      <c r="BT2062" s="22"/>
      <c r="BU2062" s="22"/>
      <c r="BV2062" s="22"/>
      <c r="BW2062" s="22"/>
      <c r="BX2062" s="22"/>
      <c r="BY2062" s="22"/>
      <c r="BZ2062" s="22"/>
      <c r="CA2062" s="22"/>
      <c r="CB2062" s="22"/>
      <c r="CC2062" s="22"/>
      <c r="CD2062" s="22"/>
      <c r="CE2062" s="22"/>
      <c r="CF2062" s="22"/>
      <c r="CG2062" s="22"/>
      <c r="CH2062" s="22"/>
      <c r="CI2062" s="22"/>
      <c r="CJ2062" s="22"/>
    </row>
    <row r="2063" spans="1:88">
      <c r="A2063" s="1">
        <v>1287</v>
      </c>
      <c r="B2063" s="74" t="s">
        <v>1820</v>
      </c>
      <c r="C2063" s="34">
        <v>441</v>
      </c>
      <c r="D2063" s="75">
        <v>3350</v>
      </c>
      <c r="E2063" s="69">
        <v>100</v>
      </c>
      <c r="F2063" s="34" t="s">
        <v>1832</v>
      </c>
      <c r="G2063" s="58" t="s">
        <v>92</v>
      </c>
      <c r="H2063" s="58" t="s">
        <v>1833</v>
      </c>
      <c r="I2063" s="55">
        <v>31.119</v>
      </c>
      <c r="J2063" s="34">
        <v>2</v>
      </c>
      <c r="K2063" s="34" t="s">
        <v>238</v>
      </c>
      <c r="L2063" s="10">
        <v>42185</v>
      </c>
      <c r="M2063" s="9" t="s">
        <v>191</v>
      </c>
      <c r="N2063" s="38">
        <v>20.774999999999999</v>
      </c>
      <c r="O2063" s="38">
        <v>6.05</v>
      </c>
      <c r="P2063" s="38">
        <v>2.95</v>
      </c>
      <c r="Q2063" s="38">
        <v>1.425</v>
      </c>
      <c r="R2063" s="38">
        <v>2.4601600000000001</v>
      </c>
      <c r="S2063" s="38">
        <f t="shared" si="315"/>
        <v>2.5</v>
      </c>
      <c r="T2063" s="38">
        <v>29.824999999999999</v>
      </c>
      <c r="U2063" s="38">
        <v>1.375</v>
      </c>
      <c r="V2063" s="38">
        <v>0</v>
      </c>
      <c r="W2063" s="38">
        <v>0</v>
      </c>
      <c r="X2063" s="38">
        <v>2.6930000000000001</v>
      </c>
      <c r="Y2063" s="38">
        <f t="shared" si="316"/>
        <v>2.5</v>
      </c>
      <c r="Z2063" s="38">
        <v>0</v>
      </c>
      <c r="AA2063" s="38">
        <v>0</v>
      </c>
      <c r="AB2063" s="38">
        <v>31.2</v>
      </c>
      <c r="AC2063" s="38">
        <v>1.09449</v>
      </c>
      <c r="AD2063" s="38">
        <v>0</v>
      </c>
      <c r="AE2063" s="38">
        <v>0</v>
      </c>
      <c r="AF2063" s="38">
        <v>0</v>
      </c>
      <c r="AG2063" s="38">
        <f t="shared" si="317"/>
        <v>0</v>
      </c>
      <c r="AH2063" s="38">
        <v>0</v>
      </c>
      <c r="AI2063" s="38">
        <v>0.45673469387755106</v>
      </c>
      <c r="AJ2063" s="38">
        <v>0</v>
      </c>
      <c r="AK2063" s="38">
        <v>0</v>
      </c>
      <c r="AL2063" s="38">
        <v>0</v>
      </c>
      <c r="AM2063" s="38">
        <v>0</v>
      </c>
      <c r="AN2063" s="40"/>
      <c r="AO2063" s="25"/>
      <c r="AP2063" s="22"/>
      <c r="AQ2063" s="22"/>
      <c r="AR2063" s="22"/>
      <c r="AS2063" s="22"/>
      <c r="AT2063" s="22"/>
      <c r="AU2063" s="22"/>
      <c r="AV2063" s="22"/>
      <c r="AW2063" s="22"/>
      <c r="AX2063" s="22"/>
      <c r="AY2063" s="22"/>
      <c r="AZ2063" s="22"/>
      <c r="BA2063" s="22"/>
      <c r="BB2063" s="22"/>
      <c r="BC2063" s="22"/>
      <c r="BD2063" s="22"/>
      <c r="BE2063" s="22"/>
      <c r="BF2063" s="22"/>
      <c r="BG2063" s="22"/>
      <c r="BH2063" s="22"/>
      <c r="BI2063" s="22"/>
      <c r="BJ2063" s="22"/>
      <c r="BK2063" s="22"/>
      <c r="BL2063" s="22"/>
      <c r="BM2063" s="22"/>
      <c r="BN2063" s="22"/>
      <c r="BO2063" s="22"/>
      <c r="BP2063" s="22"/>
      <c r="BQ2063" s="22"/>
      <c r="BR2063" s="22"/>
      <c r="BS2063" s="22"/>
      <c r="BT2063" s="22"/>
      <c r="BU2063" s="22"/>
      <c r="BV2063" s="22"/>
      <c r="BW2063" s="22"/>
      <c r="BX2063" s="22"/>
      <c r="BY2063" s="22"/>
      <c r="BZ2063" s="22"/>
      <c r="CA2063" s="22"/>
      <c r="CB2063" s="22"/>
      <c r="CC2063" s="22"/>
      <c r="CD2063" s="22"/>
      <c r="CE2063" s="22"/>
      <c r="CF2063" s="22"/>
      <c r="CG2063" s="22"/>
      <c r="CH2063" s="22"/>
      <c r="CI2063" s="22"/>
      <c r="CJ2063" s="22"/>
    </row>
    <row r="2064" spans="1:88">
      <c r="A2064" s="1">
        <v>1321</v>
      </c>
      <c r="B2064" s="74" t="s">
        <v>1851</v>
      </c>
      <c r="C2064" s="34">
        <v>444</v>
      </c>
      <c r="D2064" s="75">
        <v>3084</v>
      </c>
      <c r="E2064" s="69">
        <v>100</v>
      </c>
      <c r="F2064" s="34" t="s">
        <v>1865</v>
      </c>
      <c r="G2064" s="20">
        <v>9325</v>
      </c>
      <c r="H2064" s="20">
        <v>903</v>
      </c>
      <c r="I2064" s="21">
        <v>8.4220000000000006</v>
      </c>
      <c r="J2064" s="8">
        <v>2</v>
      </c>
      <c r="K2064" s="34" t="s">
        <v>12</v>
      </c>
      <c r="L2064" s="10">
        <v>42211</v>
      </c>
      <c r="M2064" s="9" t="s">
        <v>191</v>
      </c>
      <c r="N2064" s="38">
        <v>4.95</v>
      </c>
      <c r="O2064" s="38">
        <v>2.2999999999999998</v>
      </c>
      <c r="P2064" s="38">
        <v>0.75</v>
      </c>
      <c r="Q2064" s="38">
        <v>0.4</v>
      </c>
      <c r="R2064" s="38">
        <v>2.66994</v>
      </c>
      <c r="S2064" s="38">
        <f t="shared" si="315"/>
        <v>2.5</v>
      </c>
      <c r="T2064" s="38">
        <v>7.8250000000000002</v>
      </c>
      <c r="U2064" s="38">
        <v>0.35</v>
      </c>
      <c r="V2064" s="38">
        <v>0.125</v>
      </c>
      <c r="W2064" s="38">
        <v>0.1</v>
      </c>
      <c r="X2064" s="38">
        <v>4.67753</v>
      </c>
      <c r="Y2064" s="38">
        <f t="shared" si="316"/>
        <v>4.5</v>
      </c>
      <c r="Z2064" s="38">
        <v>0</v>
      </c>
      <c r="AA2064" s="38">
        <v>0</v>
      </c>
      <c r="AB2064" s="38">
        <v>8.4</v>
      </c>
      <c r="AC2064" s="38">
        <v>1.15055</v>
      </c>
      <c r="AD2064" s="38">
        <v>0</v>
      </c>
      <c r="AE2064" s="38">
        <v>0</v>
      </c>
      <c r="AF2064" s="38">
        <v>0</v>
      </c>
      <c r="AG2064" s="38">
        <f t="shared" si="317"/>
        <v>0</v>
      </c>
      <c r="AH2064" s="38">
        <v>0</v>
      </c>
      <c r="AI2064" s="38">
        <v>0</v>
      </c>
      <c r="AJ2064" s="38">
        <v>64</v>
      </c>
      <c r="AK2064" s="38">
        <v>0.21711843131933367</v>
      </c>
      <c r="AL2064" s="38">
        <v>0</v>
      </c>
      <c r="AM2064" s="38">
        <v>0</v>
      </c>
    </row>
    <row r="2065" spans="1:88">
      <c r="A2065" s="1">
        <v>1352</v>
      </c>
      <c r="B2065" s="74" t="s">
        <v>1851</v>
      </c>
      <c r="C2065" s="34">
        <v>444</v>
      </c>
      <c r="D2065" s="75">
        <v>3595</v>
      </c>
      <c r="E2065" s="69">
        <v>100</v>
      </c>
      <c r="F2065" s="34" t="s">
        <v>1903</v>
      </c>
      <c r="G2065" s="20" t="s">
        <v>92</v>
      </c>
      <c r="H2065" s="20" t="s">
        <v>1904</v>
      </c>
      <c r="I2065" s="21">
        <v>0.81799999999999995</v>
      </c>
      <c r="J2065" s="8">
        <v>2</v>
      </c>
      <c r="K2065" s="34" t="s">
        <v>12</v>
      </c>
      <c r="L2065" s="10">
        <v>42212</v>
      </c>
      <c r="M2065" s="9" t="s">
        <v>191</v>
      </c>
      <c r="N2065" s="38">
        <v>0.45</v>
      </c>
      <c r="O2065" s="38">
        <v>0.32500000000000001</v>
      </c>
      <c r="P2065" s="38">
        <v>0.05</v>
      </c>
      <c r="Q2065" s="38">
        <v>2.5000000000000001E-2</v>
      </c>
      <c r="R2065" s="38">
        <v>3.5796299999999999</v>
      </c>
      <c r="S2065" s="38">
        <f t="shared" si="315"/>
        <v>3.5</v>
      </c>
      <c r="T2065" s="38">
        <v>2.0249999999999999</v>
      </c>
      <c r="U2065" s="38">
        <v>0</v>
      </c>
      <c r="V2065" s="38">
        <v>0</v>
      </c>
      <c r="W2065" s="38">
        <v>0</v>
      </c>
      <c r="X2065" s="38">
        <v>2.5634800000000002</v>
      </c>
      <c r="Y2065" s="38">
        <f t="shared" si="316"/>
        <v>2.5</v>
      </c>
      <c r="Z2065" s="38">
        <v>0</v>
      </c>
      <c r="AA2065" s="38">
        <v>0</v>
      </c>
      <c r="AB2065" s="38">
        <v>0.85000000000000009</v>
      </c>
      <c r="AC2065" s="38">
        <v>1.1401399999999999</v>
      </c>
      <c r="AD2065" s="38">
        <v>0</v>
      </c>
      <c r="AE2065" s="38">
        <v>0</v>
      </c>
      <c r="AF2065" s="38">
        <v>0</v>
      </c>
      <c r="AG2065" s="38">
        <f t="shared" si="317"/>
        <v>0</v>
      </c>
      <c r="AH2065" s="38">
        <v>0</v>
      </c>
      <c r="AI2065" s="38">
        <v>0</v>
      </c>
      <c r="AJ2065" s="38">
        <v>0</v>
      </c>
      <c r="AK2065" s="38">
        <v>0</v>
      </c>
      <c r="AL2065" s="38">
        <v>0</v>
      </c>
      <c r="AM2065" s="38">
        <v>0</v>
      </c>
    </row>
    <row r="2066" spans="1:88">
      <c r="A2066" s="1">
        <v>1380</v>
      </c>
      <c r="B2066" s="74" t="s">
        <v>1905</v>
      </c>
      <c r="C2066" s="34">
        <v>445</v>
      </c>
      <c r="D2066" s="75">
        <v>3461</v>
      </c>
      <c r="E2066" s="69">
        <v>100</v>
      </c>
      <c r="F2066" s="184" t="s">
        <v>1931</v>
      </c>
      <c r="G2066" s="20" t="s">
        <v>92</v>
      </c>
      <c r="H2066" s="20" t="s">
        <v>1932</v>
      </c>
      <c r="I2066" s="21">
        <v>8.7260000000000009</v>
      </c>
      <c r="J2066" s="8">
        <v>2</v>
      </c>
      <c r="K2066" s="34" t="s">
        <v>238</v>
      </c>
      <c r="L2066" s="10">
        <v>42207</v>
      </c>
      <c r="M2066" s="9" t="s">
        <v>191</v>
      </c>
      <c r="N2066" s="38">
        <v>5.0750000000000002</v>
      </c>
      <c r="O2066" s="38">
        <v>3.3250000000000002</v>
      </c>
      <c r="P2066" s="38">
        <v>0.17499999999999999</v>
      </c>
      <c r="Q2066" s="38">
        <v>7.4999999999999997E-2</v>
      </c>
      <c r="R2066" s="38">
        <v>1.72265</v>
      </c>
      <c r="S2066" s="38">
        <f t="shared" si="315"/>
        <v>1.5</v>
      </c>
      <c r="T2066" s="38">
        <v>8.65</v>
      </c>
      <c r="U2066" s="38">
        <v>0</v>
      </c>
      <c r="V2066" s="38">
        <v>0</v>
      </c>
      <c r="W2066" s="38">
        <v>0</v>
      </c>
      <c r="X2066" s="38">
        <v>1.2739799999999999</v>
      </c>
      <c r="Y2066" s="38">
        <f t="shared" si="316"/>
        <v>1.5</v>
      </c>
      <c r="Z2066" s="38">
        <v>0</v>
      </c>
      <c r="AA2066" s="38">
        <v>0</v>
      </c>
      <c r="AB2066" s="38">
        <v>8.65</v>
      </c>
      <c r="AC2066" s="38">
        <v>2.17286</v>
      </c>
      <c r="AD2066" s="38">
        <v>0</v>
      </c>
      <c r="AE2066" s="38">
        <v>0</v>
      </c>
      <c r="AF2066" s="38">
        <v>0</v>
      </c>
      <c r="AG2066" s="38">
        <f t="shared" si="317"/>
        <v>0</v>
      </c>
      <c r="AH2066" s="38">
        <v>0</v>
      </c>
      <c r="AI2066" s="38">
        <v>0</v>
      </c>
      <c r="AJ2066" s="38">
        <v>0</v>
      </c>
      <c r="AK2066" s="38">
        <v>0</v>
      </c>
      <c r="AL2066" s="38">
        <v>0</v>
      </c>
      <c r="AM2066" s="38">
        <v>0</v>
      </c>
      <c r="AN2066" s="72"/>
      <c r="AO2066" s="41"/>
      <c r="AP2066" s="41"/>
      <c r="AQ2066" s="41"/>
      <c r="AR2066" s="41"/>
      <c r="AS2066" s="73"/>
      <c r="AT2066" s="73"/>
      <c r="AU2066" s="73"/>
      <c r="AV2066" s="73"/>
    </row>
    <row r="2067" spans="1:88">
      <c r="A2067" s="1">
        <v>1381</v>
      </c>
      <c r="B2067" s="74" t="s">
        <v>1905</v>
      </c>
      <c r="C2067" s="34">
        <v>445</v>
      </c>
      <c r="D2067" s="75">
        <v>3468</v>
      </c>
      <c r="E2067" s="69">
        <v>100</v>
      </c>
      <c r="F2067" s="184" t="s">
        <v>1933</v>
      </c>
      <c r="G2067" s="20" t="s">
        <v>92</v>
      </c>
      <c r="H2067" s="20" t="s">
        <v>1934</v>
      </c>
      <c r="I2067" s="21">
        <v>10.724</v>
      </c>
      <c r="J2067" s="8">
        <v>2</v>
      </c>
      <c r="K2067" s="34" t="s">
        <v>238</v>
      </c>
      <c r="L2067" s="10">
        <v>42188</v>
      </c>
      <c r="M2067" s="9" t="s">
        <v>191</v>
      </c>
      <c r="N2067" s="38">
        <v>8.3249999999999993</v>
      </c>
      <c r="O2067" s="38">
        <v>1.5</v>
      </c>
      <c r="P2067" s="38">
        <v>0.67500000000000004</v>
      </c>
      <c r="Q2067" s="38">
        <v>0.15</v>
      </c>
      <c r="R2067" s="38">
        <v>2.0596199999999998</v>
      </c>
      <c r="S2067" s="38">
        <f t="shared" si="315"/>
        <v>2</v>
      </c>
      <c r="T2067" s="38">
        <v>10.175000000000001</v>
      </c>
      <c r="U2067" s="38">
        <v>0.375</v>
      </c>
      <c r="V2067" s="38">
        <v>7.4999999999999997E-2</v>
      </c>
      <c r="W2067" s="38">
        <v>2.5000000000000001E-2</v>
      </c>
      <c r="X2067" s="38">
        <v>3.4968599999999999</v>
      </c>
      <c r="Y2067" s="38">
        <f t="shared" si="316"/>
        <v>3.5</v>
      </c>
      <c r="Z2067" s="38">
        <v>0</v>
      </c>
      <c r="AA2067" s="38">
        <v>0</v>
      </c>
      <c r="AB2067" s="38">
        <v>10.65</v>
      </c>
      <c r="AC2067" s="38">
        <v>1.2194</v>
      </c>
      <c r="AD2067" s="38">
        <v>0</v>
      </c>
      <c r="AE2067" s="38">
        <v>0</v>
      </c>
      <c r="AF2067" s="38">
        <v>0</v>
      </c>
      <c r="AG2067" s="38">
        <f t="shared" si="317"/>
        <v>0</v>
      </c>
      <c r="AH2067" s="38">
        <v>0</v>
      </c>
      <c r="AI2067" s="38">
        <v>0</v>
      </c>
      <c r="AJ2067" s="38">
        <v>0</v>
      </c>
      <c r="AK2067" s="38">
        <v>0</v>
      </c>
      <c r="AL2067" s="38">
        <v>0</v>
      </c>
      <c r="AM2067" s="38">
        <v>0</v>
      </c>
      <c r="AN2067" s="72"/>
      <c r="AO2067" s="41"/>
      <c r="AP2067" s="41"/>
      <c r="AQ2067" s="41"/>
      <c r="AR2067" s="41"/>
      <c r="AS2067" s="73"/>
      <c r="AT2067" s="73"/>
      <c r="AU2067" s="73"/>
      <c r="AV2067" s="73"/>
    </row>
    <row r="2068" spans="1:88">
      <c r="A2068" s="1">
        <v>1406</v>
      </c>
      <c r="B2068" s="34" t="s">
        <v>1957</v>
      </c>
      <c r="C2068" s="34">
        <v>447</v>
      </c>
      <c r="D2068" s="34">
        <v>3011</v>
      </c>
      <c r="E2068" s="34">
        <v>100</v>
      </c>
      <c r="F2068" s="34" t="s">
        <v>1961</v>
      </c>
      <c r="G2068" s="34" t="s">
        <v>92</v>
      </c>
      <c r="H2068" s="34" t="s">
        <v>1962</v>
      </c>
      <c r="I2068" s="55">
        <v>41.570999999999998</v>
      </c>
      <c r="J2068" s="34">
        <v>4</v>
      </c>
      <c r="K2068" s="34" t="s">
        <v>237</v>
      </c>
      <c r="L2068" s="10">
        <v>42215</v>
      </c>
      <c r="M2068" s="9" t="s">
        <v>191</v>
      </c>
      <c r="N2068" s="38">
        <v>18.649999999999999</v>
      </c>
      <c r="O2068" s="38">
        <v>15.725</v>
      </c>
      <c r="P2068" s="38">
        <v>5.25</v>
      </c>
      <c r="Q2068" s="38">
        <v>1.9750000000000001</v>
      </c>
      <c r="R2068" s="38">
        <v>2.9249999999999998</v>
      </c>
      <c r="S2068" s="38">
        <f t="shared" si="315"/>
        <v>3</v>
      </c>
      <c r="T2068" s="38">
        <v>33.4</v>
      </c>
      <c r="U2068" s="38">
        <v>1.3</v>
      </c>
      <c r="V2068" s="38">
        <v>0.55000000000000004</v>
      </c>
      <c r="W2068" s="38">
        <v>0.32500000000000001</v>
      </c>
      <c r="X2068" s="38">
        <v>3.327</v>
      </c>
      <c r="Y2068" s="38">
        <f t="shared" si="316"/>
        <v>3.5</v>
      </c>
      <c r="Z2068" s="38">
        <v>0</v>
      </c>
      <c r="AA2068" s="38">
        <v>0</v>
      </c>
      <c r="AB2068" s="38">
        <v>41.6</v>
      </c>
      <c r="AC2068" s="38">
        <v>1.3759999999999999</v>
      </c>
      <c r="AD2068" s="38">
        <v>0</v>
      </c>
      <c r="AE2068" s="38">
        <v>0</v>
      </c>
      <c r="AF2068" s="38">
        <v>0</v>
      </c>
      <c r="AG2068" s="38">
        <f t="shared" si="317"/>
        <v>0</v>
      </c>
      <c r="AH2068" s="38">
        <v>0</v>
      </c>
      <c r="AI2068" s="38">
        <f t="shared" ref="AI2068:AI2079" si="322">AH2068/(3.5*I2068*1000)*100</f>
        <v>0</v>
      </c>
      <c r="AJ2068" s="38">
        <v>0</v>
      </c>
      <c r="AK2068" s="38">
        <f t="shared" ref="AK2068:AK2082" si="323">AJ2068/(3.5*I2068*1000)*100</f>
        <v>0</v>
      </c>
      <c r="AL2068" s="38">
        <v>0</v>
      </c>
      <c r="AM2068" s="38">
        <f t="shared" ref="AM2068:AM2079" si="324">AL2068/(3.5*I2068*1000)*100</f>
        <v>0</v>
      </c>
      <c r="AN2068" s="40"/>
      <c r="AO2068" s="114"/>
      <c r="AP2068" s="114"/>
      <c r="AQ2068" s="114"/>
      <c r="AR2068" s="114"/>
      <c r="AS2068" s="114"/>
      <c r="AT2068" s="114"/>
      <c r="AU2068" s="114"/>
      <c r="AV2068" s="114"/>
      <c r="AW2068" s="114"/>
      <c r="AX2068" s="114"/>
      <c r="AY2068" s="114"/>
      <c r="AZ2068" s="114"/>
      <c r="BA2068" s="114"/>
      <c r="BB2068" s="114"/>
      <c r="BC2068" s="114"/>
      <c r="BD2068" s="114"/>
      <c r="BE2068" s="114"/>
      <c r="BF2068" s="114"/>
      <c r="BG2068" s="114"/>
      <c r="BH2068" s="114"/>
      <c r="BI2068" s="114"/>
      <c r="BJ2068" s="114"/>
      <c r="BK2068" s="114"/>
      <c r="BL2068" s="114"/>
      <c r="BM2068" s="114"/>
      <c r="BN2068" s="114"/>
      <c r="BO2068" s="114"/>
      <c r="BP2068" s="114"/>
      <c r="BQ2068" s="114"/>
      <c r="BR2068" s="114"/>
      <c r="BS2068" s="114"/>
      <c r="BT2068" s="114"/>
      <c r="BU2068" s="114"/>
      <c r="BV2068" s="114"/>
      <c r="BW2068" s="114"/>
      <c r="BX2068" s="114"/>
      <c r="BY2068" s="114"/>
      <c r="BZ2068" s="114"/>
      <c r="CA2068" s="114"/>
      <c r="CB2068" s="114"/>
      <c r="CC2068" s="114"/>
      <c r="CD2068" s="114"/>
      <c r="CE2068" s="114"/>
      <c r="CF2068" s="114"/>
      <c r="CG2068" s="114"/>
      <c r="CH2068" s="114"/>
      <c r="CI2068" s="114"/>
      <c r="CJ2068" s="114"/>
    </row>
    <row r="2069" spans="1:88">
      <c r="A2069" s="1">
        <v>1409</v>
      </c>
      <c r="B2069" s="34" t="s">
        <v>1957</v>
      </c>
      <c r="C2069" s="34">
        <v>447</v>
      </c>
      <c r="D2069" s="75">
        <v>3013</v>
      </c>
      <c r="E2069" s="69">
        <v>101</v>
      </c>
      <c r="F2069" s="9" t="s">
        <v>1964</v>
      </c>
      <c r="G2069" s="20">
        <v>0</v>
      </c>
      <c r="H2069" s="20">
        <v>7746</v>
      </c>
      <c r="I2069" s="21">
        <v>7.7460000000000004</v>
      </c>
      <c r="J2069" s="8">
        <v>2</v>
      </c>
      <c r="K2069" s="34" t="s">
        <v>12</v>
      </c>
      <c r="L2069" s="10">
        <v>42216</v>
      </c>
      <c r="M2069" s="9" t="s">
        <v>191</v>
      </c>
      <c r="N2069" s="38">
        <v>7</v>
      </c>
      <c r="O2069" s="38">
        <v>0.75</v>
      </c>
      <c r="P2069" s="38">
        <v>0</v>
      </c>
      <c r="Q2069" s="38">
        <v>0</v>
      </c>
      <c r="R2069" s="38">
        <v>2.621</v>
      </c>
      <c r="S2069" s="38">
        <f t="shared" si="315"/>
        <v>2.5</v>
      </c>
      <c r="T2069" s="38">
        <v>7.75</v>
      </c>
      <c r="U2069" s="38">
        <v>0</v>
      </c>
      <c r="V2069" s="38">
        <v>0</v>
      </c>
      <c r="W2069" s="38">
        <v>0</v>
      </c>
      <c r="X2069" s="38">
        <v>2.1360000000000001</v>
      </c>
      <c r="Y2069" s="38">
        <f t="shared" si="316"/>
        <v>2</v>
      </c>
      <c r="Z2069" s="38">
        <v>0</v>
      </c>
      <c r="AA2069" s="38">
        <v>0</v>
      </c>
      <c r="AB2069" s="38">
        <v>7.75</v>
      </c>
      <c r="AC2069" s="38">
        <v>1.123</v>
      </c>
      <c r="AD2069" s="38">
        <v>5</v>
      </c>
      <c r="AE2069" s="38">
        <v>12</v>
      </c>
      <c r="AF2069" s="38">
        <v>0</v>
      </c>
      <c r="AG2069" s="38">
        <f t="shared" si="317"/>
        <v>0</v>
      </c>
      <c r="AH2069" s="38">
        <v>0</v>
      </c>
      <c r="AI2069" s="38">
        <f t="shared" si="322"/>
        <v>0</v>
      </c>
      <c r="AJ2069" s="38">
        <v>0</v>
      </c>
      <c r="AK2069" s="38">
        <f t="shared" si="323"/>
        <v>0</v>
      </c>
      <c r="AL2069" s="38">
        <v>0</v>
      </c>
      <c r="AM2069" s="38">
        <f t="shared" si="324"/>
        <v>0</v>
      </c>
      <c r="AN2069" s="41"/>
      <c r="AO2069" s="22"/>
      <c r="AP2069" s="22"/>
      <c r="AQ2069" s="22"/>
      <c r="AR2069" s="22"/>
      <c r="AS2069" s="22"/>
      <c r="AT2069" s="22"/>
      <c r="AU2069" s="22"/>
      <c r="AV2069" s="22"/>
      <c r="AW2069" s="22"/>
      <c r="AX2069" s="22"/>
      <c r="AY2069" s="22"/>
      <c r="AZ2069" s="22"/>
      <c r="BA2069" s="22"/>
      <c r="BB2069" s="22"/>
      <c r="BC2069" s="22"/>
      <c r="BD2069" s="22"/>
      <c r="BE2069" s="22"/>
      <c r="BF2069" s="22"/>
      <c r="BG2069" s="22"/>
      <c r="BH2069" s="22"/>
      <c r="BI2069" s="22"/>
      <c r="BJ2069" s="22"/>
      <c r="BK2069" s="22"/>
      <c r="BL2069" s="22"/>
      <c r="BM2069" s="22"/>
      <c r="BN2069" s="22"/>
      <c r="BO2069" s="22"/>
      <c r="BP2069" s="22"/>
      <c r="BQ2069" s="22"/>
      <c r="BR2069" s="22"/>
      <c r="BS2069" s="22"/>
      <c r="BT2069" s="22"/>
      <c r="BU2069" s="22"/>
      <c r="BV2069" s="22"/>
      <c r="BW2069" s="22"/>
      <c r="BX2069" s="22"/>
      <c r="BY2069" s="22"/>
      <c r="BZ2069" s="22"/>
      <c r="CA2069" s="22"/>
      <c r="CB2069" s="22"/>
      <c r="CC2069" s="22"/>
      <c r="CD2069" s="22"/>
      <c r="CE2069" s="22"/>
      <c r="CF2069" s="22"/>
      <c r="CG2069" s="22"/>
      <c r="CH2069" s="22"/>
      <c r="CI2069" s="22"/>
      <c r="CJ2069" s="22"/>
    </row>
    <row r="2070" spans="1:88">
      <c r="A2070" s="1">
        <v>1421</v>
      </c>
      <c r="B2070" s="34" t="s">
        <v>1957</v>
      </c>
      <c r="C2070" s="34">
        <v>447</v>
      </c>
      <c r="D2070" s="75">
        <v>3282</v>
      </c>
      <c r="E2070" s="69">
        <v>102</v>
      </c>
      <c r="F2070" s="184" t="s">
        <v>1973</v>
      </c>
      <c r="G2070" s="20">
        <v>22000</v>
      </c>
      <c r="H2070" s="20">
        <v>53639</v>
      </c>
      <c r="I2070" s="21">
        <v>31.638999999999999</v>
      </c>
      <c r="J2070" s="8">
        <v>2</v>
      </c>
      <c r="K2070" s="34" t="s">
        <v>238</v>
      </c>
      <c r="L2070" s="10">
        <v>42215</v>
      </c>
      <c r="M2070" s="9" t="s">
        <v>191</v>
      </c>
      <c r="N2070" s="38">
        <v>28.574999999999999</v>
      </c>
      <c r="O2070" s="38">
        <v>3.2250000000000001</v>
      </c>
      <c r="P2070" s="38">
        <v>0</v>
      </c>
      <c r="Q2070" s="38">
        <v>0</v>
      </c>
      <c r="R2070" s="38">
        <v>2.915</v>
      </c>
      <c r="S2070" s="38">
        <f t="shared" si="315"/>
        <v>3</v>
      </c>
      <c r="T2070" s="38">
        <v>25.375</v>
      </c>
      <c r="U2070" s="38">
        <v>5.85</v>
      </c>
      <c r="V2070" s="38">
        <v>0.5</v>
      </c>
      <c r="W2070" s="38">
        <v>7.4999999999999997E-2</v>
      </c>
      <c r="X2070" s="38">
        <v>3.1869999999999998</v>
      </c>
      <c r="Y2070" s="38">
        <f t="shared" si="316"/>
        <v>3</v>
      </c>
      <c r="Z2070" s="38">
        <v>0</v>
      </c>
      <c r="AA2070" s="38">
        <v>0</v>
      </c>
      <c r="AB2070" s="38">
        <v>31.8</v>
      </c>
      <c r="AC2070" s="38">
        <v>1.2150000000000001</v>
      </c>
      <c r="AD2070" s="38">
        <v>124.133</v>
      </c>
      <c r="AE2070" s="38">
        <v>56.6</v>
      </c>
      <c r="AF2070" s="38">
        <v>0</v>
      </c>
      <c r="AG2070" s="38">
        <f t="shared" si="317"/>
        <v>0</v>
      </c>
      <c r="AH2070" s="38">
        <v>15</v>
      </c>
      <c r="AI2070" s="38">
        <f t="shared" si="322"/>
        <v>1.3545669223788002E-2</v>
      </c>
      <c r="AJ2070" s="38">
        <v>18.899999999999999</v>
      </c>
      <c r="AK2070" s="38">
        <f t="shared" si="323"/>
        <v>1.7067543221972882E-2</v>
      </c>
      <c r="AL2070" s="38">
        <v>0</v>
      </c>
      <c r="AM2070" s="38">
        <f t="shared" si="324"/>
        <v>0</v>
      </c>
      <c r="AN2070" s="41"/>
      <c r="AO2070" s="22"/>
      <c r="AP2070" s="22"/>
      <c r="AQ2070" s="22"/>
      <c r="AR2070" s="22"/>
      <c r="AS2070" s="22"/>
      <c r="AT2070" s="22"/>
      <c r="AU2070" s="22"/>
      <c r="AV2070" s="22"/>
      <c r="AW2070" s="22"/>
      <c r="AX2070" s="22"/>
      <c r="AY2070" s="22"/>
      <c r="AZ2070" s="22"/>
      <c r="BA2070" s="22"/>
      <c r="BB2070" s="22"/>
      <c r="BC2070" s="22"/>
      <c r="BD2070" s="22"/>
      <c r="BE2070" s="22"/>
      <c r="BF2070" s="22"/>
      <c r="BG2070" s="22"/>
      <c r="BH2070" s="22"/>
      <c r="BI2070" s="22"/>
      <c r="BJ2070" s="22"/>
      <c r="BK2070" s="22"/>
      <c r="BL2070" s="22"/>
      <c r="BM2070" s="22"/>
      <c r="BN2070" s="22"/>
      <c r="BO2070" s="22"/>
      <c r="BP2070" s="22"/>
      <c r="BQ2070" s="22"/>
      <c r="BR2070" s="22"/>
      <c r="BS2070" s="22"/>
      <c r="BT2070" s="22"/>
      <c r="BU2070" s="22"/>
      <c r="BV2070" s="22"/>
      <c r="BW2070" s="22"/>
      <c r="BX2070" s="22"/>
      <c r="BY2070" s="22"/>
      <c r="BZ2070" s="22"/>
      <c r="CA2070" s="22"/>
      <c r="CB2070" s="22"/>
      <c r="CC2070" s="22"/>
      <c r="CD2070" s="22"/>
      <c r="CE2070" s="22"/>
      <c r="CF2070" s="22"/>
      <c r="CG2070" s="22"/>
      <c r="CH2070" s="22"/>
      <c r="CI2070" s="22"/>
      <c r="CJ2070" s="22"/>
    </row>
    <row r="2071" spans="1:88">
      <c r="A2071" s="1">
        <v>1444</v>
      </c>
      <c r="B2071" s="34" t="s">
        <v>1987</v>
      </c>
      <c r="C2071" s="34">
        <v>448</v>
      </c>
      <c r="D2071" s="75">
        <v>309</v>
      </c>
      <c r="E2071" s="69">
        <v>202</v>
      </c>
      <c r="F2071" s="34" t="s">
        <v>1995</v>
      </c>
      <c r="G2071" s="20" t="s">
        <v>1996</v>
      </c>
      <c r="H2071" s="20" t="s">
        <v>1642</v>
      </c>
      <c r="I2071" s="21">
        <v>17.187000000000001</v>
      </c>
      <c r="J2071" s="8">
        <v>4</v>
      </c>
      <c r="K2071" s="34" t="s">
        <v>96</v>
      </c>
      <c r="L2071" s="10">
        <v>42181</v>
      </c>
      <c r="M2071" s="9" t="s">
        <v>191</v>
      </c>
      <c r="N2071" s="38">
        <v>14.25</v>
      </c>
      <c r="O2071" s="38">
        <v>2.2250000000000001</v>
      </c>
      <c r="P2071" s="38">
        <v>0.65</v>
      </c>
      <c r="Q2071" s="38">
        <v>0</v>
      </c>
      <c r="R2071" s="38">
        <v>2.61</v>
      </c>
      <c r="S2071" s="38">
        <f t="shared" si="315"/>
        <v>2.5</v>
      </c>
      <c r="T2071" s="38">
        <v>13.9</v>
      </c>
      <c r="U2071" s="38">
        <v>3.2250000000000001</v>
      </c>
      <c r="V2071" s="38">
        <v>0</v>
      </c>
      <c r="W2071" s="38">
        <v>0</v>
      </c>
      <c r="X2071" s="38">
        <v>3.6909999999999998</v>
      </c>
      <c r="Y2071" s="38">
        <f t="shared" si="316"/>
        <v>3.5</v>
      </c>
      <c r="Z2071" s="38">
        <v>0</v>
      </c>
      <c r="AA2071" s="38">
        <v>0</v>
      </c>
      <c r="AB2071" s="38">
        <v>17.125</v>
      </c>
      <c r="AC2071" s="38">
        <v>1.214</v>
      </c>
      <c r="AD2071" s="38">
        <v>0</v>
      </c>
      <c r="AE2071" s="38">
        <v>0</v>
      </c>
      <c r="AF2071" s="38">
        <f t="shared" ref="AF2071:AF2079" si="325">(AD2071+AE2071*0.5)/(3.5*I2071*1000)*100</f>
        <v>0</v>
      </c>
      <c r="AG2071" s="38">
        <f t="shared" si="317"/>
        <v>0</v>
      </c>
      <c r="AH2071" s="38">
        <v>32.15</v>
      </c>
      <c r="AI2071" s="38">
        <f t="shared" si="322"/>
        <v>5.3445710628465024E-2</v>
      </c>
      <c r="AJ2071" s="38">
        <v>0</v>
      </c>
      <c r="AK2071" s="38">
        <f t="shared" si="323"/>
        <v>0</v>
      </c>
      <c r="AL2071" s="38">
        <v>0</v>
      </c>
      <c r="AM2071" s="38">
        <f t="shared" si="324"/>
        <v>0</v>
      </c>
      <c r="AN2071" s="72"/>
      <c r="AO2071" s="41"/>
      <c r="AP2071" s="41"/>
      <c r="AQ2071" s="73"/>
      <c r="AR2071" s="73"/>
      <c r="AS2071" s="73"/>
      <c r="AT2071" s="73"/>
      <c r="AU2071" s="73"/>
      <c r="AV2071" s="73"/>
      <c r="AW2071" s="22"/>
      <c r="AX2071" s="22"/>
      <c r="AY2071" s="22"/>
      <c r="AZ2071" s="22"/>
      <c r="BA2071" s="22"/>
      <c r="BB2071" s="22"/>
      <c r="BC2071" s="22"/>
      <c r="BD2071" s="22"/>
      <c r="BE2071" s="22"/>
      <c r="BF2071" s="22"/>
      <c r="BG2071" s="22"/>
      <c r="BH2071" s="22"/>
      <c r="BI2071" s="22"/>
      <c r="BJ2071" s="22"/>
      <c r="BK2071" s="22"/>
      <c r="BL2071" s="22"/>
      <c r="BM2071" s="22"/>
      <c r="BN2071" s="22"/>
      <c r="BO2071" s="22"/>
      <c r="BP2071" s="22"/>
      <c r="BQ2071" s="22"/>
      <c r="BR2071" s="22"/>
      <c r="BS2071" s="22"/>
      <c r="BT2071" s="22"/>
      <c r="BU2071" s="22"/>
      <c r="BV2071" s="22"/>
      <c r="BW2071" s="22"/>
      <c r="BX2071" s="22"/>
      <c r="BY2071" s="22"/>
      <c r="BZ2071" s="22"/>
      <c r="CA2071" s="22"/>
      <c r="CB2071" s="22"/>
      <c r="CC2071" s="22"/>
      <c r="CD2071" s="22"/>
      <c r="CE2071" s="22"/>
      <c r="CF2071" s="22"/>
      <c r="CG2071" s="22"/>
      <c r="CH2071" s="22"/>
      <c r="CI2071" s="22"/>
      <c r="CJ2071" s="22"/>
    </row>
    <row r="2072" spans="1:88">
      <c r="A2072" s="1">
        <v>1468</v>
      </c>
      <c r="B2072" s="34" t="s">
        <v>2016</v>
      </c>
      <c r="C2072" s="34">
        <v>411</v>
      </c>
      <c r="D2072" s="69">
        <v>1</v>
      </c>
      <c r="E2072" s="34">
        <v>102</v>
      </c>
      <c r="F2072" s="34" t="s">
        <v>2017</v>
      </c>
      <c r="G2072" s="58">
        <v>24700</v>
      </c>
      <c r="H2072" s="58">
        <v>27710</v>
      </c>
      <c r="I2072" s="35">
        <v>3.01</v>
      </c>
      <c r="J2072" s="34">
        <v>8</v>
      </c>
      <c r="K2072" s="34" t="s">
        <v>96</v>
      </c>
      <c r="L2072" s="10">
        <v>42247</v>
      </c>
      <c r="M2072" s="9" t="s">
        <v>191</v>
      </c>
      <c r="N2072" s="38">
        <v>1.8</v>
      </c>
      <c r="O2072" s="38">
        <v>0.77500000000000002</v>
      </c>
      <c r="P2072" s="38">
        <v>0.25</v>
      </c>
      <c r="Q2072" s="38">
        <v>0.25</v>
      </c>
      <c r="R2072" s="38">
        <v>2.70187</v>
      </c>
      <c r="S2072" s="38">
        <f t="shared" si="315"/>
        <v>2.5</v>
      </c>
      <c r="T2072" s="38">
        <v>3.0750000000000002</v>
      </c>
      <c r="U2072" s="38">
        <v>0</v>
      </c>
      <c r="V2072" s="38">
        <v>0</v>
      </c>
      <c r="W2072" s="38">
        <v>0</v>
      </c>
      <c r="X2072" s="38">
        <v>3.8782399999999999</v>
      </c>
      <c r="Y2072" s="38">
        <f t="shared" si="316"/>
        <v>4</v>
      </c>
      <c r="Z2072" s="38">
        <v>0</v>
      </c>
      <c r="AA2072" s="38">
        <v>0</v>
      </c>
      <c r="AB2072" s="38">
        <f>SUM(T2072:W2072)</f>
        <v>3.0750000000000002</v>
      </c>
      <c r="AC2072" s="38">
        <v>1.0125500000000001</v>
      </c>
      <c r="AD2072" s="38">
        <v>0</v>
      </c>
      <c r="AE2072" s="38">
        <v>0</v>
      </c>
      <c r="AF2072" s="38">
        <f t="shared" si="325"/>
        <v>0</v>
      </c>
      <c r="AG2072" s="38">
        <f t="shared" si="317"/>
        <v>0</v>
      </c>
      <c r="AH2072" s="38">
        <v>0</v>
      </c>
      <c r="AI2072" s="38">
        <f t="shared" si="322"/>
        <v>0</v>
      </c>
      <c r="AJ2072" s="38">
        <v>0</v>
      </c>
      <c r="AK2072" s="38">
        <f t="shared" si="323"/>
        <v>0</v>
      </c>
      <c r="AL2072" s="38">
        <v>0</v>
      </c>
      <c r="AM2072" s="38">
        <f t="shared" si="324"/>
        <v>0</v>
      </c>
      <c r="AN2072" s="60"/>
      <c r="AO2072" s="60">
        <f t="shared" ref="AO2072:AO2082" si="326">AE2072*0.5</f>
        <v>0</v>
      </c>
      <c r="AP2072" s="60">
        <f t="shared" ref="AP2072:AP2082" si="327">(AD2072+AH2072+AJ2072+AL2072+AO2072)*I2072</f>
        <v>0</v>
      </c>
      <c r="AQ2072" s="60"/>
      <c r="AR2072" s="60">
        <f>SUM(N2072:Q2072)</f>
        <v>3.0750000000000002</v>
      </c>
      <c r="AS2072" s="60">
        <f>SUM(T2072:W2072)</f>
        <v>3.0750000000000002</v>
      </c>
      <c r="AT2072" s="60"/>
      <c r="AU2072" s="61"/>
      <c r="AV2072" s="40"/>
      <c r="AW2072" s="40"/>
      <c r="AX2072" s="40"/>
      <c r="AY2072" s="40"/>
      <c r="AZ2072" s="61"/>
      <c r="BA2072" s="61"/>
      <c r="BB2072" s="61"/>
      <c r="BC2072" s="61"/>
      <c r="BD2072" s="61"/>
      <c r="BE2072" s="61"/>
      <c r="BF2072" s="61"/>
      <c r="BG2072" s="61"/>
      <c r="BH2072" s="61"/>
      <c r="BI2072" s="61"/>
      <c r="BJ2072" s="61"/>
      <c r="BK2072" s="61"/>
      <c r="BL2072" s="61"/>
      <c r="BM2072" s="61"/>
      <c r="BN2072" s="61"/>
      <c r="BO2072" s="61"/>
      <c r="BP2072" s="61"/>
      <c r="BQ2072" s="61"/>
      <c r="BR2072" s="61"/>
      <c r="BS2072" s="61"/>
      <c r="BT2072" s="61"/>
      <c r="BU2072" s="61"/>
      <c r="BV2072" s="61"/>
      <c r="BW2072" s="61"/>
      <c r="BX2072" s="61"/>
      <c r="BY2072" s="61"/>
      <c r="BZ2072" s="61"/>
      <c r="CA2072" s="61"/>
      <c r="CB2072" s="61"/>
      <c r="CC2072" s="61"/>
      <c r="CD2072" s="61"/>
      <c r="CE2072" s="61"/>
      <c r="CF2072" s="61"/>
      <c r="CG2072" s="61"/>
      <c r="CH2072" s="61"/>
      <c r="CI2072" s="61"/>
      <c r="CJ2072" s="61"/>
    </row>
    <row r="2073" spans="1:88">
      <c r="A2073" s="1">
        <v>1470</v>
      </c>
      <c r="B2073" s="34" t="s">
        <v>2016</v>
      </c>
      <c r="C2073" s="34">
        <v>411</v>
      </c>
      <c r="D2073" s="69">
        <v>31</v>
      </c>
      <c r="E2073" s="34">
        <v>101</v>
      </c>
      <c r="F2073" s="34" t="s">
        <v>2018</v>
      </c>
      <c r="G2073" s="58" t="s">
        <v>2020</v>
      </c>
      <c r="H2073" s="58" t="s">
        <v>2019</v>
      </c>
      <c r="I2073" s="35">
        <v>9.7100000000000009</v>
      </c>
      <c r="J2073" s="239">
        <v>10</v>
      </c>
      <c r="K2073" s="34" t="s">
        <v>237</v>
      </c>
      <c r="L2073" s="10">
        <v>42247</v>
      </c>
      <c r="M2073" s="9" t="s">
        <v>191</v>
      </c>
      <c r="N2073" s="38">
        <v>7.125</v>
      </c>
      <c r="O2073" s="38">
        <v>1.6</v>
      </c>
      <c r="P2073" s="38">
        <v>0.77500000000000002</v>
      </c>
      <c r="Q2073" s="38">
        <v>0.25</v>
      </c>
      <c r="R2073" s="38">
        <v>2.46</v>
      </c>
      <c r="S2073" s="38">
        <f t="shared" si="315"/>
        <v>2.5</v>
      </c>
      <c r="T2073" s="38">
        <v>9.5500000000000007</v>
      </c>
      <c r="U2073" s="38">
        <v>0.17499999999999999</v>
      </c>
      <c r="V2073" s="38">
        <v>2.5000000000000001E-2</v>
      </c>
      <c r="W2073" s="38">
        <v>0</v>
      </c>
      <c r="X2073" s="38">
        <v>4.6829999999999998</v>
      </c>
      <c r="Y2073" s="38">
        <f t="shared" si="316"/>
        <v>4.5</v>
      </c>
      <c r="Z2073" s="38">
        <v>0</v>
      </c>
      <c r="AA2073" s="38">
        <v>0</v>
      </c>
      <c r="AB2073" s="38">
        <f>SUM(T2073:W2073)</f>
        <v>9.7500000000000018</v>
      </c>
      <c r="AC2073" s="38">
        <v>1.3260000000000001</v>
      </c>
      <c r="AD2073" s="38">
        <v>0</v>
      </c>
      <c r="AE2073" s="38">
        <v>0</v>
      </c>
      <c r="AF2073" s="38">
        <f t="shared" si="325"/>
        <v>0</v>
      </c>
      <c r="AG2073" s="38">
        <f t="shared" si="317"/>
        <v>0</v>
      </c>
      <c r="AH2073" s="38">
        <v>0</v>
      </c>
      <c r="AI2073" s="38">
        <f t="shared" si="322"/>
        <v>0</v>
      </c>
      <c r="AJ2073" s="38">
        <v>0</v>
      </c>
      <c r="AK2073" s="38">
        <f t="shared" si="323"/>
        <v>0</v>
      </c>
      <c r="AL2073" s="38">
        <v>0</v>
      </c>
      <c r="AM2073" s="38">
        <f t="shared" si="324"/>
        <v>0</v>
      </c>
      <c r="AN2073" s="60"/>
      <c r="AO2073" s="60">
        <f t="shared" si="326"/>
        <v>0</v>
      </c>
      <c r="AP2073" s="60">
        <f t="shared" si="327"/>
        <v>0</v>
      </c>
      <c r="AQ2073" s="60"/>
      <c r="AR2073" s="60"/>
      <c r="AS2073" s="60"/>
      <c r="AT2073" s="60"/>
      <c r="AU2073" s="61"/>
      <c r="AV2073" s="40"/>
      <c r="AW2073" s="40"/>
      <c r="AX2073" s="40"/>
      <c r="AY2073" s="40"/>
      <c r="AZ2073" s="61"/>
      <c r="BA2073" s="61"/>
      <c r="BB2073" s="61"/>
      <c r="BC2073" s="61"/>
      <c r="BD2073" s="61"/>
      <c r="BE2073" s="61"/>
      <c r="BF2073" s="61"/>
      <c r="BG2073" s="61"/>
      <c r="BH2073" s="61"/>
      <c r="BI2073" s="61"/>
      <c r="BJ2073" s="61"/>
      <c r="BK2073" s="61"/>
      <c r="BL2073" s="61"/>
      <c r="BM2073" s="61"/>
      <c r="BN2073" s="61"/>
      <c r="BO2073" s="61"/>
      <c r="BP2073" s="61"/>
      <c r="BQ2073" s="61"/>
      <c r="BR2073" s="61"/>
      <c r="BS2073" s="61"/>
      <c r="BT2073" s="61"/>
      <c r="BU2073" s="61"/>
      <c r="BV2073" s="61"/>
      <c r="BW2073" s="61"/>
      <c r="BX2073" s="61"/>
      <c r="BY2073" s="61"/>
      <c r="BZ2073" s="61"/>
      <c r="CA2073" s="61"/>
      <c r="CB2073" s="61"/>
      <c r="CC2073" s="61"/>
      <c r="CD2073" s="61"/>
      <c r="CE2073" s="61"/>
      <c r="CF2073" s="61"/>
      <c r="CG2073" s="61"/>
      <c r="CH2073" s="61"/>
      <c r="CI2073" s="61"/>
      <c r="CJ2073" s="61"/>
    </row>
    <row r="2074" spans="1:88">
      <c r="A2074" s="1">
        <v>1505</v>
      </c>
      <c r="B2074" s="34" t="s">
        <v>2069</v>
      </c>
      <c r="C2074" s="34">
        <v>413</v>
      </c>
      <c r="D2074" s="69">
        <v>309</v>
      </c>
      <c r="E2074" s="34">
        <v>105</v>
      </c>
      <c r="F2074" s="34" t="s">
        <v>2075</v>
      </c>
      <c r="G2074" s="58">
        <v>0</v>
      </c>
      <c r="H2074" s="58">
        <v>75</v>
      </c>
      <c r="I2074" s="35">
        <v>7.4999999999999997E-2</v>
      </c>
      <c r="J2074" s="34">
        <v>4</v>
      </c>
      <c r="K2074" s="34" t="s">
        <v>237</v>
      </c>
      <c r="L2074" s="10">
        <v>42265</v>
      </c>
      <c r="M2074" s="9" t="s">
        <v>191</v>
      </c>
      <c r="N2074" s="38">
        <v>0</v>
      </c>
      <c r="O2074" s="38">
        <v>0</v>
      </c>
      <c r="P2074" s="38">
        <v>0.05</v>
      </c>
      <c r="Q2074" s="38">
        <v>2.5000000000000001E-2</v>
      </c>
      <c r="R2074" s="38">
        <v>4.41</v>
      </c>
      <c r="S2074" s="38">
        <f t="shared" si="315"/>
        <v>4.5</v>
      </c>
      <c r="T2074" s="38">
        <v>7.4999999999999997E-2</v>
      </c>
      <c r="U2074" s="38">
        <v>0</v>
      </c>
      <c r="V2074" s="38">
        <v>0</v>
      </c>
      <c r="W2074" s="38">
        <v>0</v>
      </c>
      <c r="X2074" s="38">
        <v>4.3373299999999997</v>
      </c>
      <c r="Y2074" s="38">
        <f t="shared" si="316"/>
        <v>4.5</v>
      </c>
      <c r="Z2074" s="38">
        <v>0</v>
      </c>
      <c r="AA2074" s="38">
        <v>0</v>
      </c>
      <c r="AB2074" s="196">
        <v>7.4999999999999997E-2</v>
      </c>
      <c r="AC2074" s="38">
        <v>0.82533299999999998</v>
      </c>
      <c r="AD2074" s="38">
        <v>0</v>
      </c>
      <c r="AE2074" s="38">
        <v>0</v>
      </c>
      <c r="AF2074" s="38">
        <f t="shared" si="325"/>
        <v>0</v>
      </c>
      <c r="AG2074" s="38">
        <f t="shared" si="317"/>
        <v>0</v>
      </c>
      <c r="AH2074" s="38">
        <v>0</v>
      </c>
      <c r="AI2074" s="38">
        <f t="shared" si="322"/>
        <v>0</v>
      </c>
      <c r="AJ2074" s="38">
        <v>0</v>
      </c>
      <c r="AK2074" s="38">
        <f t="shared" si="323"/>
        <v>0</v>
      </c>
      <c r="AL2074" s="38">
        <v>0</v>
      </c>
      <c r="AM2074" s="38">
        <f t="shared" si="324"/>
        <v>0</v>
      </c>
      <c r="AN2074" s="25"/>
      <c r="AO2074" s="25">
        <f t="shared" si="326"/>
        <v>0</v>
      </c>
      <c r="AP2074" s="25">
        <f t="shared" si="327"/>
        <v>0</v>
      </c>
      <c r="AQ2074" s="25">
        <f t="shared" ref="AQ2074:AQ2081" si="328">(AD2074+AH2074+AJ2074+AL2074)*I2074</f>
        <v>0</v>
      </c>
      <c r="AR2074" s="25">
        <f t="shared" ref="AR2074:AR2079" si="329">SUM(N2074:Q2074)</f>
        <v>7.5000000000000011E-2</v>
      </c>
      <c r="AS2074" s="25">
        <f t="shared" ref="AS2074:AS2082" si="330">SUM(T2074:W2074)</f>
        <v>7.4999999999999997E-2</v>
      </c>
      <c r="AT2074" s="22"/>
      <c r="AU2074" s="275">
        <v>7.4999999999999997E-2</v>
      </c>
      <c r="AV2074" s="41">
        <f t="shared" ref="AV2074:AV2081" si="331">SUM(N2074:Q2074)</f>
        <v>7.5000000000000011E-2</v>
      </c>
      <c r="AW2074" s="41">
        <f t="shared" ref="AW2074:AW2081" si="332">SUM(T2074:W2074)</f>
        <v>7.4999999999999997E-2</v>
      </c>
      <c r="AX2074" s="41">
        <f t="shared" ref="AX2074:AX2081" si="333">SUM(Z2074:AB2074)</f>
        <v>7.4999999999999997E-2</v>
      </c>
      <c r="AY2074" s="22"/>
      <c r="AZ2074" s="22">
        <f t="shared" ref="AZ2074:AZ2081" si="334">I2074/AV2074</f>
        <v>0.99999999999999978</v>
      </c>
      <c r="BA2074" s="22">
        <f t="shared" ref="BA2074:BA2081" si="335">I2074/AW2074</f>
        <v>1</v>
      </c>
      <c r="BB2074" s="22">
        <f t="shared" ref="BB2074:BB2081" si="336">I2074/AX2074</f>
        <v>1</v>
      </c>
      <c r="BC2074" s="22"/>
      <c r="BD2074" s="22"/>
      <c r="BE2074" s="22"/>
      <c r="BF2074" s="22"/>
      <c r="BG2074" s="22"/>
      <c r="BH2074" s="22"/>
      <c r="BI2074" s="22"/>
      <c r="BJ2074" s="22"/>
      <c r="BK2074" s="22"/>
      <c r="BL2074" s="22"/>
      <c r="BM2074" s="22"/>
      <c r="BN2074" s="22"/>
      <c r="BO2074" s="22"/>
      <c r="BP2074" s="22"/>
      <c r="BQ2074" s="22"/>
      <c r="BR2074" s="22"/>
      <c r="BS2074" s="22"/>
      <c r="BT2074" s="22"/>
      <c r="BU2074" s="22"/>
      <c r="BV2074" s="22"/>
      <c r="BW2074" s="22"/>
      <c r="BX2074" s="22"/>
      <c r="BY2074" s="22"/>
      <c r="BZ2074" s="22"/>
      <c r="CA2074" s="22"/>
      <c r="CB2074" s="22"/>
      <c r="CC2074" s="22"/>
      <c r="CD2074" s="22"/>
      <c r="CE2074" s="22"/>
      <c r="CF2074" s="22"/>
      <c r="CG2074" s="22"/>
      <c r="CH2074" s="22"/>
      <c r="CI2074" s="22"/>
      <c r="CJ2074" s="22"/>
    </row>
    <row r="2075" spans="1:88">
      <c r="A2075" s="1">
        <v>1506</v>
      </c>
      <c r="B2075" s="34" t="s">
        <v>2069</v>
      </c>
      <c r="C2075" s="34">
        <v>413</v>
      </c>
      <c r="D2075" s="69">
        <v>309</v>
      </c>
      <c r="E2075" s="34">
        <v>105</v>
      </c>
      <c r="F2075" s="34" t="s">
        <v>2075</v>
      </c>
      <c r="G2075" s="58">
        <v>0</v>
      </c>
      <c r="H2075" s="58">
        <v>75</v>
      </c>
      <c r="I2075" s="35">
        <v>7.4999999999999997E-2</v>
      </c>
      <c r="J2075" s="34">
        <v>4</v>
      </c>
      <c r="K2075" s="34" t="s">
        <v>96</v>
      </c>
      <c r="L2075" s="10">
        <v>42265</v>
      </c>
      <c r="M2075" s="9" t="s">
        <v>191</v>
      </c>
      <c r="N2075" s="38">
        <v>2.5000000000000001E-2</v>
      </c>
      <c r="O2075" s="38">
        <v>0</v>
      </c>
      <c r="P2075" s="38">
        <v>0</v>
      </c>
      <c r="Q2075" s="38">
        <v>0.05</v>
      </c>
      <c r="R2075" s="38">
        <v>4.5</v>
      </c>
      <c r="S2075" s="38">
        <f t="shared" si="315"/>
        <v>4.5</v>
      </c>
      <c r="T2075" s="38">
        <v>7.4999999999999997E-2</v>
      </c>
      <c r="U2075" s="38">
        <v>0</v>
      </c>
      <c r="V2075" s="38">
        <v>0</v>
      </c>
      <c r="W2075" s="38">
        <v>0</v>
      </c>
      <c r="X2075" s="38">
        <v>5.2590000000000003</v>
      </c>
      <c r="Y2075" s="38">
        <f t="shared" si="316"/>
        <v>5.5</v>
      </c>
      <c r="Z2075" s="38">
        <v>0</v>
      </c>
      <c r="AA2075" s="38">
        <v>0</v>
      </c>
      <c r="AB2075" s="196">
        <v>7.4999999999999997E-2</v>
      </c>
      <c r="AC2075" s="38">
        <v>0.78533299999999995</v>
      </c>
      <c r="AD2075" s="38">
        <v>0</v>
      </c>
      <c r="AE2075" s="38">
        <v>0</v>
      </c>
      <c r="AF2075" s="38">
        <f t="shared" si="325"/>
        <v>0</v>
      </c>
      <c r="AG2075" s="38">
        <f t="shared" si="317"/>
        <v>0</v>
      </c>
      <c r="AH2075" s="38">
        <v>0</v>
      </c>
      <c r="AI2075" s="38">
        <f t="shared" si="322"/>
        <v>0</v>
      </c>
      <c r="AJ2075" s="38">
        <v>0</v>
      </c>
      <c r="AK2075" s="38">
        <f t="shared" si="323"/>
        <v>0</v>
      </c>
      <c r="AL2075" s="38">
        <v>0</v>
      </c>
      <c r="AM2075" s="38">
        <f t="shared" si="324"/>
        <v>0</v>
      </c>
      <c r="AN2075" s="25"/>
      <c r="AO2075" s="25">
        <f t="shared" si="326"/>
        <v>0</v>
      </c>
      <c r="AP2075" s="25">
        <f t="shared" si="327"/>
        <v>0</v>
      </c>
      <c r="AQ2075" s="25">
        <f t="shared" si="328"/>
        <v>0</v>
      </c>
      <c r="AR2075" s="25">
        <f t="shared" si="329"/>
        <v>7.5000000000000011E-2</v>
      </c>
      <c r="AS2075" s="25">
        <f t="shared" si="330"/>
        <v>7.4999999999999997E-2</v>
      </c>
      <c r="AT2075" s="22"/>
      <c r="AU2075" s="275">
        <v>7.4999999999999997E-2</v>
      </c>
      <c r="AV2075" s="41">
        <f t="shared" si="331"/>
        <v>7.5000000000000011E-2</v>
      </c>
      <c r="AW2075" s="41">
        <f t="shared" si="332"/>
        <v>7.4999999999999997E-2</v>
      </c>
      <c r="AX2075" s="41">
        <f t="shared" si="333"/>
        <v>7.4999999999999997E-2</v>
      </c>
      <c r="AY2075" s="22"/>
      <c r="AZ2075" s="22">
        <f t="shared" si="334"/>
        <v>0.99999999999999978</v>
      </c>
      <c r="BA2075" s="22">
        <f t="shared" si="335"/>
        <v>1</v>
      </c>
      <c r="BB2075" s="22">
        <f t="shared" si="336"/>
        <v>1</v>
      </c>
      <c r="BC2075" s="22"/>
      <c r="BD2075" s="22"/>
      <c r="BE2075" s="22"/>
      <c r="BF2075" s="22"/>
      <c r="BG2075" s="22"/>
      <c r="BH2075" s="22"/>
      <c r="BI2075" s="22"/>
      <c r="BJ2075" s="22"/>
      <c r="BK2075" s="22"/>
      <c r="BL2075" s="22"/>
      <c r="BM2075" s="22"/>
      <c r="BN2075" s="22"/>
      <c r="BO2075" s="22"/>
      <c r="BP2075" s="22"/>
      <c r="BQ2075" s="22"/>
      <c r="BR2075" s="22"/>
      <c r="BS2075" s="22"/>
      <c r="BT2075" s="22"/>
      <c r="BU2075" s="22"/>
      <c r="BV2075" s="22"/>
      <c r="BW2075" s="22"/>
      <c r="BX2075" s="22"/>
      <c r="BY2075" s="22"/>
      <c r="BZ2075" s="22"/>
      <c r="CA2075" s="22"/>
      <c r="CB2075" s="22"/>
      <c r="CC2075" s="22"/>
      <c r="CD2075" s="22"/>
      <c r="CE2075" s="22"/>
      <c r="CF2075" s="22"/>
      <c r="CG2075" s="22"/>
      <c r="CH2075" s="22"/>
      <c r="CI2075" s="22"/>
      <c r="CJ2075" s="22"/>
    </row>
    <row r="2076" spans="1:88">
      <c r="A2076" s="1">
        <v>1510</v>
      </c>
      <c r="B2076" s="34" t="s">
        <v>2069</v>
      </c>
      <c r="C2076" s="34">
        <v>413</v>
      </c>
      <c r="D2076" s="69">
        <v>352</v>
      </c>
      <c r="E2076" s="34">
        <v>202</v>
      </c>
      <c r="F2076" s="34" t="s">
        <v>2081</v>
      </c>
      <c r="G2076" s="58">
        <v>26700</v>
      </c>
      <c r="H2076" s="58">
        <v>27934</v>
      </c>
      <c r="I2076" s="35">
        <v>1.234</v>
      </c>
      <c r="J2076" s="34">
        <v>2</v>
      </c>
      <c r="K2076" s="34" t="s">
        <v>12</v>
      </c>
      <c r="L2076" s="10">
        <v>42266</v>
      </c>
      <c r="M2076" s="9" t="s">
        <v>191</v>
      </c>
      <c r="N2076" s="38">
        <v>0.7</v>
      </c>
      <c r="O2076" s="38">
        <v>0.17499999999999999</v>
      </c>
      <c r="P2076" s="38">
        <v>7.4999999999999997E-2</v>
      </c>
      <c r="Q2076" s="38">
        <v>0.32500000000000001</v>
      </c>
      <c r="R2076" s="38">
        <v>3.3647100000000001</v>
      </c>
      <c r="S2076" s="38">
        <f t="shared" si="315"/>
        <v>3.5</v>
      </c>
      <c r="T2076" s="38">
        <v>1.075</v>
      </c>
      <c r="U2076" s="38">
        <v>0.2</v>
      </c>
      <c r="V2076" s="38">
        <v>0</v>
      </c>
      <c r="W2076" s="38">
        <v>0</v>
      </c>
      <c r="X2076" s="38">
        <v>5.98651</v>
      </c>
      <c r="Y2076" s="38">
        <f t="shared" si="316"/>
        <v>6</v>
      </c>
      <c r="Z2076" s="38">
        <v>0</v>
      </c>
      <c r="AA2076" s="38">
        <v>0</v>
      </c>
      <c r="AB2076" s="196">
        <v>1.234</v>
      </c>
      <c r="AC2076" s="38">
        <v>1.07412</v>
      </c>
      <c r="AD2076" s="38">
        <v>0</v>
      </c>
      <c r="AE2076" s="38">
        <v>0</v>
      </c>
      <c r="AF2076" s="38">
        <f t="shared" si="325"/>
        <v>0</v>
      </c>
      <c r="AG2076" s="38">
        <f t="shared" si="317"/>
        <v>0</v>
      </c>
      <c r="AH2076" s="38">
        <v>0</v>
      </c>
      <c r="AI2076" s="38">
        <f t="shared" si="322"/>
        <v>0</v>
      </c>
      <c r="AJ2076" s="38">
        <v>62.54</v>
      </c>
      <c r="AK2076" s="38">
        <f t="shared" si="323"/>
        <v>1.4480203750868257</v>
      </c>
      <c r="AL2076" s="38">
        <v>8</v>
      </c>
      <c r="AM2076" s="38">
        <f t="shared" si="324"/>
        <v>0.18522806205140077</v>
      </c>
      <c r="AN2076" s="25"/>
      <c r="AO2076" s="25">
        <f t="shared" si="326"/>
        <v>0</v>
      </c>
      <c r="AP2076" s="25">
        <f t="shared" si="327"/>
        <v>87.046359999999993</v>
      </c>
      <c r="AQ2076" s="25">
        <f t="shared" si="328"/>
        <v>87.046359999999993</v>
      </c>
      <c r="AR2076" s="25">
        <f t="shared" si="329"/>
        <v>1.2749999999999999</v>
      </c>
      <c r="AS2076" s="25">
        <f t="shared" si="330"/>
        <v>1.2749999999999999</v>
      </c>
      <c r="AT2076" s="22"/>
      <c r="AU2076" s="275">
        <v>1.234</v>
      </c>
      <c r="AV2076" s="41">
        <f t="shared" si="331"/>
        <v>1.2749999999999999</v>
      </c>
      <c r="AW2076" s="41">
        <f t="shared" si="332"/>
        <v>1.2749999999999999</v>
      </c>
      <c r="AX2076" s="41">
        <f t="shared" si="333"/>
        <v>1.234</v>
      </c>
      <c r="AY2076" s="22"/>
      <c r="AZ2076" s="22">
        <f t="shared" si="334"/>
        <v>0.96784313725490201</v>
      </c>
      <c r="BA2076" s="22">
        <f t="shared" si="335"/>
        <v>0.96784313725490201</v>
      </c>
      <c r="BB2076" s="22">
        <f t="shared" si="336"/>
        <v>1</v>
      </c>
      <c r="BC2076" s="22"/>
      <c r="BD2076" s="22"/>
      <c r="BE2076" s="22"/>
      <c r="BF2076" s="22"/>
      <c r="BG2076" s="22"/>
      <c r="BH2076" s="22"/>
      <c r="BI2076" s="22"/>
      <c r="BJ2076" s="22"/>
      <c r="BK2076" s="22"/>
      <c r="BL2076" s="22"/>
      <c r="BM2076" s="22"/>
      <c r="BN2076" s="22"/>
      <c r="BO2076" s="22"/>
      <c r="BP2076" s="22"/>
      <c r="BQ2076" s="22"/>
      <c r="BR2076" s="22"/>
      <c r="BS2076" s="22"/>
      <c r="BT2076" s="22"/>
      <c r="BU2076" s="22"/>
      <c r="BV2076" s="22"/>
      <c r="BW2076" s="22"/>
      <c r="BX2076" s="22"/>
      <c r="BY2076" s="22"/>
      <c r="BZ2076" s="22"/>
      <c r="CA2076" s="22"/>
      <c r="CB2076" s="22"/>
      <c r="CC2076" s="22"/>
      <c r="CD2076" s="22"/>
      <c r="CE2076" s="22"/>
      <c r="CF2076" s="22"/>
      <c r="CG2076" s="22"/>
      <c r="CH2076" s="22"/>
      <c r="CI2076" s="22"/>
      <c r="CJ2076" s="22"/>
    </row>
    <row r="2077" spans="1:88">
      <c r="A2077" s="1">
        <v>1515</v>
      </c>
      <c r="B2077" s="34" t="s">
        <v>2069</v>
      </c>
      <c r="C2077" s="34">
        <v>413</v>
      </c>
      <c r="D2077" s="69">
        <v>3063</v>
      </c>
      <c r="E2077" s="34">
        <v>100</v>
      </c>
      <c r="F2077" s="34" t="s">
        <v>2087</v>
      </c>
      <c r="G2077" s="58">
        <v>0</v>
      </c>
      <c r="H2077" s="58">
        <v>6806</v>
      </c>
      <c r="I2077" s="35">
        <v>6.806</v>
      </c>
      <c r="J2077" s="34">
        <v>2</v>
      </c>
      <c r="K2077" s="34" t="s">
        <v>12</v>
      </c>
      <c r="L2077" s="10">
        <v>42265</v>
      </c>
      <c r="M2077" s="9" t="s">
        <v>191</v>
      </c>
      <c r="N2077" s="38">
        <v>5.9249999999999998</v>
      </c>
      <c r="O2077" s="38">
        <v>0.32500000000000001</v>
      </c>
      <c r="P2077" s="38">
        <v>0.32500000000000001</v>
      </c>
      <c r="Q2077" s="38">
        <v>0.2</v>
      </c>
      <c r="R2077" s="38">
        <v>2.4169999999999998</v>
      </c>
      <c r="S2077" s="38">
        <f t="shared" si="315"/>
        <v>2.5</v>
      </c>
      <c r="T2077" s="38">
        <v>2.5</v>
      </c>
      <c r="U2077" s="38">
        <v>2.5750000000000002</v>
      </c>
      <c r="V2077" s="38">
        <v>1.1000000000000001</v>
      </c>
      <c r="W2077" s="38">
        <v>0.6</v>
      </c>
      <c r="X2077" s="38">
        <v>10.443</v>
      </c>
      <c r="Y2077" s="38">
        <f t="shared" si="316"/>
        <v>10.5</v>
      </c>
      <c r="Z2077" s="38">
        <v>0</v>
      </c>
      <c r="AA2077" s="38">
        <v>0</v>
      </c>
      <c r="AB2077" s="196">
        <v>6.806</v>
      </c>
      <c r="AC2077" s="38">
        <v>1.0389999999999999</v>
      </c>
      <c r="AD2077" s="38">
        <v>0</v>
      </c>
      <c r="AE2077" s="38">
        <v>0</v>
      </c>
      <c r="AF2077" s="38">
        <f t="shared" si="325"/>
        <v>0</v>
      </c>
      <c r="AG2077" s="38">
        <f t="shared" si="317"/>
        <v>0</v>
      </c>
      <c r="AH2077" s="38">
        <v>0</v>
      </c>
      <c r="AI2077" s="38">
        <f t="shared" si="322"/>
        <v>0</v>
      </c>
      <c r="AJ2077" s="38">
        <v>0</v>
      </c>
      <c r="AK2077" s="38">
        <f t="shared" si="323"/>
        <v>0</v>
      </c>
      <c r="AL2077" s="38">
        <v>4</v>
      </c>
      <c r="AM2077" s="38">
        <f t="shared" si="324"/>
        <v>1.679190630116284E-2</v>
      </c>
      <c r="AN2077" s="25"/>
      <c r="AO2077" s="25">
        <f t="shared" si="326"/>
        <v>0</v>
      </c>
      <c r="AP2077" s="25">
        <f t="shared" si="327"/>
        <v>27.224</v>
      </c>
      <c r="AQ2077" s="25">
        <f t="shared" si="328"/>
        <v>27.224</v>
      </c>
      <c r="AR2077" s="25">
        <f t="shared" si="329"/>
        <v>6.7750000000000004</v>
      </c>
      <c r="AS2077" s="25">
        <f t="shared" si="330"/>
        <v>6.7750000000000004</v>
      </c>
      <c r="AT2077" s="22"/>
      <c r="AU2077" s="275">
        <v>6.806</v>
      </c>
      <c r="AV2077" s="41">
        <f t="shared" si="331"/>
        <v>6.7750000000000004</v>
      </c>
      <c r="AW2077" s="41">
        <f t="shared" si="332"/>
        <v>6.7750000000000004</v>
      </c>
      <c r="AX2077" s="41">
        <f t="shared" si="333"/>
        <v>6.806</v>
      </c>
      <c r="AY2077" s="22"/>
      <c r="AZ2077" s="22">
        <f t="shared" si="334"/>
        <v>1.0045756457564574</v>
      </c>
      <c r="BA2077" s="22">
        <f t="shared" si="335"/>
        <v>1.0045756457564574</v>
      </c>
      <c r="BB2077" s="22">
        <f t="shared" si="336"/>
        <v>1</v>
      </c>
      <c r="BC2077" s="22"/>
      <c r="BD2077" s="22"/>
      <c r="BE2077" s="22"/>
      <c r="BF2077" s="22"/>
      <c r="BG2077" s="22"/>
      <c r="BH2077" s="22"/>
      <c r="BI2077" s="22"/>
      <c r="BJ2077" s="22"/>
      <c r="BK2077" s="22"/>
      <c r="BL2077" s="22"/>
      <c r="BM2077" s="22"/>
      <c r="BN2077" s="22"/>
      <c r="BO2077" s="22"/>
      <c r="BP2077" s="22"/>
      <c r="BQ2077" s="22"/>
      <c r="BR2077" s="22"/>
      <c r="BS2077" s="22"/>
      <c r="BT2077" s="22"/>
      <c r="BU2077" s="22"/>
      <c r="BV2077" s="22"/>
      <c r="BW2077" s="22"/>
      <c r="BX2077" s="22"/>
      <c r="BY2077" s="22"/>
      <c r="BZ2077" s="22"/>
      <c r="CA2077" s="22"/>
      <c r="CB2077" s="22"/>
      <c r="CC2077" s="22"/>
      <c r="CD2077" s="22"/>
      <c r="CE2077" s="22"/>
      <c r="CF2077" s="22"/>
      <c r="CG2077" s="22"/>
      <c r="CH2077" s="22"/>
      <c r="CI2077" s="22"/>
      <c r="CJ2077" s="22"/>
    </row>
    <row r="2078" spans="1:88">
      <c r="A2078" s="1">
        <v>1526</v>
      </c>
      <c r="B2078" s="34" t="s">
        <v>2069</v>
      </c>
      <c r="C2078" s="34">
        <v>413</v>
      </c>
      <c r="D2078" s="69">
        <v>3501</v>
      </c>
      <c r="E2078" s="34">
        <v>200</v>
      </c>
      <c r="F2078" s="34" t="s">
        <v>2098</v>
      </c>
      <c r="G2078" s="58" t="s">
        <v>2099</v>
      </c>
      <c r="H2078" s="58" t="s">
        <v>2100</v>
      </c>
      <c r="I2078" s="35">
        <v>7.26</v>
      </c>
      <c r="J2078" s="34">
        <v>2</v>
      </c>
      <c r="K2078" s="34" t="s">
        <v>238</v>
      </c>
      <c r="L2078" s="10">
        <v>42264</v>
      </c>
      <c r="M2078" s="9" t="s">
        <v>191</v>
      </c>
      <c r="N2078" s="38">
        <v>5.25</v>
      </c>
      <c r="O2078" s="38">
        <v>0.22500000000000001</v>
      </c>
      <c r="P2078" s="38">
        <v>0.55000000000000004</v>
      </c>
      <c r="Q2078" s="38">
        <v>0.47499999999999998</v>
      </c>
      <c r="R2078" s="38">
        <v>2.0923799999999999</v>
      </c>
      <c r="S2078" s="38">
        <f t="shared" si="315"/>
        <v>2</v>
      </c>
      <c r="T2078" s="38">
        <v>6.375</v>
      </c>
      <c r="U2078" s="38">
        <v>0.1</v>
      </c>
      <c r="V2078" s="38">
        <v>0</v>
      </c>
      <c r="W2078" s="38">
        <v>2.5000000000000001E-2</v>
      </c>
      <c r="X2078" s="38">
        <v>3.5714100000000002</v>
      </c>
      <c r="Y2078" s="38">
        <f t="shared" si="316"/>
        <v>3.5</v>
      </c>
      <c r="Z2078" s="38">
        <v>0</v>
      </c>
      <c r="AA2078" s="38">
        <v>0</v>
      </c>
      <c r="AB2078" s="196">
        <v>7.26</v>
      </c>
      <c r="AC2078" s="38">
        <v>1.31307</v>
      </c>
      <c r="AD2078" s="38">
        <v>0</v>
      </c>
      <c r="AE2078" s="38">
        <v>0</v>
      </c>
      <c r="AF2078" s="38">
        <f t="shared" si="325"/>
        <v>0</v>
      </c>
      <c r="AG2078" s="38">
        <f t="shared" si="317"/>
        <v>0</v>
      </c>
      <c r="AH2078" s="38">
        <v>0</v>
      </c>
      <c r="AI2078" s="38">
        <f t="shared" si="322"/>
        <v>0</v>
      </c>
      <c r="AJ2078" s="38">
        <v>38.1</v>
      </c>
      <c r="AK2078" s="38">
        <f t="shared" si="323"/>
        <v>0.14994096812278632</v>
      </c>
      <c r="AL2078" s="38">
        <v>0</v>
      </c>
      <c r="AM2078" s="38">
        <f t="shared" si="324"/>
        <v>0</v>
      </c>
      <c r="AN2078" s="25"/>
      <c r="AO2078" s="25">
        <f t="shared" si="326"/>
        <v>0</v>
      </c>
      <c r="AP2078" s="25">
        <f t="shared" si="327"/>
        <v>276.60599999999999</v>
      </c>
      <c r="AQ2078" s="25">
        <f t="shared" si="328"/>
        <v>276.60599999999999</v>
      </c>
      <c r="AR2078" s="25">
        <f t="shared" si="329"/>
        <v>6.4999999999999991</v>
      </c>
      <c r="AS2078" s="25">
        <f t="shared" si="330"/>
        <v>6.5</v>
      </c>
      <c r="AT2078" s="22"/>
      <c r="AU2078" s="275">
        <v>6.26</v>
      </c>
      <c r="AV2078" s="41">
        <f t="shared" si="331"/>
        <v>6.4999999999999991</v>
      </c>
      <c r="AW2078" s="41">
        <f t="shared" si="332"/>
        <v>6.5</v>
      </c>
      <c r="AX2078" s="41">
        <f t="shared" si="333"/>
        <v>7.26</v>
      </c>
      <c r="AY2078" s="22"/>
      <c r="AZ2078" s="22">
        <f t="shared" si="334"/>
        <v>1.1169230769230771</v>
      </c>
      <c r="BA2078" s="22">
        <f t="shared" si="335"/>
        <v>1.1169230769230769</v>
      </c>
      <c r="BB2078" s="22">
        <f t="shared" si="336"/>
        <v>1</v>
      </c>
      <c r="BC2078" s="22"/>
      <c r="BD2078" s="22"/>
      <c r="BE2078" s="22"/>
      <c r="BF2078" s="22"/>
      <c r="BG2078" s="22"/>
      <c r="BH2078" s="22"/>
      <c r="BI2078" s="22"/>
      <c r="BJ2078" s="22"/>
      <c r="BK2078" s="22"/>
      <c r="BL2078" s="22"/>
      <c r="BM2078" s="22"/>
      <c r="BN2078" s="22"/>
      <c r="BO2078" s="22"/>
      <c r="BP2078" s="22"/>
      <c r="BQ2078" s="22"/>
      <c r="BR2078" s="22"/>
      <c r="BS2078" s="22"/>
      <c r="BT2078" s="22"/>
      <c r="BU2078" s="22"/>
      <c r="BV2078" s="22"/>
      <c r="BW2078" s="22"/>
      <c r="BX2078" s="22"/>
      <c r="BY2078" s="22"/>
      <c r="BZ2078" s="22"/>
      <c r="CA2078" s="22"/>
      <c r="CB2078" s="22"/>
      <c r="CC2078" s="22"/>
      <c r="CD2078" s="22"/>
      <c r="CE2078" s="22"/>
      <c r="CF2078" s="22"/>
      <c r="CG2078" s="22"/>
      <c r="CH2078" s="22"/>
      <c r="CI2078" s="22"/>
      <c r="CJ2078" s="22"/>
    </row>
    <row r="2079" spans="1:88">
      <c r="A2079" s="1">
        <v>1527</v>
      </c>
      <c r="B2079" s="34" t="s">
        <v>2069</v>
      </c>
      <c r="C2079" s="34">
        <v>413</v>
      </c>
      <c r="D2079" s="69">
        <v>3567</v>
      </c>
      <c r="E2079" s="34">
        <v>100</v>
      </c>
      <c r="F2079" s="34" t="s">
        <v>2101</v>
      </c>
      <c r="G2079" s="58">
        <v>0</v>
      </c>
      <c r="H2079" s="58">
        <v>2583</v>
      </c>
      <c r="I2079" s="35">
        <v>2.5830000000000002</v>
      </c>
      <c r="J2079" s="34">
        <v>2</v>
      </c>
      <c r="K2079" s="34" t="s">
        <v>238</v>
      </c>
      <c r="L2079" s="10">
        <v>42265</v>
      </c>
      <c r="M2079" s="9" t="s">
        <v>191</v>
      </c>
      <c r="N2079" s="38">
        <v>0.52500000000000002</v>
      </c>
      <c r="O2079" s="38">
        <v>1.2749999999999999</v>
      </c>
      <c r="P2079" s="38">
        <v>0.65</v>
      </c>
      <c r="Q2079" s="38">
        <v>0.17499999999999999</v>
      </c>
      <c r="R2079" s="38">
        <v>3.1735799999999998</v>
      </c>
      <c r="S2079" s="38">
        <f t="shared" si="315"/>
        <v>3</v>
      </c>
      <c r="T2079" s="38">
        <v>2.625</v>
      </c>
      <c r="U2079" s="38">
        <v>0</v>
      </c>
      <c r="V2079" s="38">
        <v>0</v>
      </c>
      <c r="W2079" s="38">
        <v>0</v>
      </c>
      <c r="X2079" s="38">
        <v>4.4235199999999999</v>
      </c>
      <c r="Y2079" s="38">
        <f t="shared" si="316"/>
        <v>4.5</v>
      </c>
      <c r="Z2079" s="38">
        <v>0</v>
      </c>
      <c r="AA2079" s="38">
        <v>0</v>
      </c>
      <c r="AB2079" s="196">
        <v>2.5830000000000002</v>
      </c>
      <c r="AC2079" s="38">
        <v>1.05287</v>
      </c>
      <c r="AD2079" s="38">
        <v>0</v>
      </c>
      <c r="AE2079" s="38">
        <v>0</v>
      </c>
      <c r="AF2079" s="38">
        <f t="shared" si="325"/>
        <v>0</v>
      </c>
      <c r="AG2079" s="38">
        <f t="shared" si="317"/>
        <v>0</v>
      </c>
      <c r="AH2079" s="38">
        <v>0</v>
      </c>
      <c r="AI2079" s="38">
        <f t="shared" si="322"/>
        <v>0</v>
      </c>
      <c r="AJ2079" s="38">
        <v>0</v>
      </c>
      <c r="AK2079" s="38">
        <f t="shared" si="323"/>
        <v>0</v>
      </c>
      <c r="AL2079" s="38">
        <v>0</v>
      </c>
      <c r="AM2079" s="38">
        <f t="shared" si="324"/>
        <v>0</v>
      </c>
      <c r="AN2079" s="25"/>
      <c r="AO2079" s="25">
        <f t="shared" si="326"/>
        <v>0</v>
      </c>
      <c r="AP2079" s="25">
        <f t="shared" si="327"/>
        <v>0</v>
      </c>
      <c r="AQ2079" s="25">
        <f t="shared" si="328"/>
        <v>0</v>
      </c>
      <c r="AR2079" s="25">
        <f t="shared" si="329"/>
        <v>2.6249999999999996</v>
      </c>
      <c r="AS2079" s="25">
        <f t="shared" si="330"/>
        <v>2.625</v>
      </c>
      <c r="AT2079" s="22"/>
      <c r="AU2079" s="275">
        <v>2.5830000000000002</v>
      </c>
      <c r="AV2079" s="41">
        <f t="shared" si="331"/>
        <v>2.6249999999999996</v>
      </c>
      <c r="AW2079" s="41">
        <f t="shared" si="332"/>
        <v>2.625</v>
      </c>
      <c r="AX2079" s="41">
        <f t="shared" si="333"/>
        <v>2.5830000000000002</v>
      </c>
      <c r="AY2079" s="22"/>
      <c r="AZ2079" s="22">
        <f t="shared" si="334"/>
        <v>0.98400000000000021</v>
      </c>
      <c r="BA2079" s="22">
        <f t="shared" si="335"/>
        <v>0.9840000000000001</v>
      </c>
      <c r="BB2079" s="22">
        <f t="shared" si="336"/>
        <v>1</v>
      </c>
      <c r="BC2079" s="22"/>
      <c r="BD2079" s="22"/>
      <c r="BE2079" s="22"/>
      <c r="BF2079" s="22"/>
      <c r="BG2079" s="22"/>
      <c r="BH2079" s="22"/>
      <c r="BI2079" s="22"/>
      <c r="BJ2079" s="22"/>
      <c r="BK2079" s="22"/>
      <c r="BL2079" s="22"/>
      <c r="BM2079" s="22"/>
      <c r="BN2079" s="22"/>
      <c r="BO2079" s="22"/>
      <c r="BP2079" s="22"/>
      <c r="BQ2079" s="22"/>
      <c r="BR2079" s="22"/>
      <c r="BS2079" s="22"/>
      <c r="BT2079" s="22"/>
      <c r="BU2079" s="22"/>
      <c r="BV2079" s="22"/>
      <c r="BW2079" s="22"/>
      <c r="BX2079" s="22"/>
      <c r="BY2079" s="22"/>
      <c r="BZ2079" s="22"/>
      <c r="CA2079" s="22"/>
      <c r="CB2079" s="22"/>
      <c r="CC2079" s="22"/>
      <c r="CD2079" s="22"/>
      <c r="CE2079" s="22"/>
      <c r="CF2079" s="22"/>
      <c r="CG2079" s="22"/>
      <c r="CH2079" s="22"/>
      <c r="CI2079" s="22"/>
      <c r="CJ2079" s="22"/>
    </row>
    <row r="2080" spans="1:88">
      <c r="A2080" s="1">
        <v>1528</v>
      </c>
      <c r="B2080" s="34" t="s">
        <v>2069</v>
      </c>
      <c r="C2080" s="34">
        <v>413</v>
      </c>
      <c r="D2080" s="69">
        <v>3567</v>
      </c>
      <c r="E2080" s="34">
        <v>100</v>
      </c>
      <c r="F2080" s="34" t="s">
        <v>2101</v>
      </c>
      <c r="G2080" s="58">
        <v>0</v>
      </c>
      <c r="H2080" s="58">
        <v>2583</v>
      </c>
      <c r="I2080" s="35">
        <v>2.5830000000000002</v>
      </c>
      <c r="J2080" s="34">
        <v>2</v>
      </c>
      <c r="K2080" s="34" t="s">
        <v>238</v>
      </c>
      <c r="L2080" s="10">
        <v>42265</v>
      </c>
      <c r="M2080" s="9" t="s">
        <v>191</v>
      </c>
      <c r="N2080" s="38">
        <v>0.52500000000000002</v>
      </c>
      <c r="O2080" s="38">
        <v>1.2749999999999999</v>
      </c>
      <c r="P2080" s="38">
        <v>0.65</v>
      </c>
      <c r="Q2080" s="38">
        <v>0.17499999999999999</v>
      </c>
      <c r="R2080" s="38">
        <v>3.27</v>
      </c>
      <c r="S2080" s="38">
        <f t="shared" si="315"/>
        <v>3.5</v>
      </c>
      <c r="T2080" s="38">
        <v>2.625</v>
      </c>
      <c r="U2080" s="38">
        <v>0</v>
      </c>
      <c r="V2080" s="38">
        <v>0</v>
      </c>
      <c r="W2080" s="38">
        <v>0</v>
      </c>
      <c r="X2080" s="38">
        <v>4.91</v>
      </c>
      <c r="Y2080" s="38">
        <f t="shared" si="316"/>
        <v>5</v>
      </c>
      <c r="Z2080" s="38">
        <v>0</v>
      </c>
      <c r="AA2080" s="38">
        <v>0</v>
      </c>
      <c r="AB2080" s="196">
        <v>2.5830000000000002</v>
      </c>
      <c r="AC2080" s="38">
        <v>1.0900000000000001</v>
      </c>
      <c r="AD2080" s="38">
        <v>0</v>
      </c>
      <c r="AE2080" s="38">
        <v>0</v>
      </c>
      <c r="AF2080" s="38">
        <v>0</v>
      </c>
      <c r="AG2080" s="38">
        <f t="shared" si="317"/>
        <v>0</v>
      </c>
      <c r="AH2080" s="38">
        <v>0</v>
      </c>
      <c r="AI2080" s="38">
        <v>0</v>
      </c>
      <c r="AJ2080" s="38">
        <v>0</v>
      </c>
      <c r="AK2080" s="38">
        <f t="shared" si="323"/>
        <v>0</v>
      </c>
      <c r="AL2080" s="38">
        <v>0</v>
      </c>
      <c r="AM2080" s="38">
        <v>0</v>
      </c>
      <c r="AN2080" s="25"/>
      <c r="AO2080" s="25">
        <f t="shared" si="326"/>
        <v>0</v>
      </c>
      <c r="AP2080" s="25">
        <f t="shared" si="327"/>
        <v>0</v>
      </c>
      <c r="AQ2080" s="25">
        <f t="shared" si="328"/>
        <v>0</v>
      </c>
      <c r="AR2080" s="25">
        <f>SUM(N2080:X2080)</f>
        <v>16.93</v>
      </c>
      <c r="AS2080" s="25">
        <f t="shared" si="330"/>
        <v>2.625</v>
      </c>
      <c r="AT2080" s="22"/>
      <c r="AU2080" s="275"/>
      <c r="AV2080" s="41">
        <f t="shared" si="331"/>
        <v>2.6249999999999996</v>
      </c>
      <c r="AW2080" s="41">
        <f t="shared" si="332"/>
        <v>2.625</v>
      </c>
      <c r="AX2080" s="41">
        <f t="shared" si="333"/>
        <v>2.5830000000000002</v>
      </c>
      <c r="AY2080" s="22"/>
      <c r="AZ2080" s="22">
        <f t="shared" si="334"/>
        <v>0.98400000000000021</v>
      </c>
      <c r="BA2080" s="22">
        <f t="shared" si="335"/>
        <v>0.9840000000000001</v>
      </c>
      <c r="BB2080" s="22">
        <f t="shared" si="336"/>
        <v>1</v>
      </c>
      <c r="BC2080" s="22"/>
      <c r="BD2080" s="22"/>
      <c r="BE2080" s="22"/>
      <c r="BF2080" s="22"/>
      <c r="BG2080" s="22"/>
      <c r="BH2080" s="22"/>
      <c r="BI2080" s="22"/>
      <c r="BJ2080" s="22"/>
      <c r="BK2080" s="22"/>
      <c r="BL2080" s="22"/>
      <c r="BM2080" s="22"/>
      <c r="BN2080" s="22"/>
      <c r="BO2080" s="22"/>
      <c r="BP2080" s="22"/>
      <c r="BQ2080" s="22"/>
      <c r="BR2080" s="22"/>
      <c r="BS2080" s="22"/>
      <c r="BT2080" s="22"/>
      <c r="BU2080" s="22"/>
      <c r="BV2080" s="22"/>
      <c r="BW2080" s="22"/>
      <c r="BX2080" s="22"/>
      <c r="BY2080" s="22"/>
      <c r="BZ2080" s="22"/>
      <c r="CA2080" s="22"/>
      <c r="CB2080" s="22"/>
      <c r="CC2080" s="22"/>
      <c r="CD2080" s="22"/>
      <c r="CE2080" s="22"/>
      <c r="CF2080" s="22"/>
      <c r="CG2080" s="22"/>
      <c r="CH2080" s="22"/>
      <c r="CI2080" s="22"/>
      <c r="CJ2080" s="22"/>
    </row>
    <row r="2081" spans="1:88">
      <c r="A2081" s="1">
        <v>1529</v>
      </c>
      <c r="B2081" s="34" t="s">
        <v>2069</v>
      </c>
      <c r="C2081" s="34">
        <v>413</v>
      </c>
      <c r="D2081" s="69">
        <v>3901</v>
      </c>
      <c r="E2081" s="34">
        <v>400</v>
      </c>
      <c r="F2081" s="34" t="s">
        <v>2102</v>
      </c>
      <c r="G2081" s="58" t="s">
        <v>92</v>
      </c>
      <c r="H2081" s="58" t="s">
        <v>2103</v>
      </c>
      <c r="I2081" s="35">
        <v>3.19</v>
      </c>
      <c r="J2081" s="34">
        <v>4</v>
      </c>
      <c r="K2081" s="34" t="s">
        <v>238</v>
      </c>
      <c r="L2081" s="10">
        <v>42263</v>
      </c>
      <c r="M2081" s="9" t="s">
        <v>191</v>
      </c>
      <c r="N2081" s="38">
        <v>1.8</v>
      </c>
      <c r="O2081" s="38">
        <v>0.7</v>
      </c>
      <c r="P2081" s="38">
        <v>0.52500000000000002</v>
      </c>
      <c r="Q2081" s="38">
        <v>0.22500000000000001</v>
      </c>
      <c r="R2081" s="38">
        <v>2.5668199999999999</v>
      </c>
      <c r="S2081" s="38">
        <f t="shared" si="315"/>
        <v>2.5</v>
      </c>
      <c r="T2081" s="38">
        <v>2.75</v>
      </c>
      <c r="U2081" s="38">
        <v>0.45</v>
      </c>
      <c r="V2081" s="38">
        <v>0.05</v>
      </c>
      <c r="W2081" s="38">
        <v>0</v>
      </c>
      <c r="X2081" s="38">
        <v>5.7659900000000004</v>
      </c>
      <c r="Y2081" s="38">
        <f t="shared" si="316"/>
        <v>6</v>
      </c>
      <c r="Z2081" s="38">
        <v>0</v>
      </c>
      <c r="AA2081" s="38">
        <v>0</v>
      </c>
      <c r="AB2081" s="196">
        <v>3.19</v>
      </c>
      <c r="AC2081" s="38">
        <v>1.50911</v>
      </c>
      <c r="AD2081" s="38">
        <v>0</v>
      </c>
      <c r="AE2081" s="38">
        <v>0</v>
      </c>
      <c r="AF2081" s="38">
        <f>(AD2081+AE2081*0.5)/(3.5*I2081*1000)*100</f>
        <v>0</v>
      </c>
      <c r="AG2081" s="38">
        <f t="shared" si="317"/>
        <v>0</v>
      </c>
      <c r="AH2081" s="38">
        <v>0</v>
      </c>
      <c r="AI2081" s="38">
        <f>AH2081/(3.5*I2081*1000)*100</f>
        <v>0</v>
      </c>
      <c r="AJ2081" s="38">
        <v>0</v>
      </c>
      <c r="AK2081" s="38">
        <f t="shared" si="323"/>
        <v>0</v>
      </c>
      <c r="AL2081" s="38">
        <v>1</v>
      </c>
      <c r="AM2081" s="38">
        <f>AL2081/(3.5*I2081*1000)*100</f>
        <v>8.9565606806986109E-3</v>
      </c>
      <c r="AN2081" s="25"/>
      <c r="AO2081" s="25">
        <f t="shared" si="326"/>
        <v>0</v>
      </c>
      <c r="AP2081" s="25">
        <f t="shared" si="327"/>
        <v>3.19</v>
      </c>
      <c r="AQ2081" s="25">
        <f t="shared" si="328"/>
        <v>3.19</v>
      </c>
      <c r="AR2081" s="25">
        <f>SUM(N2081:Q2081)</f>
        <v>3.25</v>
      </c>
      <c r="AS2081" s="25">
        <f t="shared" si="330"/>
        <v>3.25</v>
      </c>
      <c r="AT2081" s="22"/>
      <c r="AU2081" s="275">
        <v>3.19</v>
      </c>
      <c r="AV2081" s="41">
        <f t="shared" si="331"/>
        <v>3.25</v>
      </c>
      <c r="AW2081" s="41">
        <f t="shared" si="332"/>
        <v>3.25</v>
      </c>
      <c r="AX2081" s="41">
        <f t="shared" si="333"/>
        <v>3.19</v>
      </c>
      <c r="AY2081" s="22"/>
      <c r="AZ2081" s="22">
        <f t="shared" si="334"/>
        <v>0.98153846153846147</v>
      </c>
      <c r="BA2081" s="22">
        <f t="shared" si="335"/>
        <v>0.98153846153846147</v>
      </c>
      <c r="BB2081" s="22">
        <f t="shared" si="336"/>
        <v>1</v>
      </c>
      <c r="BC2081" s="22"/>
      <c r="BD2081" s="22"/>
      <c r="BE2081" s="22"/>
      <c r="BF2081" s="22"/>
      <c r="BG2081" s="22"/>
      <c r="BH2081" s="22"/>
      <c r="BI2081" s="22"/>
      <c r="BJ2081" s="22"/>
      <c r="BK2081" s="22"/>
      <c r="BL2081" s="22"/>
      <c r="BM2081" s="22"/>
      <c r="BN2081" s="22"/>
      <c r="BO2081" s="22"/>
      <c r="BP2081" s="22"/>
      <c r="BQ2081" s="22"/>
      <c r="BR2081" s="22"/>
      <c r="BS2081" s="22"/>
      <c r="BT2081" s="22"/>
      <c r="BU2081" s="22"/>
      <c r="BV2081" s="22"/>
      <c r="BW2081" s="22"/>
      <c r="BX2081" s="22"/>
      <c r="BY2081" s="22"/>
      <c r="BZ2081" s="22"/>
      <c r="CA2081" s="22"/>
      <c r="CB2081" s="22"/>
      <c r="CC2081" s="22"/>
      <c r="CD2081" s="22"/>
      <c r="CE2081" s="22"/>
      <c r="CF2081" s="22"/>
      <c r="CG2081" s="22"/>
      <c r="CH2081" s="22"/>
      <c r="CI2081" s="22"/>
      <c r="CJ2081" s="22"/>
    </row>
    <row r="2082" spans="1:88">
      <c r="A2082" s="1">
        <v>1530</v>
      </c>
      <c r="B2082" s="34" t="s">
        <v>2104</v>
      </c>
      <c r="C2082" s="34">
        <v>414</v>
      </c>
      <c r="D2082" s="69">
        <v>3050</v>
      </c>
      <c r="E2082" s="34">
        <v>100</v>
      </c>
      <c r="F2082" s="34" t="s">
        <v>2105</v>
      </c>
      <c r="G2082" s="58" t="s">
        <v>92</v>
      </c>
      <c r="H2082" s="58" t="s">
        <v>2106</v>
      </c>
      <c r="I2082" s="35">
        <v>2.98</v>
      </c>
      <c r="J2082" s="34">
        <v>2</v>
      </c>
      <c r="K2082" s="34" t="s">
        <v>238</v>
      </c>
      <c r="L2082" s="10">
        <v>42266</v>
      </c>
      <c r="M2082" s="9" t="s">
        <v>191</v>
      </c>
      <c r="N2082" s="38">
        <v>2.1</v>
      </c>
      <c r="O2082" s="38">
        <v>0.625</v>
      </c>
      <c r="P2082" s="38">
        <v>0.2</v>
      </c>
      <c r="Q2082" s="38">
        <v>2.5000000000000001E-2</v>
      </c>
      <c r="R2082" s="38">
        <v>2.1520000000000001</v>
      </c>
      <c r="S2082" s="38">
        <f t="shared" si="315"/>
        <v>2</v>
      </c>
      <c r="T2082" s="38">
        <v>1.825</v>
      </c>
      <c r="U2082" s="38">
        <v>0.85</v>
      </c>
      <c r="V2082" s="38">
        <v>0.2</v>
      </c>
      <c r="W2082" s="38">
        <v>7.4999999999999997E-2</v>
      </c>
      <c r="X2082" s="38">
        <v>8.8710000000000004</v>
      </c>
      <c r="Y2082" s="38">
        <f t="shared" si="316"/>
        <v>9</v>
      </c>
      <c r="Z2082" s="38">
        <v>0</v>
      </c>
      <c r="AA2082" s="38">
        <v>0</v>
      </c>
      <c r="AB2082" s="38">
        <v>2.98</v>
      </c>
      <c r="AC2082" s="38">
        <v>1.1339999999999999</v>
      </c>
      <c r="AD2082" s="38">
        <v>0</v>
      </c>
      <c r="AE2082" s="38">
        <v>0</v>
      </c>
      <c r="AF2082" s="38">
        <f>(AD2082+AE2082*0.5)/(3.5*I2082*1000)*100</f>
        <v>0</v>
      </c>
      <c r="AG2082" s="38">
        <f t="shared" si="317"/>
        <v>0</v>
      </c>
      <c r="AH2082" s="38">
        <v>1871</v>
      </c>
      <c r="AI2082" s="38">
        <f>AH2082/(3.5*I2082*1000)*100</f>
        <v>17.938638542665387</v>
      </c>
      <c r="AJ2082" s="38">
        <v>21.59</v>
      </c>
      <c r="AK2082" s="38">
        <f t="shared" si="323"/>
        <v>0.20699904122722912</v>
      </c>
      <c r="AL2082" s="38">
        <v>2</v>
      </c>
      <c r="AM2082" s="38">
        <f>AL2082/(3.5*I2082*1000)*100</f>
        <v>1.9175455417066153E-2</v>
      </c>
      <c r="AN2082" s="25"/>
      <c r="AO2082" s="25">
        <f t="shared" si="326"/>
        <v>0</v>
      </c>
      <c r="AP2082" s="25">
        <f t="shared" si="327"/>
        <v>5645.8782000000001</v>
      </c>
      <c r="AQ2082" s="25"/>
      <c r="AR2082" s="25">
        <f>SUM(N2082:Q2082)</f>
        <v>2.95</v>
      </c>
      <c r="AS2082" s="25">
        <f t="shared" si="330"/>
        <v>2.95</v>
      </c>
      <c r="AT2082" s="25"/>
      <c r="AU2082" s="22"/>
      <c r="AV2082" s="41"/>
      <c r="AW2082" s="41"/>
      <c r="AX2082" s="41"/>
      <c r="AY2082" s="41"/>
      <c r="AZ2082" s="22"/>
      <c r="BA2082" s="22"/>
      <c r="BB2082" s="22"/>
      <c r="BC2082" s="22"/>
      <c r="BD2082" s="22"/>
      <c r="BE2082" s="22"/>
      <c r="BF2082" s="22"/>
      <c r="BG2082" s="22"/>
      <c r="BH2082" s="22"/>
      <c r="BI2082" s="22"/>
      <c r="BJ2082" s="22"/>
      <c r="BK2082" s="22"/>
      <c r="BL2082" s="22"/>
      <c r="BM2082" s="22"/>
      <c r="BN2082" s="22"/>
      <c r="BO2082" s="22"/>
      <c r="BP2082" s="22"/>
      <c r="BQ2082" s="22"/>
      <c r="BR2082" s="22"/>
      <c r="BS2082" s="22"/>
      <c r="BT2082" s="22"/>
      <c r="BU2082" s="22"/>
      <c r="BV2082" s="22"/>
      <c r="BW2082" s="22"/>
      <c r="BX2082" s="22"/>
      <c r="BY2082" s="22"/>
      <c r="BZ2082" s="22"/>
      <c r="CA2082" s="22"/>
      <c r="CB2082" s="22"/>
      <c r="CC2082" s="22"/>
      <c r="CD2082" s="22"/>
      <c r="CE2082" s="22"/>
      <c r="CF2082" s="22"/>
      <c r="CG2082" s="22"/>
      <c r="CH2082" s="22"/>
      <c r="CI2082" s="22"/>
      <c r="CJ2082" s="22"/>
    </row>
    <row r="2083" spans="1:88">
      <c r="A2083" s="1">
        <v>1552</v>
      </c>
      <c r="B2083" s="34" t="s">
        <v>2137</v>
      </c>
      <c r="C2083" s="5">
        <v>416</v>
      </c>
      <c r="D2083" s="5">
        <v>9</v>
      </c>
      <c r="E2083" s="5">
        <v>301</v>
      </c>
      <c r="F2083" s="5" t="s">
        <v>2138</v>
      </c>
      <c r="G2083" s="53">
        <v>60141</v>
      </c>
      <c r="H2083" s="53">
        <v>78872</v>
      </c>
      <c r="I2083" s="198">
        <v>18.731000000000002</v>
      </c>
      <c r="J2083" s="78">
        <v>4</v>
      </c>
      <c r="K2083" s="5" t="s">
        <v>237</v>
      </c>
      <c r="L2083" s="10">
        <v>42249</v>
      </c>
      <c r="M2083" s="34" t="s">
        <v>218</v>
      </c>
      <c r="N2083" s="147">
        <v>6.7249999999999996</v>
      </c>
      <c r="O2083" s="147">
        <v>6.375</v>
      </c>
      <c r="P2083" s="147">
        <v>4.45</v>
      </c>
      <c r="Q2083" s="147">
        <v>1.125</v>
      </c>
      <c r="R2083" s="147">
        <v>3.08514</v>
      </c>
      <c r="S2083" s="38">
        <f t="shared" si="315"/>
        <v>3</v>
      </c>
      <c r="T2083" s="147">
        <v>0</v>
      </c>
      <c r="U2083" s="147">
        <v>0</v>
      </c>
      <c r="V2083" s="147">
        <f t="shared" ref="V2083:V2128" si="337">SUM(N2083:Q2083)</f>
        <v>18.675000000000001</v>
      </c>
      <c r="W2083" s="147">
        <v>1.2177500000000001</v>
      </c>
      <c r="X2083" s="201">
        <v>0</v>
      </c>
      <c r="Y2083" s="38">
        <f t="shared" si="316"/>
        <v>0</v>
      </c>
      <c r="Z2083" s="201">
        <v>0</v>
      </c>
      <c r="AA2083" s="201">
        <v>0</v>
      </c>
      <c r="AB2083" s="201">
        <v>0</v>
      </c>
      <c r="AC2083" s="201">
        <v>0</v>
      </c>
      <c r="AD2083" s="147">
        <v>70.89</v>
      </c>
      <c r="AE2083" s="147">
        <v>0.1081324</v>
      </c>
      <c r="AF2083" s="201">
        <v>0</v>
      </c>
      <c r="AG2083" s="38">
        <f t="shared" si="317"/>
        <v>0</v>
      </c>
      <c r="AH2083" s="198"/>
      <c r="AI2083" s="198"/>
      <c r="AJ2083" s="198"/>
      <c r="AK2083" s="34"/>
      <c r="AL2083" s="34"/>
      <c r="AM2083" s="34"/>
      <c r="AN2083" s="61"/>
      <c r="AO2083" s="61"/>
      <c r="AP2083" s="61"/>
      <c r="AQ2083" s="61"/>
      <c r="AR2083" s="61"/>
      <c r="AS2083" s="61"/>
      <c r="AT2083" s="61"/>
      <c r="AU2083" s="61"/>
      <c r="AV2083" s="61"/>
      <c r="AW2083" s="61"/>
      <c r="AX2083" s="61"/>
      <c r="AY2083" s="61"/>
      <c r="AZ2083" s="61"/>
      <c r="BA2083" s="61"/>
      <c r="BB2083" s="61"/>
      <c r="BC2083" s="61"/>
      <c r="BD2083" s="61"/>
      <c r="BE2083" s="61"/>
      <c r="BF2083" s="61"/>
      <c r="BG2083" s="61"/>
      <c r="BH2083" s="61"/>
      <c r="BI2083" s="61"/>
      <c r="BJ2083" s="61"/>
      <c r="BK2083" s="61"/>
      <c r="BL2083" s="61"/>
      <c r="BM2083" s="61"/>
      <c r="BN2083" s="61"/>
      <c r="BO2083" s="61"/>
      <c r="BP2083" s="61"/>
      <c r="BQ2083" s="61"/>
      <c r="BR2083" s="61"/>
      <c r="BS2083" s="61"/>
      <c r="BT2083" s="61"/>
      <c r="BU2083" s="61"/>
      <c r="BV2083" s="61"/>
      <c r="BW2083" s="61"/>
      <c r="BX2083" s="61"/>
      <c r="BY2083" s="61"/>
      <c r="BZ2083" s="61"/>
      <c r="CA2083" s="61"/>
      <c r="CB2083" s="61"/>
      <c r="CC2083" s="61"/>
      <c r="CD2083" s="61"/>
      <c r="CE2083" s="61"/>
      <c r="CF2083" s="61"/>
      <c r="CG2083" s="61"/>
      <c r="CH2083" s="61"/>
      <c r="CI2083" s="61"/>
      <c r="CJ2083" s="61"/>
    </row>
    <row r="2084" spans="1:88">
      <c r="A2084" s="1">
        <v>1553</v>
      </c>
      <c r="B2084" s="34" t="s">
        <v>2137</v>
      </c>
      <c r="C2084" s="5">
        <v>416</v>
      </c>
      <c r="D2084" s="5">
        <v>9</v>
      </c>
      <c r="E2084" s="5">
        <v>301</v>
      </c>
      <c r="F2084" s="5" t="s">
        <v>2138</v>
      </c>
      <c r="G2084" s="53">
        <v>78872</v>
      </c>
      <c r="H2084" s="53">
        <v>60141</v>
      </c>
      <c r="I2084" s="198">
        <v>18.731000000000002</v>
      </c>
      <c r="J2084" s="78">
        <v>4</v>
      </c>
      <c r="K2084" s="5" t="s">
        <v>96</v>
      </c>
      <c r="L2084" s="10">
        <v>42249</v>
      </c>
      <c r="M2084" s="34" t="s">
        <v>218</v>
      </c>
      <c r="N2084" s="147">
        <v>6.85</v>
      </c>
      <c r="O2084" s="147">
        <v>5.9749999999999996</v>
      </c>
      <c r="P2084" s="147">
        <v>3.875</v>
      </c>
      <c r="Q2084" s="147">
        <v>1.9750000000000001</v>
      </c>
      <c r="R2084" s="147">
        <v>3.2073100000000001</v>
      </c>
      <c r="S2084" s="38">
        <f t="shared" si="315"/>
        <v>3</v>
      </c>
      <c r="T2084" s="147">
        <v>0</v>
      </c>
      <c r="U2084" s="147">
        <v>0</v>
      </c>
      <c r="V2084" s="147">
        <f t="shared" si="337"/>
        <v>18.675000000000001</v>
      </c>
      <c r="W2084" s="147">
        <v>1.0098400000000001</v>
      </c>
      <c r="X2084" s="201">
        <v>0</v>
      </c>
      <c r="Y2084" s="38">
        <f t="shared" si="316"/>
        <v>0</v>
      </c>
      <c r="Z2084" s="201">
        <v>11</v>
      </c>
      <c r="AA2084" s="201">
        <v>0</v>
      </c>
      <c r="AB2084" s="201">
        <v>0</v>
      </c>
      <c r="AC2084" s="201">
        <v>0</v>
      </c>
      <c r="AD2084" s="147">
        <v>5.8</v>
      </c>
      <c r="AE2084" s="147">
        <v>8.8471000000000001E-3</v>
      </c>
      <c r="AF2084" s="201">
        <v>0</v>
      </c>
      <c r="AG2084" s="38">
        <f t="shared" si="317"/>
        <v>0</v>
      </c>
      <c r="AH2084" s="198"/>
      <c r="AI2084" s="198"/>
      <c r="AJ2084" s="198"/>
      <c r="AK2084" s="34"/>
      <c r="AL2084" s="34"/>
      <c r="AM2084" s="34"/>
      <c r="AN2084" s="61"/>
      <c r="AO2084" s="61"/>
      <c r="AP2084" s="61"/>
      <c r="AQ2084" s="61"/>
      <c r="AR2084" s="61"/>
      <c r="AS2084" s="61"/>
      <c r="AT2084" s="61"/>
      <c r="AU2084" s="61"/>
      <c r="AV2084" s="61"/>
      <c r="AW2084" s="61"/>
      <c r="AX2084" s="61"/>
      <c r="AY2084" s="61"/>
      <c r="AZ2084" s="61"/>
      <c r="BA2084" s="61"/>
      <c r="BB2084" s="61"/>
      <c r="BC2084" s="61"/>
      <c r="BD2084" s="61"/>
      <c r="BE2084" s="61"/>
      <c r="BF2084" s="61"/>
      <c r="BG2084" s="61"/>
      <c r="BH2084" s="61"/>
      <c r="BI2084" s="61"/>
      <c r="BJ2084" s="61"/>
      <c r="BK2084" s="61"/>
      <c r="BL2084" s="61"/>
      <c r="BM2084" s="61"/>
      <c r="BN2084" s="61"/>
      <c r="BO2084" s="61"/>
      <c r="BP2084" s="61"/>
      <c r="BQ2084" s="61"/>
      <c r="BR2084" s="61"/>
      <c r="BS2084" s="61"/>
      <c r="BT2084" s="61"/>
      <c r="BU2084" s="61"/>
      <c r="BV2084" s="61"/>
      <c r="BW2084" s="61"/>
      <c r="BX2084" s="61"/>
      <c r="BY2084" s="61"/>
      <c r="BZ2084" s="61"/>
      <c r="CA2084" s="61"/>
      <c r="CB2084" s="61"/>
      <c r="CC2084" s="61"/>
      <c r="CD2084" s="61"/>
      <c r="CE2084" s="61"/>
      <c r="CF2084" s="61"/>
      <c r="CG2084" s="61"/>
      <c r="CH2084" s="61"/>
      <c r="CI2084" s="61"/>
      <c r="CJ2084" s="61"/>
    </row>
    <row r="2085" spans="1:88">
      <c r="A2085" s="1">
        <v>1554</v>
      </c>
      <c r="B2085" s="34" t="s">
        <v>2137</v>
      </c>
      <c r="C2085" s="5">
        <v>416</v>
      </c>
      <c r="D2085" s="5">
        <v>1</v>
      </c>
      <c r="E2085" s="5">
        <v>201</v>
      </c>
      <c r="F2085" s="5" t="s">
        <v>2139</v>
      </c>
      <c r="G2085" s="53" t="s">
        <v>2140</v>
      </c>
      <c r="H2085" s="53" t="s">
        <v>2141</v>
      </c>
      <c r="I2085" s="198">
        <v>2.99</v>
      </c>
      <c r="J2085" s="78">
        <v>10</v>
      </c>
      <c r="K2085" s="5" t="s">
        <v>237</v>
      </c>
      <c r="L2085" s="10">
        <v>42248</v>
      </c>
      <c r="M2085" s="34" t="s">
        <v>218</v>
      </c>
      <c r="N2085" s="147">
        <v>2.5249999999999999</v>
      </c>
      <c r="O2085" s="147">
        <v>0.35</v>
      </c>
      <c r="P2085" s="147">
        <v>0.125</v>
      </c>
      <c r="Q2085" s="147">
        <v>0.1</v>
      </c>
      <c r="R2085" s="147">
        <v>2.0402399999999998</v>
      </c>
      <c r="S2085" s="38">
        <f t="shared" si="315"/>
        <v>2</v>
      </c>
      <c r="T2085" s="147">
        <v>0</v>
      </c>
      <c r="U2085" s="147">
        <v>0</v>
      </c>
      <c r="V2085" s="147">
        <f t="shared" si="337"/>
        <v>3.1</v>
      </c>
      <c r="W2085" s="147">
        <v>1.13568</v>
      </c>
      <c r="X2085" s="201">
        <v>0</v>
      </c>
      <c r="Y2085" s="38">
        <f t="shared" si="316"/>
        <v>0</v>
      </c>
      <c r="Z2085" s="201">
        <v>0</v>
      </c>
      <c r="AA2085" s="201">
        <v>0</v>
      </c>
      <c r="AB2085" s="201">
        <v>0</v>
      </c>
      <c r="AC2085" s="201">
        <v>0</v>
      </c>
      <c r="AD2085" s="147">
        <v>0</v>
      </c>
      <c r="AE2085" s="147">
        <v>0</v>
      </c>
      <c r="AF2085" s="201">
        <v>0</v>
      </c>
      <c r="AG2085" s="38">
        <f t="shared" si="317"/>
        <v>0</v>
      </c>
      <c r="AH2085" s="198"/>
      <c r="AI2085" s="198"/>
      <c r="AJ2085" s="198"/>
      <c r="AK2085" s="34"/>
      <c r="AL2085" s="34"/>
      <c r="AM2085" s="34"/>
      <c r="AN2085" s="61"/>
      <c r="AO2085" s="61"/>
      <c r="AP2085" s="61"/>
      <c r="AQ2085" s="61"/>
      <c r="AR2085" s="61"/>
      <c r="AS2085" s="61"/>
      <c r="AT2085" s="61"/>
      <c r="AU2085" s="61"/>
      <c r="AV2085" s="61"/>
      <c r="AW2085" s="61"/>
      <c r="AX2085" s="61"/>
      <c r="AY2085" s="61"/>
      <c r="AZ2085" s="61"/>
      <c r="BA2085" s="61"/>
      <c r="BB2085" s="61"/>
      <c r="BC2085" s="61"/>
      <c r="BD2085" s="61"/>
      <c r="BE2085" s="61"/>
      <c r="BF2085" s="61"/>
      <c r="BG2085" s="61"/>
      <c r="BH2085" s="61"/>
      <c r="BI2085" s="61"/>
      <c r="BJ2085" s="61"/>
      <c r="BK2085" s="61"/>
      <c r="BL2085" s="61"/>
      <c r="BM2085" s="61"/>
      <c r="BN2085" s="61"/>
      <c r="BO2085" s="61"/>
      <c r="BP2085" s="61"/>
      <c r="BQ2085" s="61"/>
      <c r="BR2085" s="61"/>
      <c r="BS2085" s="61"/>
      <c r="BT2085" s="61"/>
      <c r="BU2085" s="61"/>
      <c r="BV2085" s="61"/>
      <c r="BW2085" s="61"/>
      <c r="BX2085" s="61"/>
      <c r="BY2085" s="61"/>
      <c r="BZ2085" s="61"/>
      <c r="CA2085" s="61"/>
      <c r="CB2085" s="61"/>
      <c r="CC2085" s="61"/>
      <c r="CD2085" s="61"/>
      <c r="CE2085" s="61"/>
      <c r="CF2085" s="61"/>
      <c r="CG2085" s="61"/>
      <c r="CH2085" s="61"/>
      <c r="CI2085" s="61"/>
      <c r="CJ2085" s="61"/>
    </row>
    <row r="2086" spans="1:88">
      <c r="A2086" s="1">
        <v>1555</v>
      </c>
      <c r="B2086" s="34" t="s">
        <v>2137</v>
      </c>
      <c r="C2086" s="5">
        <v>416</v>
      </c>
      <c r="D2086" s="5">
        <v>1</v>
      </c>
      <c r="E2086" s="5">
        <v>201</v>
      </c>
      <c r="F2086" s="5" t="s">
        <v>2139</v>
      </c>
      <c r="G2086" s="53" t="s">
        <v>2141</v>
      </c>
      <c r="H2086" s="53" t="s">
        <v>2142</v>
      </c>
      <c r="I2086" s="198">
        <v>8.3000000000000007</v>
      </c>
      <c r="J2086" s="78">
        <v>10</v>
      </c>
      <c r="K2086" s="5" t="s">
        <v>237</v>
      </c>
      <c r="L2086" s="10">
        <v>42248</v>
      </c>
      <c r="M2086" s="34" t="s">
        <v>218</v>
      </c>
      <c r="N2086" s="147">
        <v>6.6</v>
      </c>
      <c r="O2086" s="147">
        <v>1.2250000000000001</v>
      </c>
      <c r="P2086" s="147">
        <v>0.4</v>
      </c>
      <c r="Q2086" s="147">
        <v>0.1</v>
      </c>
      <c r="R2086" s="147">
        <v>2.1047699999999998</v>
      </c>
      <c r="S2086" s="38">
        <f t="shared" si="315"/>
        <v>2</v>
      </c>
      <c r="T2086" s="147">
        <v>0</v>
      </c>
      <c r="U2086" s="147">
        <v>0</v>
      </c>
      <c r="V2086" s="147">
        <f t="shared" si="337"/>
        <v>8.3249999999999993</v>
      </c>
      <c r="W2086" s="147">
        <v>1.1276299999999999</v>
      </c>
      <c r="X2086" s="201">
        <v>0</v>
      </c>
      <c r="Y2086" s="38">
        <f t="shared" si="316"/>
        <v>0</v>
      </c>
      <c r="Z2086" s="201">
        <v>0</v>
      </c>
      <c r="AA2086" s="201">
        <v>0</v>
      </c>
      <c r="AB2086" s="201">
        <v>0</v>
      </c>
      <c r="AC2086" s="201">
        <v>0</v>
      </c>
      <c r="AD2086" s="147">
        <v>0</v>
      </c>
      <c r="AE2086" s="147">
        <v>0</v>
      </c>
      <c r="AF2086" s="201">
        <v>0</v>
      </c>
      <c r="AG2086" s="38">
        <f t="shared" si="317"/>
        <v>0</v>
      </c>
      <c r="AH2086" s="198"/>
      <c r="AI2086" s="198"/>
      <c r="AJ2086" s="198"/>
      <c r="AK2086" s="34"/>
      <c r="AL2086" s="34"/>
      <c r="AM2086" s="34"/>
      <c r="AN2086" s="61"/>
      <c r="AO2086" s="61"/>
      <c r="AP2086" s="61"/>
      <c r="AQ2086" s="61"/>
      <c r="AR2086" s="61"/>
      <c r="AS2086" s="61"/>
      <c r="AT2086" s="61"/>
      <c r="AU2086" s="61"/>
      <c r="AV2086" s="61"/>
      <c r="AW2086" s="61"/>
      <c r="AX2086" s="61"/>
      <c r="AY2086" s="61"/>
      <c r="AZ2086" s="61"/>
      <c r="BA2086" s="61"/>
      <c r="BB2086" s="61"/>
      <c r="BC2086" s="61"/>
      <c r="BD2086" s="61"/>
      <c r="BE2086" s="61"/>
      <c r="BF2086" s="61"/>
      <c r="BG2086" s="61"/>
      <c r="BH2086" s="61"/>
      <c r="BI2086" s="61"/>
      <c r="BJ2086" s="61"/>
      <c r="BK2086" s="61"/>
      <c r="BL2086" s="61"/>
      <c r="BM2086" s="61"/>
      <c r="BN2086" s="61"/>
      <c r="BO2086" s="61"/>
      <c r="BP2086" s="61"/>
      <c r="BQ2086" s="61"/>
      <c r="BR2086" s="61"/>
      <c r="BS2086" s="61"/>
      <c r="BT2086" s="61"/>
      <c r="BU2086" s="61"/>
      <c r="BV2086" s="61"/>
      <c r="BW2086" s="61"/>
      <c r="BX2086" s="61"/>
      <c r="BY2086" s="61"/>
      <c r="BZ2086" s="61"/>
      <c r="CA2086" s="61"/>
      <c r="CB2086" s="61"/>
      <c r="CC2086" s="61"/>
      <c r="CD2086" s="61"/>
      <c r="CE2086" s="61"/>
      <c r="CF2086" s="61"/>
      <c r="CG2086" s="61"/>
      <c r="CH2086" s="61"/>
      <c r="CI2086" s="61"/>
      <c r="CJ2086" s="61"/>
    </row>
    <row r="2087" spans="1:88" s="22" customFormat="1">
      <c r="A2087" s="1">
        <v>1556</v>
      </c>
      <c r="B2087" s="34" t="s">
        <v>2137</v>
      </c>
      <c r="C2087" s="5">
        <v>416</v>
      </c>
      <c r="D2087" s="5">
        <v>1</v>
      </c>
      <c r="E2087" s="5">
        <v>201</v>
      </c>
      <c r="F2087" s="5" t="s">
        <v>2139</v>
      </c>
      <c r="G2087" s="53" t="s">
        <v>2141</v>
      </c>
      <c r="H2087" s="53" t="s">
        <v>2140</v>
      </c>
      <c r="I2087" s="198">
        <v>2.99</v>
      </c>
      <c r="J2087" s="78">
        <v>10</v>
      </c>
      <c r="K2087" s="5" t="s">
        <v>96</v>
      </c>
      <c r="L2087" s="10">
        <v>42249</v>
      </c>
      <c r="M2087" s="34" t="s">
        <v>218</v>
      </c>
      <c r="N2087" s="147">
        <v>1.1499999999999999</v>
      </c>
      <c r="O2087" s="147">
        <v>0.85</v>
      </c>
      <c r="P2087" s="147">
        <v>0.65</v>
      </c>
      <c r="Q2087" s="147">
        <v>0.375</v>
      </c>
      <c r="R2087" s="147">
        <v>3.15157</v>
      </c>
      <c r="S2087" s="38">
        <f t="shared" si="315"/>
        <v>3</v>
      </c>
      <c r="T2087" s="147">
        <v>0</v>
      </c>
      <c r="U2087" s="147">
        <v>0</v>
      </c>
      <c r="V2087" s="147">
        <f t="shared" si="337"/>
        <v>3.0249999999999999</v>
      </c>
      <c r="W2087" s="147">
        <v>0.93958699999999995</v>
      </c>
      <c r="X2087" s="201">
        <v>0</v>
      </c>
      <c r="Y2087" s="38">
        <f t="shared" si="316"/>
        <v>0</v>
      </c>
      <c r="Z2087" s="201">
        <v>0</v>
      </c>
      <c r="AA2087" s="201">
        <v>0</v>
      </c>
      <c r="AB2087" s="201">
        <v>0</v>
      </c>
      <c r="AC2087" s="201">
        <v>0</v>
      </c>
      <c r="AD2087" s="147">
        <v>0</v>
      </c>
      <c r="AE2087" s="147">
        <v>0</v>
      </c>
      <c r="AF2087" s="201">
        <v>0</v>
      </c>
      <c r="AG2087" s="38">
        <f t="shared" si="317"/>
        <v>0</v>
      </c>
      <c r="AH2087" s="198"/>
      <c r="AI2087" s="198"/>
      <c r="AJ2087" s="198"/>
      <c r="AK2087" s="34"/>
      <c r="AL2087" s="34"/>
      <c r="AM2087" s="34"/>
      <c r="AN2087" s="61"/>
      <c r="AO2087" s="61"/>
      <c r="AP2087" s="61"/>
      <c r="AQ2087" s="61"/>
      <c r="AR2087" s="61"/>
      <c r="AS2087" s="61"/>
      <c r="AT2087" s="61"/>
      <c r="AU2087" s="61"/>
      <c r="AV2087" s="61"/>
      <c r="AW2087" s="61"/>
      <c r="AX2087" s="61"/>
      <c r="AY2087" s="61"/>
      <c r="AZ2087" s="61"/>
      <c r="BA2087" s="61"/>
      <c r="BB2087" s="61"/>
      <c r="BC2087" s="61"/>
      <c r="BD2087" s="61"/>
      <c r="BE2087" s="61"/>
      <c r="BF2087" s="61"/>
      <c r="BG2087" s="61"/>
      <c r="BH2087" s="61"/>
      <c r="BI2087" s="61"/>
      <c r="BJ2087" s="61"/>
      <c r="BK2087" s="61"/>
      <c r="BL2087" s="61"/>
      <c r="BM2087" s="61"/>
      <c r="BN2087" s="61"/>
      <c r="BO2087" s="61"/>
      <c r="BP2087" s="61"/>
      <c r="BQ2087" s="61"/>
      <c r="BR2087" s="61"/>
      <c r="BS2087" s="61"/>
      <c r="BT2087" s="61"/>
      <c r="BU2087" s="61"/>
      <c r="BV2087" s="61"/>
      <c r="BW2087" s="61"/>
      <c r="BX2087" s="61"/>
      <c r="BY2087" s="61"/>
      <c r="BZ2087" s="61"/>
      <c r="CA2087" s="61"/>
      <c r="CB2087" s="61"/>
      <c r="CC2087" s="61"/>
      <c r="CD2087" s="61"/>
      <c r="CE2087" s="61"/>
      <c r="CF2087" s="61"/>
      <c r="CG2087" s="61"/>
      <c r="CH2087" s="61"/>
      <c r="CI2087" s="61"/>
      <c r="CJ2087" s="61"/>
    </row>
    <row r="2088" spans="1:88" s="22" customFormat="1">
      <c r="A2088" s="1">
        <v>1557</v>
      </c>
      <c r="B2088" s="34" t="s">
        <v>2137</v>
      </c>
      <c r="C2088" s="5">
        <v>416</v>
      </c>
      <c r="D2088" s="5">
        <v>1</v>
      </c>
      <c r="E2088" s="5">
        <v>201</v>
      </c>
      <c r="F2088" s="5" t="s">
        <v>2139</v>
      </c>
      <c r="G2088" s="53" t="s">
        <v>2142</v>
      </c>
      <c r="H2088" s="53" t="s">
        <v>2141</v>
      </c>
      <c r="I2088" s="198">
        <v>8.3000000000000007</v>
      </c>
      <c r="J2088" s="78">
        <v>10</v>
      </c>
      <c r="K2088" s="5" t="s">
        <v>96</v>
      </c>
      <c r="L2088" s="10">
        <v>42249</v>
      </c>
      <c r="M2088" s="34" t="s">
        <v>218</v>
      </c>
      <c r="N2088" s="147">
        <v>5.9749999999999996</v>
      </c>
      <c r="O2088" s="147">
        <v>1.55</v>
      </c>
      <c r="P2088" s="147">
        <v>0.55000000000000004</v>
      </c>
      <c r="Q2088" s="147">
        <v>0.2</v>
      </c>
      <c r="R2088" s="147">
        <v>2.2911800000000002</v>
      </c>
      <c r="S2088" s="38">
        <f t="shared" si="315"/>
        <v>2.5</v>
      </c>
      <c r="T2088" s="147">
        <v>0</v>
      </c>
      <c r="U2088" s="147">
        <v>0</v>
      </c>
      <c r="V2088" s="147">
        <f t="shared" si="337"/>
        <v>8.2749999999999986</v>
      </c>
      <c r="W2088" s="147">
        <v>1.07565</v>
      </c>
      <c r="X2088" s="201">
        <v>0</v>
      </c>
      <c r="Y2088" s="38">
        <f t="shared" si="316"/>
        <v>0</v>
      </c>
      <c r="Z2088" s="201">
        <v>0</v>
      </c>
      <c r="AA2088" s="201">
        <v>0</v>
      </c>
      <c r="AB2088" s="201">
        <v>0</v>
      </c>
      <c r="AC2088" s="201">
        <v>0</v>
      </c>
      <c r="AD2088" s="147">
        <v>0</v>
      </c>
      <c r="AE2088" s="147">
        <v>0</v>
      </c>
      <c r="AF2088" s="201">
        <v>0</v>
      </c>
      <c r="AG2088" s="38">
        <f t="shared" si="317"/>
        <v>0</v>
      </c>
      <c r="AH2088" s="198"/>
      <c r="AI2088" s="198"/>
      <c r="AJ2088" s="198"/>
      <c r="AK2088" s="34"/>
      <c r="AL2088" s="34"/>
      <c r="AM2088" s="34"/>
      <c r="AN2088" s="61"/>
      <c r="AO2088" s="61"/>
      <c r="AP2088" s="61"/>
      <c r="AQ2088" s="61"/>
      <c r="AR2088" s="61"/>
      <c r="AS2088" s="61"/>
      <c r="AT2088" s="61"/>
      <c r="AU2088" s="61"/>
      <c r="AV2088" s="61"/>
      <c r="AW2088" s="61"/>
      <c r="AX2088" s="61"/>
      <c r="AY2088" s="61"/>
      <c r="AZ2088" s="61"/>
      <c r="BA2088" s="61"/>
      <c r="BB2088" s="61"/>
      <c r="BC2088" s="61"/>
      <c r="BD2088" s="61"/>
      <c r="BE2088" s="61"/>
      <c r="BF2088" s="61"/>
      <c r="BG2088" s="61"/>
      <c r="BH2088" s="61"/>
      <c r="BI2088" s="61"/>
      <c r="BJ2088" s="61"/>
      <c r="BK2088" s="61"/>
      <c r="BL2088" s="61"/>
      <c r="BM2088" s="61"/>
      <c r="BN2088" s="61"/>
      <c r="BO2088" s="61"/>
      <c r="BP2088" s="61"/>
      <c r="BQ2088" s="61"/>
      <c r="BR2088" s="61"/>
      <c r="BS2088" s="61"/>
      <c r="BT2088" s="61"/>
      <c r="BU2088" s="61"/>
      <c r="BV2088" s="61"/>
      <c r="BW2088" s="61"/>
      <c r="BX2088" s="61"/>
      <c r="BY2088" s="61"/>
      <c r="BZ2088" s="61"/>
      <c r="CA2088" s="61"/>
      <c r="CB2088" s="61"/>
      <c r="CC2088" s="61"/>
      <c r="CD2088" s="61"/>
      <c r="CE2088" s="61"/>
      <c r="CF2088" s="61"/>
      <c r="CG2088" s="61"/>
      <c r="CH2088" s="61"/>
      <c r="CI2088" s="61"/>
      <c r="CJ2088" s="61"/>
    </row>
    <row r="2089" spans="1:88" s="22" customFormat="1">
      <c r="A2089" s="1">
        <v>1558</v>
      </c>
      <c r="B2089" s="34" t="s">
        <v>2137</v>
      </c>
      <c r="C2089" s="5">
        <v>416</v>
      </c>
      <c r="D2089" s="5">
        <v>1</v>
      </c>
      <c r="E2089" s="5">
        <v>202</v>
      </c>
      <c r="F2089" s="5" t="s">
        <v>2143</v>
      </c>
      <c r="G2089" s="53" t="s">
        <v>2142</v>
      </c>
      <c r="H2089" s="53" t="s">
        <v>2144</v>
      </c>
      <c r="I2089" s="198">
        <v>7.4</v>
      </c>
      <c r="J2089" s="78">
        <v>4</v>
      </c>
      <c r="K2089" s="5" t="s">
        <v>237</v>
      </c>
      <c r="L2089" s="10">
        <v>42248</v>
      </c>
      <c r="M2089" s="34" t="s">
        <v>218</v>
      </c>
      <c r="N2089" s="147">
        <v>6.2</v>
      </c>
      <c r="O2089" s="147">
        <v>0.85</v>
      </c>
      <c r="P2089" s="147">
        <v>0.25</v>
      </c>
      <c r="Q2089" s="147">
        <v>7.4999999999999997E-2</v>
      </c>
      <c r="R2089" s="147">
        <v>1.98675</v>
      </c>
      <c r="S2089" s="38">
        <f t="shared" si="315"/>
        <v>2</v>
      </c>
      <c r="T2089" s="147">
        <v>0</v>
      </c>
      <c r="U2089" s="147">
        <v>0</v>
      </c>
      <c r="V2089" s="147">
        <f t="shared" si="337"/>
        <v>7.375</v>
      </c>
      <c r="W2089" s="147">
        <v>1.1940200000000001</v>
      </c>
      <c r="X2089" s="201">
        <v>0</v>
      </c>
      <c r="Y2089" s="38">
        <f t="shared" si="316"/>
        <v>0</v>
      </c>
      <c r="Z2089" s="201">
        <v>0</v>
      </c>
      <c r="AA2089" s="201">
        <v>0</v>
      </c>
      <c r="AB2089" s="201">
        <v>0</v>
      </c>
      <c r="AC2089" s="201">
        <v>0</v>
      </c>
      <c r="AD2089" s="147">
        <v>0</v>
      </c>
      <c r="AE2089" s="147">
        <v>0</v>
      </c>
      <c r="AF2089" s="201">
        <v>0</v>
      </c>
      <c r="AG2089" s="38">
        <f t="shared" si="317"/>
        <v>0</v>
      </c>
      <c r="AH2089" s="198"/>
      <c r="AI2089" s="198"/>
      <c r="AJ2089" s="198"/>
      <c r="AK2089" s="34"/>
      <c r="AL2089" s="34"/>
      <c r="AM2089" s="34"/>
      <c r="AN2089" s="61"/>
      <c r="AO2089" s="61"/>
      <c r="AP2089" s="61"/>
      <c r="AQ2089" s="61"/>
      <c r="AR2089" s="61"/>
      <c r="AS2089" s="61"/>
      <c r="AT2089" s="61"/>
      <c r="AU2089" s="61"/>
      <c r="AV2089" s="61"/>
      <c r="AW2089" s="61"/>
      <c r="AX2089" s="61"/>
      <c r="AY2089" s="61"/>
      <c r="AZ2089" s="61"/>
      <c r="BA2089" s="61"/>
      <c r="BB2089" s="61"/>
      <c r="BC2089" s="61"/>
      <c r="BD2089" s="61"/>
      <c r="BE2089" s="61"/>
      <c r="BF2089" s="61"/>
      <c r="BG2089" s="61"/>
      <c r="BH2089" s="61"/>
      <c r="BI2089" s="61"/>
      <c r="BJ2089" s="61"/>
      <c r="BK2089" s="61"/>
      <c r="BL2089" s="61"/>
      <c r="BM2089" s="61"/>
      <c r="BN2089" s="61"/>
      <c r="BO2089" s="61"/>
      <c r="BP2089" s="61"/>
      <c r="BQ2089" s="61"/>
      <c r="BR2089" s="61"/>
      <c r="BS2089" s="61"/>
      <c r="BT2089" s="61"/>
      <c r="BU2089" s="61"/>
      <c r="BV2089" s="61"/>
      <c r="BW2089" s="61"/>
      <c r="BX2089" s="61"/>
      <c r="BY2089" s="61"/>
      <c r="BZ2089" s="61"/>
      <c r="CA2089" s="61"/>
      <c r="CB2089" s="61"/>
      <c r="CC2089" s="61"/>
      <c r="CD2089" s="61"/>
      <c r="CE2089" s="61"/>
      <c r="CF2089" s="61"/>
      <c r="CG2089" s="61"/>
      <c r="CH2089" s="61"/>
      <c r="CI2089" s="61"/>
      <c r="CJ2089" s="61"/>
    </row>
    <row r="2090" spans="1:88" s="22" customFormat="1">
      <c r="A2090" s="1">
        <v>1559</v>
      </c>
      <c r="B2090" s="34" t="s">
        <v>2137</v>
      </c>
      <c r="C2090" s="5">
        <v>416</v>
      </c>
      <c r="D2090" s="5">
        <v>1</v>
      </c>
      <c r="E2090" s="5">
        <v>202</v>
      </c>
      <c r="F2090" s="5" t="s">
        <v>2143</v>
      </c>
      <c r="G2090" s="53" t="s">
        <v>2144</v>
      </c>
      <c r="H2090" s="53" t="s">
        <v>197</v>
      </c>
      <c r="I2090" s="198">
        <v>0.3</v>
      </c>
      <c r="J2090" s="78">
        <v>4</v>
      </c>
      <c r="K2090" s="5" t="s">
        <v>237</v>
      </c>
      <c r="L2090" s="10">
        <v>42248</v>
      </c>
      <c r="M2090" s="34" t="s">
        <v>218</v>
      </c>
      <c r="N2090" s="147">
        <v>0.2</v>
      </c>
      <c r="O2090" s="147">
        <v>0.1</v>
      </c>
      <c r="P2090" s="147">
        <v>2.5000000000000001E-2</v>
      </c>
      <c r="Q2090" s="147">
        <v>0</v>
      </c>
      <c r="R2090" s="147">
        <v>2.4530799999999999</v>
      </c>
      <c r="S2090" s="38">
        <f t="shared" si="315"/>
        <v>2.5</v>
      </c>
      <c r="T2090" s="147">
        <v>0</v>
      </c>
      <c r="U2090" s="147">
        <v>0</v>
      </c>
      <c r="V2090" s="147">
        <f t="shared" si="337"/>
        <v>0.32500000000000007</v>
      </c>
      <c r="W2090" s="147">
        <v>1.0386200000000001</v>
      </c>
      <c r="X2090" s="201">
        <v>0</v>
      </c>
      <c r="Y2090" s="38">
        <f t="shared" si="316"/>
        <v>0</v>
      </c>
      <c r="Z2090" s="201">
        <v>0</v>
      </c>
      <c r="AA2090" s="201">
        <v>0</v>
      </c>
      <c r="AB2090" s="201">
        <v>0</v>
      </c>
      <c r="AC2090" s="201">
        <v>0</v>
      </c>
      <c r="AD2090" s="147">
        <v>0</v>
      </c>
      <c r="AE2090" s="147">
        <v>0</v>
      </c>
      <c r="AF2090" s="201">
        <v>0</v>
      </c>
      <c r="AG2090" s="38">
        <f t="shared" si="317"/>
        <v>0</v>
      </c>
      <c r="AH2090" s="198"/>
      <c r="AI2090" s="198"/>
      <c r="AJ2090" s="198"/>
      <c r="AK2090" s="34"/>
      <c r="AL2090" s="34"/>
      <c r="AM2090" s="34"/>
      <c r="AN2090" s="61"/>
      <c r="AO2090" s="61"/>
      <c r="AP2090" s="61"/>
      <c r="AQ2090" s="61"/>
      <c r="AR2090" s="61"/>
      <c r="AS2090" s="61"/>
      <c r="AT2090" s="61"/>
      <c r="AU2090" s="61"/>
      <c r="AV2090" s="61"/>
      <c r="AW2090" s="61"/>
      <c r="AX2090" s="61"/>
      <c r="AY2090" s="61"/>
      <c r="AZ2090" s="61"/>
      <c r="BA2090" s="61"/>
      <c r="BB2090" s="61"/>
      <c r="BC2090" s="61"/>
      <c r="BD2090" s="61"/>
      <c r="BE2090" s="61"/>
      <c r="BF2090" s="61"/>
      <c r="BG2090" s="61"/>
      <c r="BH2090" s="61"/>
      <c r="BI2090" s="61"/>
      <c r="BJ2090" s="61"/>
      <c r="BK2090" s="61"/>
      <c r="BL2090" s="61"/>
      <c r="BM2090" s="61"/>
      <c r="BN2090" s="61"/>
      <c r="BO2090" s="61"/>
      <c r="BP2090" s="61"/>
      <c r="BQ2090" s="61"/>
      <c r="BR2090" s="61"/>
      <c r="BS2090" s="61"/>
      <c r="BT2090" s="61"/>
      <c r="BU2090" s="61"/>
      <c r="BV2090" s="61"/>
      <c r="BW2090" s="61"/>
      <c r="BX2090" s="61"/>
      <c r="BY2090" s="61"/>
      <c r="BZ2090" s="61"/>
      <c r="CA2090" s="61"/>
      <c r="CB2090" s="61"/>
      <c r="CC2090" s="61"/>
      <c r="CD2090" s="61"/>
      <c r="CE2090" s="61"/>
      <c r="CF2090" s="61"/>
      <c r="CG2090" s="61"/>
      <c r="CH2090" s="61"/>
      <c r="CI2090" s="61"/>
      <c r="CJ2090" s="61"/>
    </row>
    <row r="2091" spans="1:88" s="22" customFormat="1">
      <c r="A2091" s="1">
        <v>1560</v>
      </c>
      <c r="B2091" s="34" t="s">
        <v>2137</v>
      </c>
      <c r="C2091" s="5">
        <v>416</v>
      </c>
      <c r="D2091" s="5">
        <v>1</v>
      </c>
      <c r="E2091" s="5">
        <v>202</v>
      </c>
      <c r="F2091" s="5" t="s">
        <v>2143</v>
      </c>
      <c r="G2091" s="53" t="s">
        <v>2144</v>
      </c>
      <c r="H2091" s="53" t="s">
        <v>2142</v>
      </c>
      <c r="I2091" s="198">
        <v>7.4</v>
      </c>
      <c r="J2091" s="78">
        <v>4</v>
      </c>
      <c r="K2091" s="5" t="s">
        <v>96</v>
      </c>
      <c r="L2091" s="10">
        <v>42249</v>
      </c>
      <c r="M2091" s="34" t="s">
        <v>218</v>
      </c>
      <c r="N2091" s="147">
        <v>6.4</v>
      </c>
      <c r="O2091" s="147">
        <v>0.67500000000000004</v>
      </c>
      <c r="P2091" s="147">
        <v>0.2</v>
      </c>
      <c r="Q2091" s="147">
        <v>0.1</v>
      </c>
      <c r="R2091" s="147">
        <v>2.0323099999999998</v>
      </c>
      <c r="S2091" s="38">
        <f t="shared" si="315"/>
        <v>2</v>
      </c>
      <c r="T2091" s="147">
        <v>0</v>
      </c>
      <c r="U2091" s="147">
        <v>0</v>
      </c>
      <c r="V2091" s="147">
        <f t="shared" si="337"/>
        <v>7.375</v>
      </c>
      <c r="W2091" s="147">
        <v>1.01803</v>
      </c>
      <c r="X2091" s="201">
        <v>0</v>
      </c>
      <c r="Y2091" s="38">
        <f t="shared" si="316"/>
        <v>0</v>
      </c>
      <c r="Z2091" s="201">
        <v>0</v>
      </c>
      <c r="AA2091" s="201">
        <v>0</v>
      </c>
      <c r="AB2091" s="201">
        <v>0</v>
      </c>
      <c r="AC2091" s="201">
        <v>0</v>
      </c>
      <c r="AD2091" s="147">
        <v>0</v>
      </c>
      <c r="AE2091" s="147">
        <v>0</v>
      </c>
      <c r="AF2091" s="201">
        <v>0</v>
      </c>
      <c r="AG2091" s="38">
        <f t="shared" si="317"/>
        <v>0</v>
      </c>
      <c r="AH2091" s="198"/>
      <c r="AI2091" s="198"/>
      <c r="AJ2091" s="198"/>
      <c r="AK2091" s="34"/>
      <c r="AL2091" s="34"/>
      <c r="AM2091" s="34"/>
      <c r="AN2091" s="61"/>
      <c r="AO2091" s="61"/>
      <c r="AP2091" s="61"/>
      <c r="AQ2091" s="61"/>
      <c r="AR2091" s="61"/>
      <c r="AS2091" s="61"/>
      <c r="AT2091" s="61"/>
      <c r="AU2091" s="61"/>
      <c r="AV2091" s="61"/>
      <c r="AW2091" s="61"/>
      <c r="AX2091" s="61"/>
      <c r="AY2091" s="61"/>
      <c r="AZ2091" s="61"/>
      <c r="BA2091" s="61"/>
      <c r="BB2091" s="61"/>
      <c r="BC2091" s="61"/>
      <c r="BD2091" s="61"/>
      <c r="BE2091" s="61"/>
      <c r="BF2091" s="61"/>
      <c r="BG2091" s="61"/>
      <c r="BH2091" s="61"/>
      <c r="BI2091" s="61"/>
      <c r="BJ2091" s="61"/>
      <c r="BK2091" s="61"/>
      <c r="BL2091" s="61"/>
      <c r="BM2091" s="61"/>
      <c r="BN2091" s="61"/>
      <c r="BO2091" s="61"/>
      <c r="BP2091" s="61"/>
      <c r="BQ2091" s="61"/>
      <c r="BR2091" s="61"/>
      <c r="BS2091" s="61"/>
      <c r="BT2091" s="61"/>
      <c r="BU2091" s="61"/>
      <c r="BV2091" s="61"/>
      <c r="BW2091" s="61"/>
      <c r="BX2091" s="61"/>
      <c r="BY2091" s="61"/>
      <c r="BZ2091" s="61"/>
      <c r="CA2091" s="61"/>
      <c r="CB2091" s="61"/>
      <c r="CC2091" s="61"/>
      <c r="CD2091" s="61"/>
      <c r="CE2091" s="61"/>
      <c r="CF2091" s="61"/>
      <c r="CG2091" s="61"/>
      <c r="CH2091" s="61"/>
      <c r="CI2091" s="61"/>
      <c r="CJ2091" s="61"/>
    </row>
    <row r="2092" spans="1:88" s="22" customFormat="1">
      <c r="A2092" s="1">
        <v>1561</v>
      </c>
      <c r="B2092" s="34" t="s">
        <v>2137</v>
      </c>
      <c r="C2092" s="5">
        <v>416</v>
      </c>
      <c r="D2092" s="5">
        <v>1</v>
      </c>
      <c r="E2092" s="5">
        <v>202</v>
      </c>
      <c r="F2092" s="5" t="s">
        <v>2143</v>
      </c>
      <c r="G2092" s="53" t="s">
        <v>197</v>
      </c>
      <c r="H2092" s="53" t="s">
        <v>2145</v>
      </c>
      <c r="I2092" s="198">
        <v>5.12</v>
      </c>
      <c r="J2092" s="78">
        <v>4</v>
      </c>
      <c r="K2092" s="5" t="s">
        <v>237</v>
      </c>
      <c r="L2092" s="10">
        <v>42248</v>
      </c>
      <c r="M2092" s="34" t="s">
        <v>218</v>
      </c>
      <c r="N2092" s="147">
        <v>0.82499999999999996</v>
      </c>
      <c r="O2092" s="147">
        <v>2.4</v>
      </c>
      <c r="P2092" s="147">
        <v>1.55</v>
      </c>
      <c r="Q2092" s="147">
        <v>0.4</v>
      </c>
      <c r="R2092" s="147">
        <v>3.3548800000000001</v>
      </c>
      <c r="S2092" s="38">
        <f t="shared" si="315"/>
        <v>3.5</v>
      </c>
      <c r="T2092" s="147">
        <v>0</v>
      </c>
      <c r="U2092" s="147">
        <v>0</v>
      </c>
      <c r="V2092" s="147">
        <f t="shared" si="337"/>
        <v>5.1749999999999998</v>
      </c>
      <c r="W2092" s="147">
        <v>1.07328</v>
      </c>
      <c r="X2092" s="201">
        <v>0</v>
      </c>
      <c r="Y2092" s="38">
        <f t="shared" si="316"/>
        <v>0</v>
      </c>
      <c r="Z2092" s="201">
        <v>0</v>
      </c>
      <c r="AA2092" s="201">
        <v>0</v>
      </c>
      <c r="AB2092" s="201">
        <v>0</v>
      </c>
      <c r="AC2092" s="201">
        <v>0</v>
      </c>
      <c r="AD2092" s="147">
        <v>0</v>
      </c>
      <c r="AE2092" s="147">
        <v>0</v>
      </c>
      <c r="AF2092" s="201">
        <v>0</v>
      </c>
      <c r="AG2092" s="38">
        <f t="shared" si="317"/>
        <v>0</v>
      </c>
      <c r="AH2092" s="198"/>
      <c r="AI2092" s="198"/>
      <c r="AJ2092" s="198"/>
      <c r="AK2092" s="34"/>
      <c r="AL2092" s="34"/>
      <c r="AM2092" s="34"/>
      <c r="AN2092" s="61"/>
      <c r="AO2092" s="61"/>
      <c r="AP2092" s="61"/>
      <c r="AQ2092" s="61"/>
      <c r="AR2092" s="61"/>
      <c r="AS2092" s="61"/>
      <c r="AT2092" s="61"/>
      <c r="AU2092" s="61"/>
      <c r="AV2092" s="61"/>
      <c r="AW2092" s="61"/>
      <c r="AX2092" s="61"/>
      <c r="AY2092" s="61"/>
      <c r="AZ2092" s="61"/>
      <c r="BA2092" s="61"/>
      <c r="BB2092" s="61"/>
      <c r="BC2092" s="61"/>
      <c r="BD2092" s="61"/>
      <c r="BE2092" s="61"/>
      <c r="BF2092" s="61"/>
      <c r="BG2092" s="61"/>
      <c r="BH2092" s="61"/>
      <c r="BI2092" s="61"/>
      <c r="BJ2092" s="61"/>
      <c r="BK2092" s="61"/>
      <c r="BL2092" s="61"/>
      <c r="BM2092" s="61"/>
      <c r="BN2092" s="61"/>
      <c r="BO2092" s="61"/>
      <c r="BP2092" s="61"/>
      <c r="BQ2092" s="61"/>
      <c r="BR2092" s="61"/>
      <c r="BS2092" s="61"/>
      <c r="BT2092" s="61"/>
      <c r="BU2092" s="61"/>
      <c r="BV2092" s="61"/>
      <c r="BW2092" s="61"/>
      <c r="BX2092" s="61"/>
      <c r="BY2092" s="61"/>
      <c r="BZ2092" s="61"/>
      <c r="CA2092" s="61"/>
      <c r="CB2092" s="61"/>
      <c r="CC2092" s="61"/>
      <c r="CD2092" s="61"/>
      <c r="CE2092" s="61"/>
      <c r="CF2092" s="61"/>
      <c r="CG2092" s="61"/>
      <c r="CH2092" s="61"/>
      <c r="CI2092" s="61"/>
      <c r="CJ2092" s="61"/>
    </row>
    <row r="2093" spans="1:88" s="22" customFormat="1">
      <c r="A2093" s="1">
        <v>1562</v>
      </c>
      <c r="B2093" s="34" t="s">
        <v>2137</v>
      </c>
      <c r="C2093" s="5">
        <v>416</v>
      </c>
      <c r="D2093" s="5">
        <v>1</v>
      </c>
      <c r="E2093" s="5">
        <v>202</v>
      </c>
      <c r="F2093" s="5" t="s">
        <v>2143</v>
      </c>
      <c r="G2093" s="53" t="s">
        <v>197</v>
      </c>
      <c r="H2093" s="53" t="s">
        <v>2144</v>
      </c>
      <c r="I2093" s="198">
        <v>0.3</v>
      </c>
      <c r="J2093" s="78">
        <v>4</v>
      </c>
      <c r="K2093" s="5" t="s">
        <v>96</v>
      </c>
      <c r="L2093" s="10">
        <v>42249</v>
      </c>
      <c r="M2093" s="34" t="s">
        <v>218</v>
      </c>
      <c r="N2093" s="147">
        <v>0.25</v>
      </c>
      <c r="O2093" s="147">
        <v>0</v>
      </c>
      <c r="P2093" s="147">
        <v>0</v>
      </c>
      <c r="Q2093" s="147">
        <v>0</v>
      </c>
      <c r="R2093" s="147">
        <v>1.23</v>
      </c>
      <c r="S2093" s="38">
        <f t="shared" si="315"/>
        <v>1</v>
      </c>
      <c r="T2093" s="147">
        <v>0</v>
      </c>
      <c r="U2093" s="147">
        <v>0</v>
      </c>
      <c r="V2093" s="147">
        <f t="shared" si="337"/>
        <v>0.25</v>
      </c>
      <c r="W2093" s="147">
        <v>1.1339999999999999</v>
      </c>
      <c r="X2093" s="201">
        <v>0</v>
      </c>
      <c r="Y2093" s="38">
        <f t="shared" si="316"/>
        <v>0</v>
      </c>
      <c r="Z2093" s="201">
        <v>0</v>
      </c>
      <c r="AA2093" s="201">
        <v>0</v>
      </c>
      <c r="AB2093" s="201">
        <v>0</v>
      </c>
      <c r="AC2093" s="201">
        <v>0</v>
      </c>
      <c r="AD2093" s="147">
        <v>0</v>
      </c>
      <c r="AE2093" s="147">
        <v>0</v>
      </c>
      <c r="AF2093" s="201">
        <v>0</v>
      </c>
      <c r="AG2093" s="38">
        <f t="shared" si="317"/>
        <v>0</v>
      </c>
      <c r="AH2093" s="198"/>
      <c r="AI2093" s="198"/>
      <c r="AJ2093" s="198"/>
      <c r="AK2093" s="34"/>
      <c r="AL2093" s="34"/>
      <c r="AM2093" s="34"/>
      <c r="AN2093" s="61"/>
      <c r="AO2093" s="61"/>
      <c r="AP2093" s="61"/>
      <c r="AQ2093" s="61"/>
      <c r="AR2093" s="61"/>
      <c r="AS2093" s="61"/>
      <c r="AT2093" s="61"/>
      <c r="AU2093" s="61"/>
      <c r="AV2093" s="61"/>
      <c r="AW2093" s="61"/>
      <c r="AX2093" s="61"/>
      <c r="AY2093" s="61"/>
      <c r="AZ2093" s="61"/>
      <c r="BA2093" s="61"/>
      <c r="BB2093" s="61"/>
      <c r="BC2093" s="61"/>
      <c r="BD2093" s="61"/>
      <c r="BE2093" s="61"/>
      <c r="BF2093" s="61"/>
      <c r="BG2093" s="61"/>
      <c r="BH2093" s="61"/>
      <c r="BI2093" s="61"/>
      <c r="BJ2093" s="61"/>
      <c r="BK2093" s="61"/>
      <c r="BL2093" s="61"/>
      <c r="BM2093" s="61"/>
      <c r="BN2093" s="61"/>
      <c r="BO2093" s="61"/>
      <c r="BP2093" s="61"/>
      <c r="BQ2093" s="61"/>
      <c r="BR2093" s="61"/>
      <c r="BS2093" s="61"/>
      <c r="BT2093" s="61"/>
      <c r="BU2093" s="61"/>
      <c r="BV2093" s="61"/>
      <c r="BW2093" s="61"/>
      <c r="BX2093" s="61"/>
      <c r="BY2093" s="61"/>
      <c r="BZ2093" s="61"/>
      <c r="CA2093" s="61"/>
      <c r="CB2093" s="61"/>
      <c r="CC2093" s="61"/>
      <c r="CD2093" s="61"/>
      <c r="CE2093" s="61"/>
      <c r="CF2093" s="61"/>
      <c r="CG2093" s="61"/>
      <c r="CH2093" s="61"/>
      <c r="CI2093" s="61"/>
      <c r="CJ2093" s="61"/>
    </row>
    <row r="2094" spans="1:88" s="22" customFormat="1">
      <c r="A2094" s="1">
        <v>1563</v>
      </c>
      <c r="B2094" s="34" t="s">
        <v>2137</v>
      </c>
      <c r="C2094" s="5">
        <v>416</v>
      </c>
      <c r="D2094" s="5">
        <v>1</v>
      </c>
      <c r="E2094" s="5">
        <v>202</v>
      </c>
      <c r="F2094" s="5" t="s">
        <v>2143</v>
      </c>
      <c r="G2094" s="53" t="s">
        <v>2145</v>
      </c>
      <c r="H2094" s="53" t="s">
        <v>197</v>
      </c>
      <c r="I2094" s="198">
        <v>5.12</v>
      </c>
      <c r="J2094" s="78">
        <v>4</v>
      </c>
      <c r="K2094" s="5" t="s">
        <v>96</v>
      </c>
      <c r="L2094" s="10">
        <v>42249</v>
      </c>
      <c r="M2094" s="34" t="s">
        <v>218</v>
      </c>
      <c r="N2094" s="147">
        <v>0.32500000000000001</v>
      </c>
      <c r="O2094" s="147">
        <v>0.82499999999999996</v>
      </c>
      <c r="P2094" s="147">
        <v>2.0249999999999999</v>
      </c>
      <c r="Q2094" s="147">
        <v>2</v>
      </c>
      <c r="R2094" s="147">
        <v>4.6889399999999997</v>
      </c>
      <c r="S2094" s="38">
        <f t="shared" si="315"/>
        <v>4.5</v>
      </c>
      <c r="T2094" s="147">
        <v>0</v>
      </c>
      <c r="U2094" s="147">
        <v>0</v>
      </c>
      <c r="V2094" s="147">
        <f t="shared" si="337"/>
        <v>5.1749999999999998</v>
      </c>
      <c r="W2094" s="147">
        <v>1.0706599999999999</v>
      </c>
      <c r="X2094" s="201">
        <v>0</v>
      </c>
      <c r="Y2094" s="38">
        <f t="shared" si="316"/>
        <v>0</v>
      </c>
      <c r="Z2094" s="201">
        <v>0</v>
      </c>
      <c r="AA2094" s="201">
        <v>0</v>
      </c>
      <c r="AB2094" s="201">
        <v>0</v>
      </c>
      <c r="AC2094" s="201">
        <v>0</v>
      </c>
      <c r="AD2094" s="147">
        <v>0</v>
      </c>
      <c r="AE2094" s="147">
        <v>0</v>
      </c>
      <c r="AF2094" s="201">
        <v>0</v>
      </c>
      <c r="AG2094" s="38">
        <f t="shared" si="317"/>
        <v>0</v>
      </c>
      <c r="AH2094" s="198"/>
      <c r="AI2094" s="198"/>
      <c r="AJ2094" s="198"/>
      <c r="AK2094" s="34"/>
      <c r="AL2094" s="34"/>
      <c r="AM2094" s="34"/>
      <c r="AN2094" s="61"/>
      <c r="AO2094" s="61"/>
      <c r="AP2094" s="61"/>
      <c r="AQ2094" s="61"/>
      <c r="AR2094" s="61"/>
      <c r="AS2094" s="61"/>
      <c r="AT2094" s="61"/>
      <c r="AU2094" s="61"/>
      <c r="AV2094" s="61"/>
      <c r="AW2094" s="61"/>
      <c r="AX2094" s="61"/>
      <c r="AY2094" s="61"/>
      <c r="AZ2094" s="61"/>
      <c r="BA2094" s="61"/>
      <c r="BB2094" s="61"/>
      <c r="BC2094" s="61"/>
      <c r="BD2094" s="61"/>
      <c r="BE2094" s="61"/>
      <c r="BF2094" s="61"/>
      <c r="BG2094" s="61"/>
      <c r="BH2094" s="61"/>
      <c r="BI2094" s="61"/>
      <c r="BJ2094" s="61"/>
      <c r="BK2094" s="61"/>
      <c r="BL2094" s="61"/>
      <c r="BM2094" s="61"/>
      <c r="BN2094" s="61"/>
      <c r="BO2094" s="61"/>
      <c r="BP2094" s="61"/>
      <c r="BQ2094" s="61"/>
      <c r="BR2094" s="61"/>
      <c r="BS2094" s="61"/>
      <c r="BT2094" s="61"/>
      <c r="BU2094" s="61"/>
      <c r="BV2094" s="61"/>
      <c r="BW2094" s="61"/>
      <c r="BX2094" s="61"/>
      <c r="BY2094" s="61"/>
      <c r="BZ2094" s="61"/>
      <c r="CA2094" s="61"/>
      <c r="CB2094" s="61"/>
      <c r="CC2094" s="61"/>
      <c r="CD2094" s="61"/>
      <c r="CE2094" s="61"/>
      <c r="CF2094" s="61"/>
      <c r="CG2094" s="61"/>
      <c r="CH2094" s="61"/>
      <c r="CI2094" s="61"/>
      <c r="CJ2094" s="61"/>
    </row>
    <row r="2095" spans="1:88" s="22" customFormat="1">
      <c r="A2095" s="1">
        <v>1567</v>
      </c>
      <c r="B2095" s="34" t="s">
        <v>2137</v>
      </c>
      <c r="C2095" s="5">
        <v>416</v>
      </c>
      <c r="D2095" s="5">
        <v>9</v>
      </c>
      <c r="E2095" s="5">
        <v>302</v>
      </c>
      <c r="F2095" s="5" t="s">
        <v>2148</v>
      </c>
      <c r="G2095" s="53" t="s">
        <v>2149</v>
      </c>
      <c r="H2095" s="53" t="s">
        <v>2147</v>
      </c>
      <c r="I2095" s="198">
        <v>5.2549999999999999</v>
      </c>
      <c r="J2095" s="78">
        <v>4</v>
      </c>
      <c r="K2095" s="5" t="s">
        <v>96</v>
      </c>
      <c r="L2095" s="10">
        <v>42249</v>
      </c>
      <c r="M2095" s="34" t="s">
        <v>218</v>
      </c>
      <c r="N2095" s="147">
        <v>2.2250000000000001</v>
      </c>
      <c r="O2095" s="147">
        <v>1.25</v>
      </c>
      <c r="P2095" s="147">
        <v>0.67500000000000004</v>
      </c>
      <c r="Q2095" s="147">
        <v>1.425</v>
      </c>
      <c r="R2095" s="147">
        <v>3.6516600000000001</v>
      </c>
      <c r="S2095" s="38">
        <f t="shared" si="315"/>
        <v>3.5</v>
      </c>
      <c r="T2095" s="147">
        <v>0</v>
      </c>
      <c r="U2095" s="147">
        <v>0</v>
      </c>
      <c r="V2095" s="147">
        <f t="shared" si="337"/>
        <v>5.5750000000000002</v>
      </c>
      <c r="W2095" s="147">
        <v>1.1674100000000001</v>
      </c>
      <c r="X2095" s="201">
        <v>73</v>
      </c>
      <c r="Y2095" s="38">
        <f t="shared" si="316"/>
        <v>73</v>
      </c>
      <c r="Z2095" s="201">
        <v>0</v>
      </c>
      <c r="AA2095" s="201">
        <v>1</v>
      </c>
      <c r="AB2095" s="201">
        <v>0</v>
      </c>
      <c r="AC2095" s="201">
        <v>0</v>
      </c>
      <c r="AD2095" s="147">
        <v>468.76</v>
      </c>
      <c r="AE2095" s="147">
        <v>2.5486475465543017</v>
      </c>
      <c r="AF2095" s="201">
        <v>0</v>
      </c>
      <c r="AG2095" s="38">
        <f t="shared" si="317"/>
        <v>0</v>
      </c>
      <c r="AH2095" s="198"/>
      <c r="AI2095" s="198"/>
      <c r="AJ2095" s="198"/>
      <c r="AK2095" s="34"/>
      <c r="AL2095" s="34"/>
      <c r="AM2095" s="34"/>
      <c r="AN2095" s="61"/>
      <c r="AO2095" s="61"/>
      <c r="AP2095" s="61"/>
      <c r="AQ2095" s="61"/>
      <c r="AR2095" s="61"/>
      <c r="AS2095" s="61"/>
      <c r="AT2095" s="61"/>
      <c r="AU2095" s="61"/>
      <c r="AV2095" s="61"/>
      <c r="AW2095" s="61"/>
      <c r="AX2095" s="61"/>
      <c r="AY2095" s="61"/>
      <c r="AZ2095" s="61"/>
      <c r="BA2095" s="61"/>
      <c r="BB2095" s="61"/>
      <c r="BC2095" s="61"/>
      <c r="BD2095" s="61"/>
      <c r="BE2095" s="61"/>
      <c r="BF2095" s="61"/>
      <c r="BG2095" s="61"/>
      <c r="BH2095" s="61"/>
      <c r="BI2095" s="61"/>
      <c r="BJ2095" s="61"/>
      <c r="BK2095" s="61"/>
      <c r="BL2095" s="61"/>
      <c r="BM2095" s="61"/>
      <c r="BN2095" s="61"/>
      <c r="BO2095" s="61"/>
      <c r="BP2095" s="61"/>
      <c r="BQ2095" s="61"/>
      <c r="BR2095" s="61"/>
      <c r="BS2095" s="61"/>
      <c r="BT2095" s="61"/>
      <c r="BU2095" s="61"/>
      <c r="BV2095" s="61"/>
      <c r="BW2095" s="61"/>
      <c r="BX2095" s="61"/>
      <c r="BY2095" s="61"/>
      <c r="BZ2095" s="61"/>
      <c r="CA2095" s="61"/>
      <c r="CB2095" s="61"/>
      <c r="CC2095" s="61"/>
      <c r="CD2095" s="61"/>
      <c r="CE2095" s="61"/>
      <c r="CF2095" s="61"/>
      <c r="CG2095" s="61"/>
      <c r="CH2095" s="61"/>
      <c r="CI2095" s="61"/>
      <c r="CJ2095" s="61"/>
    </row>
    <row r="2096" spans="1:88" s="22" customFormat="1">
      <c r="A2096" s="1">
        <v>1568</v>
      </c>
      <c r="B2096" s="34" t="s">
        <v>2137</v>
      </c>
      <c r="C2096" s="5">
        <v>416</v>
      </c>
      <c r="D2096" s="5">
        <v>306</v>
      </c>
      <c r="E2096" s="5">
        <v>200</v>
      </c>
      <c r="F2096" s="5" t="s">
        <v>2150</v>
      </c>
      <c r="G2096" s="53" t="s">
        <v>2151</v>
      </c>
      <c r="H2096" s="53" t="s">
        <v>2152</v>
      </c>
      <c r="I2096" s="198">
        <v>1.96</v>
      </c>
      <c r="J2096" s="78">
        <v>6</v>
      </c>
      <c r="K2096" s="5" t="s">
        <v>237</v>
      </c>
      <c r="L2096" s="10">
        <v>42249</v>
      </c>
      <c r="M2096" s="34" t="s">
        <v>218</v>
      </c>
      <c r="N2096" s="147">
        <v>0.32500000000000001</v>
      </c>
      <c r="O2096" s="147">
        <v>0.95</v>
      </c>
      <c r="P2096" s="147">
        <v>0.6</v>
      </c>
      <c r="Q2096" s="147">
        <v>0.1</v>
      </c>
      <c r="R2096" s="147">
        <v>3.3945599999999998</v>
      </c>
      <c r="S2096" s="38">
        <f t="shared" si="315"/>
        <v>3.5</v>
      </c>
      <c r="T2096" s="147">
        <v>0</v>
      </c>
      <c r="U2096" s="147">
        <v>0</v>
      </c>
      <c r="V2096" s="147">
        <f t="shared" si="337"/>
        <v>1.9750000000000001</v>
      </c>
      <c r="W2096" s="147">
        <v>1.1456599999999999</v>
      </c>
      <c r="X2096" s="201">
        <v>0</v>
      </c>
      <c r="Y2096" s="38">
        <f t="shared" si="316"/>
        <v>0</v>
      </c>
      <c r="Z2096" s="201">
        <v>0</v>
      </c>
      <c r="AA2096" s="201">
        <v>0</v>
      </c>
      <c r="AB2096" s="201">
        <v>0</v>
      </c>
      <c r="AC2096" s="201">
        <v>0</v>
      </c>
      <c r="AD2096" s="147">
        <v>0</v>
      </c>
      <c r="AE2096" s="147">
        <v>0</v>
      </c>
      <c r="AF2096" s="201">
        <v>0</v>
      </c>
      <c r="AG2096" s="38">
        <f t="shared" si="317"/>
        <v>0</v>
      </c>
      <c r="AH2096" s="198"/>
      <c r="AI2096" s="198"/>
      <c r="AJ2096" s="198"/>
      <c r="AK2096" s="34"/>
      <c r="AL2096" s="34"/>
      <c r="AM2096" s="34"/>
      <c r="AN2096" s="61"/>
      <c r="AO2096" s="61"/>
      <c r="AP2096" s="61"/>
      <c r="AQ2096" s="61"/>
      <c r="AR2096" s="61"/>
      <c r="AS2096" s="61"/>
      <c r="AT2096" s="61"/>
      <c r="AU2096" s="61"/>
      <c r="AV2096" s="61"/>
      <c r="AW2096" s="61"/>
      <c r="AX2096" s="61"/>
      <c r="AY2096" s="61"/>
      <c r="AZ2096" s="61"/>
      <c r="BA2096" s="61"/>
      <c r="BB2096" s="61"/>
      <c r="BC2096" s="61"/>
      <c r="BD2096" s="61"/>
      <c r="BE2096" s="61"/>
      <c r="BF2096" s="61"/>
      <c r="BG2096" s="61"/>
      <c r="BH2096" s="61"/>
      <c r="BI2096" s="61"/>
      <c r="BJ2096" s="61"/>
      <c r="BK2096" s="61"/>
      <c r="BL2096" s="61"/>
      <c r="BM2096" s="61"/>
      <c r="BN2096" s="61"/>
      <c r="BO2096" s="61"/>
      <c r="BP2096" s="61"/>
      <c r="BQ2096" s="61"/>
      <c r="BR2096" s="61"/>
      <c r="BS2096" s="61"/>
      <c r="BT2096" s="61"/>
      <c r="BU2096" s="61"/>
      <c r="BV2096" s="61"/>
      <c r="BW2096" s="61"/>
      <c r="BX2096" s="61"/>
      <c r="BY2096" s="61"/>
      <c r="BZ2096" s="61"/>
      <c r="CA2096" s="61"/>
      <c r="CB2096" s="61"/>
      <c r="CC2096" s="61"/>
      <c r="CD2096" s="61"/>
      <c r="CE2096" s="61"/>
      <c r="CF2096" s="61"/>
      <c r="CG2096" s="61"/>
      <c r="CH2096" s="61"/>
      <c r="CI2096" s="61"/>
      <c r="CJ2096" s="61"/>
    </row>
    <row r="2097" spans="1:88" s="22" customFormat="1">
      <c r="A2097" s="1">
        <v>1569</v>
      </c>
      <c r="B2097" s="34" t="s">
        <v>2137</v>
      </c>
      <c r="C2097" s="5">
        <v>416</v>
      </c>
      <c r="D2097" s="5">
        <v>306</v>
      </c>
      <c r="E2097" s="5">
        <v>200</v>
      </c>
      <c r="F2097" s="5" t="s">
        <v>2150</v>
      </c>
      <c r="G2097" s="53" t="s">
        <v>2152</v>
      </c>
      <c r="H2097" s="53" t="s">
        <v>2153</v>
      </c>
      <c r="I2097" s="198">
        <v>2.774</v>
      </c>
      <c r="J2097" s="78">
        <v>6</v>
      </c>
      <c r="K2097" s="5" t="s">
        <v>237</v>
      </c>
      <c r="L2097" s="10">
        <v>42249</v>
      </c>
      <c r="M2097" s="34" t="s">
        <v>218</v>
      </c>
      <c r="N2097" s="147">
        <v>0.27500000000000002</v>
      </c>
      <c r="O2097" s="147">
        <v>1.425</v>
      </c>
      <c r="P2097" s="147">
        <v>0.82499999999999996</v>
      </c>
      <c r="Q2097" s="147">
        <v>0.22500000000000001</v>
      </c>
      <c r="R2097" s="147">
        <v>3.4847299999999999</v>
      </c>
      <c r="S2097" s="38">
        <f t="shared" si="315"/>
        <v>3.5</v>
      </c>
      <c r="T2097" s="147">
        <v>0</v>
      </c>
      <c r="U2097" s="147">
        <v>0</v>
      </c>
      <c r="V2097" s="147">
        <f t="shared" si="337"/>
        <v>2.7500000000000004</v>
      </c>
      <c r="W2097" s="147">
        <v>0.95785500000000001</v>
      </c>
      <c r="X2097" s="201">
        <v>1</v>
      </c>
      <c r="Y2097" s="38">
        <f t="shared" si="316"/>
        <v>1</v>
      </c>
      <c r="Z2097" s="201">
        <v>0</v>
      </c>
      <c r="AA2097" s="201">
        <v>0</v>
      </c>
      <c r="AB2097" s="201">
        <v>0</v>
      </c>
      <c r="AC2097" s="201">
        <v>0</v>
      </c>
      <c r="AD2097" s="147">
        <v>0</v>
      </c>
      <c r="AE2097" s="147">
        <v>0</v>
      </c>
      <c r="AF2097" s="201">
        <v>0</v>
      </c>
      <c r="AG2097" s="38">
        <f t="shared" si="317"/>
        <v>0</v>
      </c>
      <c r="AH2097" s="198"/>
      <c r="AI2097" s="198"/>
      <c r="AJ2097" s="198"/>
      <c r="AK2097" s="34"/>
      <c r="AL2097" s="34"/>
      <c r="AM2097" s="34"/>
      <c r="AN2097" s="61"/>
      <c r="AO2097" s="61"/>
      <c r="AP2097" s="61"/>
      <c r="AQ2097" s="61"/>
      <c r="AR2097" s="61"/>
      <c r="AS2097" s="61"/>
      <c r="AT2097" s="61"/>
      <c r="AU2097" s="61"/>
      <c r="AV2097" s="61"/>
      <c r="AW2097" s="61"/>
      <c r="AX2097" s="61"/>
      <c r="AY2097" s="61"/>
      <c r="AZ2097" s="61"/>
      <c r="BA2097" s="61"/>
      <c r="BB2097" s="61"/>
      <c r="BC2097" s="61"/>
      <c r="BD2097" s="61"/>
      <c r="BE2097" s="61"/>
      <c r="BF2097" s="61"/>
      <c r="BG2097" s="61"/>
      <c r="BH2097" s="61"/>
      <c r="BI2097" s="61"/>
      <c r="BJ2097" s="61"/>
      <c r="BK2097" s="61"/>
      <c r="BL2097" s="61"/>
      <c r="BM2097" s="61"/>
      <c r="BN2097" s="61"/>
      <c r="BO2097" s="61"/>
      <c r="BP2097" s="61"/>
      <c r="BQ2097" s="61"/>
      <c r="BR2097" s="61"/>
      <c r="BS2097" s="61"/>
      <c r="BT2097" s="61"/>
      <c r="BU2097" s="61"/>
      <c r="BV2097" s="61"/>
      <c r="BW2097" s="61"/>
      <c r="BX2097" s="61"/>
      <c r="BY2097" s="61"/>
      <c r="BZ2097" s="61"/>
      <c r="CA2097" s="61"/>
      <c r="CB2097" s="61"/>
      <c r="CC2097" s="61"/>
      <c r="CD2097" s="61"/>
      <c r="CE2097" s="61"/>
      <c r="CF2097" s="61"/>
      <c r="CG2097" s="61"/>
      <c r="CH2097" s="61"/>
      <c r="CI2097" s="61"/>
      <c r="CJ2097" s="61"/>
    </row>
    <row r="2098" spans="1:88" s="22" customFormat="1">
      <c r="A2098" s="1">
        <v>1570</v>
      </c>
      <c r="B2098" s="34" t="s">
        <v>2137</v>
      </c>
      <c r="C2098" s="5">
        <v>416</v>
      </c>
      <c r="D2098" s="5">
        <v>306</v>
      </c>
      <c r="E2098" s="5">
        <v>200</v>
      </c>
      <c r="F2098" s="5" t="s">
        <v>2150</v>
      </c>
      <c r="G2098" s="53" t="s">
        <v>2152</v>
      </c>
      <c r="H2098" s="53" t="s">
        <v>2151</v>
      </c>
      <c r="I2098" s="198">
        <v>1.96</v>
      </c>
      <c r="J2098" s="78">
        <v>6</v>
      </c>
      <c r="K2098" s="5" t="s">
        <v>96</v>
      </c>
      <c r="L2098" s="10">
        <v>42249</v>
      </c>
      <c r="M2098" s="34" t="s">
        <v>218</v>
      </c>
      <c r="N2098" s="147">
        <v>0.32500000000000001</v>
      </c>
      <c r="O2098" s="147">
        <v>0.52500000000000002</v>
      </c>
      <c r="P2098" s="147">
        <v>0.85</v>
      </c>
      <c r="Q2098" s="147">
        <v>0.2</v>
      </c>
      <c r="R2098" s="147">
        <v>3.6335500000000001</v>
      </c>
      <c r="S2098" s="38">
        <f t="shared" si="315"/>
        <v>3.5</v>
      </c>
      <c r="T2098" s="147">
        <v>0</v>
      </c>
      <c r="U2098" s="147">
        <v>0</v>
      </c>
      <c r="V2098" s="147">
        <f t="shared" si="337"/>
        <v>1.9000000000000001</v>
      </c>
      <c r="W2098" s="147">
        <v>1.0538000000000001</v>
      </c>
      <c r="X2098" s="201">
        <v>0</v>
      </c>
      <c r="Y2098" s="38">
        <f t="shared" si="316"/>
        <v>0</v>
      </c>
      <c r="Z2098" s="201">
        <v>0</v>
      </c>
      <c r="AA2098" s="201">
        <v>0</v>
      </c>
      <c r="AB2098" s="201">
        <v>0</v>
      </c>
      <c r="AC2098" s="201">
        <v>0</v>
      </c>
      <c r="AD2098" s="147">
        <v>0</v>
      </c>
      <c r="AE2098" s="147">
        <v>0</v>
      </c>
      <c r="AF2098" s="201">
        <v>0</v>
      </c>
      <c r="AG2098" s="38">
        <f t="shared" si="317"/>
        <v>0</v>
      </c>
      <c r="AH2098" s="198"/>
      <c r="AI2098" s="198"/>
      <c r="AJ2098" s="198"/>
      <c r="AK2098" s="34"/>
      <c r="AL2098" s="34"/>
      <c r="AM2098" s="34"/>
      <c r="AN2098" s="61"/>
      <c r="AO2098" s="61"/>
      <c r="AP2098" s="61"/>
      <c r="AQ2098" s="61"/>
      <c r="AR2098" s="61"/>
      <c r="AS2098" s="61"/>
      <c r="AT2098" s="61"/>
      <c r="AU2098" s="61"/>
      <c r="AV2098" s="61"/>
      <c r="AW2098" s="61"/>
      <c r="AX2098" s="61"/>
      <c r="AY2098" s="61"/>
      <c r="AZ2098" s="61"/>
      <c r="BA2098" s="61"/>
      <c r="BB2098" s="61"/>
      <c r="BC2098" s="61"/>
      <c r="BD2098" s="61"/>
      <c r="BE2098" s="61"/>
      <c r="BF2098" s="61"/>
      <c r="BG2098" s="61"/>
      <c r="BH2098" s="61"/>
      <c r="BI2098" s="61"/>
      <c r="BJ2098" s="61"/>
      <c r="BK2098" s="61"/>
      <c r="BL2098" s="61"/>
      <c r="BM2098" s="61"/>
      <c r="BN2098" s="61"/>
      <c r="BO2098" s="61"/>
      <c r="BP2098" s="61"/>
      <c r="BQ2098" s="61"/>
      <c r="BR2098" s="61"/>
      <c r="BS2098" s="61"/>
      <c r="BT2098" s="61"/>
      <c r="BU2098" s="61"/>
      <c r="BV2098" s="61"/>
      <c r="BW2098" s="61"/>
      <c r="BX2098" s="61"/>
      <c r="BY2098" s="61"/>
      <c r="BZ2098" s="61"/>
      <c r="CA2098" s="61"/>
      <c r="CB2098" s="61"/>
      <c r="CC2098" s="61"/>
      <c r="CD2098" s="61"/>
      <c r="CE2098" s="61"/>
      <c r="CF2098" s="61"/>
      <c r="CG2098" s="61"/>
      <c r="CH2098" s="61"/>
      <c r="CI2098" s="61"/>
      <c r="CJ2098" s="61"/>
    </row>
    <row r="2099" spans="1:88" s="22" customFormat="1">
      <c r="A2099" s="1">
        <v>1571</v>
      </c>
      <c r="B2099" s="34" t="s">
        <v>2137</v>
      </c>
      <c r="C2099" s="5">
        <v>416</v>
      </c>
      <c r="D2099" s="5">
        <v>306</v>
      </c>
      <c r="E2099" s="5">
        <v>200</v>
      </c>
      <c r="F2099" s="5" t="s">
        <v>2150</v>
      </c>
      <c r="G2099" s="53" t="s">
        <v>2153</v>
      </c>
      <c r="H2099" s="53" t="s">
        <v>2152</v>
      </c>
      <c r="I2099" s="198">
        <v>2.774</v>
      </c>
      <c r="J2099" s="78">
        <v>6</v>
      </c>
      <c r="K2099" s="5" t="s">
        <v>96</v>
      </c>
      <c r="L2099" s="10">
        <v>42249</v>
      </c>
      <c r="M2099" s="34" t="s">
        <v>218</v>
      </c>
      <c r="N2099" s="147">
        <v>2.5000000000000001E-2</v>
      </c>
      <c r="O2099" s="147">
        <v>0.6</v>
      </c>
      <c r="P2099" s="147">
        <v>1.625</v>
      </c>
      <c r="Q2099" s="147">
        <v>0.47499999999999998</v>
      </c>
      <c r="R2099" s="147">
        <v>4.1638500000000001</v>
      </c>
      <c r="S2099" s="38">
        <f t="shared" si="315"/>
        <v>4</v>
      </c>
      <c r="T2099" s="147">
        <v>0</v>
      </c>
      <c r="U2099" s="147">
        <v>0</v>
      </c>
      <c r="V2099" s="147">
        <f t="shared" si="337"/>
        <v>2.7250000000000001</v>
      </c>
      <c r="W2099" s="147">
        <v>1.0926899999999999</v>
      </c>
      <c r="X2099" s="201">
        <v>0</v>
      </c>
      <c r="Y2099" s="38">
        <f t="shared" si="316"/>
        <v>0</v>
      </c>
      <c r="Z2099" s="201">
        <v>0</v>
      </c>
      <c r="AA2099" s="201">
        <v>0</v>
      </c>
      <c r="AB2099" s="201">
        <v>0</v>
      </c>
      <c r="AC2099" s="201">
        <v>0</v>
      </c>
      <c r="AD2099" s="147">
        <v>0</v>
      </c>
      <c r="AE2099" s="147">
        <v>0</v>
      </c>
      <c r="AF2099" s="201">
        <v>0</v>
      </c>
      <c r="AG2099" s="38">
        <f t="shared" si="317"/>
        <v>0</v>
      </c>
      <c r="AH2099" s="198"/>
      <c r="AI2099" s="198"/>
      <c r="AJ2099" s="198"/>
      <c r="AK2099" s="34"/>
      <c r="AL2099" s="34"/>
      <c r="AM2099" s="34"/>
      <c r="AN2099" s="61"/>
      <c r="AO2099" s="61"/>
      <c r="AP2099" s="61"/>
      <c r="AQ2099" s="61"/>
      <c r="AR2099" s="61"/>
      <c r="AS2099" s="61"/>
      <c r="AT2099" s="61"/>
      <c r="AU2099" s="61"/>
      <c r="AV2099" s="61"/>
      <c r="AW2099" s="61"/>
      <c r="AX2099" s="61"/>
      <c r="AY2099" s="61"/>
      <c r="AZ2099" s="61"/>
      <c r="BA2099" s="61"/>
      <c r="BB2099" s="61"/>
      <c r="BC2099" s="61"/>
      <c r="BD2099" s="61"/>
      <c r="BE2099" s="61"/>
      <c r="BF2099" s="61"/>
      <c r="BG2099" s="61"/>
      <c r="BH2099" s="61"/>
      <c r="BI2099" s="61"/>
      <c r="BJ2099" s="61"/>
      <c r="BK2099" s="61"/>
      <c r="BL2099" s="61"/>
      <c r="BM2099" s="61"/>
      <c r="BN2099" s="61"/>
      <c r="BO2099" s="61"/>
      <c r="BP2099" s="61"/>
      <c r="BQ2099" s="61"/>
      <c r="BR2099" s="61"/>
      <c r="BS2099" s="61"/>
      <c r="BT2099" s="61"/>
      <c r="BU2099" s="61"/>
      <c r="BV2099" s="61"/>
      <c r="BW2099" s="61"/>
      <c r="BX2099" s="61"/>
      <c r="BY2099" s="61"/>
      <c r="BZ2099" s="61"/>
      <c r="CA2099" s="61"/>
      <c r="CB2099" s="61"/>
      <c r="CC2099" s="61"/>
      <c r="CD2099" s="61"/>
      <c r="CE2099" s="61"/>
      <c r="CF2099" s="61"/>
      <c r="CG2099" s="61"/>
      <c r="CH2099" s="61"/>
      <c r="CI2099" s="61"/>
      <c r="CJ2099" s="61"/>
    </row>
    <row r="2100" spans="1:88" s="22" customFormat="1">
      <c r="A2100" s="1">
        <v>1572</v>
      </c>
      <c r="B2100" s="34" t="s">
        <v>2137</v>
      </c>
      <c r="C2100" s="5">
        <v>416</v>
      </c>
      <c r="D2100" s="5">
        <v>307</v>
      </c>
      <c r="E2100" s="5">
        <v>200</v>
      </c>
      <c r="F2100" s="5" t="s">
        <v>2154</v>
      </c>
      <c r="G2100" s="53" t="s">
        <v>773</v>
      </c>
      <c r="H2100" s="53" t="s">
        <v>2155</v>
      </c>
      <c r="I2100" s="198">
        <v>5.6</v>
      </c>
      <c r="J2100" s="78">
        <v>4</v>
      </c>
      <c r="K2100" s="5" t="s">
        <v>237</v>
      </c>
      <c r="L2100" s="10">
        <v>42249</v>
      </c>
      <c r="M2100" s="34" t="s">
        <v>218</v>
      </c>
      <c r="N2100" s="147">
        <v>0</v>
      </c>
      <c r="O2100" s="147">
        <v>1.825</v>
      </c>
      <c r="P2100" s="147">
        <v>3.3</v>
      </c>
      <c r="Q2100" s="147">
        <v>0.42499999999999999</v>
      </c>
      <c r="R2100" s="147">
        <v>3.9222100000000002</v>
      </c>
      <c r="S2100" s="38">
        <f t="shared" si="315"/>
        <v>4</v>
      </c>
      <c r="T2100" s="147">
        <v>0</v>
      </c>
      <c r="U2100" s="147">
        <v>0</v>
      </c>
      <c r="V2100" s="147">
        <f t="shared" si="337"/>
        <v>5.55</v>
      </c>
      <c r="W2100" s="147">
        <v>1.0948100000000001</v>
      </c>
      <c r="X2100" s="201">
        <v>0</v>
      </c>
      <c r="Y2100" s="38">
        <f t="shared" si="316"/>
        <v>0</v>
      </c>
      <c r="Z2100" s="201">
        <v>0</v>
      </c>
      <c r="AA2100" s="201">
        <v>0</v>
      </c>
      <c r="AB2100" s="201">
        <v>0</v>
      </c>
      <c r="AC2100" s="201">
        <v>0</v>
      </c>
      <c r="AD2100" s="147">
        <v>0</v>
      </c>
      <c r="AE2100" s="147">
        <v>0</v>
      </c>
      <c r="AF2100" s="201">
        <v>0</v>
      </c>
      <c r="AG2100" s="38">
        <f t="shared" si="317"/>
        <v>0</v>
      </c>
      <c r="AH2100" s="198"/>
      <c r="AI2100" s="198"/>
      <c r="AJ2100" s="198"/>
      <c r="AK2100" s="34"/>
      <c r="AL2100" s="34"/>
      <c r="AM2100" s="34"/>
      <c r="AN2100" s="61"/>
      <c r="AO2100" s="61"/>
      <c r="AP2100" s="61"/>
      <c r="AQ2100" s="61"/>
      <c r="AR2100" s="61"/>
      <c r="AS2100" s="61"/>
      <c r="AT2100" s="61"/>
      <c r="AU2100" s="61"/>
      <c r="AV2100" s="61"/>
      <c r="AW2100" s="61"/>
      <c r="AX2100" s="61"/>
      <c r="AY2100" s="61"/>
      <c r="AZ2100" s="61"/>
      <c r="BA2100" s="61"/>
      <c r="BB2100" s="61"/>
      <c r="BC2100" s="61"/>
      <c r="BD2100" s="61"/>
      <c r="BE2100" s="61"/>
      <c r="BF2100" s="61"/>
      <c r="BG2100" s="61"/>
      <c r="BH2100" s="61"/>
      <c r="BI2100" s="61"/>
      <c r="BJ2100" s="61"/>
      <c r="BK2100" s="61"/>
      <c r="BL2100" s="61"/>
      <c r="BM2100" s="61"/>
      <c r="BN2100" s="61"/>
      <c r="BO2100" s="61"/>
      <c r="BP2100" s="61"/>
      <c r="BQ2100" s="61"/>
      <c r="BR2100" s="61"/>
      <c r="BS2100" s="61"/>
      <c r="BT2100" s="61"/>
      <c r="BU2100" s="61"/>
      <c r="BV2100" s="61"/>
      <c r="BW2100" s="61"/>
      <c r="BX2100" s="61"/>
      <c r="BY2100" s="61"/>
      <c r="BZ2100" s="61"/>
      <c r="CA2100" s="61"/>
      <c r="CB2100" s="61"/>
      <c r="CC2100" s="61"/>
      <c r="CD2100" s="61"/>
      <c r="CE2100" s="61"/>
      <c r="CF2100" s="61"/>
      <c r="CG2100" s="61"/>
      <c r="CH2100" s="61"/>
      <c r="CI2100" s="61"/>
      <c r="CJ2100" s="61"/>
    </row>
    <row r="2101" spans="1:88" s="22" customFormat="1">
      <c r="A2101" s="1">
        <v>1573</v>
      </c>
      <c r="B2101" s="34" t="s">
        <v>2137</v>
      </c>
      <c r="C2101" s="5">
        <v>416</v>
      </c>
      <c r="D2101" s="5">
        <v>307</v>
      </c>
      <c r="E2101" s="5">
        <v>200</v>
      </c>
      <c r="F2101" s="5" t="s">
        <v>2154</v>
      </c>
      <c r="G2101" s="53" t="s">
        <v>2155</v>
      </c>
      <c r="H2101" s="53" t="s">
        <v>2156</v>
      </c>
      <c r="I2101" s="198">
        <v>1.9330000000000001</v>
      </c>
      <c r="J2101" s="78">
        <v>4</v>
      </c>
      <c r="K2101" s="5" t="s">
        <v>237</v>
      </c>
      <c r="L2101" s="10">
        <v>42249</v>
      </c>
      <c r="M2101" s="34" t="s">
        <v>218</v>
      </c>
      <c r="N2101" s="147">
        <v>2.5000000000000001E-2</v>
      </c>
      <c r="O2101" s="147">
        <v>0.5</v>
      </c>
      <c r="P2101" s="147">
        <v>1.175</v>
      </c>
      <c r="Q2101" s="147">
        <v>0.3</v>
      </c>
      <c r="R2101" s="147">
        <v>4.1151299999999997</v>
      </c>
      <c r="S2101" s="38">
        <f t="shared" si="315"/>
        <v>4</v>
      </c>
      <c r="T2101" s="147">
        <v>0</v>
      </c>
      <c r="U2101" s="147">
        <v>0</v>
      </c>
      <c r="V2101" s="147">
        <f t="shared" si="337"/>
        <v>2</v>
      </c>
      <c r="W2101" s="147">
        <v>1.1301399999999999</v>
      </c>
      <c r="X2101" s="201">
        <v>0</v>
      </c>
      <c r="Y2101" s="38">
        <f t="shared" si="316"/>
        <v>0</v>
      </c>
      <c r="Z2101" s="201">
        <v>0</v>
      </c>
      <c r="AA2101" s="201">
        <v>0</v>
      </c>
      <c r="AB2101" s="201">
        <v>0</v>
      </c>
      <c r="AC2101" s="201">
        <v>0</v>
      </c>
      <c r="AD2101" s="147">
        <v>0</v>
      </c>
      <c r="AE2101" s="147">
        <v>0</v>
      </c>
      <c r="AF2101" s="201">
        <v>0</v>
      </c>
      <c r="AG2101" s="38">
        <f t="shared" si="317"/>
        <v>0</v>
      </c>
      <c r="AH2101" s="198"/>
      <c r="AI2101" s="198"/>
      <c r="AJ2101" s="198"/>
      <c r="AK2101" s="34"/>
      <c r="AL2101" s="34"/>
      <c r="AM2101" s="34"/>
      <c r="AN2101" s="61"/>
      <c r="AO2101" s="61"/>
      <c r="AP2101" s="61"/>
      <c r="AQ2101" s="61"/>
      <c r="AR2101" s="61"/>
      <c r="AS2101" s="61"/>
      <c r="AT2101" s="61"/>
      <c r="AU2101" s="61"/>
      <c r="AV2101" s="61"/>
      <c r="AW2101" s="61"/>
      <c r="AX2101" s="61"/>
      <c r="AY2101" s="61"/>
      <c r="AZ2101" s="61"/>
      <c r="BA2101" s="61"/>
      <c r="BB2101" s="61"/>
      <c r="BC2101" s="61"/>
      <c r="BD2101" s="61"/>
      <c r="BE2101" s="61"/>
      <c r="BF2101" s="61"/>
      <c r="BG2101" s="61"/>
      <c r="BH2101" s="61"/>
      <c r="BI2101" s="61"/>
      <c r="BJ2101" s="61"/>
      <c r="BK2101" s="61"/>
      <c r="BL2101" s="61"/>
      <c r="BM2101" s="61"/>
      <c r="BN2101" s="61"/>
      <c r="BO2101" s="61"/>
      <c r="BP2101" s="61"/>
      <c r="BQ2101" s="61"/>
      <c r="BR2101" s="61"/>
      <c r="BS2101" s="61"/>
      <c r="BT2101" s="61"/>
      <c r="BU2101" s="61"/>
      <c r="BV2101" s="61"/>
      <c r="BW2101" s="61"/>
      <c r="BX2101" s="61"/>
      <c r="BY2101" s="61"/>
      <c r="BZ2101" s="61"/>
      <c r="CA2101" s="61"/>
      <c r="CB2101" s="61"/>
      <c r="CC2101" s="61"/>
      <c r="CD2101" s="61"/>
      <c r="CE2101" s="61"/>
      <c r="CF2101" s="61"/>
      <c r="CG2101" s="61"/>
      <c r="CH2101" s="61"/>
      <c r="CI2101" s="61"/>
      <c r="CJ2101" s="61"/>
    </row>
    <row r="2102" spans="1:88" s="22" customFormat="1">
      <c r="A2102" s="1">
        <v>1574</v>
      </c>
      <c r="B2102" s="34" t="s">
        <v>2137</v>
      </c>
      <c r="C2102" s="5">
        <v>416</v>
      </c>
      <c r="D2102" s="5">
        <v>307</v>
      </c>
      <c r="E2102" s="5">
        <v>200</v>
      </c>
      <c r="F2102" s="5" t="s">
        <v>2154</v>
      </c>
      <c r="G2102" s="53" t="s">
        <v>2155</v>
      </c>
      <c r="H2102" s="53" t="s">
        <v>773</v>
      </c>
      <c r="I2102" s="198">
        <v>5.6</v>
      </c>
      <c r="J2102" s="78">
        <v>4</v>
      </c>
      <c r="K2102" s="5" t="s">
        <v>96</v>
      </c>
      <c r="L2102" s="10">
        <v>42249</v>
      </c>
      <c r="M2102" s="34" t="s">
        <v>218</v>
      </c>
      <c r="N2102" s="147">
        <v>0</v>
      </c>
      <c r="O2102" s="147">
        <v>1.35</v>
      </c>
      <c r="P2102" s="147">
        <v>3.4249999999999998</v>
      </c>
      <c r="Q2102" s="147">
        <v>0.8</v>
      </c>
      <c r="R2102" s="147">
        <v>4.1288799999999997</v>
      </c>
      <c r="S2102" s="38">
        <f t="shared" si="315"/>
        <v>4</v>
      </c>
      <c r="T2102" s="147">
        <v>0</v>
      </c>
      <c r="U2102" s="147">
        <v>0</v>
      </c>
      <c r="V2102" s="147">
        <f t="shared" si="337"/>
        <v>5.5750000000000002</v>
      </c>
      <c r="W2102" s="147">
        <v>1.0585599999999999</v>
      </c>
      <c r="X2102" s="201">
        <v>3</v>
      </c>
      <c r="Y2102" s="38">
        <f t="shared" si="316"/>
        <v>3</v>
      </c>
      <c r="Z2102" s="201">
        <v>0</v>
      </c>
      <c r="AA2102" s="201">
        <v>4</v>
      </c>
      <c r="AB2102" s="201">
        <v>0</v>
      </c>
      <c r="AC2102" s="201">
        <v>0</v>
      </c>
      <c r="AD2102" s="147">
        <v>0</v>
      </c>
      <c r="AE2102" s="147">
        <v>0</v>
      </c>
      <c r="AF2102" s="201">
        <v>0</v>
      </c>
      <c r="AG2102" s="38">
        <f t="shared" si="317"/>
        <v>0</v>
      </c>
      <c r="AH2102" s="198"/>
      <c r="AI2102" s="198"/>
      <c r="AJ2102" s="198"/>
      <c r="AK2102" s="34"/>
      <c r="AL2102" s="34"/>
      <c r="AM2102" s="34"/>
      <c r="AN2102" s="61"/>
      <c r="AO2102" s="61"/>
      <c r="AP2102" s="61"/>
      <c r="AQ2102" s="61"/>
      <c r="AR2102" s="61"/>
      <c r="AS2102" s="61"/>
      <c r="AT2102" s="61"/>
      <c r="AU2102" s="61"/>
      <c r="AV2102" s="61"/>
      <c r="AW2102" s="61"/>
      <c r="AX2102" s="61"/>
      <c r="AY2102" s="61"/>
      <c r="AZ2102" s="61"/>
      <c r="BA2102" s="61"/>
      <c r="BB2102" s="61"/>
      <c r="BC2102" s="61"/>
      <c r="BD2102" s="61"/>
      <c r="BE2102" s="61"/>
      <c r="BF2102" s="61"/>
      <c r="BG2102" s="61"/>
      <c r="BH2102" s="61"/>
      <c r="BI2102" s="61"/>
      <c r="BJ2102" s="61"/>
      <c r="BK2102" s="61"/>
      <c r="BL2102" s="61"/>
      <c r="BM2102" s="61"/>
      <c r="BN2102" s="61"/>
      <c r="BO2102" s="61"/>
      <c r="BP2102" s="61"/>
      <c r="BQ2102" s="61"/>
      <c r="BR2102" s="61"/>
      <c r="BS2102" s="61"/>
      <c r="BT2102" s="61"/>
      <c r="BU2102" s="61"/>
      <c r="BV2102" s="61"/>
      <c r="BW2102" s="61"/>
      <c r="BX2102" s="61"/>
      <c r="BY2102" s="61"/>
      <c r="BZ2102" s="61"/>
      <c r="CA2102" s="61"/>
      <c r="CB2102" s="61"/>
      <c r="CC2102" s="61"/>
      <c r="CD2102" s="61"/>
      <c r="CE2102" s="61"/>
      <c r="CF2102" s="61"/>
      <c r="CG2102" s="61"/>
      <c r="CH2102" s="61"/>
      <c r="CI2102" s="61"/>
      <c r="CJ2102" s="61"/>
    </row>
    <row r="2103" spans="1:88" s="22" customFormat="1">
      <c r="A2103" s="1">
        <v>1575</v>
      </c>
      <c r="B2103" s="34" t="s">
        <v>2137</v>
      </c>
      <c r="C2103" s="5">
        <v>416</v>
      </c>
      <c r="D2103" s="5">
        <v>307</v>
      </c>
      <c r="E2103" s="5">
        <v>200</v>
      </c>
      <c r="F2103" s="5" t="s">
        <v>2154</v>
      </c>
      <c r="G2103" s="53" t="s">
        <v>2156</v>
      </c>
      <c r="H2103" s="53" t="s">
        <v>2155</v>
      </c>
      <c r="I2103" s="198">
        <v>1.9330000000000001</v>
      </c>
      <c r="J2103" s="78">
        <v>4</v>
      </c>
      <c r="K2103" s="5" t="s">
        <v>96</v>
      </c>
      <c r="L2103" s="10">
        <v>42249</v>
      </c>
      <c r="M2103" s="34" t="s">
        <v>218</v>
      </c>
      <c r="N2103" s="147">
        <v>0</v>
      </c>
      <c r="O2103" s="147">
        <v>0.375</v>
      </c>
      <c r="P2103" s="147">
        <v>1.2749999999999999</v>
      </c>
      <c r="Q2103" s="147">
        <v>0.3</v>
      </c>
      <c r="R2103" s="147">
        <v>4.2155100000000001</v>
      </c>
      <c r="S2103" s="38">
        <f t="shared" si="315"/>
        <v>4</v>
      </c>
      <c r="T2103" s="147">
        <v>0</v>
      </c>
      <c r="U2103" s="147">
        <v>0</v>
      </c>
      <c r="V2103" s="147">
        <f t="shared" si="337"/>
        <v>1.95</v>
      </c>
      <c r="W2103" s="147">
        <v>1.0389699999999999</v>
      </c>
      <c r="X2103" s="201">
        <v>0</v>
      </c>
      <c r="Y2103" s="38">
        <f t="shared" si="316"/>
        <v>0</v>
      </c>
      <c r="Z2103" s="201">
        <v>0</v>
      </c>
      <c r="AA2103" s="201">
        <v>0</v>
      </c>
      <c r="AB2103" s="201">
        <v>0</v>
      </c>
      <c r="AC2103" s="201">
        <v>0</v>
      </c>
      <c r="AD2103" s="147">
        <v>0</v>
      </c>
      <c r="AE2103" s="147">
        <v>0</v>
      </c>
      <c r="AF2103" s="201">
        <v>0</v>
      </c>
      <c r="AG2103" s="38">
        <f t="shared" si="317"/>
        <v>0</v>
      </c>
      <c r="AH2103" s="198"/>
      <c r="AI2103" s="198"/>
      <c r="AJ2103" s="198"/>
      <c r="AK2103" s="34"/>
      <c r="AL2103" s="34"/>
      <c r="AM2103" s="34"/>
      <c r="AN2103" s="61"/>
      <c r="AO2103" s="61"/>
      <c r="AP2103" s="61"/>
      <c r="AQ2103" s="61"/>
      <c r="AR2103" s="61"/>
      <c r="AS2103" s="61"/>
      <c r="AT2103" s="61"/>
      <c r="AU2103" s="61"/>
      <c r="AV2103" s="61"/>
      <c r="AW2103" s="61"/>
      <c r="AX2103" s="61"/>
      <c r="AY2103" s="61"/>
      <c r="AZ2103" s="61"/>
      <c r="BA2103" s="61"/>
      <c r="BB2103" s="61"/>
      <c r="BC2103" s="61"/>
      <c r="BD2103" s="61"/>
      <c r="BE2103" s="61"/>
      <c r="BF2103" s="61"/>
      <c r="BG2103" s="61"/>
      <c r="BH2103" s="61"/>
      <c r="BI2103" s="61"/>
      <c r="BJ2103" s="61"/>
      <c r="BK2103" s="61"/>
      <c r="BL2103" s="61"/>
      <c r="BM2103" s="61"/>
      <c r="BN2103" s="61"/>
      <c r="BO2103" s="61"/>
      <c r="BP2103" s="61"/>
      <c r="BQ2103" s="61"/>
      <c r="BR2103" s="61"/>
      <c r="BS2103" s="61"/>
      <c r="BT2103" s="61"/>
      <c r="BU2103" s="61"/>
      <c r="BV2103" s="61"/>
      <c r="BW2103" s="61"/>
      <c r="BX2103" s="61"/>
      <c r="BY2103" s="61"/>
      <c r="BZ2103" s="61"/>
      <c r="CA2103" s="61"/>
      <c r="CB2103" s="61"/>
      <c r="CC2103" s="61"/>
      <c r="CD2103" s="61"/>
      <c r="CE2103" s="61"/>
      <c r="CF2103" s="61"/>
      <c r="CG2103" s="61"/>
      <c r="CH2103" s="61"/>
      <c r="CI2103" s="61"/>
      <c r="CJ2103" s="61"/>
    </row>
    <row r="2104" spans="1:88" s="22" customFormat="1">
      <c r="A2104" s="1">
        <v>1576</v>
      </c>
      <c r="B2104" s="34" t="s">
        <v>2137</v>
      </c>
      <c r="C2104" s="5">
        <v>416</v>
      </c>
      <c r="D2104" s="5">
        <v>345</v>
      </c>
      <c r="E2104" s="5">
        <v>200</v>
      </c>
      <c r="F2104" s="5" t="s">
        <v>2157</v>
      </c>
      <c r="G2104" s="53" t="s">
        <v>2158</v>
      </c>
      <c r="H2104" s="53" t="s">
        <v>2159</v>
      </c>
      <c r="I2104" s="198">
        <v>1.456</v>
      </c>
      <c r="J2104" s="78">
        <v>6</v>
      </c>
      <c r="K2104" s="5" t="s">
        <v>237</v>
      </c>
      <c r="L2104" s="10">
        <v>42249</v>
      </c>
      <c r="M2104" s="34" t="s">
        <v>218</v>
      </c>
      <c r="N2104" s="147">
        <v>2.5000000000000001E-2</v>
      </c>
      <c r="O2104" s="147">
        <v>0.4</v>
      </c>
      <c r="P2104" s="147">
        <v>0.75</v>
      </c>
      <c r="Q2104" s="147">
        <v>0.32500000000000001</v>
      </c>
      <c r="R2104" s="147">
        <v>4.2586700000000004</v>
      </c>
      <c r="S2104" s="38">
        <f t="shared" si="315"/>
        <v>4.5</v>
      </c>
      <c r="T2104" s="147">
        <v>0</v>
      </c>
      <c r="U2104" s="147">
        <v>0</v>
      </c>
      <c r="V2104" s="147">
        <f t="shared" si="337"/>
        <v>1.5</v>
      </c>
      <c r="W2104" s="147">
        <v>1.10022</v>
      </c>
      <c r="X2104" s="201">
        <v>20</v>
      </c>
      <c r="Y2104" s="38">
        <f t="shared" si="316"/>
        <v>20</v>
      </c>
      <c r="Z2104" s="201">
        <v>0</v>
      </c>
      <c r="AA2104" s="201">
        <v>0</v>
      </c>
      <c r="AB2104" s="201">
        <v>0</v>
      </c>
      <c r="AC2104" s="201">
        <v>0</v>
      </c>
      <c r="AD2104" s="147">
        <v>0</v>
      </c>
      <c r="AE2104" s="147">
        <v>0</v>
      </c>
      <c r="AF2104" s="201">
        <v>0</v>
      </c>
      <c r="AG2104" s="38">
        <f t="shared" si="317"/>
        <v>0</v>
      </c>
      <c r="AH2104" s="198"/>
      <c r="AI2104" s="198"/>
      <c r="AJ2104" s="198"/>
      <c r="AK2104" s="34"/>
      <c r="AL2104" s="34"/>
      <c r="AM2104" s="34"/>
      <c r="AN2104" s="61"/>
      <c r="AO2104" s="61"/>
      <c r="AP2104" s="61"/>
      <c r="AQ2104" s="61"/>
      <c r="AR2104" s="61"/>
      <c r="AS2104" s="61"/>
      <c r="AT2104" s="61"/>
      <c r="AU2104" s="61"/>
      <c r="AV2104" s="61"/>
      <c r="AW2104" s="61"/>
      <c r="AX2104" s="61"/>
      <c r="AY2104" s="61"/>
      <c r="AZ2104" s="61"/>
      <c r="BA2104" s="61"/>
      <c r="BB2104" s="61"/>
      <c r="BC2104" s="61"/>
      <c r="BD2104" s="61"/>
      <c r="BE2104" s="61"/>
      <c r="BF2104" s="61"/>
      <c r="BG2104" s="61"/>
      <c r="BH2104" s="61"/>
      <c r="BI2104" s="61"/>
      <c r="BJ2104" s="61"/>
      <c r="BK2104" s="61"/>
      <c r="BL2104" s="61"/>
      <c r="BM2104" s="61"/>
      <c r="BN2104" s="61"/>
      <c r="BO2104" s="61"/>
      <c r="BP2104" s="61"/>
      <c r="BQ2104" s="61"/>
      <c r="BR2104" s="61"/>
      <c r="BS2104" s="61"/>
      <c r="BT2104" s="61"/>
      <c r="BU2104" s="61"/>
      <c r="BV2104" s="61"/>
      <c r="BW2104" s="61"/>
      <c r="BX2104" s="61"/>
      <c r="BY2104" s="61"/>
      <c r="BZ2104" s="61"/>
      <c r="CA2104" s="61"/>
      <c r="CB2104" s="61"/>
      <c r="CC2104" s="61"/>
      <c r="CD2104" s="61"/>
      <c r="CE2104" s="61"/>
      <c r="CF2104" s="61"/>
      <c r="CG2104" s="61"/>
      <c r="CH2104" s="61"/>
      <c r="CI2104" s="61"/>
      <c r="CJ2104" s="61"/>
    </row>
    <row r="2105" spans="1:88" s="22" customFormat="1">
      <c r="A2105" s="1">
        <v>1577</v>
      </c>
      <c r="B2105" s="34" t="s">
        <v>2137</v>
      </c>
      <c r="C2105" s="5">
        <v>416</v>
      </c>
      <c r="D2105" s="5">
        <v>345</v>
      </c>
      <c r="E2105" s="5">
        <v>200</v>
      </c>
      <c r="F2105" s="5" t="s">
        <v>2157</v>
      </c>
      <c r="G2105" s="53" t="s">
        <v>2159</v>
      </c>
      <c r="H2105" s="53" t="s">
        <v>2160</v>
      </c>
      <c r="I2105" s="198">
        <v>0.8</v>
      </c>
      <c r="J2105" s="78">
        <v>6</v>
      </c>
      <c r="K2105" s="5" t="s">
        <v>237</v>
      </c>
      <c r="L2105" s="10">
        <v>42249</v>
      </c>
      <c r="M2105" s="34" t="s">
        <v>218</v>
      </c>
      <c r="N2105" s="147">
        <v>0</v>
      </c>
      <c r="O2105" s="147">
        <v>2.5000000000000001E-2</v>
      </c>
      <c r="P2105" s="147">
        <v>0.6</v>
      </c>
      <c r="Q2105" s="147">
        <v>0.2</v>
      </c>
      <c r="R2105" s="147">
        <v>4.5536399999999997</v>
      </c>
      <c r="S2105" s="38">
        <f t="shared" si="315"/>
        <v>4.5</v>
      </c>
      <c r="T2105" s="147">
        <v>0</v>
      </c>
      <c r="U2105" s="147">
        <v>0</v>
      </c>
      <c r="V2105" s="147">
        <f t="shared" si="337"/>
        <v>0.82499999999999996</v>
      </c>
      <c r="W2105" s="147">
        <v>1.2872699999999999</v>
      </c>
      <c r="X2105" s="201">
        <v>0</v>
      </c>
      <c r="Y2105" s="38">
        <f t="shared" si="316"/>
        <v>0</v>
      </c>
      <c r="Z2105" s="201">
        <v>0</v>
      </c>
      <c r="AA2105" s="201">
        <v>0</v>
      </c>
      <c r="AB2105" s="201">
        <v>0</v>
      </c>
      <c r="AC2105" s="201">
        <v>0</v>
      </c>
      <c r="AD2105" s="147">
        <v>0</v>
      </c>
      <c r="AE2105" s="147">
        <v>0</v>
      </c>
      <c r="AF2105" s="201">
        <v>0</v>
      </c>
      <c r="AG2105" s="38">
        <f t="shared" si="317"/>
        <v>0</v>
      </c>
      <c r="AH2105" s="198"/>
      <c r="AI2105" s="198"/>
      <c r="AJ2105" s="198"/>
      <c r="AK2105" s="34"/>
      <c r="AL2105" s="34"/>
      <c r="AM2105" s="34"/>
      <c r="AN2105" s="61"/>
      <c r="AO2105" s="61"/>
      <c r="AP2105" s="61"/>
      <c r="AQ2105" s="61"/>
      <c r="AR2105" s="61"/>
      <c r="AS2105" s="61"/>
      <c r="AT2105" s="61"/>
      <c r="AU2105" s="61"/>
      <c r="AV2105" s="61"/>
      <c r="AW2105" s="61"/>
      <c r="AX2105" s="61"/>
      <c r="AY2105" s="61"/>
      <c r="AZ2105" s="61"/>
      <c r="BA2105" s="61"/>
      <c r="BB2105" s="61"/>
      <c r="BC2105" s="61"/>
      <c r="BD2105" s="61"/>
      <c r="BE2105" s="61"/>
      <c r="BF2105" s="61"/>
      <c r="BG2105" s="61"/>
      <c r="BH2105" s="61"/>
      <c r="BI2105" s="61"/>
      <c r="BJ2105" s="61"/>
      <c r="BK2105" s="61"/>
      <c r="BL2105" s="61"/>
      <c r="BM2105" s="61"/>
      <c r="BN2105" s="61"/>
      <c r="BO2105" s="61"/>
      <c r="BP2105" s="61"/>
      <c r="BQ2105" s="61"/>
      <c r="BR2105" s="61"/>
      <c r="BS2105" s="61"/>
      <c r="BT2105" s="61"/>
      <c r="BU2105" s="61"/>
      <c r="BV2105" s="61"/>
      <c r="BW2105" s="61"/>
      <c r="BX2105" s="61"/>
      <c r="BY2105" s="61"/>
      <c r="BZ2105" s="61"/>
      <c r="CA2105" s="61"/>
      <c r="CB2105" s="61"/>
      <c r="CC2105" s="61"/>
      <c r="CD2105" s="61"/>
      <c r="CE2105" s="61"/>
      <c r="CF2105" s="61"/>
      <c r="CG2105" s="61"/>
      <c r="CH2105" s="61"/>
      <c r="CI2105" s="61"/>
      <c r="CJ2105" s="61"/>
    </row>
    <row r="2106" spans="1:88">
      <c r="A2106" s="1">
        <v>1578</v>
      </c>
      <c r="B2106" s="34" t="s">
        <v>2137</v>
      </c>
      <c r="C2106" s="5">
        <v>416</v>
      </c>
      <c r="D2106" s="5">
        <v>345</v>
      </c>
      <c r="E2106" s="5">
        <v>200</v>
      </c>
      <c r="F2106" s="5" t="s">
        <v>2157</v>
      </c>
      <c r="G2106" s="53" t="s">
        <v>2159</v>
      </c>
      <c r="H2106" s="53" t="s">
        <v>2158</v>
      </c>
      <c r="I2106" s="198">
        <v>1.456</v>
      </c>
      <c r="J2106" s="78">
        <v>6</v>
      </c>
      <c r="K2106" s="5" t="s">
        <v>96</v>
      </c>
      <c r="L2106" s="10">
        <v>42249</v>
      </c>
      <c r="M2106" s="34" t="s">
        <v>218</v>
      </c>
      <c r="N2106" s="147">
        <v>0.1</v>
      </c>
      <c r="O2106" s="147">
        <v>0.3</v>
      </c>
      <c r="P2106" s="147">
        <v>1.1499999999999999</v>
      </c>
      <c r="Q2106" s="147">
        <v>0.17499999999999999</v>
      </c>
      <c r="R2106" s="147">
        <v>4.1426100000000003</v>
      </c>
      <c r="S2106" s="38">
        <f t="shared" si="315"/>
        <v>4</v>
      </c>
      <c r="T2106" s="147">
        <v>0</v>
      </c>
      <c r="U2106" s="147">
        <v>0</v>
      </c>
      <c r="V2106" s="147">
        <f t="shared" si="337"/>
        <v>1.7249999999999999</v>
      </c>
      <c r="W2106" s="147">
        <v>1.02661</v>
      </c>
      <c r="X2106" s="201">
        <v>0</v>
      </c>
      <c r="Y2106" s="38">
        <f t="shared" si="316"/>
        <v>0</v>
      </c>
      <c r="Z2106" s="201">
        <v>0</v>
      </c>
      <c r="AA2106" s="201">
        <v>0</v>
      </c>
      <c r="AB2106" s="201">
        <v>0</v>
      </c>
      <c r="AC2106" s="201">
        <v>0</v>
      </c>
      <c r="AD2106" s="147">
        <v>0</v>
      </c>
      <c r="AE2106" s="147">
        <v>0</v>
      </c>
      <c r="AF2106" s="201">
        <v>0</v>
      </c>
      <c r="AG2106" s="38">
        <f t="shared" si="317"/>
        <v>0</v>
      </c>
      <c r="AH2106" s="198"/>
      <c r="AI2106" s="198"/>
      <c r="AJ2106" s="198"/>
      <c r="AK2106" s="34"/>
      <c r="AL2106" s="34"/>
      <c r="AM2106" s="34"/>
      <c r="AN2106" s="61"/>
      <c r="AO2106" s="61"/>
      <c r="AP2106" s="61"/>
      <c r="AQ2106" s="61"/>
      <c r="AR2106" s="61"/>
      <c r="AS2106" s="61"/>
      <c r="AT2106" s="61"/>
      <c r="AU2106" s="61"/>
      <c r="AV2106" s="61"/>
      <c r="AW2106" s="61"/>
      <c r="AX2106" s="61"/>
      <c r="AY2106" s="61"/>
      <c r="AZ2106" s="61"/>
      <c r="BA2106" s="61"/>
      <c r="BB2106" s="61"/>
      <c r="BC2106" s="61"/>
      <c r="BD2106" s="61"/>
      <c r="BE2106" s="61"/>
      <c r="BF2106" s="61"/>
      <c r="BG2106" s="61"/>
      <c r="BH2106" s="61"/>
      <c r="BI2106" s="61"/>
      <c r="BJ2106" s="61"/>
      <c r="BK2106" s="61"/>
      <c r="BL2106" s="61"/>
      <c r="BM2106" s="61"/>
      <c r="BN2106" s="61"/>
      <c r="BO2106" s="61"/>
      <c r="BP2106" s="61"/>
      <c r="BQ2106" s="61"/>
      <c r="BR2106" s="61"/>
      <c r="BS2106" s="61"/>
      <c r="BT2106" s="61"/>
      <c r="BU2106" s="61"/>
      <c r="BV2106" s="61"/>
      <c r="BW2106" s="61"/>
      <c r="BX2106" s="61"/>
      <c r="BY2106" s="61"/>
      <c r="BZ2106" s="61"/>
      <c r="CA2106" s="61"/>
      <c r="CB2106" s="61"/>
      <c r="CC2106" s="61"/>
      <c r="CD2106" s="61"/>
      <c r="CE2106" s="61"/>
      <c r="CF2106" s="61"/>
      <c r="CG2106" s="61"/>
      <c r="CH2106" s="61"/>
      <c r="CI2106" s="61"/>
      <c r="CJ2106" s="61"/>
    </row>
    <row r="2107" spans="1:88">
      <c r="A2107" s="1">
        <v>1579</v>
      </c>
      <c r="B2107" s="34" t="s">
        <v>2137</v>
      </c>
      <c r="C2107" s="5">
        <v>416</v>
      </c>
      <c r="D2107" s="5">
        <v>345</v>
      </c>
      <c r="E2107" s="5">
        <v>200</v>
      </c>
      <c r="F2107" s="5" t="s">
        <v>2157</v>
      </c>
      <c r="G2107" s="53" t="s">
        <v>2160</v>
      </c>
      <c r="H2107" s="53" t="s">
        <v>2161</v>
      </c>
      <c r="I2107" s="198">
        <v>0.4</v>
      </c>
      <c r="J2107" s="78">
        <v>6</v>
      </c>
      <c r="K2107" s="5" t="s">
        <v>237</v>
      </c>
      <c r="L2107" s="10">
        <v>42249</v>
      </c>
      <c r="M2107" s="34" t="s">
        <v>218</v>
      </c>
      <c r="N2107" s="147">
        <v>0.2</v>
      </c>
      <c r="O2107" s="147">
        <v>0.2</v>
      </c>
      <c r="P2107" s="147">
        <v>2.5000000000000001E-2</v>
      </c>
      <c r="Q2107" s="147">
        <v>0</v>
      </c>
      <c r="R2107" s="147">
        <v>2.5170599999999999</v>
      </c>
      <c r="S2107" s="38">
        <f t="shared" si="315"/>
        <v>2.5</v>
      </c>
      <c r="T2107" s="147">
        <v>0</v>
      </c>
      <c r="U2107" s="147">
        <v>0</v>
      </c>
      <c r="V2107" s="147">
        <f t="shared" si="337"/>
        <v>0.42500000000000004</v>
      </c>
      <c r="W2107" s="147">
        <v>1.34924</v>
      </c>
      <c r="X2107" s="201">
        <v>0</v>
      </c>
      <c r="Y2107" s="38">
        <f t="shared" si="316"/>
        <v>0</v>
      </c>
      <c r="Z2107" s="201">
        <v>0</v>
      </c>
      <c r="AA2107" s="201">
        <v>0</v>
      </c>
      <c r="AB2107" s="201">
        <v>0</v>
      </c>
      <c r="AC2107" s="201">
        <v>0</v>
      </c>
      <c r="AD2107" s="147">
        <v>0</v>
      </c>
      <c r="AE2107" s="147">
        <v>0</v>
      </c>
      <c r="AF2107" s="201">
        <v>0</v>
      </c>
      <c r="AG2107" s="38">
        <f t="shared" si="317"/>
        <v>0</v>
      </c>
      <c r="AH2107" s="198"/>
      <c r="AI2107" s="198"/>
      <c r="AJ2107" s="198"/>
      <c r="AK2107" s="34"/>
      <c r="AL2107" s="34"/>
      <c r="AM2107" s="34"/>
      <c r="AN2107" s="61"/>
      <c r="AO2107" s="61"/>
      <c r="AP2107" s="61"/>
      <c r="AQ2107" s="61"/>
      <c r="AR2107" s="61"/>
      <c r="AS2107" s="61"/>
      <c r="AT2107" s="61"/>
      <c r="AU2107" s="61"/>
      <c r="AV2107" s="61"/>
      <c r="AW2107" s="61"/>
      <c r="AX2107" s="61"/>
      <c r="AY2107" s="61"/>
      <c r="AZ2107" s="61"/>
      <c r="BA2107" s="61"/>
      <c r="BB2107" s="61"/>
      <c r="BC2107" s="61"/>
      <c r="BD2107" s="61"/>
      <c r="BE2107" s="61"/>
      <c r="BF2107" s="61"/>
      <c r="BG2107" s="61"/>
      <c r="BH2107" s="61"/>
      <c r="BI2107" s="61"/>
      <c r="BJ2107" s="61"/>
      <c r="BK2107" s="61"/>
      <c r="BL2107" s="61"/>
      <c r="BM2107" s="61"/>
      <c r="BN2107" s="61"/>
      <c r="BO2107" s="61"/>
      <c r="BP2107" s="61"/>
      <c r="BQ2107" s="61"/>
      <c r="BR2107" s="61"/>
      <c r="BS2107" s="61"/>
      <c r="BT2107" s="61"/>
      <c r="BU2107" s="61"/>
      <c r="BV2107" s="61"/>
      <c r="BW2107" s="61"/>
      <c r="BX2107" s="61"/>
      <c r="BY2107" s="61"/>
      <c r="BZ2107" s="61"/>
      <c r="CA2107" s="61"/>
      <c r="CB2107" s="61"/>
      <c r="CC2107" s="61"/>
      <c r="CD2107" s="61"/>
      <c r="CE2107" s="61"/>
      <c r="CF2107" s="61"/>
      <c r="CG2107" s="61"/>
      <c r="CH2107" s="61"/>
      <c r="CI2107" s="61"/>
      <c r="CJ2107" s="61"/>
    </row>
    <row r="2108" spans="1:88">
      <c r="A2108" s="1">
        <v>1580</v>
      </c>
      <c r="B2108" s="34" t="s">
        <v>2137</v>
      </c>
      <c r="C2108" s="5">
        <v>416</v>
      </c>
      <c r="D2108" s="5">
        <v>345</v>
      </c>
      <c r="E2108" s="5">
        <v>200</v>
      </c>
      <c r="F2108" s="5" t="s">
        <v>2157</v>
      </c>
      <c r="G2108" s="53" t="s">
        <v>2160</v>
      </c>
      <c r="H2108" s="53" t="s">
        <v>2159</v>
      </c>
      <c r="I2108" s="198">
        <v>0.8</v>
      </c>
      <c r="J2108" s="78">
        <v>6</v>
      </c>
      <c r="K2108" s="5" t="s">
        <v>96</v>
      </c>
      <c r="L2108" s="10">
        <v>42249</v>
      </c>
      <c r="M2108" s="34" t="s">
        <v>218</v>
      </c>
      <c r="N2108" s="147">
        <v>0.125</v>
      </c>
      <c r="O2108" s="147">
        <v>0.05</v>
      </c>
      <c r="P2108" s="147">
        <v>0.42499999999999999</v>
      </c>
      <c r="Q2108" s="147">
        <v>0.17499999999999999</v>
      </c>
      <c r="R2108" s="147">
        <v>4.2203200000000001</v>
      </c>
      <c r="S2108" s="38">
        <f t="shared" si="315"/>
        <v>4</v>
      </c>
      <c r="T2108" s="147">
        <v>0</v>
      </c>
      <c r="U2108" s="147">
        <v>0</v>
      </c>
      <c r="V2108" s="147">
        <f t="shared" si="337"/>
        <v>0.77499999999999991</v>
      </c>
      <c r="W2108" s="147">
        <v>1.1007100000000001</v>
      </c>
      <c r="X2108" s="201">
        <v>0</v>
      </c>
      <c r="Y2108" s="38">
        <f t="shared" si="316"/>
        <v>0</v>
      </c>
      <c r="Z2108" s="201">
        <v>0</v>
      </c>
      <c r="AA2108" s="201">
        <v>0</v>
      </c>
      <c r="AB2108" s="201">
        <v>0</v>
      </c>
      <c r="AC2108" s="201">
        <v>0</v>
      </c>
      <c r="AD2108" s="147">
        <v>0</v>
      </c>
      <c r="AE2108" s="147">
        <v>0</v>
      </c>
      <c r="AF2108" s="201">
        <v>0</v>
      </c>
      <c r="AG2108" s="38">
        <f t="shared" si="317"/>
        <v>0</v>
      </c>
      <c r="AH2108" s="198"/>
      <c r="AI2108" s="198"/>
      <c r="AJ2108" s="198"/>
      <c r="AK2108" s="34"/>
      <c r="AL2108" s="34"/>
      <c r="AM2108" s="34"/>
      <c r="AN2108" s="61"/>
      <c r="AO2108" s="61"/>
      <c r="AP2108" s="61"/>
      <c r="AQ2108" s="61"/>
      <c r="AR2108" s="61"/>
      <c r="AS2108" s="61"/>
      <c r="AT2108" s="61"/>
      <c r="AU2108" s="61"/>
      <c r="AV2108" s="61"/>
      <c r="AW2108" s="61"/>
      <c r="AX2108" s="61"/>
      <c r="AY2108" s="61"/>
      <c r="AZ2108" s="61"/>
      <c r="BA2108" s="61"/>
      <c r="BB2108" s="61"/>
      <c r="BC2108" s="61"/>
      <c r="BD2108" s="61"/>
      <c r="BE2108" s="61"/>
      <c r="BF2108" s="61"/>
      <c r="BG2108" s="61"/>
      <c r="BH2108" s="61"/>
      <c r="BI2108" s="61"/>
      <c r="BJ2108" s="61"/>
      <c r="BK2108" s="61"/>
      <c r="BL2108" s="61"/>
      <c r="BM2108" s="61"/>
      <c r="BN2108" s="61"/>
      <c r="BO2108" s="61"/>
      <c r="BP2108" s="61"/>
      <c r="BQ2108" s="61"/>
      <c r="BR2108" s="61"/>
      <c r="BS2108" s="61"/>
      <c r="BT2108" s="61"/>
      <c r="BU2108" s="61"/>
      <c r="BV2108" s="61"/>
      <c r="BW2108" s="61"/>
      <c r="BX2108" s="61"/>
      <c r="BY2108" s="61"/>
      <c r="BZ2108" s="61"/>
      <c r="CA2108" s="61"/>
      <c r="CB2108" s="61"/>
      <c r="CC2108" s="61"/>
      <c r="CD2108" s="61"/>
      <c r="CE2108" s="61"/>
      <c r="CF2108" s="61"/>
      <c r="CG2108" s="61"/>
      <c r="CH2108" s="61"/>
      <c r="CI2108" s="61"/>
      <c r="CJ2108" s="61"/>
    </row>
    <row r="2109" spans="1:88">
      <c r="A2109" s="1">
        <v>1581</v>
      </c>
      <c r="B2109" s="34" t="s">
        <v>2137</v>
      </c>
      <c r="C2109" s="5">
        <v>416</v>
      </c>
      <c r="D2109" s="5">
        <v>345</v>
      </c>
      <c r="E2109" s="5">
        <v>200</v>
      </c>
      <c r="F2109" s="5" t="s">
        <v>2157</v>
      </c>
      <c r="G2109" s="53" t="s">
        <v>2161</v>
      </c>
      <c r="H2109" s="53" t="s">
        <v>2162</v>
      </c>
      <c r="I2109" s="198">
        <v>0.3</v>
      </c>
      <c r="J2109" s="78">
        <v>6</v>
      </c>
      <c r="K2109" s="5" t="s">
        <v>237</v>
      </c>
      <c r="L2109" s="10">
        <v>42249</v>
      </c>
      <c r="M2109" s="34" t="s">
        <v>218</v>
      </c>
      <c r="N2109" s="147">
        <v>0.15</v>
      </c>
      <c r="O2109" s="147">
        <v>0.2</v>
      </c>
      <c r="P2109" s="147">
        <v>7.4999999999999997E-2</v>
      </c>
      <c r="Q2109" s="147">
        <v>7.4999999999999997E-2</v>
      </c>
      <c r="R2109" s="147">
        <v>3.2185000000000001</v>
      </c>
      <c r="S2109" s="38">
        <f t="shared" si="315"/>
        <v>3</v>
      </c>
      <c r="T2109" s="147">
        <v>0</v>
      </c>
      <c r="U2109" s="147">
        <v>0</v>
      </c>
      <c r="V2109" s="147">
        <f t="shared" si="337"/>
        <v>0.5</v>
      </c>
      <c r="W2109" s="147">
        <v>1.3165</v>
      </c>
      <c r="X2109" s="201">
        <v>0</v>
      </c>
      <c r="Y2109" s="38">
        <f t="shared" si="316"/>
        <v>0</v>
      </c>
      <c r="Z2109" s="201">
        <v>0</v>
      </c>
      <c r="AA2109" s="201">
        <v>0</v>
      </c>
      <c r="AB2109" s="201">
        <v>0</v>
      </c>
      <c r="AC2109" s="201">
        <v>0</v>
      </c>
      <c r="AD2109" s="147">
        <v>0</v>
      </c>
      <c r="AE2109" s="147">
        <v>0</v>
      </c>
      <c r="AF2109" s="201">
        <v>0</v>
      </c>
      <c r="AG2109" s="38">
        <f t="shared" si="317"/>
        <v>0</v>
      </c>
      <c r="AH2109" s="198"/>
      <c r="AI2109" s="198"/>
      <c r="AJ2109" s="198"/>
      <c r="AK2109" s="34"/>
      <c r="AL2109" s="34"/>
      <c r="AM2109" s="34"/>
      <c r="AN2109" s="61"/>
      <c r="AO2109" s="61"/>
      <c r="AP2109" s="61"/>
      <c r="AQ2109" s="61"/>
      <c r="AR2109" s="61"/>
      <c r="AS2109" s="61"/>
      <c r="AT2109" s="61"/>
      <c r="AU2109" s="61"/>
      <c r="AV2109" s="61"/>
      <c r="AW2109" s="61"/>
      <c r="AX2109" s="61"/>
      <c r="AY2109" s="61"/>
      <c r="AZ2109" s="61"/>
      <c r="BA2109" s="61"/>
      <c r="BB2109" s="61"/>
      <c r="BC2109" s="61"/>
      <c r="BD2109" s="61"/>
      <c r="BE2109" s="61"/>
      <c r="BF2109" s="61"/>
      <c r="BG2109" s="61"/>
      <c r="BH2109" s="61"/>
      <c r="BI2109" s="61"/>
      <c r="BJ2109" s="61"/>
      <c r="BK2109" s="61"/>
      <c r="BL2109" s="61"/>
      <c r="BM2109" s="61"/>
      <c r="BN2109" s="61"/>
      <c r="BO2109" s="61"/>
      <c r="BP2109" s="61"/>
      <c r="BQ2109" s="61"/>
      <c r="BR2109" s="61"/>
      <c r="BS2109" s="61"/>
      <c r="BT2109" s="61"/>
      <c r="BU2109" s="61"/>
      <c r="BV2109" s="61"/>
      <c r="BW2109" s="61"/>
      <c r="BX2109" s="61"/>
      <c r="BY2109" s="61"/>
      <c r="BZ2109" s="61"/>
      <c r="CA2109" s="61"/>
      <c r="CB2109" s="61"/>
      <c r="CC2109" s="61"/>
      <c r="CD2109" s="61"/>
      <c r="CE2109" s="61"/>
      <c r="CF2109" s="61"/>
      <c r="CG2109" s="61"/>
      <c r="CH2109" s="61"/>
      <c r="CI2109" s="61"/>
      <c r="CJ2109" s="61"/>
    </row>
    <row r="2110" spans="1:88">
      <c r="A2110" s="1">
        <v>1582</v>
      </c>
      <c r="B2110" s="34" t="s">
        <v>2137</v>
      </c>
      <c r="C2110" s="5">
        <v>416</v>
      </c>
      <c r="D2110" s="5">
        <v>345</v>
      </c>
      <c r="E2110" s="5">
        <v>200</v>
      </c>
      <c r="F2110" s="5" t="s">
        <v>2157</v>
      </c>
      <c r="G2110" s="53" t="s">
        <v>2161</v>
      </c>
      <c r="H2110" s="53" t="s">
        <v>2160</v>
      </c>
      <c r="I2110" s="198">
        <v>0.4</v>
      </c>
      <c r="J2110" s="78">
        <v>6</v>
      </c>
      <c r="K2110" s="5" t="s">
        <v>96</v>
      </c>
      <c r="L2110" s="10">
        <v>42249</v>
      </c>
      <c r="M2110" s="34" t="s">
        <v>218</v>
      </c>
      <c r="N2110" s="147">
        <v>0.375</v>
      </c>
      <c r="O2110" s="147">
        <v>2.5000000000000001E-2</v>
      </c>
      <c r="P2110" s="147">
        <v>2.5000000000000001E-2</v>
      </c>
      <c r="Q2110" s="147">
        <v>0</v>
      </c>
      <c r="R2110" s="147">
        <v>2.0976499999999998</v>
      </c>
      <c r="S2110" s="38">
        <f t="shared" si="315"/>
        <v>2</v>
      </c>
      <c r="T2110" s="147">
        <v>0</v>
      </c>
      <c r="U2110" s="147">
        <v>0</v>
      </c>
      <c r="V2110" s="147">
        <f t="shared" si="337"/>
        <v>0.42500000000000004</v>
      </c>
      <c r="W2110" s="147">
        <v>1.22288</v>
      </c>
      <c r="X2110" s="201">
        <v>0</v>
      </c>
      <c r="Y2110" s="38">
        <f t="shared" si="316"/>
        <v>0</v>
      </c>
      <c r="Z2110" s="201">
        <v>0</v>
      </c>
      <c r="AA2110" s="201">
        <v>0</v>
      </c>
      <c r="AB2110" s="201">
        <v>0</v>
      </c>
      <c r="AC2110" s="201">
        <v>0</v>
      </c>
      <c r="AD2110" s="147">
        <v>0</v>
      </c>
      <c r="AE2110" s="147">
        <v>0</v>
      </c>
      <c r="AF2110" s="201">
        <v>0</v>
      </c>
      <c r="AG2110" s="38">
        <f t="shared" si="317"/>
        <v>0</v>
      </c>
      <c r="AH2110" s="198"/>
      <c r="AI2110" s="198"/>
      <c r="AJ2110" s="198"/>
      <c r="AK2110" s="34"/>
      <c r="AL2110" s="34"/>
      <c r="AM2110" s="34"/>
      <c r="AN2110" s="61"/>
      <c r="AO2110" s="61"/>
      <c r="AP2110" s="61"/>
      <c r="AQ2110" s="61"/>
      <c r="AR2110" s="61"/>
      <c r="AS2110" s="61"/>
      <c r="AT2110" s="61"/>
      <c r="AU2110" s="61"/>
      <c r="AV2110" s="61"/>
      <c r="AW2110" s="61"/>
      <c r="AX2110" s="61"/>
      <c r="AY2110" s="61"/>
      <c r="AZ2110" s="61"/>
      <c r="BA2110" s="61"/>
      <c r="BB2110" s="61"/>
      <c r="BC2110" s="61"/>
      <c r="BD2110" s="61"/>
      <c r="BE2110" s="61"/>
      <c r="BF2110" s="61"/>
      <c r="BG2110" s="61"/>
      <c r="BH2110" s="61"/>
      <c r="BI2110" s="61"/>
      <c r="BJ2110" s="61"/>
      <c r="BK2110" s="61"/>
      <c r="BL2110" s="61"/>
      <c r="BM2110" s="61"/>
      <c r="BN2110" s="61"/>
      <c r="BO2110" s="61"/>
      <c r="BP2110" s="61"/>
      <c r="BQ2110" s="61"/>
      <c r="BR2110" s="61"/>
      <c r="BS2110" s="61"/>
      <c r="BT2110" s="61"/>
      <c r="BU2110" s="61"/>
      <c r="BV2110" s="61"/>
      <c r="BW2110" s="61"/>
      <c r="BX2110" s="61"/>
      <c r="BY2110" s="61"/>
      <c r="BZ2110" s="61"/>
      <c r="CA2110" s="61"/>
      <c r="CB2110" s="61"/>
      <c r="CC2110" s="61"/>
      <c r="CD2110" s="61"/>
      <c r="CE2110" s="61"/>
      <c r="CF2110" s="61"/>
      <c r="CG2110" s="61"/>
      <c r="CH2110" s="61"/>
      <c r="CI2110" s="61"/>
      <c r="CJ2110" s="61"/>
    </row>
    <row r="2111" spans="1:88">
      <c r="A2111" s="1">
        <v>1583</v>
      </c>
      <c r="B2111" s="34" t="s">
        <v>2137</v>
      </c>
      <c r="C2111" s="5">
        <v>416</v>
      </c>
      <c r="D2111" s="5">
        <v>345</v>
      </c>
      <c r="E2111" s="5">
        <v>200</v>
      </c>
      <c r="F2111" s="5" t="s">
        <v>2157</v>
      </c>
      <c r="G2111" s="53" t="s">
        <v>2162</v>
      </c>
      <c r="H2111" s="53" t="s">
        <v>2163</v>
      </c>
      <c r="I2111" s="198">
        <v>0.51</v>
      </c>
      <c r="J2111" s="78">
        <v>6</v>
      </c>
      <c r="K2111" s="5" t="s">
        <v>237</v>
      </c>
      <c r="L2111" s="10">
        <v>42249</v>
      </c>
      <c r="M2111" s="34" t="s">
        <v>218</v>
      </c>
      <c r="N2111" s="147">
        <v>0</v>
      </c>
      <c r="O2111" s="147">
        <v>7.4999999999999997E-2</v>
      </c>
      <c r="P2111" s="147">
        <v>0.4</v>
      </c>
      <c r="Q2111" s="147">
        <v>7.4999999999999997E-2</v>
      </c>
      <c r="R2111" s="147">
        <v>4.28864</v>
      </c>
      <c r="S2111" s="38">
        <f t="shared" si="315"/>
        <v>4.5</v>
      </c>
      <c r="T2111" s="147">
        <v>0</v>
      </c>
      <c r="U2111" s="147">
        <v>0</v>
      </c>
      <c r="V2111" s="147">
        <f t="shared" si="337"/>
        <v>0.55000000000000004</v>
      </c>
      <c r="W2111" s="147">
        <v>1.3208599999999999</v>
      </c>
      <c r="X2111" s="201">
        <v>2</v>
      </c>
      <c r="Y2111" s="38">
        <f t="shared" si="316"/>
        <v>2</v>
      </c>
      <c r="Z2111" s="201">
        <v>0</v>
      </c>
      <c r="AA2111" s="201">
        <v>0</v>
      </c>
      <c r="AB2111" s="201">
        <v>0</v>
      </c>
      <c r="AC2111" s="201">
        <v>0</v>
      </c>
      <c r="AD2111" s="147">
        <v>0</v>
      </c>
      <c r="AE2111" s="147">
        <v>0</v>
      </c>
      <c r="AF2111" s="201">
        <v>0</v>
      </c>
      <c r="AG2111" s="38">
        <f t="shared" si="317"/>
        <v>0</v>
      </c>
      <c r="AH2111" s="198"/>
      <c r="AI2111" s="198"/>
      <c r="AJ2111" s="198"/>
      <c r="AK2111" s="34"/>
      <c r="AL2111" s="34"/>
      <c r="AM2111" s="34"/>
      <c r="AN2111" s="61"/>
      <c r="AO2111" s="61"/>
      <c r="AP2111" s="61"/>
      <c r="AQ2111" s="61"/>
      <c r="AR2111" s="61"/>
      <c r="AS2111" s="61"/>
      <c r="AT2111" s="61"/>
      <c r="AU2111" s="61"/>
      <c r="AV2111" s="61"/>
      <c r="AW2111" s="61"/>
      <c r="AX2111" s="61"/>
      <c r="AY2111" s="61"/>
      <c r="AZ2111" s="61"/>
      <c r="BA2111" s="61"/>
      <c r="BB2111" s="61"/>
      <c r="BC2111" s="61"/>
      <c r="BD2111" s="61"/>
      <c r="BE2111" s="61"/>
      <c r="BF2111" s="61"/>
      <c r="BG2111" s="61"/>
      <c r="BH2111" s="61"/>
      <c r="BI2111" s="61"/>
      <c r="BJ2111" s="61"/>
      <c r="BK2111" s="61"/>
      <c r="BL2111" s="61"/>
      <c r="BM2111" s="61"/>
      <c r="BN2111" s="61"/>
      <c r="BO2111" s="61"/>
      <c r="BP2111" s="61"/>
      <c r="BQ2111" s="61"/>
      <c r="BR2111" s="61"/>
      <c r="BS2111" s="61"/>
      <c r="BT2111" s="61"/>
      <c r="BU2111" s="61"/>
      <c r="BV2111" s="61"/>
      <c r="BW2111" s="61"/>
      <c r="BX2111" s="61"/>
      <c r="BY2111" s="61"/>
      <c r="BZ2111" s="61"/>
      <c r="CA2111" s="61"/>
      <c r="CB2111" s="61"/>
      <c r="CC2111" s="61"/>
      <c r="CD2111" s="61"/>
      <c r="CE2111" s="61"/>
      <c r="CF2111" s="61"/>
      <c r="CG2111" s="61"/>
      <c r="CH2111" s="61"/>
      <c r="CI2111" s="61"/>
      <c r="CJ2111" s="61"/>
    </row>
    <row r="2112" spans="1:88">
      <c r="A2112" s="1">
        <v>1584</v>
      </c>
      <c r="B2112" s="34" t="s">
        <v>2137</v>
      </c>
      <c r="C2112" s="5">
        <v>416</v>
      </c>
      <c r="D2112" s="5">
        <v>345</v>
      </c>
      <c r="E2112" s="5">
        <v>200</v>
      </c>
      <c r="F2112" s="5" t="s">
        <v>2157</v>
      </c>
      <c r="G2112" s="53" t="s">
        <v>2162</v>
      </c>
      <c r="H2112" s="53" t="s">
        <v>2161</v>
      </c>
      <c r="I2112" s="198">
        <v>0.3</v>
      </c>
      <c r="J2112" s="78">
        <v>6</v>
      </c>
      <c r="K2112" s="5" t="s">
        <v>96</v>
      </c>
      <c r="L2112" s="10">
        <v>42249</v>
      </c>
      <c r="M2112" s="34" t="s">
        <v>218</v>
      </c>
      <c r="N2112" s="147">
        <v>0.2</v>
      </c>
      <c r="O2112" s="147">
        <v>0</v>
      </c>
      <c r="P2112" s="147">
        <v>2.5000000000000001E-2</v>
      </c>
      <c r="Q2112" s="147">
        <v>0.1</v>
      </c>
      <c r="R2112" s="147">
        <v>3.4261499999999998</v>
      </c>
      <c r="S2112" s="38">
        <f t="shared" si="315"/>
        <v>3.5</v>
      </c>
      <c r="T2112" s="147">
        <v>0</v>
      </c>
      <c r="U2112" s="147">
        <v>0</v>
      </c>
      <c r="V2112" s="147">
        <f t="shared" si="337"/>
        <v>0.32500000000000001</v>
      </c>
      <c r="W2112" s="147">
        <v>1.1964600000000001</v>
      </c>
      <c r="X2112" s="201">
        <v>0</v>
      </c>
      <c r="Y2112" s="38">
        <f t="shared" si="316"/>
        <v>0</v>
      </c>
      <c r="Z2112" s="201">
        <v>0</v>
      </c>
      <c r="AA2112" s="201">
        <v>0</v>
      </c>
      <c r="AB2112" s="201">
        <v>0</v>
      </c>
      <c r="AC2112" s="201">
        <v>0</v>
      </c>
      <c r="AD2112" s="147">
        <v>0</v>
      </c>
      <c r="AE2112" s="147">
        <v>0</v>
      </c>
      <c r="AF2112" s="201">
        <v>0</v>
      </c>
      <c r="AG2112" s="38">
        <f t="shared" si="317"/>
        <v>0</v>
      </c>
      <c r="AH2112" s="198"/>
      <c r="AI2112" s="198"/>
      <c r="AJ2112" s="198"/>
      <c r="AK2112" s="34"/>
      <c r="AL2112" s="34"/>
      <c r="AM2112" s="34"/>
      <c r="AN2112" s="61"/>
      <c r="AO2112" s="61"/>
      <c r="AP2112" s="61"/>
      <c r="AQ2112" s="61"/>
      <c r="AR2112" s="61"/>
      <c r="AS2112" s="61"/>
      <c r="AT2112" s="61"/>
      <c r="AU2112" s="61"/>
      <c r="AV2112" s="61"/>
      <c r="AW2112" s="61"/>
      <c r="AX2112" s="61"/>
      <c r="AY2112" s="61"/>
      <c r="AZ2112" s="61"/>
      <c r="BA2112" s="61"/>
      <c r="BB2112" s="61"/>
      <c r="BC2112" s="61"/>
      <c r="BD2112" s="61"/>
      <c r="BE2112" s="61"/>
      <c r="BF2112" s="61"/>
      <c r="BG2112" s="61"/>
      <c r="BH2112" s="61"/>
      <c r="BI2112" s="61"/>
      <c r="BJ2112" s="61"/>
      <c r="BK2112" s="61"/>
      <c r="BL2112" s="61"/>
      <c r="BM2112" s="61"/>
      <c r="BN2112" s="61"/>
      <c r="BO2112" s="61"/>
      <c r="BP2112" s="61"/>
      <c r="BQ2112" s="61"/>
      <c r="BR2112" s="61"/>
      <c r="BS2112" s="61"/>
      <c r="BT2112" s="61"/>
      <c r="BU2112" s="61"/>
      <c r="BV2112" s="61"/>
      <c r="BW2112" s="61"/>
      <c r="BX2112" s="61"/>
      <c r="BY2112" s="61"/>
      <c r="BZ2112" s="61"/>
      <c r="CA2112" s="61"/>
      <c r="CB2112" s="61"/>
      <c r="CC2112" s="61"/>
      <c r="CD2112" s="61"/>
      <c r="CE2112" s="61"/>
      <c r="CF2112" s="61"/>
      <c r="CG2112" s="61"/>
      <c r="CH2112" s="61"/>
      <c r="CI2112" s="61"/>
      <c r="CJ2112" s="61"/>
    </row>
    <row r="2113" spans="1:88">
      <c r="A2113" s="1">
        <v>1585</v>
      </c>
      <c r="B2113" s="34" t="s">
        <v>2137</v>
      </c>
      <c r="C2113" s="5">
        <v>416</v>
      </c>
      <c r="D2113" s="5">
        <v>345</v>
      </c>
      <c r="E2113" s="5">
        <v>200</v>
      </c>
      <c r="F2113" s="5" t="s">
        <v>2157</v>
      </c>
      <c r="G2113" s="53" t="s">
        <v>2163</v>
      </c>
      <c r="H2113" s="53" t="s">
        <v>2164</v>
      </c>
      <c r="I2113" s="198">
        <v>0.77</v>
      </c>
      <c r="J2113" s="78">
        <v>6</v>
      </c>
      <c r="K2113" s="5" t="s">
        <v>237</v>
      </c>
      <c r="L2113" s="10">
        <v>42249</v>
      </c>
      <c r="M2113" s="34" t="s">
        <v>218</v>
      </c>
      <c r="N2113" s="147">
        <v>7.4999999999999997E-2</v>
      </c>
      <c r="O2113" s="147">
        <v>7.4999999999999997E-2</v>
      </c>
      <c r="P2113" s="147">
        <v>0.4</v>
      </c>
      <c r="Q2113" s="147">
        <v>0.2</v>
      </c>
      <c r="R2113" s="147">
        <v>4.3273299999999999</v>
      </c>
      <c r="S2113" s="38">
        <f t="shared" si="315"/>
        <v>4.5</v>
      </c>
      <c r="T2113" s="147">
        <v>0</v>
      </c>
      <c r="U2113" s="147">
        <v>0</v>
      </c>
      <c r="V2113" s="147">
        <f t="shared" si="337"/>
        <v>0.75</v>
      </c>
      <c r="W2113" s="147">
        <v>0.94140000000000001</v>
      </c>
      <c r="X2113" s="201">
        <v>0</v>
      </c>
      <c r="Y2113" s="38">
        <f t="shared" si="316"/>
        <v>0</v>
      </c>
      <c r="Z2113" s="201">
        <v>0</v>
      </c>
      <c r="AA2113" s="201">
        <v>1</v>
      </c>
      <c r="AB2113" s="201">
        <v>0</v>
      </c>
      <c r="AC2113" s="201">
        <v>0</v>
      </c>
      <c r="AD2113" s="147">
        <v>0</v>
      </c>
      <c r="AE2113" s="147">
        <v>0</v>
      </c>
      <c r="AF2113" s="201">
        <v>0</v>
      </c>
      <c r="AG2113" s="38">
        <f t="shared" si="317"/>
        <v>0</v>
      </c>
      <c r="AH2113" s="198"/>
      <c r="AI2113" s="198"/>
      <c r="AJ2113" s="198"/>
      <c r="AK2113" s="34"/>
      <c r="AL2113" s="34"/>
      <c r="AM2113" s="34"/>
      <c r="AN2113" s="61"/>
      <c r="AO2113" s="61"/>
      <c r="AP2113" s="61"/>
      <c r="AQ2113" s="61"/>
      <c r="AR2113" s="61"/>
      <c r="AS2113" s="61"/>
      <c r="AT2113" s="61"/>
      <c r="AU2113" s="61"/>
      <c r="AV2113" s="61"/>
      <c r="AW2113" s="61"/>
      <c r="AX2113" s="61"/>
      <c r="AY2113" s="61"/>
      <c r="AZ2113" s="61"/>
      <c r="BA2113" s="61"/>
      <c r="BB2113" s="61"/>
      <c r="BC2113" s="61"/>
      <c r="BD2113" s="61"/>
      <c r="BE2113" s="61"/>
      <c r="BF2113" s="61"/>
      <c r="BG2113" s="61"/>
      <c r="BH2113" s="61"/>
      <c r="BI2113" s="61"/>
      <c r="BJ2113" s="61"/>
      <c r="BK2113" s="61"/>
      <c r="BL2113" s="61"/>
      <c r="BM2113" s="61"/>
      <c r="BN2113" s="61"/>
      <c r="BO2113" s="61"/>
      <c r="BP2113" s="61"/>
      <c r="BQ2113" s="61"/>
      <c r="BR2113" s="61"/>
      <c r="BS2113" s="61"/>
      <c r="BT2113" s="61"/>
      <c r="BU2113" s="61"/>
      <c r="BV2113" s="61"/>
      <c r="BW2113" s="61"/>
      <c r="BX2113" s="61"/>
      <c r="BY2113" s="61"/>
      <c r="BZ2113" s="61"/>
      <c r="CA2113" s="61"/>
      <c r="CB2113" s="61"/>
      <c r="CC2113" s="61"/>
      <c r="CD2113" s="61"/>
      <c r="CE2113" s="61"/>
      <c r="CF2113" s="61"/>
      <c r="CG2113" s="61"/>
      <c r="CH2113" s="61"/>
      <c r="CI2113" s="61"/>
      <c r="CJ2113" s="61"/>
    </row>
    <row r="2114" spans="1:88">
      <c r="A2114" s="1">
        <v>1586</v>
      </c>
      <c r="B2114" s="34" t="s">
        <v>2137</v>
      </c>
      <c r="C2114" s="5">
        <v>416</v>
      </c>
      <c r="D2114" s="5">
        <v>345</v>
      </c>
      <c r="E2114" s="5">
        <v>200</v>
      </c>
      <c r="F2114" s="5" t="s">
        <v>2157</v>
      </c>
      <c r="G2114" s="53" t="s">
        <v>2163</v>
      </c>
      <c r="H2114" s="53" t="s">
        <v>2162</v>
      </c>
      <c r="I2114" s="198">
        <v>0.51</v>
      </c>
      <c r="J2114" s="78">
        <v>6</v>
      </c>
      <c r="K2114" s="5" t="s">
        <v>96</v>
      </c>
      <c r="L2114" s="10">
        <v>42249</v>
      </c>
      <c r="M2114" s="34" t="s">
        <v>218</v>
      </c>
      <c r="N2114" s="147">
        <v>0</v>
      </c>
      <c r="O2114" s="147">
        <v>2.5000000000000001E-2</v>
      </c>
      <c r="P2114" s="147">
        <v>0.35</v>
      </c>
      <c r="Q2114" s="147">
        <v>0.15</v>
      </c>
      <c r="R2114" s="147">
        <v>4.5490500000000003</v>
      </c>
      <c r="S2114" s="38">
        <f t="shared" si="315"/>
        <v>4.5</v>
      </c>
      <c r="T2114" s="147">
        <v>0</v>
      </c>
      <c r="U2114" s="147">
        <v>0</v>
      </c>
      <c r="V2114" s="147">
        <f t="shared" si="337"/>
        <v>0.52500000000000002</v>
      </c>
      <c r="W2114" s="147">
        <v>1.0471900000000001</v>
      </c>
      <c r="X2114" s="201">
        <v>0</v>
      </c>
      <c r="Y2114" s="38">
        <f t="shared" si="316"/>
        <v>0</v>
      </c>
      <c r="Z2114" s="201">
        <v>0</v>
      </c>
      <c r="AA2114" s="201">
        <v>0</v>
      </c>
      <c r="AB2114" s="201">
        <v>0</v>
      </c>
      <c r="AC2114" s="201">
        <v>0</v>
      </c>
      <c r="AD2114" s="147">
        <v>0</v>
      </c>
      <c r="AE2114" s="147">
        <v>0</v>
      </c>
      <c r="AF2114" s="201">
        <v>0</v>
      </c>
      <c r="AG2114" s="38">
        <f t="shared" si="317"/>
        <v>0</v>
      </c>
      <c r="AH2114" s="198"/>
      <c r="AI2114" s="198"/>
      <c r="AJ2114" s="198"/>
      <c r="AK2114" s="34"/>
      <c r="AL2114" s="34"/>
      <c r="AM2114" s="34"/>
      <c r="AN2114" s="61"/>
      <c r="AO2114" s="61"/>
      <c r="AP2114" s="61"/>
      <c r="AQ2114" s="61"/>
      <c r="AR2114" s="61"/>
      <c r="AS2114" s="61"/>
      <c r="AT2114" s="61"/>
      <c r="AU2114" s="61"/>
      <c r="AV2114" s="61"/>
      <c r="AW2114" s="61"/>
      <c r="AX2114" s="61"/>
      <c r="AY2114" s="61"/>
      <c r="AZ2114" s="61"/>
      <c r="BA2114" s="61"/>
      <c r="BB2114" s="61"/>
      <c r="BC2114" s="61"/>
      <c r="BD2114" s="61"/>
      <c r="BE2114" s="61"/>
      <c r="BF2114" s="61"/>
      <c r="BG2114" s="61"/>
      <c r="BH2114" s="61"/>
      <c r="BI2114" s="61"/>
      <c r="BJ2114" s="61"/>
      <c r="BK2114" s="61"/>
      <c r="BL2114" s="61"/>
      <c r="BM2114" s="61"/>
      <c r="BN2114" s="61"/>
      <c r="BO2114" s="61"/>
      <c r="BP2114" s="61"/>
      <c r="BQ2114" s="61"/>
      <c r="BR2114" s="61"/>
      <c r="BS2114" s="61"/>
      <c r="BT2114" s="61"/>
      <c r="BU2114" s="61"/>
      <c r="BV2114" s="61"/>
      <c r="BW2114" s="61"/>
      <c r="BX2114" s="61"/>
      <c r="BY2114" s="61"/>
      <c r="BZ2114" s="61"/>
      <c r="CA2114" s="61"/>
      <c r="CB2114" s="61"/>
      <c r="CC2114" s="61"/>
      <c r="CD2114" s="61"/>
      <c r="CE2114" s="61"/>
      <c r="CF2114" s="61"/>
      <c r="CG2114" s="61"/>
      <c r="CH2114" s="61"/>
      <c r="CI2114" s="61"/>
      <c r="CJ2114" s="61"/>
    </row>
    <row r="2115" spans="1:88">
      <c r="A2115" s="1">
        <v>1587</v>
      </c>
      <c r="B2115" s="34" t="s">
        <v>2137</v>
      </c>
      <c r="C2115" s="5">
        <v>416</v>
      </c>
      <c r="D2115" s="5">
        <v>345</v>
      </c>
      <c r="E2115" s="5">
        <v>200</v>
      </c>
      <c r="F2115" s="5" t="s">
        <v>2157</v>
      </c>
      <c r="G2115" s="53" t="s">
        <v>2164</v>
      </c>
      <c r="H2115" s="53" t="s">
        <v>2165</v>
      </c>
      <c r="I2115" s="198">
        <v>1.3220000000000001</v>
      </c>
      <c r="J2115" s="78">
        <v>6</v>
      </c>
      <c r="K2115" s="5" t="s">
        <v>237</v>
      </c>
      <c r="L2115" s="10">
        <v>42249</v>
      </c>
      <c r="M2115" s="34" t="s">
        <v>218</v>
      </c>
      <c r="N2115" s="147">
        <v>0.85</v>
      </c>
      <c r="O2115" s="147">
        <v>0.3</v>
      </c>
      <c r="P2115" s="147">
        <v>0.17499999999999999</v>
      </c>
      <c r="Q2115" s="147">
        <v>0</v>
      </c>
      <c r="R2115" s="147">
        <v>2.3775499999999998</v>
      </c>
      <c r="S2115" s="38">
        <f t="shared" ref="S2115:S2178" si="338">ROUND(R2115/5,1)*5</f>
        <v>2.5</v>
      </c>
      <c r="T2115" s="147">
        <v>0</v>
      </c>
      <c r="U2115" s="147">
        <v>0</v>
      </c>
      <c r="V2115" s="147">
        <f t="shared" si="337"/>
        <v>1.325</v>
      </c>
      <c r="W2115" s="147">
        <v>1.1145700000000001</v>
      </c>
      <c r="X2115" s="201">
        <v>0</v>
      </c>
      <c r="Y2115" s="38">
        <f t="shared" ref="Y2115:Y2178" si="339">ROUND(X2115/5,1)*5</f>
        <v>0</v>
      </c>
      <c r="Z2115" s="201">
        <v>0</v>
      </c>
      <c r="AA2115" s="201">
        <v>0</v>
      </c>
      <c r="AB2115" s="201">
        <v>0</v>
      </c>
      <c r="AC2115" s="201">
        <v>0</v>
      </c>
      <c r="AD2115" s="147">
        <v>0</v>
      </c>
      <c r="AE2115" s="147">
        <v>0</v>
      </c>
      <c r="AF2115" s="201">
        <v>0</v>
      </c>
      <c r="AG2115" s="38">
        <f t="shared" ref="AG2115:AG2178" si="340">ROUND(AF2115,1)</f>
        <v>0</v>
      </c>
      <c r="AH2115" s="198"/>
      <c r="AI2115" s="198"/>
      <c r="AJ2115" s="198"/>
      <c r="AK2115" s="34"/>
      <c r="AL2115" s="34"/>
      <c r="AM2115" s="34"/>
      <c r="AN2115" s="61"/>
      <c r="AO2115" s="61"/>
      <c r="AP2115" s="61"/>
      <c r="AQ2115" s="61"/>
      <c r="AR2115" s="61"/>
      <c r="AS2115" s="61"/>
      <c r="AT2115" s="61"/>
      <c r="AU2115" s="61"/>
      <c r="AV2115" s="61"/>
      <c r="AW2115" s="61"/>
      <c r="AX2115" s="61"/>
      <c r="AY2115" s="61"/>
      <c r="AZ2115" s="61"/>
      <c r="BA2115" s="61"/>
      <c r="BB2115" s="61"/>
      <c r="BC2115" s="61"/>
      <c r="BD2115" s="61"/>
      <c r="BE2115" s="61"/>
      <c r="BF2115" s="61"/>
      <c r="BG2115" s="61"/>
      <c r="BH2115" s="61"/>
      <c r="BI2115" s="61"/>
      <c r="BJ2115" s="61"/>
      <c r="BK2115" s="61"/>
      <c r="BL2115" s="61"/>
      <c r="BM2115" s="61"/>
      <c r="BN2115" s="61"/>
      <c r="BO2115" s="61"/>
      <c r="BP2115" s="61"/>
      <c r="BQ2115" s="61"/>
      <c r="BR2115" s="61"/>
      <c r="BS2115" s="61"/>
      <c r="BT2115" s="61"/>
      <c r="BU2115" s="61"/>
      <c r="BV2115" s="61"/>
      <c r="BW2115" s="61"/>
      <c r="BX2115" s="61"/>
      <c r="BY2115" s="61"/>
      <c r="BZ2115" s="61"/>
      <c r="CA2115" s="61"/>
      <c r="CB2115" s="61"/>
      <c r="CC2115" s="61"/>
      <c r="CD2115" s="61"/>
      <c r="CE2115" s="61"/>
      <c r="CF2115" s="61"/>
      <c r="CG2115" s="61"/>
      <c r="CH2115" s="61"/>
      <c r="CI2115" s="61"/>
      <c r="CJ2115" s="61"/>
    </row>
    <row r="2116" spans="1:88">
      <c r="A2116" s="1">
        <v>1588</v>
      </c>
      <c r="B2116" s="34" t="s">
        <v>2137</v>
      </c>
      <c r="C2116" s="5">
        <v>416</v>
      </c>
      <c r="D2116" s="5">
        <v>345</v>
      </c>
      <c r="E2116" s="5">
        <v>200</v>
      </c>
      <c r="F2116" s="5" t="s">
        <v>2157</v>
      </c>
      <c r="G2116" s="53" t="s">
        <v>2164</v>
      </c>
      <c r="H2116" s="53" t="s">
        <v>2163</v>
      </c>
      <c r="I2116" s="198">
        <v>0.77</v>
      </c>
      <c r="J2116" s="78">
        <v>6</v>
      </c>
      <c r="K2116" s="5" t="s">
        <v>96</v>
      </c>
      <c r="L2116" s="10">
        <v>42249</v>
      </c>
      <c r="M2116" s="34" t="s">
        <v>218</v>
      </c>
      <c r="N2116" s="147">
        <v>0</v>
      </c>
      <c r="O2116" s="147">
        <v>7.4999999999999997E-2</v>
      </c>
      <c r="P2116" s="147">
        <v>0.57499999999999996</v>
      </c>
      <c r="Q2116" s="147">
        <v>0.15</v>
      </c>
      <c r="R2116" s="147">
        <v>4.5153100000000004</v>
      </c>
      <c r="S2116" s="38">
        <f t="shared" si="338"/>
        <v>4.5</v>
      </c>
      <c r="T2116" s="147">
        <v>0</v>
      </c>
      <c r="U2116" s="147">
        <v>0</v>
      </c>
      <c r="V2116" s="147">
        <f t="shared" si="337"/>
        <v>0.79999999999999993</v>
      </c>
      <c r="W2116" s="147">
        <v>1.0183800000000001</v>
      </c>
      <c r="X2116" s="201">
        <v>0</v>
      </c>
      <c r="Y2116" s="38">
        <f t="shared" si="339"/>
        <v>0</v>
      </c>
      <c r="Z2116" s="201">
        <v>0</v>
      </c>
      <c r="AA2116" s="201">
        <v>0</v>
      </c>
      <c r="AB2116" s="201">
        <v>0</v>
      </c>
      <c r="AC2116" s="201">
        <v>0</v>
      </c>
      <c r="AD2116" s="147">
        <v>0</v>
      </c>
      <c r="AE2116" s="147">
        <v>0</v>
      </c>
      <c r="AF2116" s="201">
        <v>0</v>
      </c>
      <c r="AG2116" s="38">
        <f t="shared" si="340"/>
        <v>0</v>
      </c>
      <c r="AH2116" s="198"/>
      <c r="AI2116" s="198"/>
      <c r="AJ2116" s="198"/>
      <c r="AK2116" s="34"/>
      <c r="AL2116" s="34"/>
      <c r="AM2116" s="34"/>
      <c r="AN2116" s="61"/>
      <c r="AO2116" s="61"/>
      <c r="AP2116" s="61"/>
      <c r="AQ2116" s="61"/>
      <c r="AR2116" s="61"/>
      <c r="AS2116" s="61"/>
      <c r="AT2116" s="61"/>
      <c r="AU2116" s="61"/>
      <c r="AV2116" s="61"/>
      <c r="AW2116" s="61"/>
      <c r="AX2116" s="61"/>
      <c r="AY2116" s="61"/>
      <c r="AZ2116" s="61"/>
      <c r="BA2116" s="61"/>
      <c r="BB2116" s="61"/>
      <c r="BC2116" s="61"/>
      <c r="BD2116" s="61"/>
      <c r="BE2116" s="61"/>
      <c r="BF2116" s="61"/>
      <c r="BG2116" s="61"/>
      <c r="BH2116" s="61"/>
      <c r="BI2116" s="61"/>
      <c r="BJ2116" s="61"/>
      <c r="BK2116" s="61"/>
      <c r="BL2116" s="61"/>
      <c r="BM2116" s="61"/>
      <c r="BN2116" s="61"/>
      <c r="BO2116" s="61"/>
      <c r="BP2116" s="61"/>
      <c r="BQ2116" s="61"/>
      <c r="BR2116" s="61"/>
      <c r="BS2116" s="61"/>
      <c r="BT2116" s="61"/>
      <c r="BU2116" s="61"/>
      <c r="BV2116" s="61"/>
      <c r="BW2116" s="61"/>
      <c r="BX2116" s="61"/>
      <c r="BY2116" s="61"/>
      <c r="BZ2116" s="61"/>
      <c r="CA2116" s="61"/>
      <c r="CB2116" s="61"/>
      <c r="CC2116" s="61"/>
      <c r="CD2116" s="61"/>
      <c r="CE2116" s="61"/>
      <c r="CF2116" s="61"/>
      <c r="CG2116" s="61"/>
      <c r="CH2116" s="61"/>
      <c r="CI2116" s="61"/>
      <c r="CJ2116" s="61"/>
    </row>
    <row r="2117" spans="1:88">
      <c r="A2117" s="1">
        <v>1589</v>
      </c>
      <c r="B2117" s="34" t="s">
        <v>2137</v>
      </c>
      <c r="C2117" s="5">
        <v>416</v>
      </c>
      <c r="D2117" s="5">
        <v>345</v>
      </c>
      <c r="E2117" s="5">
        <v>200</v>
      </c>
      <c r="F2117" s="5" t="s">
        <v>2157</v>
      </c>
      <c r="G2117" s="53" t="s">
        <v>2165</v>
      </c>
      <c r="H2117" s="53" t="s">
        <v>2164</v>
      </c>
      <c r="I2117" s="198">
        <v>1.3220000000000001</v>
      </c>
      <c r="J2117" s="78">
        <v>6</v>
      </c>
      <c r="K2117" s="5" t="s">
        <v>96</v>
      </c>
      <c r="L2117" s="10">
        <v>42249</v>
      </c>
      <c r="M2117" s="34" t="s">
        <v>218</v>
      </c>
      <c r="N2117" s="147">
        <v>7.4999999999999997E-2</v>
      </c>
      <c r="O2117" s="147">
        <v>0.47499999999999998</v>
      </c>
      <c r="P2117" s="147">
        <v>0.72499999999999998</v>
      </c>
      <c r="Q2117" s="147">
        <v>0.05</v>
      </c>
      <c r="R2117" s="147">
        <v>3.6769799999999999</v>
      </c>
      <c r="S2117" s="38">
        <f t="shared" si="338"/>
        <v>3.5</v>
      </c>
      <c r="T2117" s="147">
        <v>0</v>
      </c>
      <c r="U2117" s="147">
        <v>0</v>
      </c>
      <c r="V2117" s="147">
        <f t="shared" si="337"/>
        <v>1.325</v>
      </c>
      <c r="W2117" s="147">
        <v>1.1105100000000001</v>
      </c>
      <c r="X2117" s="201">
        <v>0</v>
      </c>
      <c r="Y2117" s="38">
        <f t="shared" si="339"/>
        <v>0</v>
      </c>
      <c r="Z2117" s="201">
        <v>0</v>
      </c>
      <c r="AA2117" s="201">
        <v>0</v>
      </c>
      <c r="AB2117" s="201">
        <v>0</v>
      </c>
      <c r="AC2117" s="201">
        <v>0</v>
      </c>
      <c r="AD2117" s="147">
        <v>0</v>
      </c>
      <c r="AE2117" s="147">
        <v>0</v>
      </c>
      <c r="AF2117" s="201">
        <v>0</v>
      </c>
      <c r="AG2117" s="38">
        <f t="shared" si="340"/>
        <v>0</v>
      </c>
      <c r="AH2117" s="198"/>
      <c r="AI2117" s="198"/>
      <c r="AJ2117" s="198"/>
      <c r="AK2117" s="34"/>
      <c r="AL2117" s="34"/>
      <c r="AM2117" s="34"/>
      <c r="AN2117" s="61"/>
      <c r="AO2117" s="61"/>
      <c r="AP2117" s="61"/>
      <c r="AQ2117" s="61"/>
      <c r="AR2117" s="61"/>
      <c r="AS2117" s="61"/>
      <c r="AT2117" s="61"/>
      <c r="AU2117" s="61"/>
      <c r="AV2117" s="61"/>
      <c r="AW2117" s="61"/>
      <c r="AX2117" s="61"/>
      <c r="AY2117" s="61"/>
      <c r="AZ2117" s="61"/>
      <c r="BA2117" s="61"/>
      <c r="BB2117" s="61"/>
      <c r="BC2117" s="61"/>
      <c r="BD2117" s="61"/>
      <c r="BE2117" s="61"/>
      <c r="BF2117" s="61"/>
      <c r="BG2117" s="61"/>
      <c r="BH2117" s="61"/>
      <c r="BI2117" s="61"/>
      <c r="BJ2117" s="61"/>
      <c r="BK2117" s="61"/>
      <c r="BL2117" s="61"/>
      <c r="BM2117" s="61"/>
      <c r="BN2117" s="61"/>
      <c r="BO2117" s="61"/>
      <c r="BP2117" s="61"/>
      <c r="BQ2117" s="61"/>
      <c r="BR2117" s="61"/>
      <c r="BS2117" s="61"/>
      <c r="BT2117" s="61"/>
      <c r="BU2117" s="61"/>
      <c r="BV2117" s="61"/>
      <c r="BW2117" s="61"/>
      <c r="BX2117" s="61"/>
      <c r="BY2117" s="61"/>
      <c r="BZ2117" s="61"/>
      <c r="CA2117" s="61"/>
      <c r="CB2117" s="61"/>
      <c r="CC2117" s="61"/>
      <c r="CD2117" s="61"/>
      <c r="CE2117" s="61"/>
      <c r="CF2117" s="61"/>
      <c r="CG2117" s="61"/>
      <c r="CH2117" s="61"/>
      <c r="CI2117" s="61"/>
      <c r="CJ2117" s="61"/>
    </row>
    <row r="2118" spans="1:88">
      <c r="A2118" s="1">
        <v>1596</v>
      </c>
      <c r="B2118" s="34" t="s">
        <v>2137</v>
      </c>
      <c r="C2118" s="5">
        <v>416</v>
      </c>
      <c r="D2118" s="5">
        <v>346</v>
      </c>
      <c r="E2118" s="5">
        <v>101</v>
      </c>
      <c r="F2118" s="5" t="s">
        <v>2166</v>
      </c>
      <c r="G2118" s="53" t="s">
        <v>2167</v>
      </c>
      <c r="H2118" s="53" t="s">
        <v>92</v>
      </c>
      <c r="I2118" s="198">
        <v>1.1839999999999999</v>
      </c>
      <c r="J2118" s="78">
        <v>10</v>
      </c>
      <c r="K2118" s="5" t="s">
        <v>96</v>
      </c>
      <c r="L2118" s="10">
        <v>42249</v>
      </c>
      <c r="M2118" s="34" t="s">
        <v>218</v>
      </c>
      <c r="N2118" s="147">
        <v>0.2</v>
      </c>
      <c r="O2118" s="147">
        <v>0.45</v>
      </c>
      <c r="P2118" s="147">
        <v>0.1</v>
      </c>
      <c r="Q2118" s="147">
        <v>0.32500000000000001</v>
      </c>
      <c r="R2118" s="147">
        <v>3.9223300000000001</v>
      </c>
      <c r="S2118" s="38">
        <f t="shared" si="338"/>
        <v>4</v>
      </c>
      <c r="T2118" s="147">
        <v>0</v>
      </c>
      <c r="U2118" s="147">
        <v>0</v>
      </c>
      <c r="V2118" s="147">
        <f t="shared" si="337"/>
        <v>1.075</v>
      </c>
      <c r="W2118" s="147">
        <v>0.96141900000000002</v>
      </c>
      <c r="X2118" s="201">
        <v>0</v>
      </c>
      <c r="Y2118" s="38">
        <f t="shared" si="339"/>
        <v>0</v>
      </c>
      <c r="Z2118" s="201">
        <v>0</v>
      </c>
      <c r="AA2118" s="201">
        <v>0</v>
      </c>
      <c r="AB2118" s="201">
        <v>0</v>
      </c>
      <c r="AC2118" s="201">
        <v>0</v>
      </c>
      <c r="AD2118" s="147">
        <v>0</v>
      </c>
      <c r="AE2118" s="147">
        <v>0</v>
      </c>
      <c r="AF2118" s="201">
        <v>0</v>
      </c>
      <c r="AG2118" s="38">
        <f t="shared" si="340"/>
        <v>0</v>
      </c>
      <c r="AH2118" s="198"/>
      <c r="AI2118" s="198"/>
      <c r="AJ2118" s="198"/>
      <c r="AK2118" s="34"/>
      <c r="AL2118" s="34"/>
      <c r="AM2118" s="34"/>
      <c r="AN2118" s="61"/>
      <c r="AO2118" s="61"/>
      <c r="AP2118" s="61"/>
      <c r="AQ2118" s="61"/>
      <c r="AR2118" s="61"/>
      <c r="AS2118" s="61"/>
      <c r="AT2118" s="61"/>
      <c r="AU2118" s="61"/>
      <c r="AV2118" s="61"/>
      <c r="AW2118" s="61"/>
      <c r="AX2118" s="61"/>
      <c r="AY2118" s="61"/>
      <c r="AZ2118" s="61"/>
      <c r="BA2118" s="61"/>
      <c r="BB2118" s="61"/>
      <c r="BC2118" s="61"/>
      <c r="BD2118" s="61"/>
      <c r="BE2118" s="61"/>
      <c r="BF2118" s="61"/>
      <c r="BG2118" s="61"/>
      <c r="BH2118" s="61"/>
      <c r="BI2118" s="61"/>
      <c r="BJ2118" s="61"/>
      <c r="BK2118" s="61"/>
      <c r="BL2118" s="61"/>
      <c r="BM2118" s="61"/>
      <c r="BN2118" s="61"/>
      <c r="BO2118" s="61"/>
      <c r="BP2118" s="61"/>
      <c r="BQ2118" s="61"/>
      <c r="BR2118" s="61"/>
      <c r="BS2118" s="61"/>
      <c r="BT2118" s="61"/>
      <c r="BU2118" s="61"/>
      <c r="BV2118" s="61"/>
      <c r="BW2118" s="61"/>
      <c r="BX2118" s="61"/>
      <c r="BY2118" s="61"/>
      <c r="BZ2118" s="61"/>
      <c r="CA2118" s="61"/>
      <c r="CB2118" s="61"/>
      <c r="CC2118" s="61"/>
      <c r="CD2118" s="61"/>
      <c r="CE2118" s="61"/>
      <c r="CF2118" s="61"/>
      <c r="CG2118" s="61"/>
      <c r="CH2118" s="61"/>
      <c r="CI2118" s="61"/>
      <c r="CJ2118" s="61"/>
    </row>
    <row r="2119" spans="1:88">
      <c r="A2119" s="1">
        <v>1597</v>
      </c>
      <c r="B2119" s="34" t="s">
        <v>2137</v>
      </c>
      <c r="C2119" s="5">
        <v>416</v>
      </c>
      <c r="D2119" s="5">
        <v>346</v>
      </c>
      <c r="E2119" s="5">
        <v>101</v>
      </c>
      <c r="F2119" s="5" t="s">
        <v>2166</v>
      </c>
      <c r="G2119" s="53" t="s">
        <v>2168</v>
      </c>
      <c r="H2119" s="53" t="s">
        <v>2167</v>
      </c>
      <c r="I2119" s="198">
        <v>0.55600000000000005</v>
      </c>
      <c r="J2119" s="78">
        <v>10</v>
      </c>
      <c r="K2119" s="5" t="s">
        <v>96</v>
      </c>
      <c r="L2119" s="10">
        <v>42249</v>
      </c>
      <c r="M2119" s="34" t="s">
        <v>218</v>
      </c>
      <c r="N2119" s="147">
        <v>0</v>
      </c>
      <c r="O2119" s="147">
        <v>0.27500000000000002</v>
      </c>
      <c r="P2119" s="147">
        <v>0.17499999999999999</v>
      </c>
      <c r="Q2119" s="147">
        <v>0.17499999999999999</v>
      </c>
      <c r="R2119" s="147">
        <v>4.4867999999999997</v>
      </c>
      <c r="S2119" s="38">
        <f t="shared" si="338"/>
        <v>4.5</v>
      </c>
      <c r="T2119" s="147">
        <v>0</v>
      </c>
      <c r="U2119" s="147">
        <v>0</v>
      </c>
      <c r="V2119" s="147">
        <f t="shared" si="337"/>
        <v>0.625</v>
      </c>
      <c r="W2119" s="147">
        <v>0.95687999999999995</v>
      </c>
      <c r="X2119" s="201">
        <v>0</v>
      </c>
      <c r="Y2119" s="38">
        <f t="shared" si="339"/>
        <v>0</v>
      </c>
      <c r="Z2119" s="201">
        <v>0</v>
      </c>
      <c r="AA2119" s="201">
        <v>0</v>
      </c>
      <c r="AB2119" s="201">
        <v>0</v>
      </c>
      <c r="AC2119" s="201">
        <v>0</v>
      </c>
      <c r="AD2119" s="147">
        <v>0</v>
      </c>
      <c r="AE2119" s="147">
        <v>0</v>
      </c>
      <c r="AF2119" s="201">
        <v>0</v>
      </c>
      <c r="AG2119" s="38">
        <f t="shared" si="340"/>
        <v>0</v>
      </c>
      <c r="AH2119" s="198"/>
      <c r="AI2119" s="198"/>
      <c r="AJ2119" s="198"/>
      <c r="AK2119" s="34"/>
      <c r="AL2119" s="34"/>
      <c r="AM2119" s="34"/>
      <c r="AN2119" s="61"/>
      <c r="AO2119" s="61"/>
      <c r="AP2119" s="61"/>
      <c r="AQ2119" s="61"/>
      <c r="AR2119" s="61"/>
      <c r="AS2119" s="61"/>
      <c r="AT2119" s="61"/>
      <c r="AU2119" s="61"/>
      <c r="AV2119" s="61"/>
      <c r="AW2119" s="61"/>
      <c r="AX2119" s="61"/>
      <c r="AY2119" s="61"/>
      <c r="AZ2119" s="61"/>
      <c r="BA2119" s="61"/>
      <c r="BB2119" s="61"/>
      <c r="BC2119" s="61"/>
      <c r="BD2119" s="61"/>
      <c r="BE2119" s="61"/>
      <c r="BF2119" s="61"/>
      <c r="BG2119" s="61"/>
      <c r="BH2119" s="61"/>
      <c r="BI2119" s="61"/>
      <c r="BJ2119" s="61"/>
      <c r="BK2119" s="61"/>
      <c r="BL2119" s="61"/>
      <c r="BM2119" s="61"/>
      <c r="BN2119" s="61"/>
      <c r="BO2119" s="61"/>
      <c r="BP2119" s="61"/>
      <c r="BQ2119" s="61"/>
      <c r="BR2119" s="61"/>
      <c r="BS2119" s="61"/>
      <c r="BT2119" s="61"/>
      <c r="BU2119" s="61"/>
      <c r="BV2119" s="61"/>
      <c r="BW2119" s="61"/>
      <c r="BX2119" s="61"/>
      <c r="BY2119" s="61"/>
      <c r="BZ2119" s="61"/>
      <c r="CA2119" s="61"/>
      <c r="CB2119" s="61"/>
      <c r="CC2119" s="61"/>
      <c r="CD2119" s="61"/>
      <c r="CE2119" s="61"/>
      <c r="CF2119" s="61"/>
      <c r="CG2119" s="61"/>
      <c r="CH2119" s="61"/>
      <c r="CI2119" s="61"/>
      <c r="CJ2119" s="61"/>
    </row>
    <row r="2120" spans="1:88">
      <c r="A2120" s="1">
        <v>1600</v>
      </c>
      <c r="B2120" s="34" t="s">
        <v>2137</v>
      </c>
      <c r="C2120" s="5">
        <v>416</v>
      </c>
      <c r="D2120" s="5">
        <v>346</v>
      </c>
      <c r="E2120" s="5">
        <v>102</v>
      </c>
      <c r="F2120" s="5" t="s">
        <v>2169</v>
      </c>
      <c r="G2120" s="53" t="s">
        <v>2170</v>
      </c>
      <c r="H2120" s="53" t="s">
        <v>2168</v>
      </c>
      <c r="I2120" s="198">
        <v>1.1839999999999999</v>
      </c>
      <c r="J2120" s="78">
        <v>6</v>
      </c>
      <c r="K2120" s="5" t="s">
        <v>96</v>
      </c>
      <c r="L2120" s="10">
        <v>42249</v>
      </c>
      <c r="M2120" s="34" t="s">
        <v>218</v>
      </c>
      <c r="N2120" s="147">
        <v>0.5</v>
      </c>
      <c r="O2120" s="147">
        <v>0.22500000000000001</v>
      </c>
      <c r="P2120" s="147">
        <v>0.22500000000000001</v>
      </c>
      <c r="Q2120" s="147">
        <v>0.1</v>
      </c>
      <c r="R2120" s="147">
        <v>3.09762</v>
      </c>
      <c r="S2120" s="38">
        <f t="shared" si="338"/>
        <v>3</v>
      </c>
      <c r="T2120" s="147">
        <v>0</v>
      </c>
      <c r="U2120" s="147">
        <v>0</v>
      </c>
      <c r="V2120" s="147">
        <f t="shared" si="337"/>
        <v>1.05</v>
      </c>
      <c r="W2120" s="147">
        <v>0.95511900000000005</v>
      </c>
      <c r="X2120" s="201">
        <v>0</v>
      </c>
      <c r="Y2120" s="38">
        <f t="shared" si="339"/>
        <v>0</v>
      </c>
      <c r="Z2120" s="201">
        <v>0</v>
      </c>
      <c r="AA2120" s="201">
        <v>0</v>
      </c>
      <c r="AB2120" s="201">
        <v>0</v>
      </c>
      <c r="AC2120" s="201">
        <v>0</v>
      </c>
      <c r="AD2120" s="147">
        <v>0</v>
      </c>
      <c r="AE2120" s="147">
        <v>0</v>
      </c>
      <c r="AF2120" s="201">
        <v>0</v>
      </c>
      <c r="AG2120" s="38">
        <f t="shared" si="340"/>
        <v>0</v>
      </c>
      <c r="AH2120" s="198"/>
      <c r="AI2120" s="198"/>
      <c r="AJ2120" s="198"/>
      <c r="AK2120" s="34"/>
      <c r="AL2120" s="34"/>
      <c r="AM2120" s="34"/>
      <c r="AN2120" s="61"/>
      <c r="AO2120" s="61"/>
      <c r="AP2120" s="61"/>
      <c r="AQ2120" s="61"/>
      <c r="AR2120" s="61"/>
      <c r="AS2120" s="61"/>
      <c r="AT2120" s="61"/>
      <c r="AU2120" s="61"/>
      <c r="AV2120" s="61"/>
      <c r="AW2120" s="61"/>
      <c r="AX2120" s="61"/>
      <c r="AY2120" s="61"/>
      <c r="AZ2120" s="61"/>
      <c r="BA2120" s="61"/>
      <c r="BB2120" s="61"/>
      <c r="BC2120" s="61"/>
      <c r="BD2120" s="61"/>
      <c r="BE2120" s="61"/>
      <c r="BF2120" s="61"/>
      <c r="BG2120" s="61"/>
      <c r="BH2120" s="61"/>
      <c r="BI2120" s="61"/>
      <c r="BJ2120" s="61"/>
      <c r="BK2120" s="61"/>
      <c r="BL2120" s="61"/>
      <c r="BM2120" s="61"/>
      <c r="BN2120" s="61"/>
      <c r="BO2120" s="61"/>
      <c r="BP2120" s="61"/>
      <c r="BQ2120" s="61"/>
      <c r="BR2120" s="61"/>
      <c r="BS2120" s="61"/>
      <c r="BT2120" s="61"/>
      <c r="BU2120" s="61"/>
      <c r="BV2120" s="61"/>
      <c r="BW2120" s="61"/>
      <c r="BX2120" s="61"/>
      <c r="BY2120" s="61"/>
      <c r="BZ2120" s="61"/>
      <c r="CA2120" s="61"/>
      <c r="CB2120" s="61"/>
      <c r="CC2120" s="61"/>
      <c r="CD2120" s="61"/>
      <c r="CE2120" s="61"/>
      <c r="CF2120" s="61"/>
      <c r="CG2120" s="61"/>
      <c r="CH2120" s="61"/>
      <c r="CI2120" s="61"/>
      <c r="CJ2120" s="61"/>
    </row>
    <row r="2121" spans="1:88">
      <c r="A2121" s="1">
        <v>1602</v>
      </c>
      <c r="B2121" s="34" t="s">
        <v>2137</v>
      </c>
      <c r="C2121" s="5">
        <v>416</v>
      </c>
      <c r="D2121" s="5">
        <v>346</v>
      </c>
      <c r="E2121" s="5">
        <v>102</v>
      </c>
      <c r="F2121" s="5" t="s">
        <v>2169</v>
      </c>
      <c r="G2121" s="53" t="s">
        <v>2171</v>
      </c>
      <c r="H2121" s="53" t="s">
        <v>2170</v>
      </c>
      <c r="I2121" s="198">
        <v>4.5709999999999997</v>
      </c>
      <c r="J2121" s="78">
        <v>6</v>
      </c>
      <c r="K2121" s="5" t="s">
        <v>96</v>
      </c>
      <c r="L2121" s="10">
        <v>42249</v>
      </c>
      <c r="M2121" s="34" t="s">
        <v>218</v>
      </c>
      <c r="N2121" s="147">
        <v>2.85</v>
      </c>
      <c r="O2121" s="147">
        <v>1.2</v>
      </c>
      <c r="P2121" s="147">
        <v>0.42499999999999999</v>
      </c>
      <c r="Q2121" s="147">
        <v>0.22500000000000001</v>
      </c>
      <c r="R2121" s="147">
        <v>2.5673400000000002</v>
      </c>
      <c r="S2121" s="38">
        <f t="shared" si="338"/>
        <v>2.5</v>
      </c>
      <c r="T2121" s="147">
        <v>0</v>
      </c>
      <c r="U2121" s="147">
        <v>0</v>
      </c>
      <c r="V2121" s="147">
        <f t="shared" si="337"/>
        <v>4.6999999999999993</v>
      </c>
      <c r="W2121" s="147">
        <v>0.93</v>
      </c>
      <c r="X2121" s="201">
        <v>0</v>
      </c>
      <c r="Y2121" s="38">
        <f t="shared" si="339"/>
        <v>0</v>
      </c>
      <c r="Z2121" s="201">
        <v>0</v>
      </c>
      <c r="AA2121" s="201">
        <v>0</v>
      </c>
      <c r="AB2121" s="201">
        <v>0</v>
      </c>
      <c r="AC2121" s="201">
        <v>0</v>
      </c>
      <c r="AD2121" s="147">
        <v>0</v>
      </c>
      <c r="AE2121" s="147">
        <v>0</v>
      </c>
      <c r="AF2121" s="201">
        <v>0</v>
      </c>
      <c r="AG2121" s="38">
        <f t="shared" si="340"/>
        <v>0</v>
      </c>
      <c r="AH2121" s="198"/>
      <c r="AI2121" s="198"/>
      <c r="AJ2121" s="198"/>
      <c r="AK2121" s="34"/>
      <c r="AL2121" s="34"/>
      <c r="AM2121" s="34"/>
      <c r="AN2121" s="61"/>
      <c r="AO2121" s="61"/>
      <c r="AP2121" s="61"/>
      <c r="AQ2121" s="61"/>
      <c r="AR2121" s="61"/>
      <c r="AS2121" s="61"/>
      <c r="AT2121" s="61"/>
      <c r="AU2121" s="61"/>
      <c r="AV2121" s="61"/>
      <c r="AW2121" s="61"/>
      <c r="AX2121" s="61"/>
      <c r="AY2121" s="61"/>
      <c r="AZ2121" s="61"/>
      <c r="BA2121" s="61"/>
      <c r="BB2121" s="61"/>
      <c r="BC2121" s="61"/>
      <c r="BD2121" s="61"/>
      <c r="BE2121" s="61"/>
      <c r="BF2121" s="61"/>
      <c r="BG2121" s="61"/>
      <c r="BH2121" s="61"/>
      <c r="BI2121" s="61"/>
      <c r="BJ2121" s="61"/>
      <c r="BK2121" s="61"/>
      <c r="BL2121" s="61"/>
      <c r="BM2121" s="61"/>
      <c r="BN2121" s="61"/>
      <c r="BO2121" s="61"/>
      <c r="BP2121" s="61"/>
      <c r="BQ2121" s="61"/>
      <c r="BR2121" s="61"/>
      <c r="BS2121" s="61"/>
      <c r="BT2121" s="61"/>
      <c r="BU2121" s="61"/>
      <c r="BV2121" s="61"/>
      <c r="BW2121" s="61"/>
      <c r="BX2121" s="61"/>
      <c r="BY2121" s="61"/>
      <c r="BZ2121" s="61"/>
      <c r="CA2121" s="61"/>
      <c r="CB2121" s="61"/>
      <c r="CC2121" s="61"/>
      <c r="CD2121" s="61"/>
      <c r="CE2121" s="61"/>
      <c r="CF2121" s="61"/>
      <c r="CG2121" s="61"/>
      <c r="CH2121" s="61"/>
      <c r="CI2121" s="61"/>
      <c r="CJ2121" s="61"/>
    </row>
    <row r="2122" spans="1:88">
      <c r="A2122" s="1">
        <v>1603</v>
      </c>
      <c r="B2122" s="34" t="s">
        <v>2137</v>
      </c>
      <c r="C2122" s="5">
        <v>416</v>
      </c>
      <c r="D2122" s="5">
        <v>346</v>
      </c>
      <c r="E2122" s="5">
        <v>102</v>
      </c>
      <c r="F2122" s="5" t="s">
        <v>2169</v>
      </c>
      <c r="G2122" s="53" t="s">
        <v>2172</v>
      </c>
      <c r="H2122" s="53" t="s">
        <v>2171</v>
      </c>
      <c r="I2122" s="198">
        <v>1.244</v>
      </c>
      <c r="J2122" s="78">
        <v>6</v>
      </c>
      <c r="K2122" s="5" t="s">
        <v>96</v>
      </c>
      <c r="L2122" s="10">
        <v>42249</v>
      </c>
      <c r="M2122" s="34" t="s">
        <v>218</v>
      </c>
      <c r="N2122" s="147">
        <v>0.05</v>
      </c>
      <c r="O2122" s="147">
        <v>0.17499999999999999</v>
      </c>
      <c r="P2122" s="147">
        <v>0.42499999999999999</v>
      </c>
      <c r="Q2122" s="147">
        <v>0.6</v>
      </c>
      <c r="R2122" s="147">
        <v>5.1180000000000003</v>
      </c>
      <c r="S2122" s="38">
        <f t="shared" si="338"/>
        <v>5</v>
      </c>
      <c r="T2122" s="147">
        <v>0</v>
      </c>
      <c r="U2122" s="147">
        <v>0</v>
      </c>
      <c r="V2122" s="147">
        <f t="shared" si="337"/>
        <v>1.25</v>
      </c>
      <c r="W2122" s="147">
        <v>1.0049399999999999</v>
      </c>
      <c r="X2122" s="201">
        <v>0</v>
      </c>
      <c r="Y2122" s="38">
        <f t="shared" si="339"/>
        <v>0</v>
      </c>
      <c r="Z2122" s="201">
        <v>0</v>
      </c>
      <c r="AA2122" s="201">
        <v>0</v>
      </c>
      <c r="AB2122" s="201">
        <v>0</v>
      </c>
      <c r="AC2122" s="201">
        <v>0</v>
      </c>
      <c r="AD2122" s="147">
        <v>2.38</v>
      </c>
      <c r="AE2122" s="147">
        <v>5.4662379421221867E-2</v>
      </c>
      <c r="AF2122" s="201">
        <v>0</v>
      </c>
      <c r="AG2122" s="38">
        <f t="shared" si="340"/>
        <v>0</v>
      </c>
      <c r="AH2122" s="198"/>
      <c r="AI2122" s="198"/>
      <c r="AJ2122" s="198"/>
      <c r="AK2122" s="34"/>
      <c r="AL2122" s="34"/>
      <c r="AM2122" s="34"/>
      <c r="AN2122" s="61"/>
      <c r="AO2122" s="61"/>
      <c r="AP2122" s="61"/>
      <c r="AQ2122" s="61"/>
      <c r="AR2122" s="61"/>
      <c r="AS2122" s="61"/>
      <c r="AT2122" s="61"/>
      <c r="AU2122" s="61"/>
      <c r="AV2122" s="61"/>
      <c r="AW2122" s="61"/>
      <c r="AX2122" s="61"/>
      <c r="AY2122" s="61"/>
      <c r="AZ2122" s="61"/>
      <c r="BA2122" s="61"/>
      <c r="BB2122" s="61"/>
      <c r="BC2122" s="61"/>
      <c r="BD2122" s="61"/>
      <c r="BE2122" s="61"/>
      <c r="BF2122" s="61"/>
      <c r="BG2122" s="61"/>
      <c r="BH2122" s="61"/>
      <c r="BI2122" s="61"/>
      <c r="BJ2122" s="61"/>
      <c r="BK2122" s="61"/>
      <c r="BL2122" s="61"/>
      <c r="BM2122" s="61"/>
      <c r="BN2122" s="61"/>
      <c r="BO2122" s="61"/>
      <c r="BP2122" s="61"/>
      <c r="BQ2122" s="61"/>
      <c r="BR2122" s="61"/>
      <c r="BS2122" s="61"/>
      <c r="BT2122" s="61"/>
      <c r="BU2122" s="61"/>
      <c r="BV2122" s="61"/>
      <c r="BW2122" s="61"/>
      <c r="BX2122" s="61"/>
      <c r="BY2122" s="61"/>
      <c r="BZ2122" s="61"/>
      <c r="CA2122" s="61"/>
      <c r="CB2122" s="61"/>
      <c r="CC2122" s="61"/>
      <c r="CD2122" s="61"/>
      <c r="CE2122" s="61"/>
      <c r="CF2122" s="61"/>
      <c r="CG2122" s="61"/>
      <c r="CH2122" s="61"/>
      <c r="CI2122" s="61"/>
      <c r="CJ2122" s="61"/>
    </row>
    <row r="2123" spans="1:88">
      <c r="A2123" s="1">
        <v>1606</v>
      </c>
      <c r="B2123" s="34" t="s">
        <v>2137</v>
      </c>
      <c r="C2123" s="5">
        <v>416</v>
      </c>
      <c r="D2123" s="5">
        <v>346</v>
      </c>
      <c r="E2123" s="5">
        <v>102</v>
      </c>
      <c r="F2123" s="5" t="s">
        <v>2169</v>
      </c>
      <c r="G2123" s="53" t="s">
        <v>2174</v>
      </c>
      <c r="H2123" s="53" t="s">
        <v>2173</v>
      </c>
      <c r="I2123" s="198">
        <v>0.6</v>
      </c>
      <c r="J2123" s="78">
        <v>6</v>
      </c>
      <c r="K2123" s="5" t="s">
        <v>96</v>
      </c>
      <c r="L2123" s="10">
        <v>42249</v>
      </c>
      <c r="M2123" s="34" t="s">
        <v>218</v>
      </c>
      <c r="N2123" s="147">
        <v>0.05</v>
      </c>
      <c r="O2123" s="147">
        <v>0.35</v>
      </c>
      <c r="P2123" s="147">
        <v>0.22500000000000001</v>
      </c>
      <c r="Q2123" s="147">
        <v>0.05</v>
      </c>
      <c r="R2123" s="147">
        <v>3.43222</v>
      </c>
      <c r="S2123" s="38">
        <f t="shared" si="338"/>
        <v>3.5</v>
      </c>
      <c r="T2123" s="147">
        <v>0</v>
      </c>
      <c r="U2123" s="147">
        <v>0</v>
      </c>
      <c r="V2123" s="147">
        <f t="shared" si="337"/>
        <v>0.67500000000000004</v>
      </c>
      <c r="W2123" s="147">
        <v>1.1831499999999999</v>
      </c>
      <c r="X2123" s="201">
        <v>0</v>
      </c>
      <c r="Y2123" s="38">
        <f t="shared" si="339"/>
        <v>0</v>
      </c>
      <c r="Z2123" s="201">
        <v>0</v>
      </c>
      <c r="AA2123" s="201">
        <v>0</v>
      </c>
      <c r="AB2123" s="201">
        <v>0</v>
      </c>
      <c r="AC2123" s="201">
        <v>0</v>
      </c>
      <c r="AD2123" s="147">
        <v>0</v>
      </c>
      <c r="AE2123" s="147">
        <v>0</v>
      </c>
      <c r="AF2123" s="201">
        <v>0</v>
      </c>
      <c r="AG2123" s="38">
        <f t="shared" si="340"/>
        <v>0</v>
      </c>
      <c r="AH2123" s="198"/>
      <c r="AI2123" s="198"/>
      <c r="AJ2123" s="198"/>
      <c r="AK2123" s="34"/>
      <c r="AL2123" s="34"/>
      <c r="AM2123" s="34"/>
      <c r="AN2123" s="61"/>
      <c r="AO2123" s="61"/>
      <c r="AP2123" s="61"/>
      <c r="AQ2123" s="61"/>
      <c r="AR2123" s="61"/>
      <c r="AS2123" s="61"/>
      <c r="AT2123" s="61"/>
      <c r="AU2123" s="61"/>
      <c r="AV2123" s="61"/>
      <c r="AW2123" s="61"/>
      <c r="AX2123" s="61"/>
      <c r="AY2123" s="61"/>
      <c r="AZ2123" s="61"/>
      <c r="BA2123" s="61"/>
      <c r="BB2123" s="61"/>
      <c r="BC2123" s="61"/>
      <c r="BD2123" s="61"/>
      <c r="BE2123" s="61"/>
      <c r="BF2123" s="61"/>
      <c r="BG2123" s="61"/>
      <c r="BH2123" s="61"/>
      <c r="BI2123" s="61"/>
      <c r="BJ2123" s="61"/>
      <c r="BK2123" s="61"/>
      <c r="BL2123" s="61"/>
      <c r="BM2123" s="61"/>
      <c r="BN2123" s="61"/>
      <c r="BO2123" s="61"/>
      <c r="BP2123" s="61"/>
      <c r="BQ2123" s="61"/>
      <c r="BR2123" s="61"/>
      <c r="BS2123" s="61"/>
      <c r="BT2123" s="61"/>
      <c r="BU2123" s="61"/>
      <c r="BV2123" s="61"/>
      <c r="BW2123" s="61"/>
      <c r="BX2123" s="61"/>
      <c r="BY2123" s="61"/>
      <c r="BZ2123" s="61"/>
      <c r="CA2123" s="61"/>
      <c r="CB2123" s="61"/>
      <c r="CC2123" s="61"/>
      <c r="CD2123" s="61"/>
      <c r="CE2123" s="61"/>
      <c r="CF2123" s="61"/>
      <c r="CG2123" s="61"/>
      <c r="CH2123" s="61"/>
      <c r="CI2123" s="61"/>
      <c r="CJ2123" s="61"/>
    </row>
    <row r="2124" spans="1:88">
      <c r="A2124" s="1">
        <v>1607</v>
      </c>
      <c r="B2124" s="34" t="s">
        <v>2137</v>
      </c>
      <c r="C2124" s="5">
        <v>416</v>
      </c>
      <c r="D2124" s="5">
        <v>346</v>
      </c>
      <c r="E2124" s="5">
        <v>102</v>
      </c>
      <c r="F2124" s="5" t="s">
        <v>2169</v>
      </c>
      <c r="G2124" s="53" t="s">
        <v>379</v>
      </c>
      <c r="H2124" s="53" t="s">
        <v>2174</v>
      </c>
      <c r="I2124" s="198">
        <v>0.51</v>
      </c>
      <c r="J2124" s="78">
        <v>6</v>
      </c>
      <c r="K2124" s="5" t="s">
        <v>96</v>
      </c>
      <c r="L2124" s="10">
        <v>42249</v>
      </c>
      <c r="M2124" s="34" t="s">
        <v>218</v>
      </c>
      <c r="N2124" s="147">
        <v>0.05</v>
      </c>
      <c r="O2124" s="147">
        <v>0.22500000000000001</v>
      </c>
      <c r="P2124" s="147">
        <v>0.17499999999999999</v>
      </c>
      <c r="Q2124" s="147">
        <v>2.5000000000000001E-2</v>
      </c>
      <c r="R2124" s="147">
        <v>3.4410500000000002</v>
      </c>
      <c r="S2124" s="38">
        <f t="shared" si="338"/>
        <v>3.5</v>
      </c>
      <c r="T2124" s="147">
        <v>0</v>
      </c>
      <c r="U2124" s="147">
        <v>0</v>
      </c>
      <c r="V2124" s="147">
        <f t="shared" si="337"/>
        <v>0.47500000000000003</v>
      </c>
      <c r="W2124" s="147">
        <v>1.23611</v>
      </c>
      <c r="X2124" s="201">
        <v>0</v>
      </c>
      <c r="Y2124" s="38">
        <f t="shared" si="339"/>
        <v>0</v>
      </c>
      <c r="Z2124" s="201">
        <v>0</v>
      </c>
      <c r="AA2124" s="201">
        <v>0</v>
      </c>
      <c r="AB2124" s="201">
        <v>0</v>
      </c>
      <c r="AC2124" s="201">
        <v>0</v>
      </c>
      <c r="AD2124" s="147">
        <v>3.34</v>
      </c>
      <c r="AE2124" s="147">
        <v>0.18711484593837532</v>
      </c>
      <c r="AF2124" s="201">
        <v>0</v>
      </c>
      <c r="AG2124" s="38">
        <f t="shared" si="340"/>
        <v>0</v>
      </c>
      <c r="AH2124" s="198"/>
      <c r="AI2124" s="198"/>
      <c r="AJ2124" s="198"/>
      <c r="AK2124" s="34"/>
      <c r="AL2124" s="34"/>
      <c r="AM2124" s="34"/>
      <c r="AN2124" s="61"/>
      <c r="AO2124" s="61"/>
      <c r="AP2124" s="61"/>
      <c r="AQ2124" s="61"/>
      <c r="AR2124" s="61"/>
      <c r="AS2124" s="61"/>
      <c r="AT2124" s="61"/>
      <c r="AU2124" s="61"/>
      <c r="AV2124" s="61"/>
      <c r="AW2124" s="61"/>
      <c r="AX2124" s="61"/>
      <c r="AY2124" s="61"/>
      <c r="AZ2124" s="61"/>
      <c r="BA2124" s="61"/>
      <c r="BB2124" s="61"/>
      <c r="BC2124" s="61"/>
      <c r="BD2124" s="61"/>
      <c r="BE2124" s="61"/>
      <c r="BF2124" s="61"/>
      <c r="BG2124" s="61"/>
      <c r="BH2124" s="61"/>
      <c r="BI2124" s="61"/>
      <c r="BJ2124" s="61"/>
      <c r="BK2124" s="61"/>
      <c r="BL2124" s="61"/>
      <c r="BM2124" s="61"/>
      <c r="BN2124" s="61"/>
      <c r="BO2124" s="61"/>
      <c r="BP2124" s="61"/>
      <c r="BQ2124" s="61"/>
      <c r="BR2124" s="61"/>
      <c r="BS2124" s="61"/>
      <c r="BT2124" s="61"/>
      <c r="BU2124" s="61"/>
      <c r="BV2124" s="61"/>
      <c r="BW2124" s="61"/>
      <c r="BX2124" s="61"/>
      <c r="BY2124" s="61"/>
      <c r="BZ2124" s="61"/>
      <c r="CA2124" s="61"/>
      <c r="CB2124" s="61"/>
      <c r="CC2124" s="61"/>
      <c r="CD2124" s="61"/>
      <c r="CE2124" s="61"/>
      <c r="CF2124" s="61"/>
      <c r="CG2124" s="61"/>
      <c r="CH2124" s="61"/>
      <c r="CI2124" s="61"/>
      <c r="CJ2124" s="61"/>
    </row>
    <row r="2125" spans="1:88">
      <c r="A2125" s="1">
        <v>1609</v>
      </c>
      <c r="B2125" s="34" t="s">
        <v>2137</v>
      </c>
      <c r="C2125" s="5">
        <v>416</v>
      </c>
      <c r="D2125" s="5">
        <v>346</v>
      </c>
      <c r="E2125" s="5">
        <v>103</v>
      </c>
      <c r="F2125" s="5" t="s">
        <v>2175</v>
      </c>
      <c r="G2125" s="53" t="s">
        <v>2176</v>
      </c>
      <c r="H2125" s="53" t="s">
        <v>379</v>
      </c>
      <c r="I2125" s="198">
        <v>9.3010000000000002</v>
      </c>
      <c r="J2125" s="78">
        <v>4</v>
      </c>
      <c r="K2125" s="5" t="s">
        <v>96</v>
      </c>
      <c r="L2125" s="10">
        <v>42249</v>
      </c>
      <c r="M2125" s="34" t="s">
        <v>218</v>
      </c>
      <c r="N2125" s="147">
        <v>0.17499999999999999</v>
      </c>
      <c r="O2125" s="147">
        <v>2.8</v>
      </c>
      <c r="P2125" s="147">
        <v>4.375</v>
      </c>
      <c r="Q2125" s="147">
        <v>1.7749999999999999</v>
      </c>
      <c r="R2125" s="147">
        <v>4.1978400000000002</v>
      </c>
      <c r="S2125" s="38">
        <f t="shared" si="338"/>
        <v>4</v>
      </c>
      <c r="T2125" s="147">
        <v>0</v>
      </c>
      <c r="U2125" s="147">
        <v>0</v>
      </c>
      <c r="V2125" s="147">
        <f t="shared" si="337"/>
        <v>9.125</v>
      </c>
      <c r="W2125" s="147">
        <v>1.15601</v>
      </c>
      <c r="X2125" s="201">
        <v>4</v>
      </c>
      <c r="Y2125" s="38">
        <f t="shared" si="339"/>
        <v>4</v>
      </c>
      <c r="Z2125" s="201">
        <v>0</v>
      </c>
      <c r="AA2125" s="201">
        <v>0</v>
      </c>
      <c r="AB2125" s="201">
        <v>3</v>
      </c>
      <c r="AC2125" s="201">
        <v>0</v>
      </c>
      <c r="AD2125" s="147">
        <v>48.82</v>
      </c>
      <c r="AE2125" s="147">
        <v>0.15277734313878891</v>
      </c>
      <c r="AF2125" s="201">
        <v>0</v>
      </c>
      <c r="AG2125" s="38">
        <f t="shared" si="340"/>
        <v>0</v>
      </c>
      <c r="AH2125" s="198"/>
      <c r="AI2125" s="198"/>
      <c r="AJ2125" s="198"/>
      <c r="AK2125" s="34"/>
      <c r="AL2125" s="34"/>
      <c r="AM2125" s="34"/>
      <c r="AN2125" s="61"/>
      <c r="AO2125" s="61"/>
      <c r="AP2125" s="61"/>
      <c r="AQ2125" s="61"/>
      <c r="AR2125" s="61"/>
      <c r="AS2125" s="61"/>
      <c r="AT2125" s="61"/>
      <c r="AU2125" s="61"/>
      <c r="AV2125" s="61"/>
      <c r="AW2125" s="61"/>
      <c r="AX2125" s="61"/>
      <c r="AY2125" s="61"/>
      <c r="AZ2125" s="61"/>
      <c r="BA2125" s="61"/>
      <c r="BB2125" s="61"/>
      <c r="BC2125" s="61"/>
      <c r="BD2125" s="61"/>
      <c r="BE2125" s="61"/>
      <c r="BF2125" s="61"/>
      <c r="BG2125" s="61"/>
      <c r="BH2125" s="61"/>
      <c r="BI2125" s="61"/>
      <c r="BJ2125" s="61"/>
      <c r="BK2125" s="61"/>
      <c r="BL2125" s="61"/>
      <c r="BM2125" s="61"/>
      <c r="BN2125" s="61"/>
      <c r="BO2125" s="61"/>
      <c r="BP2125" s="61"/>
      <c r="BQ2125" s="61"/>
      <c r="BR2125" s="61"/>
      <c r="BS2125" s="61"/>
      <c r="BT2125" s="61"/>
      <c r="BU2125" s="61"/>
      <c r="BV2125" s="61"/>
      <c r="BW2125" s="61"/>
      <c r="BX2125" s="61"/>
      <c r="BY2125" s="61"/>
      <c r="BZ2125" s="61"/>
      <c r="CA2125" s="61"/>
      <c r="CB2125" s="61"/>
      <c r="CC2125" s="61"/>
      <c r="CD2125" s="61"/>
      <c r="CE2125" s="61"/>
      <c r="CF2125" s="61"/>
      <c r="CG2125" s="61"/>
      <c r="CH2125" s="61"/>
      <c r="CI2125" s="61"/>
      <c r="CJ2125" s="61"/>
    </row>
    <row r="2126" spans="1:88">
      <c r="A2126" s="1">
        <v>1610</v>
      </c>
      <c r="B2126" s="34" t="s">
        <v>2137</v>
      </c>
      <c r="C2126" s="5">
        <v>416</v>
      </c>
      <c r="D2126" s="5">
        <v>347</v>
      </c>
      <c r="E2126" s="5">
        <v>102</v>
      </c>
      <c r="F2126" s="5" t="s">
        <v>2177</v>
      </c>
      <c r="G2126" s="53" t="s">
        <v>2178</v>
      </c>
      <c r="H2126" s="53">
        <v>20643</v>
      </c>
      <c r="I2126" s="198">
        <v>4.7619999999999996</v>
      </c>
      <c r="J2126" s="78">
        <v>4</v>
      </c>
      <c r="K2126" s="5" t="s">
        <v>96</v>
      </c>
      <c r="L2126" s="10">
        <v>42249</v>
      </c>
      <c r="M2126" s="34" t="s">
        <v>218</v>
      </c>
      <c r="N2126" s="147">
        <v>0.42499999999999999</v>
      </c>
      <c r="O2126" s="147">
        <v>0.8</v>
      </c>
      <c r="P2126" s="147">
        <v>1.2250000000000001</v>
      </c>
      <c r="Q2126" s="147">
        <v>0.92500000000000004</v>
      </c>
      <c r="R2126" s="147">
        <v>3.74</v>
      </c>
      <c r="S2126" s="38">
        <f t="shared" si="338"/>
        <v>3.5</v>
      </c>
      <c r="T2126" s="147">
        <v>0</v>
      </c>
      <c r="U2126" s="147">
        <v>0</v>
      </c>
      <c r="V2126" s="147">
        <f t="shared" si="337"/>
        <v>3.375</v>
      </c>
      <c r="W2126" s="147">
        <v>1.21</v>
      </c>
      <c r="X2126" s="201">
        <v>0</v>
      </c>
      <c r="Y2126" s="38">
        <f t="shared" si="339"/>
        <v>0</v>
      </c>
      <c r="Z2126" s="201">
        <v>0</v>
      </c>
      <c r="AA2126" s="201">
        <v>0</v>
      </c>
      <c r="AB2126" s="201">
        <v>0</v>
      </c>
      <c r="AC2126" s="201">
        <v>0</v>
      </c>
      <c r="AD2126" s="147">
        <v>0</v>
      </c>
      <c r="AE2126" s="147">
        <v>0</v>
      </c>
      <c r="AF2126" s="201">
        <v>0</v>
      </c>
      <c r="AG2126" s="38">
        <f t="shared" si="340"/>
        <v>0</v>
      </c>
      <c r="AH2126" s="198"/>
      <c r="AI2126" s="198"/>
      <c r="AJ2126" s="198"/>
      <c r="AK2126" s="34"/>
      <c r="AL2126" s="34"/>
      <c r="AM2126" s="34"/>
      <c r="AN2126" s="61"/>
      <c r="AO2126" s="61"/>
      <c r="AP2126" s="61"/>
      <c r="AQ2126" s="61"/>
      <c r="AR2126" s="61"/>
      <c r="AS2126" s="61"/>
      <c r="AT2126" s="61"/>
      <c r="AU2126" s="61"/>
      <c r="AV2126" s="61"/>
      <c r="AW2126" s="61"/>
      <c r="AX2126" s="61"/>
      <c r="AY2126" s="61"/>
      <c r="AZ2126" s="61"/>
      <c r="BA2126" s="61"/>
      <c r="BB2126" s="61"/>
      <c r="BC2126" s="61"/>
      <c r="BD2126" s="61"/>
      <c r="BE2126" s="61"/>
      <c r="BF2126" s="61"/>
      <c r="BG2126" s="61"/>
      <c r="BH2126" s="61"/>
      <c r="BI2126" s="61"/>
      <c r="BJ2126" s="61"/>
      <c r="BK2126" s="61"/>
      <c r="BL2126" s="61"/>
      <c r="BM2126" s="61"/>
      <c r="BN2126" s="61"/>
      <c r="BO2126" s="61"/>
      <c r="BP2126" s="61"/>
      <c r="BQ2126" s="61"/>
      <c r="BR2126" s="61"/>
      <c r="BS2126" s="61"/>
      <c r="BT2126" s="61"/>
      <c r="BU2126" s="61"/>
      <c r="BV2126" s="61"/>
      <c r="BW2126" s="61"/>
      <c r="BX2126" s="61"/>
      <c r="BY2126" s="61"/>
      <c r="BZ2126" s="61"/>
      <c r="CA2126" s="61"/>
      <c r="CB2126" s="61"/>
      <c r="CC2126" s="61"/>
      <c r="CD2126" s="61"/>
      <c r="CE2126" s="61"/>
      <c r="CF2126" s="61"/>
      <c r="CG2126" s="61"/>
      <c r="CH2126" s="61"/>
      <c r="CI2126" s="61"/>
      <c r="CJ2126" s="61"/>
    </row>
    <row r="2127" spans="1:88">
      <c r="A2127" s="1">
        <v>1612</v>
      </c>
      <c r="B2127" s="34" t="s">
        <v>2137</v>
      </c>
      <c r="C2127" s="5">
        <v>416</v>
      </c>
      <c r="D2127" s="5">
        <v>3214</v>
      </c>
      <c r="E2127" s="5">
        <v>100</v>
      </c>
      <c r="F2127" s="5" t="s">
        <v>2179</v>
      </c>
      <c r="G2127" s="53" t="s">
        <v>2181</v>
      </c>
      <c r="H2127" s="53" t="s">
        <v>2180</v>
      </c>
      <c r="I2127" s="198">
        <v>2.19</v>
      </c>
      <c r="J2127" s="78">
        <v>4</v>
      </c>
      <c r="K2127" s="5" t="s">
        <v>96</v>
      </c>
      <c r="L2127" s="10">
        <v>42249</v>
      </c>
      <c r="M2127" s="34" t="s">
        <v>218</v>
      </c>
      <c r="N2127" s="147">
        <v>0.125</v>
      </c>
      <c r="O2127" s="147">
        <v>1.4</v>
      </c>
      <c r="P2127" s="147">
        <v>0.45</v>
      </c>
      <c r="Q2127" s="147">
        <v>0.15</v>
      </c>
      <c r="R2127" s="147">
        <v>3.3768199999999999</v>
      </c>
      <c r="S2127" s="38">
        <f t="shared" si="338"/>
        <v>3.5</v>
      </c>
      <c r="T2127" s="147">
        <v>0</v>
      </c>
      <c r="U2127" s="147">
        <v>0</v>
      </c>
      <c r="V2127" s="147">
        <f t="shared" si="337"/>
        <v>2.125</v>
      </c>
      <c r="W2127" s="147">
        <v>1.08586</v>
      </c>
      <c r="X2127" s="201">
        <v>4</v>
      </c>
      <c r="Y2127" s="38">
        <f t="shared" si="339"/>
        <v>4</v>
      </c>
      <c r="Z2127" s="201">
        <v>0</v>
      </c>
      <c r="AA2127" s="201">
        <v>0</v>
      </c>
      <c r="AB2127" s="201">
        <v>0</v>
      </c>
      <c r="AC2127" s="201">
        <v>0</v>
      </c>
      <c r="AD2127" s="147">
        <v>0</v>
      </c>
      <c r="AE2127" s="147">
        <v>0</v>
      </c>
      <c r="AF2127" s="201">
        <v>0</v>
      </c>
      <c r="AG2127" s="38">
        <f t="shared" si="340"/>
        <v>0</v>
      </c>
      <c r="AH2127" s="198"/>
      <c r="AI2127" s="198"/>
      <c r="AJ2127" s="198"/>
      <c r="AK2127" s="34"/>
      <c r="AL2127" s="34"/>
      <c r="AM2127" s="34"/>
      <c r="AN2127" s="61"/>
      <c r="AO2127" s="61"/>
      <c r="AP2127" s="61"/>
      <c r="AQ2127" s="61"/>
      <c r="AR2127" s="61"/>
      <c r="AS2127" s="61"/>
      <c r="AT2127" s="61"/>
      <c r="AU2127" s="61"/>
      <c r="AV2127" s="61"/>
      <c r="AW2127" s="61"/>
      <c r="AX2127" s="61"/>
      <c r="AY2127" s="61"/>
      <c r="AZ2127" s="61"/>
      <c r="BA2127" s="61"/>
      <c r="BB2127" s="61"/>
      <c r="BC2127" s="61"/>
      <c r="BD2127" s="61"/>
      <c r="BE2127" s="61"/>
      <c r="BF2127" s="61"/>
      <c r="BG2127" s="61"/>
      <c r="BH2127" s="61"/>
      <c r="BI2127" s="61"/>
      <c r="BJ2127" s="61"/>
      <c r="BK2127" s="61"/>
      <c r="BL2127" s="61"/>
      <c r="BM2127" s="61"/>
      <c r="BN2127" s="61"/>
      <c r="BO2127" s="61"/>
      <c r="BP2127" s="61"/>
      <c r="BQ2127" s="61"/>
      <c r="BR2127" s="61"/>
      <c r="BS2127" s="61"/>
      <c r="BT2127" s="61"/>
      <c r="BU2127" s="61"/>
      <c r="BV2127" s="61"/>
      <c r="BW2127" s="61"/>
      <c r="BX2127" s="61"/>
      <c r="BY2127" s="61"/>
      <c r="BZ2127" s="61"/>
      <c r="CA2127" s="61"/>
      <c r="CB2127" s="61"/>
      <c r="CC2127" s="61"/>
      <c r="CD2127" s="61"/>
      <c r="CE2127" s="61"/>
      <c r="CF2127" s="61"/>
      <c r="CG2127" s="61"/>
      <c r="CH2127" s="61"/>
      <c r="CI2127" s="61"/>
      <c r="CJ2127" s="61"/>
    </row>
    <row r="2128" spans="1:88">
      <c r="A2128" s="1">
        <v>1614</v>
      </c>
      <c r="B2128" s="34" t="s">
        <v>2137</v>
      </c>
      <c r="C2128" s="5">
        <v>416</v>
      </c>
      <c r="D2128" s="5">
        <v>3214</v>
      </c>
      <c r="E2128" s="5">
        <v>100</v>
      </c>
      <c r="F2128" s="5" t="s">
        <v>2179</v>
      </c>
      <c r="G2128" s="53" t="s">
        <v>139</v>
      </c>
      <c r="H2128" s="53" t="s">
        <v>1691</v>
      </c>
      <c r="I2128" s="198">
        <v>1</v>
      </c>
      <c r="J2128" s="78">
        <v>4</v>
      </c>
      <c r="K2128" s="5" t="s">
        <v>96</v>
      </c>
      <c r="L2128" s="10">
        <v>42249</v>
      </c>
      <c r="M2128" s="34" t="s">
        <v>218</v>
      </c>
      <c r="N2128" s="147">
        <v>0</v>
      </c>
      <c r="O2128" s="147">
        <v>7.4999999999999997E-2</v>
      </c>
      <c r="P2128" s="147">
        <v>0.7</v>
      </c>
      <c r="Q2128" s="147">
        <v>0.35</v>
      </c>
      <c r="R2128" s="147">
        <v>4.7406699999999997</v>
      </c>
      <c r="S2128" s="38">
        <f t="shared" si="338"/>
        <v>4.5</v>
      </c>
      <c r="T2128" s="147">
        <v>0</v>
      </c>
      <c r="U2128" s="147">
        <v>0</v>
      </c>
      <c r="V2128" s="147">
        <f t="shared" si="337"/>
        <v>1.125</v>
      </c>
      <c r="W2128" s="147">
        <v>1.12033</v>
      </c>
      <c r="X2128" s="201">
        <v>0</v>
      </c>
      <c r="Y2128" s="38">
        <f t="shared" si="339"/>
        <v>0</v>
      </c>
      <c r="Z2128" s="201">
        <v>0</v>
      </c>
      <c r="AA2128" s="201">
        <v>0</v>
      </c>
      <c r="AB2128" s="201">
        <v>0</v>
      </c>
      <c r="AC2128" s="201">
        <v>0</v>
      </c>
      <c r="AD2128" s="147">
        <v>0</v>
      </c>
      <c r="AE2128" s="147">
        <v>0</v>
      </c>
      <c r="AF2128" s="201">
        <v>0</v>
      </c>
      <c r="AG2128" s="38">
        <f t="shared" si="340"/>
        <v>0</v>
      </c>
      <c r="AH2128" s="198"/>
      <c r="AI2128" s="198"/>
      <c r="AJ2128" s="198"/>
      <c r="AK2128" s="88"/>
      <c r="AL2128" s="88"/>
      <c r="AM2128" s="88"/>
      <c r="AN2128" s="64"/>
      <c r="AO2128" s="64"/>
      <c r="AP2128" s="64"/>
      <c r="AQ2128" s="64"/>
      <c r="AR2128" s="64"/>
      <c r="AS2128" s="64"/>
      <c r="AT2128" s="64"/>
      <c r="AU2128" s="64"/>
      <c r="AV2128" s="64"/>
      <c r="AW2128" s="64"/>
      <c r="AX2128" s="64"/>
      <c r="AY2128" s="64"/>
      <c r="AZ2128" s="64"/>
      <c r="BA2128" s="64"/>
      <c r="BB2128" s="64"/>
      <c r="BC2128" s="64"/>
      <c r="BD2128" s="64"/>
      <c r="BE2128" s="64"/>
      <c r="BF2128" s="64"/>
      <c r="BG2128" s="64"/>
      <c r="BH2128" s="64"/>
      <c r="BI2128" s="64"/>
      <c r="BJ2128" s="64"/>
      <c r="BK2128" s="64"/>
      <c r="BL2128" s="64"/>
      <c r="BM2128" s="64"/>
      <c r="BN2128" s="64"/>
      <c r="BO2128" s="64"/>
      <c r="BP2128" s="64"/>
      <c r="BQ2128" s="64"/>
      <c r="BR2128" s="64"/>
      <c r="BS2128" s="64"/>
      <c r="BT2128" s="64"/>
      <c r="BU2128" s="64"/>
      <c r="BV2128" s="64"/>
      <c r="BW2128" s="64"/>
      <c r="BX2128" s="64"/>
      <c r="BY2128" s="64"/>
      <c r="BZ2128" s="64"/>
      <c r="CA2128" s="64"/>
      <c r="CB2128" s="64"/>
      <c r="CC2128" s="64"/>
      <c r="CD2128" s="64"/>
      <c r="CE2128" s="64"/>
      <c r="CF2128" s="64"/>
      <c r="CG2128" s="64"/>
      <c r="CH2128" s="64"/>
      <c r="CI2128" s="64"/>
      <c r="CJ2128" s="64"/>
    </row>
    <row r="2129" spans="1:88">
      <c r="A2129" s="1">
        <v>1624</v>
      </c>
      <c r="B2129" s="9" t="s">
        <v>2182</v>
      </c>
      <c r="C2129" s="9">
        <v>417</v>
      </c>
      <c r="D2129" s="8">
        <v>3344</v>
      </c>
      <c r="E2129" s="9">
        <v>100</v>
      </c>
      <c r="F2129" s="9" t="s">
        <v>2193</v>
      </c>
      <c r="G2129" s="20" t="s">
        <v>2194</v>
      </c>
      <c r="H2129" s="20" t="s">
        <v>2195</v>
      </c>
      <c r="I2129" s="35">
        <v>1.76</v>
      </c>
      <c r="J2129" s="9">
        <v>9</v>
      </c>
      <c r="K2129" s="9" t="s">
        <v>237</v>
      </c>
      <c r="L2129" s="18">
        <v>42238</v>
      </c>
      <c r="M2129" s="9" t="s">
        <v>191</v>
      </c>
      <c r="N2129" s="11">
        <v>0.5</v>
      </c>
      <c r="O2129" s="11">
        <v>0.1</v>
      </c>
      <c r="P2129" s="11">
        <v>0.625</v>
      </c>
      <c r="Q2129" s="11">
        <v>0.5</v>
      </c>
      <c r="R2129" s="11">
        <v>4.38978</v>
      </c>
      <c r="S2129" s="38">
        <f t="shared" si="338"/>
        <v>4.5</v>
      </c>
      <c r="T2129" s="11">
        <v>1.7</v>
      </c>
      <c r="U2129" s="11">
        <v>2.5000000000000001E-2</v>
      </c>
      <c r="V2129" s="11">
        <v>0</v>
      </c>
      <c r="W2129" s="11">
        <v>0</v>
      </c>
      <c r="X2129" s="11">
        <v>4.0194700000000001</v>
      </c>
      <c r="Y2129" s="38">
        <f t="shared" si="339"/>
        <v>4</v>
      </c>
      <c r="Z2129" s="11">
        <v>0</v>
      </c>
      <c r="AA2129" s="11">
        <v>0</v>
      </c>
      <c r="AB2129" s="11">
        <f t="shared" ref="AB2129:AB2160" si="341">SUM(N2129:Q2129)</f>
        <v>1.7250000000000001</v>
      </c>
      <c r="AC2129" s="11">
        <v>1.00454</v>
      </c>
      <c r="AD2129" s="11">
        <v>0</v>
      </c>
      <c r="AE2129" s="11">
        <v>0</v>
      </c>
      <c r="AF2129" s="11">
        <f t="shared" ref="AF2129:AF2160" si="342">(AD2129+AE2129*0.5)/(3.5*I2129*1000)*100</f>
        <v>0</v>
      </c>
      <c r="AG2129" s="38">
        <f t="shared" si="340"/>
        <v>0</v>
      </c>
      <c r="AH2129" s="11">
        <v>0</v>
      </c>
      <c r="AI2129" s="11">
        <f t="shared" ref="AI2129:AI2160" si="343">AH2129/(3.5*I2129*1000)*100</f>
        <v>0</v>
      </c>
      <c r="AJ2129" s="11">
        <v>12.33</v>
      </c>
      <c r="AK2129" s="38">
        <f t="shared" ref="AK2129:AK2163" si="344">AJ2129/(3.5*I2129*1000)*100</f>
        <v>0.20016233766233768</v>
      </c>
      <c r="AL2129" s="11">
        <v>0</v>
      </c>
      <c r="AM2129" s="38">
        <f t="shared" ref="AM2129:AM2160" si="345">AL2129/(3.5*I2129*1000)*100</f>
        <v>0</v>
      </c>
      <c r="AN2129" s="25">
        <f t="shared" ref="AN2129:AN2157" si="346">IF(G2129=G2130,1,0)</f>
        <v>0</v>
      </c>
      <c r="AO2129" s="25">
        <f t="shared" ref="AO2129:AO2160" si="347">AE2129*0.5</f>
        <v>0</v>
      </c>
      <c r="AP2129" s="25">
        <f t="shared" ref="AP2129:AP2160" si="348">(AD2129+AH2129+AJ2129+AL2129+AO2129)*I2129</f>
        <v>21.700800000000001</v>
      </c>
      <c r="AQ2129" s="25">
        <f t="shared" ref="AQ2129:AQ2160" si="349">(AD2129+AH2129+AJ2129+AL2129)*I2129</f>
        <v>21.700800000000001</v>
      </c>
      <c r="AR2129" s="25">
        <f t="shared" ref="AR2129:AR2160" si="350">SUM(N2129:Q2129)</f>
        <v>1.7250000000000001</v>
      </c>
      <c r="AS2129" s="25">
        <f t="shared" ref="AS2129:AS2160" si="351">SUM(T2129:W2129)</f>
        <v>1.7249999999999999</v>
      </c>
      <c r="AT2129" s="22"/>
      <c r="AU2129" s="41"/>
      <c r="AV2129" s="275">
        <v>1.76</v>
      </c>
      <c r="AW2129" s="41"/>
      <c r="AX2129" s="41"/>
      <c r="AY2129" s="22"/>
      <c r="AZ2129" s="22"/>
      <c r="BA2129" s="22"/>
      <c r="BB2129" s="22"/>
      <c r="BC2129" s="22"/>
      <c r="BD2129" s="22"/>
      <c r="BE2129" s="22"/>
      <c r="BF2129" s="22"/>
      <c r="BG2129" s="22"/>
      <c r="BH2129" s="22"/>
      <c r="BI2129" s="22"/>
      <c r="BJ2129" s="22"/>
      <c r="BK2129" s="22"/>
      <c r="BL2129" s="22"/>
      <c r="BM2129" s="22"/>
      <c r="BN2129" s="22"/>
      <c r="BO2129" s="22"/>
      <c r="BP2129" s="22"/>
      <c r="BQ2129" s="22"/>
      <c r="BR2129" s="22"/>
      <c r="BS2129" s="22"/>
      <c r="BT2129" s="22"/>
      <c r="BU2129" s="22"/>
      <c r="BV2129" s="22"/>
      <c r="BW2129" s="22"/>
      <c r="BX2129" s="22"/>
      <c r="BY2129" s="22"/>
      <c r="BZ2129" s="22"/>
      <c r="CA2129" s="22"/>
      <c r="CB2129" s="22"/>
      <c r="CC2129" s="22"/>
      <c r="CD2129" s="22"/>
      <c r="CE2129" s="22"/>
      <c r="CF2129" s="22"/>
      <c r="CG2129" s="22"/>
      <c r="CH2129" s="22"/>
      <c r="CI2129" s="22"/>
      <c r="CJ2129" s="22"/>
    </row>
    <row r="2130" spans="1:88">
      <c r="A2130" s="1">
        <v>1625</v>
      </c>
      <c r="B2130" s="9" t="s">
        <v>2182</v>
      </c>
      <c r="C2130" s="9">
        <v>417</v>
      </c>
      <c r="D2130" s="8">
        <v>3344</v>
      </c>
      <c r="E2130" s="9">
        <v>100</v>
      </c>
      <c r="F2130" s="9" t="s">
        <v>2193</v>
      </c>
      <c r="G2130" s="20" t="s">
        <v>2195</v>
      </c>
      <c r="H2130" s="20" t="s">
        <v>2196</v>
      </c>
      <c r="I2130" s="35">
        <v>1.51</v>
      </c>
      <c r="J2130" s="9">
        <v>9</v>
      </c>
      <c r="K2130" s="9" t="s">
        <v>96</v>
      </c>
      <c r="L2130" s="18">
        <v>42238</v>
      </c>
      <c r="M2130" s="9" t="s">
        <v>191</v>
      </c>
      <c r="N2130" s="11">
        <v>0.85</v>
      </c>
      <c r="O2130" s="11">
        <v>0.27500000000000002</v>
      </c>
      <c r="P2130" s="11">
        <v>0.2</v>
      </c>
      <c r="Q2130" s="11">
        <v>0.4</v>
      </c>
      <c r="R2130" s="11">
        <v>3.7530000000000001</v>
      </c>
      <c r="S2130" s="38">
        <f t="shared" si="338"/>
        <v>4</v>
      </c>
      <c r="T2130" s="11">
        <v>1.7250000000000001</v>
      </c>
      <c r="U2130" s="11">
        <v>0</v>
      </c>
      <c r="V2130" s="11">
        <v>0</v>
      </c>
      <c r="W2130" s="11">
        <v>0</v>
      </c>
      <c r="X2130" s="11">
        <v>3.798</v>
      </c>
      <c r="Y2130" s="38">
        <f t="shared" si="339"/>
        <v>4</v>
      </c>
      <c r="Z2130" s="11">
        <v>0</v>
      </c>
      <c r="AA2130" s="11">
        <v>0</v>
      </c>
      <c r="AB2130" s="11">
        <f t="shared" si="341"/>
        <v>1.7250000000000001</v>
      </c>
      <c r="AC2130" s="11">
        <v>1.1140000000000001</v>
      </c>
      <c r="AD2130" s="11">
        <v>0</v>
      </c>
      <c r="AE2130" s="11">
        <v>0</v>
      </c>
      <c r="AF2130" s="11">
        <f t="shared" si="342"/>
        <v>0</v>
      </c>
      <c r="AG2130" s="38">
        <f t="shared" si="340"/>
        <v>0</v>
      </c>
      <c r="AH2130" s="11">
        <v>0</v>
      </c>
      <c r="AI2130" s="11">
        <f t="shared" si="343"/>
        <v>0</v>
      </c>
      <c r="AJ2130" s="11">
        <v>12.33</v>
      </c>
      <c r="AK2130" s="38">
        <f t="shared" si="344"/>
        <v>0.23330179754020813</v>
      </c>
      <c r="AL2130" s="11">
        <v>0</v>
      </c>
      <c r="AM2130" s="38">
        <f t="shared" si="345"/>
        <v>0</v>
      </c>
      <c r="AN2130" s="25">
        <f t="shared" si="346"/>
        <v>0</v>
      </c>
      <c r="AO2130" s="25">
        <f t="shared" si="347"/>
        <v>0</v>
      </c>
      <c r="AP2130" s="25">
        <f t="shared" si="348"/>
        <v>18.618300000000001</v>
      </c>
      <c r="AQ2130" s="25">
        <f t="shared" si="349"/>
        <v>18.618300000000001</v>
      </c>
      <c r="AR2130" s="25">
        <f t="shared" si="350"/>
        <v>1.7250000000000001</v>
      </c>
      <c r="AS2130" s="25">
        <f t="shared" si="351"/>
        <v>1.7250000000000001</v>
      </c>
      <c r="AT2130" s="22"/>
      <c r="AU2130" s="41"/>
      <c r="AV2130" s="275">
        <v>1.51</v>
      </c>
      <c r="AW2130" s="41"/>
      <c r="AX2130" s="41"/>
      <c r="AY2130" s="22"/>
      <c r="AZ2130" s="22"/>
      <c r="BA2130" s="22"/>
      <c r="BB2130" s="22"/>
      <c r="BC2130" s="22"/>
      <c r="BD2130" s="22"/>
      <c r="BE2130" s="22"/>
      <c r="BF2130" s="22"/>
      <c r="BG2130" s="22"/>
      <c r="BH2130" s="22"/>
      <c r="BI2130" s="22"/>
      <c r="BJ2130" s="22"/>
      <c r="BK2130" s="22"/>
      <c r="BL2130" s="22"/>
      <c r="BM2130" s="22"/>
      <c r="BN2130" s="22"/>
      <c r="BO2130" s="22"/>
      <c r="BP2130" s="22"/>
      <c r="BQ2130" s="22"/>
      <c r="BR2130" s="22"/>
      <c r="BS2130" s="22"/>
      <c r="BT2130" s="22"/>
      <c r="BU2130" s="22"/>
      <c r="BV2130" s="22"/>
      <c r="BW2130" s="22"/>
      <c r="BX2130" s="22"/>
      <c r="BY2130" s="22"/>
      <c r="BZ2130" s="22"/>
      <c r="CA2130" s="22"/>
      <c r="CB2130" s="22"/>
      <c r="CC2130" s="22"/>
      <c r="CD2130" s="22"/>
      <c r="CE2130" s="22"/>
      <c r="CF2130" s="22"/>
      <c r="CG2130" s="22"/>
      <c r="CH2130" s="22"/>
      <c r="CI2130" s="22"/>
      <c r="CJ2130" s="22"/>
    </row>
    <row r="2131" spans="1:88">
      <c r="A2131" s="1">
        <v>1626</v>
      </c>
      <c r="B2131" s="170" t="s">
        <v>2182</v>
      </c>
      <c r="C2131" s="170">
        <v>417</v>
      </c>
      <c r="D2131" s="89">
        <v>3701</v>
      </c>
      <c r="E2131" s="9">
        <v>200</v>
      </c>
      <c r="F2131" s="170" t="s">
        <v>2197</v>
      </c>
      <c r="G2131" s="6" t="s">
        <v>389</v>
      </c>
      <c r="H2131" s="6" t="s">
        <v>2198</v>
      </c>
      <c r="I2131" s="35">
        <v>1.052</v>
      </c>
      <c r="J2131" s="170">
        <v>2</v>
      </c>
      <c r="K2131" s="170" t="s">
        <v>238</v>
      </c>
      <c r="L2131" s="18">
        <v>42241</v>
      </c>
      <c r="M2131" s="9" t="s">
        <v>191</v>
      </c>
      <c r="N2131" s="11">
        <v>1.2</v>
      </c>
      <c r="O2131" s="11">
        <v>0.2</v>
      </c>
      <c r="P2131" s="11">
        <v>0.1</v>
      </c>
      <c r="Q2131" s="11">
        <v>0.05</v>
      </c>
      <c r="R2131" s="11">
        <v>2.2709999999999999</v>
      </c>
      <c r="S2131" s="38">
        <f t="shared" si="338"/>
        <v>2.5</v>
      </c>
      <c r="T2131" s="11">
        <v>1.4750000000000001</v>
      </c>
      <c r="U2131" s="11">
        <v>0.05</v>
      </c>
      <c r="V2131" s="11">
        <v>2.5000000000000001E-2</v>
      </c>
      <c r="W2131" s="11">
        <v>0</v>
      </c>
      <c r="X2131" s="11">
        <v>6.2009999999999996</v>
      </c>
      <c r="Y2131" s="38">
        <f t="shared" si="339"/>
        <v>6</v>
      </c>
      <c r="Z2131" s="11">
        <v>0</v>
      </c>
      <c r="AA2131" s="11">
        <v>0</v>
      </c>
      <c r="AB2131" s="11">
        <f t="shared" si="341"/>
        <v>1.55</v>
      </c>
      <c r="AC2131" s="11">
        <v>1.31</v>
      </c>
      <c r="AD2131" s="11">
        <v>0</v>
      </c>
      <c r="AE2131" s="11">
        <v>0</v>
      </c>
      <c r="AF2131" s="11">
        <f t="shared" si="342"/>
        <v>0</v>
      </c>
      <c r="AG2131" s="38">
        <f t="shared" si="340"/>
        <v>0</v>
      </c>
      <c r="AH2131" s="11">
        <v>0</v>
      </c>
      <c r="AI2131" s="11">
        <f t="shared" si="343"/>
        <v>0</v>
      </c>
      <c r="AJ2131" s="11">
        <v>0</v>
      </c>
      <c r="AK2131" s="38">
        <f t="shared" si="344"/>
        <v>0</v>
      </c>
      <c r="AL2131" s="11">
        <v>0</v>
      </c>
      <c r="AM2131" s="38">
        <f t="shared" si="345"/>
        <v>0</v>
      </c>
      <c r="AN2131" s="25">
        <f t="shared" si="346"/>
        <v>0</v>
      </c>
      <c r="AO2131" s="25">
        <f t="shared" si="347"/>
        <v>0</v>
      </c>
      <c r="AP2131" s="25">
        <f t="shared" si="348"/>
        <v>0</v>
      </c>
      <c r="AQ2131" s="25">
        <f t="shared" si="349"/>
        <v>0</v>
      </c>
      <c r="AR2131" s="25">
        <f t="shared" si="350"/>
        <v>1.55</v>
      </c>
      <c r="AS2131" s="25">
        <f t="shared" si="351"/>
        <v>1.55</v>
      </c>
      <c r="AU2131" s="41"/>
      <c r="AV2131" s="275">
        <v>1.5169999999999999</v>
      </c>
      <c r="AW2131" s="41"/>
      <c r="AX2131" s="41"/>
    </row>
    <row r="2132" spans="1:88">
      <c r="A2132" s="1">
        <v>1627</v>
      </c>
      <c r="B2132" s="170" t="s">
        <v>2182</v>
      </c>
      <c r="C2132" s="170">
        <v>417</v>
      </c>
      <c r="D2132" s="89">
        <v>3701</v>
      </c>
      <c r="E2132" s="9">
        <v>200</v>
      </c>
      <c r="F2132" s="170" t="s">
        <v>2197</v>
      </c>
      <c r="G2132" s="6" t="s">
        <v>2199</v>
      </c>
      <c r="H2132" s="6" t="s">
        <v>2200</v>
      </c>
      <c r="I2132" s="35">
        <v>0.53</v>
      </c>
      <c r="J2132" s="170">
        <v>2</v>
      </c>
      <c r="K2132" s="170" t="s">
        <v>238</v>
      </c>
      <c r="L2132" s="18">
        <v>42241</v>
      </c>
      <c r="M2132" s="9" t="s">
        <v>191</v>
      </c>
      <c r="N2132" s="11">
        <v>0.4</v>
      </c>
      <c r="O2132" s="11">
        <v>0.05</v>
      </c>
      <c r="P2132" s="11">
        <v>0.05</v>
      </c>
      <c r="Q2132" s="11">
        <v>2.5000000000000001E-2</v>
      </c>
      <c r="R2132" s="11">
        <v>2.4489999999999998</v>
      </c>
      <c r="S2132" s="38">
        <f t="shared" si="338"/>
        <v>2.5</v>
      </c>
      <c r="T2132" s="11">
        <v>0.47499999999999998</v>
      </c>
      <c r="U2132" s="11">
        <v>0</v>
      </c>
      <c r="V2132" s="11">
        <v>2.5000000000000001E-2</v>
      </c>
      <c r="W2132" s="11">
        <v>2.5000000000000001E-2</v>
      </c>
      <c r="X2132" s="11">
        <v>5.3570000000000002</v>
      </c>
      <c r="Y2132" s="38">
        <f t="shared" si="339"/>
        <v>5.5</v>
      </c>
      <c r="Z2132" s="11">
        <v>0</v>
      </c>
      <c r="AA2132" s="11">
        <v>0</v>
      </c>
      <c r="AB2132" s="11">
        <f t="shared" si="341"/>
        <v>0.52500000000000002</v>
      </c>
      <c r="AC2132" s="11">
        <v>1.6779999999999999</v>
      </c>
      <c r="AD2132" s="11">
        <v>0</v>
      </c>
      <c r="AE2132" s="11">
        <v>0</v>
      </c>
      <c r="AF2132" s="11">
        <f t="shared" si="342"/>
        <v>0</v>
      </c>
      <c r="AG2132" s="38">
        <f t="shared" si="340"/>
        <v>0</v>
      </c>
      <c r="AH2132" s="11">
        <v>0</v>
      </c>
      <c r="AI2132" s="11">
        <f t="shared" si="343"/>
        <v>0</v>
      </c>
      <c r="AJ2132" s="11">
        <v>0</v>
      </c>
      <c r="AK2132" s="38">
        <f t="shared" si="344"/>
        <v>0</v>
      </c>
      <c r="AL2132" s="11">
        <v>0</v>
      </c>
      <c r="AM2132" s="38">
        <f t="shared" si="345"/>
        <v>0</v>
      </c>
      <c r="AN2132" s="25">
        <f t="shared" si="346"/>
        <v>0</v>
      </c>
      <c r="AO2132" s="25">
        <f t="shared" si="347"/>
        <v>0</v>
      </c>
      <c r="AP2132" s="25">
        <f t="shared" si="348"/>
        <v>0</v>
      </c>
      <c r="AQ2132" s="25">
        <f t="shared" si="349"/>
        <v>0</v>
      </c>
      <c r="AR2132" s="25">
        <f t="shared" si="350"/>
        <v>0.52500000000000002</v>
      </c>
      <c r="AS2132" s="25">
        <f t="shared" si="351"/>
        <v>0.52500000000000002</v>
      </c>
      <c r="AU2132" s="41"/>
      <c r="AV2132" s="275">
        <v>0.53</v>
      </c>
      <c r="AW2132" s="41"/>
      <c r="AX2132" s="41"/>
    </row>
    <row r="2133" spans="1:88">
      <c r="A2133" s="1">
        <v>1628</v>
      </c>
      <c r="B2133" s="170" t="s">
        <v>2182</v>
      </c>
      <c r="C2133" s="170">
        <v>417</v>
      </c>
      <c r="D2133" s="89">
        <v>3701</v>
      </c>
      <c r="E2133" s="9">
        <v>200</v>
      </c>
      <c r="F2133" s="170" t="s">
        <v>2197</v>
      </c>
      <c r="G2133" s="6" t="s">
        <v>2201</v>
      </c>
      <c r="H2133" s="6" t="s">
        <v>2202</v>
      </c>
      <c r="I2133" s="35">
        <v>0.63300000000000001</v>
      </c>
      <c r="J2133" s="170">
        <v>2</v>
      </c>
      <c r="K2133" s="170" t="s">
        <v>238</v>
      </c>
      <c r="L2133" s="18">
        <v>42241</v>
      </c>
      <c r="M2133" s="9" t="s">
        <v>191</v>
      </c>
      <c r="N2133" s="11">
        <v>0.47499999999999998</v>
      </c>
      <c r="O2133" s="11">
        <v>0.2</v>
      </c>
      <c r="P2133" s="11">
        <v>0.05</v>
      </c>
      <c r="Q2133" s="11">
        <v>0</v>
      </c>
      <c r="R2133" s="11">
        <v>2.444</v>
      </c>
      <c r="S2133" s="38">
        <f t="shared" si="338"/>
        <v>2.5</v>
      </c>
      <c r="T2133" s="11">
        <v>0.57499999999999996</v>
      </c>
      <c r="U2133" s="11">
        <v>0.05</v>
      </c>
      <c r="V2133" s="11">
        <v>0</v>
      </c>
      <c r="W2133" s="11">
        <v>0.1</v>
      </c>
      <c r="X2133" s="11">
        <v>11.972</v>
      </c>
      <c r="Y2133" s="38">
        <f t="shared" si="339"/>
        <v>12</v>
      </c>
      <c r="Z2133" s="11">
        <v>0</v>
      </c>
      <c r="AA2133" s="11">
        <v>0</v>
      </c>
      <c r="AB2133" s="11">
        <f t="shared" si="341"/>
        <v>0.72500000000000009</v>
      </c>
      <c r="AC2133" s="11">
        <v>2.5449999999999999</v>
      </c>
      <c r="AD2133" s="11">
        <v>0</v>
      </c>
      <c r="AE2133" s="11">
        <v>0</v>
      </c>
      <c r="AF2133" s="11">
        <f t="shared" si="342"/>
        <v>0</v>
      </c>
      <c r="AG2133" s="38">
        <f t="shared" si="340"/>
        <v>0</v>
      </c>
      <c r="AH2133" s="11">
        <v>9</v>
      </c>
      <c r="AI2133" s="11">
        <f t="shared" si="343"/>
        <v>0.40622884224779959</v>
      </c>
      <c r="AJ2133" s="11">
        <v>0</v>
      </c>
      <c r="AK2133" s="38">
        <f t="shared" si="344"/>
        <v>0</v>
      </c>
      <c r="AL2133" s="11">
        <v>0</v>
      </c>
      <c r="AM2133" s="38">
        <f t="shared" si="345"/>
        <v>0</v>
      </c>
      <c r="AN2133" s="25">
        <f t="shared" si="346"/>
        <v>0</v>
      </c>
      <c r="AO2133" s="25">
        <f t="shared" si="347"/>
        <v>0</v>
      </c>
      <c r="AP2133" s="25">
        <f t="shared" si="348"/>
        <v>5.6970000000000001</v>
      </c>
      <c r="AQ2133" s="25">
        <f t="shared" si="349"/>
        <v>5.6970000000000001</v>
      </c>
      <c r="AR2133" s="25">
        <f t="shared" si="350"/>
        <v>0.72500000000000009</v>
      </c>
      <c r="AS2133" s="25">
        <f t="shared" si="351"/>
        <v>0.72499999999999998</v>
      </c>
      <c r="AU2133" s="41"/>
      <c r="AV2133" s="275">
        <v>0.63300000000000001</v>
      </c>
      <c r="AW2133" s="41"/>
      <c r="AX2133" s="41"/>
    </row>
    <row r="2134" spans="1:88">
      <c r="A2134" s="1">
        <v>1629</v>
      </c>
      <c r="B2134" s="170" t="s">
        <v>2182</v>
      </c>
      <c r="C2134" s="170">
        <v>417</v>
      </c>
      <c r="D2134" s="89">
        <v>3701</v>
      </c>
      <c r="E2134" s="9">
        <v>200</v>
      </c>
      <c r="F2134" s="170" t="s">
        <v>2197</v>
      </c>
      <c r="G2134" s="6" t="s">
        <v>2203</v>
      </c>
      <c r="H2134" s="6" t="s">
        <v>2204</v>
      </c>
      <c r="I2134" s="35">
        <v>1.1950000000000001</v>
      </c>
      <c r="J2134" s="170">
        <v>2</v>
      </c>
      <c r="K2134" s="170" t="s">
        <v>238</v>
      </c>
      <c r="L2134" s="18">
        <v>42241</v>
      </c>
      <c r="M2134" s="9" t="s">
        <v>191</v>
      </c>
      <c r="N2134" s="11">
        <v>1.25</v>
      </c>
      <c r="O2134" s="11">
        <v>0.3</v>
      </c>
      <c r="P2134" s="11">
        <v>0.15</v>
      </c>
      <c r="Q2134" s="11">
        <v>0</v>
      </c>
      <c r="R2134" s="11">
        <v>2.3809999999999998</v>
      </c>
      <c r="S2134" s="38">
        <f t="shared" si="338"/>
        <v>2.5</v>
      </c>
      <c r="T2134" s="11">
        <v>1.5249999999999999</v>
      </c>
      <c r="U2134" s="11">
        <v>0.05</v>
      </c>
      <c r="V2134" s="11">
        <v>2.5000000000000001E-2</v>
      </c>
      <c r="W2134" s="11">
        <v>0.1</v>
      </c>
      <c r="X2134" s="11">
        <v>5.8879999999999999</v>
      </c>
      <c r="Y2134" s="38">
        <f t="shared" si="339"/>
        <v>6</v>
      </c>
      <c r="Z2134" s="11">
        <v>0</v>
      </c>
      <c r="AA2134" s="11">
        <v>0</v>
      </c>
      <c r="AB2134" s="11">
        <f t="shared" si="341"/>
        <v>1.7</v>
      </c>
      <c r="AC2134" s="11">
        <v>1.286</v>
      </c>
      <c r="AD2134" s="11">
        <v>0</v>
      </c>
      <c r="AE2134" s="11">
        <v>0</v>
      </c>
      <c r="AF2134" s="11">
        <f t="shared" si="342"/>
        <v>0</v>
      </c>
      <c r="AG2134" s="38">
        <f t="shared" si="340"/>
        <v>0</v>
      </c>
      <c r="AH2134" s="11">
        <v>0</v>
      </c>
      <c r="AI2134" s="11">
        <f t="shared" si="343"/>
        <v>0</v>
      </c>
      <c r="AJ2134" s="11">
        <v>0</v>
      </c>
      <c r="AK2134" s="38">
        <f t="shared" si="344"/>
        <v>0</v>
      </c>
      <c r="AL2134" s="11">
        <v>0</v>
      </c>
      <c r="AM2134" s="38">
        <f t="shared" si="345"/>
        <v>0</v>
      </c>
      <c r="AN2134" s="25">
        <f t="shared" si="346"/>
        <v>0</v>
      </c>
      <c r="AO2134" s="25">
        <f t="shared" si="347"/>
        <v>0</v>
      </c>
      <c r="AP2134" s="25">
        <f t="shared" si="348"/>
        <v>0</v>
      </c>
      <c r="AQ2134" s="25">
        <f t="shared" si="349"/>
        <v>0</v>
      </c>
      <c r="AR2134" s="25">
        <f t="shared" si="350"/>
        <v>1.7</v>
      </c>
      <c r="AS2134" s="25">
        <f t="shared" si="351"/>
        <v>1.7</v>
      </c>
      <c r="AU2134" s="41"/>
      <c r="AV2134" s="275">
        <v>1.625</v>
      </c>
      <c r="AW2134" s="41"/>
      <c r="AX2134" s="41"/>
    </row>
    <row r="2135" spans="1:88">
      <c r="A2135" s="1">
        <v>1631</v>
      </c>
      <c r="B2135" s="170" t="s">
        <v>2182</v>
      </c>
      <c r="C2135" s="170">
        <v>417</v>
      </c>
      <c r="D2135" s="89">
        <v>3701</v>
      </c>
      <c r="E2135" s="9">
        <v>200</v>
      </c>
      <c r="F2135" s="170" t="s">
        <v>2197</v>
      </c>
      <c r="G2135" s="6" t="s">
        <v>2207</v>
      </c>
      <c r="H2135" s="6" t="s">
        <v>2208</v>
      </c>
      <c r="I2135" s="35">
        <v>1.835</v>
      </c>
      <c r="J2135" s="170">
        <v>2</v>
      </c>
      <c r="K2135" s="170" t="s">
        <v>238</v>
      </c>
      <c r="L2135" s="18">
        <v>42241</v>
      </c>
      <c r="M2135" s="9" t="s">
        <v>191</v>
      </c>
      <c r="N2135" s="11">
        <v>1.25</v>
      </c>
      <c r="O2135" s="11">
        <v>0.22500000000000001</v>
      </c>
      <c r="P2135" s="11">
        <v>7.4999999999999997E-2</v>
      </c>
      <c r="Q2135" s="11">
        <v>0.2</v>
      </c>
      <c r="R2135" s="11">
        <v>2.6789999999999998</v>
      </c>
      <c r="S2135" s="38">
        <f t="shared" si="338"/>
        <v>2.5</v>
      </c>
      <c r="T2135" s="11">
        <v>1.7</v>
      </c>
      <c r="U2135" s="11">
        <v>0.05</v>
      </c>
      <c r="V2135" s="11">
        <v>0</v>
      </c>
      <c r="W2135" s="11">
        <v>0</v>
      </c>
      <c r="X2135" s="11">
        <v>4.1840000000000002</v>
      </c>
      <c r="Y2135" s="38">
        <f t="shared" si="339"/>
        <v>4</v>
      </c>
      <c r="Z2135" s="11">
        <v>0</v>
      </c>
      <c r="AA2135" s="11">
        <v>0</v>
      </c>
      <c r="AB2135" s="11">
        <f t="shared" si="341"/>
        <v>1.75</v>
      </c>
      <c r="AC2135" s="11">
        <v>1.3</v>
      </c>
      <c r="AD2135" s="11">
        <v>0</v>
      </c>
      <c r="AE2135" s="11">
        <v>0</v>
      </c>
      <c r="AF2135" s="11">
        <f t="shared" si="342"/>
        <v>0</v>
      </c>
      <c r="AG2135" s="38">
        <f t="shared" si="340"/>
        <v>0</v>
      </c>
      <c r="AH2135" s="11">
        <v>0</v>
      </c>
      <c r="AI2135" s="11">
        <f t="shared" si="343"/>
        <v>0</v>
      </c>
      <c r="AJ2135" s="11">
        <v>0</v>
      </c>
      <c r="AK2135" s="38">
        <f t="shared" si="344"/>
        <v>0</v>
      </c>
      <c r="AL2135" s="11">
        <v>0</v>
      </c>
      <c r="AM2135" s="38">
        <f t="shared" si="345"/>
        <v>0</v>
      </c>
      <c r="AN2135" s="25">
        <f t="shared" si="346"/>
        <v>0</v>
      </c>
      <c r="AO2135" s="25">
        <f t="shared" si="347"/>
        <v>0</v>
      </c>
      <c r="AP2135" s="25">
        <f t="shared" si="348"/>
        <v>0</v>
      </c>
      <c r="AQ2135" s="25">
        <f t="shared" si="349"/>
        <v>0</v>
      </c>
      <c r="AR2135" s="25">
        <f t="shared" si="350"/>
        <v>1.75</v>
      </c>
      <c r="AS2135" s="25">
        <f t="shared" si="351"/>
        <v>1.75</v>
      </c>
      <c r="AU2135" s="41"/>
      <c r="AV2135" s="275">
        <v>1.835</v>
      </c>
      <c r="AW2135" s="41"/>
      <c r="AX2135" s="41"/>
    </row>
    <row r="2136" spans="1:88">
      <c r="A2136" s="1">
        <v>1632</v>
      </c>
      <c r="B2136" s="170" t="s">
        <v>2182</v>
      </c>
      <c r="C2136" s="170">
        <v>417</v>
      </c>
      <c r="D2136" s="89">
        <v>3701</v>
      </c>
      <c r="E2136" s="9">
        <v>200</v>
      </c>
      <c r="F2136" s="170" t="s">
        <v>2197</v>
      </c>
      <c r="G2136" s="6" t="s">
        <v>2209</v>
      </c>
      <c r="H2136" s="6" t="s">
        <v>2210</v>
      </c>
      <c r="I2136" s="35">
        <v>0.94299999999999995</v>
      </c>
      <c r="J2136" s="170">
        <v>2</v>
      </c>
      <c r="K2136" s="170" t="s">
        <v>238</v>
      </c>
      <c r="L2136" s="18">
        <v>42241</v>
      </c>
      <c r="M2136" s="9" t="s">
        <v>191</v>
      </c>
      <c r="N2136" s="11">
        <v>0.75</v>
      </c>
      <c r="O2136" s="11">
        <v>0.17499999999999999</v>
      </c>
      <c r="P2136" s="11">
        <v>0.05</v>
      </c>
      <c r="Q2136" s="11">
        <v>0.05</v>
      </c>
      <c r="R2136" s="11">
        <v>2.327</v>
      </c>
      <c r="S2136" s="38">
        <f t="shared" si="338"/>
        <v>2.5</v>
      </c>
      <c r="T2136" s="11">
        <v>1.0249999999999999</v>
      </c>
      <c r="U2136" s="11">
        <v>0</v>
      </c>
      <c r="V2136" s="11">
        <v>0</v>
      </c>
      <c r="W2136" s="11">
        <v>0</v>
      </c>
      <c r="X2136" s="11">
        <v>3.819</v>
      </c>
      <c r="Y2136" s="38">
        <f t="shared" si="339"/>
        <v>4</v>
      </c>
      <c r="Z2136" s="11">
        <v>0</v>
      </c>
      <c r="AA2136" s="11">
        <v>0</v>
      </c>
      <c r="AB2136" s="11">
        <f t="shared" si="341"/>
        <v>1.0250000000000001</v>
      </c>
      <c r="AC2136" s="11">
        <v>1.3129999999999999</v>
      </c>
      <c r="AD2136" s="11">
        <v>0</v>
      </c>
      <c r="AE2136" s="11">
        <v>0</v>
      </c>
      <c r="AF2136" s="11">
        <f t="shared" si="342"/>
        <v>0</v>
      </c>
      <c r="AG2136" s="38">
        <f t="shared" si="340"/>
        <v>0</v>
      </c>
      <c r="AH2136" s="11">
        <v>0</v>
      </c>
      <c r="AI2136" s="11">
        <f t="shared" si="343"/>
        <v>0</v>
      </c>
      <c r="AJ2136" s="11">
        <v>0</v>
      </c>
      <c r="AK2136" s="38">
        <f t="shared" si="344"/>
        <v>0</v>
      </c>
      <c r="AL2136" s="11">
        <v>0</v>
      </c>
      <c r="AM2136" s="38">
        <f t="shared" si="345"/>
        <v>0</v>
      </c>
      <c r="AN2136" s="25">
        <f t="shared" si="346"/>
        <v>0</v>
      </c>
      <c r="AO2136" s="25">
        <f t="shared" si="347"/>
        <v>0</v>
      </c>
      <c r="AP2136" s="25">
        <f t="shared" si="348"/>
        <v>0</v>
      </c>
      <c r="AQ2136" s="25">
        <f t="shared" si="349"/>
        <v>0</v>
      </c>
      <c r="AR2136" s="25">
        <f t="shared" si="350"/>
        <v>1.0250000000000001</v>
      </c>
      <c r="AS2136" s="25">
        <f t="shared" si="351"/>
        <v>1.0249999999999999</v>
      </c>
      <c r="AU2136" s="41"/>
      <c r="AV2136" s="275">
        <v>0.94299999999999995</v>
      </c>
      <c r="AW2136" s="41"/>
      <c r="AX2136" s="41"/>
    </row>
    <row r="2137" spans="1:88">
      <c r="A2137" s="1">
        <v>1633</v>
      </c>
      <c r="B2137" s="170" t="s">
        <v>2182</v>
      </c>
      <c r="C2137" s="170">
        <v>417</v>
      </c>
      <c r="D2137" s="89">
        <v>3701</v>
      </c>
      <c r="E2137" s="9">
        <v>200</v>
      </c>
      <c r="F2137" s="170" t="s">
        <v>2197</v>
      </c>
      <c r="G2137" s="6" t="s">
        <v>2211</v>
      </c>
      <c r="H2137" s="6" t="s">
        <v>2212</v>
      </c>
      <c r="I2137" s="35">
        <v>0.751</v>
      </c>
      <c r="J2137" s="170">
        <v>2</v>
      </c>
      <c r="K2137" s="170" t="s">
        <v>238</v>
      </c>
      <c r="L2137" s="18">
        <v>42241</v>
      </c>
      <c r="M2137" s="9" t="s">
        <v>191</v>
      </c>
      <c r="N2137" s="11">
        <v>0.5</v>
      </c>
      <c r="O2137" s="11">
        <v>2.5000000000000001E-2</v>
      </c>
      <c r="P2137" s="11">
        <v>0.2</v>
      </c>
      <c r="Q2137" s="11">
        <v>2.5000000000000001E-2</v>
      </c>
      <c r="R2137" s="11">
        <v>2.7</v>
      </c>
      <c r="S2137" s="38">
        <f t="shared" si="338"/>
        <v>2.5</v>
      </c>
      <c r="T2137" s="11">
        <v>0.72499999999999998</v>
      </c>
      <c r="U2137" s="11">
        <v>2.5000000000000001E-2</v>
      </c>
      <c r="V2137" s="11">
        <v>0</v>
      </c>
      <c r="W2137" s="11">
        <v>0</v>
      </c>
      <c r="X2137" s="11">
        <v>4.5129999999999999</v>
      </c>
      <c r="Y2137" s="38">
        <f t="shared" si="339"/>
        <v>4.5</v>
      </c>
      <c r="Z2137" s="11">
        <v>0</v>
      </c>
      <c r="AA2137" s="11">
        <v>0</v>
      </c>
      <c r="AB2137" s="11">
        <f t="shared" si="341"/>
        <v>0.75000000000000011</v>
      </c>
      <c r="AC2137" s="11">
        <v>1.21</v>
      </c>
      <c r="AD2137" s="11">
        <v>0</v>
      </c>
      <c r="AE2137" s="11">
        <v>0</v>
      </c>
      <c r="AF2137" s="11">
        <f t="shared" si="342"/>
        <v>0</v>
      </c>
      <c r="AG2137" s="38">
        <f t="shared" si="340"/>
        <v>0</v>
      </c>
      <c r="AH2137" s="11">
        <v>0</v>
      </c>
      <c r="AI2137" s="11">
        <f t="shared" si="343"/>
        <v>0</v>
      </c>
      <c r="AJ2137" s="11">
        <v>0</v>
      </c>
      <c r="AK2137" s="38">
        <f t="shared" si="344"/>
        <v>0</v>
      </c>
      <c r="AL2137" s="11">
        <v>0</v>
      </c>
      <c r="AM2137" s="38">
        <f t="shared" si="345"/>
        <v>0</v>
      </c>
      <c r="AN2137" s="25">
        <f t="shared" si="346"/>
        <v>0</v>
      </c>
      <c r="AO2137" s="25">
        <f t="shared" si="347"/>
        <v>0</v>
      </c>
      <c r="AP2137" s="25">
        <f t="shared" si="348"/>
        <v>0</v>
      </c>
      <c r="AQ2137" s="25">
        <f t="shared" si="349"/>
        <v>0</v>
      </c>
      <c r="AR2137" s="25">
        <f t="shared" si="350"/>
        <v>0.75000000000000011</v>
      </c>
      <c r="AS2137" s="25">
        <f t="shared" si="351"/>
        <v>0.75</v>
      </c>
      <c r="AU2137" s="41"/>
      <c r="AV2137" s="275">
        <v>0.751</v>
      </c>
      <c r="AW2137" s="41"/>
      <c r="AX2137" s="41"/>
    </row>
    <row r="2138" spans="1:88">
      <c r="A2138" s="1">
        <v>1634</v>
      </c>
      <c r="B2138" s="170" t="s">
        <v>2182</v>
      </c>
      <c r="C2138" s="170">
        <v>417</v>
      </c>
      <c r="D2138" s="89">
        <v>3701</v>
      </c>
      <c r="E2138" s="9">
        <v>200</v>
      </c>
      <c r="F2138" s="170" t="s">
        <v>2197</v>
      </c>
      <c r="G2138" s="6" t="s">
        <v>2213</v>
      </c>
      <c r="H2138" s="6" t="s">
        <v>2214</v>
      </c>
      <c r="I2138" s="35">
        <v>1.2350000000000001</v>
      </c>
      <c r="J2138" s="170">
        <v>2</v>
      </c>
      <c r="K2138" s="170" t="s">
        <v>238</v>
      </c>
      <c r="L2138" s="18">
        <v>42241</v>
      </c>
      <c r="M2138" s="9" t="s">
        <v>191</v>
      </c>
      <c r="N2138" s="11">
        <v>0.375</v>
      </c>
      <c r="O2138" s="11">
        <v>0.2</v>
      </c>
      <c r="P2138" s="11">
        <v>0.2</v>
      </c>
      <c r="Q2138" s="11">
        <v>0.47499999999999998</v>
      </c>
      <c r="R2138" s="11">
        <v>4.8280000000000003</v>
      </c>
      <c r="S2138" s="38">
        <f t="shared" si="338"/>
        <v>5</v>
      </c>
      <c r="T2138" s="11">
        <v>1.075</v>
      </c>
      <c r="U2138" s="11">
        <v>0.15</v>
      </c>
      <c r="V2138" s="11">
        <v>0</v>
      </c>
      <c r="W2138" s="11">
        <v>2.5000000000000001E-2</v>
      </c>
      <c r="X2138" s="11">
        <v>7.1790000000000003</v>
      </c>
      <c r="Y2138" s="38">
        <f t="shared" si="339"/>
        <v>7</v>
      </c>
      <c r="Z2138" s="11">
        <v>0</v>
      </c>
      <c r="AA2138" s="11">
        <v>0</v>
      </c>
      <c r="AB2138" s="11">
        <f t="shared" si="341"/>
        <v>1.25</v>
      </c>
      <c r="AC2138" s="11">
        <v>1.2929999999999999</v>
      </c>
      <c r="AD2138" s="11">
        <v>0</v>
      </c>
      <c r="AE2138" s="11">
        <v>0</v>
      </c>
      <c r="AF2138" s="11">
        <f t="shared" si="342"/>
        <v>0</v>
      </c>
      <c r="AG2138" s="38">
        <f t="shared" si="340"/>
        <v>0</v>
      </c>
      <c r="AH2138" s="11">
        <v>0</v>
      </c>
      <c r="AI2138" s="11">
        <f t="shared" si="343"/>
        <v>0</v>
      </c>
      <c r="AJ2138" s="11">
        <v>0</v>
      </c>
      <c r="AK2138" s="38">
        <f t="shared" si="344"/>
        <v>0</v>
      </c>
      <c r="AL2138" s="11">
        <v>0</v>
      </c>
      <c r="AM2138" s="38">
        <f t="shared" si="345"/>
        <v>0</v>
      </c>
      <c r="AN2138" s="25">
        <f t="shared" si="346"/>
        <v>0</v>
      </c>
      <c r="AO2138" s="25">
        <f t="shared" si="347"/>
        <v>0</v>
      </c>
      <c r="AP2138" s="25">
        <f t="shared" si="348"/>
        <v>0</v>
      </c>
      <c r="AQ2138" s="25">
        <f t="shared" si="349"/>
        <v>0</v>
      </c>
      <c r="AR2138" s="25">
        <f t="shared" si="350"/>
        <v>1.25</v>
      </c>
      <c r="AS2138" s="25">
        <f t="shared" si="351"/>
        <v>1.2499999999999998</v>
      </c>
      <c r="AU2138" s="41"/>
      <c r="AV2138" s="275">
        <v>1.2350000000000001</v>
      </c>
      <c r="AW2138" s="41"/>
      <c r="AX2138" s="41"/>
    </row>
    <row r="2139" spans="1:88">
      <c r="A2139" s="1">
        <v>1635</v>
      </c>
      <c r="B2139" s="170" t="s">
        <v>2182</v>
      </c>
      <c r="C2139" s="170">
        <v>417</v>
      </c>
      <c r="D2139" s="89">
        <v>3701</v>
      </c>
      <c r="E2139" s="9">
        <v>200</v>
      </c>
      <c r="F2139" s="170" t="s">
        <v>2197</v>
      </c>
      <c r="G2139" s="6" t="s">
        <v>2215</v>
      </c>
      <c r="H2139" s="6" t="s">
        <v>2216</v>
      </c>
      <c r="I2139" s="35">
        <v>0.61899999999999999</v>
      </c>
      <c r="J2139" s="170">
        <v>2</v>
      </c>
      <c r="K2139" s="170" t="s">
        <v>238</v>
      </c>
      <c r="L2139" s="18">
        <v>42241</v>
      </c>
      <c r="M2139" s="9" t="s">
        <v>191</v>
      </c>
      <c r="N2139" s="11">
        <v>0.22500000000000001</v>
      </c>
      <c r="O2139" s="11">
        <v>0.15</v>
      </c>
      <c r="P2139" s="11">
        <v>7.4999999999999997E-2</v>
      </c>
      <c r="Q2139" s="11">
        <v>0.125</v>
      </c>
      <c r="R2139" s="11">
        <v>3.3180000000000001</v>
      </c>
      <c r="S2139" s="38">
        <f t="shared" si="338"/>
        <v>3.5</v>
      </c>
      <c r="T2139" s="11">
        <v>0.57499999999999996</v>
      </c>
      <c r="U2139" s="11">
        <v>0</v>
      </c>
      <c r="V2139" s="11">
        <v>0</v>
      </c>
      <c r="W2139" s="11">
        <v>0</v>
      </c>
      <c r="X2139" s="11">
        <v>3.8359999999999999</v>
      </c>
      <c r="Y2139" s="38">
        <f t="shared" si="339"/>
        <v>4</v>
      </c>
      <c r="Z2139" s="11">
        <v>0</v>
      </c>
      <c r="AA2139" s="11">
        <v>0</v>
      </c>
      <c r="AB2139" s="11">
        <f t="shared" si="341"/>
        <v>0.57499999999999996</v>
      </c>
      <c r="AC2139" s="11">
        <v>1.19</v>
      </c>
      <c r="AD2139" s="11">
        <v>0</v>
      </c>
      <c r="AE2139" s="11">
        <v>0</v>
      </c>
      <c r="AF2139" s="11">
        <f t="shared" si="342"/>
        <v>0</v>
      </c>
      <c r="AG2139" s="38">
        <f t="shared" si="340"/>
        <v>0</v>
      </c>
      <c r="AH2139" s="11">
        <v>0</v>
      </c>
      <c r="AI2139" s="11">
        <f t="shared" si="343"/>
        <v>0</v>
      </c>
      <c r="AJ2139" s="11">
        <v>0</v>
      </c>
      <c r="AK2139" s="38">
        <f t="shared" si="344"/>
        <v>0</v>
      </c>
      <c r="AL2139" s="11">
        <v>0</v>
      </c>
      <c r="AM2139" s="38">
        <f t="shared" si="345"/>
        <v>0</v>
      </c>
      <c r="AN2139" s="25">
        <f t="shared" si="346"/>
        <v>0</v>
      </c>
      <c r="AO2139" s="25">
        <f t="shared" si="347"/>
        <v>0</v>
      </c>
      <c r="AP2139" s="25">
        <f t="shared" si="348"/>
        <v>0</v>
      </c>
      <c r="AQ2139" s="25">
        <f t="shared" si="349"/>
        <v>0</v>
      </c>
      <c r="AR2139" s="25">
        <f t="shared" si="350"/>
        <v>0.57499999999999996</v>
      </c>
      <c r="AS2139" s="25">
        <f t="shared" si="351"/>
        <v>0.57499999999999996</v>
      </c>
      <c r="AU2139" s="41"/>
      <c r="AV2139" s="275">
        <v>0.61899999999999999</v>
      </c>
      <c r="AW2139" s="41"/>
      <c r="AX2139" s="41"/>
    </row>
    <row r="2140" spans="1:88" s="22" customFormat="1">
      <c r="A2140" s="1">
        <v>1636</v>
      </c>
      <c r="B2140" s="170" t="s">
        <v>2182</v>
      </c>
      <c r="C2140" s="170">
        <v>417</v>
      </c>
      <c r="D2140" s="89">
        <v>3701</v>
      </c>
      <c r="E2140" s="9">
        <v>200</v>
      </c>
      <c r="F2140" s="170" t="s">
        <v>2197</v>
      </c>
      <c r="G2140" s="6" t="s">
        <v>2217</v>
      </c>
      <c r="H2140" s="6" t="s">
        <v>2218</v>
      </c>
      <c r="I2140" s="35">
        <v>1.2290000000000001</v>
      </c>
      <c r="J2140" s="170">
        <v>2</v>
      </c>
      <c r="K2140" s="170" t="s">
        <v>238</v>
      </c>
      <c r="L2140" s="18">
        <v>42241</v>
      </c>
      <c r="M2140" s="9" t="s">
        <v>191</v>
      </c>
      <c r="N2140" s="11">
        <v>0.85</v>
      </c>
      <c r="O2140" s="11">
        <v>0.27500000000000002</v>
      </c>
      <c r="P2140" s="11">
        <v>0.17499999999999999</v>
      </c>
      <c r="Q2140" s="11">
        <v>0</v>
      </c>
      <c r="R2140" s="11">
        <v>2.38</v>
      </c>
      <c r="S2140" s="38">
        <f t="shared" si="338"/>
        <v>2.5</v>
      </c>
      <c r="T2140" s="11">
        <v>1.2749999999999999</v>
      </c>
      <c r="U2140" s="11">
        <v>2.5000000000000001E-2</v>
      </c>
      <c r="V2140" s="11">
        <v>0</v>
      </c>
      <c r="W2140" s="11">
        <v>0</v>
      </c>
      <c r="X2140" s="11">
        <v>3.6320000000000001</v>
      </c>
      <c r="Y2140" s="38">
        <f t="shared" si="339"/>
        <v>3.5</v>
      </c>
      <c r="Z2140" s="11">
        <v>0</v>
      </c>
      <c r="AA2140" s="11">
        <v>0</v>
      </c>
      <c r="AB2140" s="11">
        <f t="shared" si="341"/>
        <v>1.3</v>
      </c>
      <c r="AC2140" s="11">
        <v>1.2090000000000001</v>
      </c>
      <c r="AD2140" s="11">
        <v>0</v>
      </c>
      <c r="AE2140" s="11">
        <v>0</v>
      </c>
      <c r="AF2140" s="11">
        <f t="shared" si="342"/>
        <v>0</v>
      </c>
      <c r="AG2140" s="38">
        <f t="shared" si="340"/>
        <v>0</v>
      </c>
      <c r="AH2140" s="11">
        <v>0</v>
      </c>
      <c r="AI2140" s="11">
        <f t="shared" si="343"/>
        <v>0</v>
      </c>
      <c r="AJ2140" s="11">
        <v>0</v>
      </c>
      <c r="AK2140" s="38">
        <f t="shared" si="344"/>
        <v>0</v>
      </c>
      <c r="AL2140" s="11">
        <v>0</v>
      </c>
      <c r="AM2140" s="38">
        <f t="shared" si="345"/>
        <v>0</v>
      </c>
      <c r="AN2140" s="25">
        <f t="shared" si="346"/>
        <v>0</v>
      </c>
      <c r="AO2140" s="25">
        <f t="shared" si="347"/>
        <v>0</v>
      </c>
      <c r="AP2140" s="25">
        <f t="shared" si="348"/>
        <v>0</v>
      </c>
      <c r="AQ2140" s="25">
        <f t="shared" si="349"/>
        <v>0</v>
      </c>
      <c r="AR2140" s="25">
        <f t="shared" si="350"/>
        <v>1.3</v>
      </c>
      <c r="AS2140" s="25">
        <f t="shared" si="351"/>
        <v>1.2999999999999998</v>
      </c>
      <c r="AT2140" s="1"/>
      <c r="AU2140" s="41"/>
      <c r="AV2140" s="275">
        <v>1.2290000000000001</v>
      </c>
      <c r="AW2140" s="41"/>
      <c r="AX2140" s="4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</row>
    <row r="2141" spans="1:88" s="22" customFormat="1">
      <c r="A2141" s="1">
        <v>1637</v>
      </c>
      <c r="B2141" s="170" t="s">
        <v>2182</v>
      </c>
      <c r="C2141" s="170">
        <v>417</v>
      </c>
      <c r="D2141" s="89">
        <v>3701</v>
      </c>
      <c r="E2141" s="9">
        <v>200</v>
      </c>
      <c r="F2141" s="170" t="s">
        <v>2197</v>
      </c>
      <c r="G2141" s="6" t="s">
        <v>2219</v>
      </c>
      <c r="H2141" s="6" t="s">
        <v>2220</v>
      </c>
      <c r="I2141" s="35">
        <v>1.8959999999999999</v>
      </c>
      <c r="J2141" s="170">
        <v>2</v>
      </c>
      <c r="K2141" s="170" t="s">
        <v>238</v>
      </c>
      <c r="L2141" s="18">
        <v>42241</v>
      </c>
      <c r="M2141" s="9" t="s">
        <v>191</v>
      </c>
      <c r="N2141" s="11">
        <v>0.82499999999999996</v>
      </c>
      <c r="O2141" s="11">
        <v>0.625</v>
      </c>
      <c r="P2141" s="11">
        <v>0.27500000000000002</v>
      </c>
      <c r="Q2141" s="11">
        <v>0.2</v>
      </c>
      <c r="R2141" s="11">
        <v>3.161</v>
      </c>
      <c r="S2141" s="38">
        <f t="shared" si="338"/>
        <v>3</v>
      </c>
      <c r="T2141" s="11">
        <v>1.9</v>
      </c>
      <c r="U2141" s="11">
        <v>2.5000000000000001E-2</v>
      </c>
      <c r="V2141" s="11">
        <v>0</v>
      </c>
      <c r="W2141" s="11">
        <v>0</v>
      </c>
      <c r="X2141" s="11">
        <v>3.6850000000000001</v>
      </c>
      <c r="Y2141" s="38">
        <f t="shared" si="339"/>
        <v>3.5</v>
      </c>
      <c r="Z2141" s="11">
        <v>0</v>
      </c>
      <c r="AA2141" s="11">
        <v>0</v>
      </c>
      <c r="AB2141" s="11">
        <f t="shared" si="341"/>
        <v>1.925</v>
      </c>
      <c r="AC2141" s="11">
        <v>1.331</v>
      </c>
      <c r="AD2141" s="11">
        <v>0</v>
      </c>
      <c r="AE2141" s="11">
        <v>0</v>
      </c>
      <c r="AF2141" s="11">
        <f t="shared" si="342"/>
        <v>0</v>
      </c>
      <c r="AG2141" s="38">
        <f t="shared" si="340"/>
        <v>0</v>
      </c>
      <c r="AH2141" s="11">
        <v>4</v>
      </c>
      <c r="AI2141" s="11">
        <f t="shared" si="343"/>
        <v>6.0277275467148894E-2</v>
      </c>
      <c r="AJ2141" s="11">
        <v>0</v>
      </c>
      <c r="AK2141" s="38">
        <f t="shared" si="344"/>
        <v>0</v>
      </c>
      <c r="AL2141" s="11">
        <v>0</v>
      </c>
      <c r="AM2141" s="38">
        <f t="shared" si="345"/>
        <v>0</v>
      </c>
      <c r="AN2141" s="25">
        <f t="shared" si="346"/>
        <v>0</v>
      </c>
      <c r="AO2141" s="25">
        <f t="shared" si="347"/>
        <v>0</v>
      </c>
      <c r="AP2141" s="25">
        <f t="shared" si="348"/>
        <v>7.5839999999999996</v>
      </c>
      <c r="AQ2141" s="25">
        <f t="shared" si="349"/>
        <v>7.5839999999999996</v>
      </c>
      <c r="AR2141" s="25">
        <f t="shared" si="350"/>
        <v>1.925</v>
      </c>
      <c r="AS2141" s="25">
        <f t="shared" si="351"/>
        <v>1.9249999999999998</v>
      </c>
      <c r="AT2141" s="1"/>
      <c r="AU2141" s="41"/>
      <c r="AV2141" s="275">
        <v>1.8959999999999999</v>
      </c>
      <c r="AW2141" s="41"/>
      <c r="AX2141" s="4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</row>
    <row r="2142" spans="1:88" s="22" customFormat="1">
      <c r="A2142" s="1">
        <v>1638</v>
      </c>
      <c r="B2142" s="170" t="s">
        <v>2182</v>
      </c>
      <c r="C2142" s="170">
        <v>417</v>
      </c>
      <c r="D2142" s="89">
        <v>3701</v>
      </c>
      <c r="E2142" s="9">
        <v>200</v>
      </c>
      <c r="F2142" s="170" t="s">
        <v>2197</v>
      </c>
      <c r="G2142" s="6" t="s">
        <v>2221</v>
      </c>
      <c r="H2142" s="6" t="s">
        <v>2222</v>
      </c>
      <c r="I2142" s="35">
        <v>2.3420000000000001</v>
      </c>
      <c r="J2142" s="170">
        <v>2</v>
      </c>
      <c r="K2142" s="170" t="s">
        <v>238</v>
      </c>
      <c r="L2142" s="18">
        <v>42241</v>
      </c>
      <c r="M2142" s="9" t="s">
        <v>191</v>
      </c>
      <c r="N2142" s="11">
        <v>7.4999999999999997E-2</v>
      </c>
      <c r="O2142" s="11">
        <v>7.4999999999999997E-2</v>
      </c>
      <c r="P2142" s="11">
        <v>0.05</v>
      </c>
      <c r="Q2142" s="11">
        <v>0.125</v>
      </c>
      <c r="R2142" s="11">
        <v>4.6970000000000001</v>
      </c>
      <c r="S2142" s="38">
        <f t="shared" si="338"/>
        <v>4.5</v>
      </c>
      <c r="T2142" s="11">
        <v>0.3</v>
      </c>
      <c r="U2142" s="11">
        <v>2.5000000000000001E-2</v>
      </c>
      <c r="V2142" s="11">
        <v>0</v>
      </c>
      <c r="W2142" s="11">
        <v>0</v>
      </c>
      <c r="X2142" s="11">
        <v>5.23</v>
      </c>
      <c r="Y2142" s="38">
        <f t="shared" si="339"/>
        <v>5</v>
      </c>
      <c r="Z2142" s="11">
        <v>0</v>
      </c>
      <c r="AA2142" s="11">
        <v>0</v>
      </c>
      <c r="AB2142" s="11">
        <f t="shared" si="341"/>
        <v>0.32500000000000001</v>
      </c>
      <c r="AC2142" s="11">
        <v>1.1519999999999999</v>
      </c>
      <c r="AD2142" s="11">
        <v>0</v>
      </c>
      <c r="AE2142" s="11">
        <v>0</v>
      </c>
      <c r="AF2142" s="11">
        <f t="shared" si="342"/>
        <v>0</v>
      </c>
      <c r="AG2142" s="38">
        <f t="shared" si="340"/>
        <v>0</v>
      </c>
      <c r="AH2142" s="11">
        <v>5.01</v>
      </c>
      <c r="AI2142" s="11">
        <f t="shared" si="343"/>
        <v>6.1119921922654606E-2</v>
      </c>
      <c r="AJ2142" s="11">
        <v>1.47</v>
      </c>
      <c r="AK2142" s="38">
        <f t="shared" si="344"/>
        <v>1.7933390264730995E-2</v>
      </c>
      <c r="AL2142" s="11">
        <v>0</v>
      </c>
      <c r="AM2142" s="38">
        <f t="shared" si="345"/>
        <v>0</v>
      </c>
      <c r="AN2142" s="25">
        <f t="shared" si="346"/>
        <v>0</v>
      </c>
      <c r="AO2142" s="25">
        <f t="shared" si="347"/>
        <v>0</v>
      </c>
      <c r="AP2142" s="25">
        <f t="shared" si="348"/>
        <v>15.176159999999999</v>
      </c>
      <c r="AQ2142" s="25">
        <f t="shared" si="349"/>
        <v>15.176159999999999</v>
      </c>
      <c r="AR2142" s="25">
        <f t="shared" si="350"/>
        <v>0.32500000000000001</v>
      </c>
      <c r="AS2142" s="25">
        <f t="shared" si="351"/>
        <v>0.32500000000000001</v>
      </c>
      <c r="AT2142" s="1"/>
      <c r="AU2142" s="41"/>
      <c r="AV2142" s="275">
        <v>2.3420000000000001</v>
      </c>
      <c r="AW2142" s="41"/>
      <c r="AX2142" s="4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</row>
    <row r="2143" spans="1:88" s="22" customFormat="1">
      <c r="A2143" s="1">
        <v>1639</v>
      </c>
      <c r="B2143" s="170" t="s">
        <v>2182</v>
      </c>
      <c r="C2143" s="170">
        <v>417</v>
      </c>
      <c r="D2143" s="89">
        <v>3702</v>
      </c>
      <c r="E2143" s="9">
        <v>200</v>
      </c>
      <c r="F2143" s="170" t="s">
        <v>2197</v>
      </c>
      <c r="G2143" s="6" t="s">
        <v>2223</v>
      </c>
      <c r="H2143" s="6" t="s">
        <v>389</v>
      </c>
      <c r="I2143" s="35">
        <v>1.5369999999999999</v>
      </c>
      <c r="J2143" s="170">
        <v>2</v>
      </c>
      <c r="K2143" s="170" t="s">
        <v>12</v>
      </c>
      <c r="L2143" s="18">
        <v>42241</v>
      </c>
      <c r="M2143" s="9" t="s">
        <v>191</v>
      </c>
      <c r="N2143" s="11">
        <v>0.8</v>
      </c>
      <c r="O2143" s="11">
        <v>0.375</v>
      </c>
      <c r="P2143" s="11">
        <v>0.05</v>
      </c>
      <c r="Q2143" s="11">
        <v>0.25</v>
      </c>
      <c r="R2143" s="11">
        <v>3.5270000000000001</v>
      </c>
      <c r="S2143" s="38">
        <f t="shared" si="338"/>
        <v>3.5</v>
      </c>
      <c r="T2143" s="11">
        <v>1.25</v>
      </c>
      <c r="U2143" s="11">
        <v>0.1</v>
      </c>
      <c r="V2143" s="11">
        <v>0.1</v>
      </c>
      <c r="W2143" s="11">
        <v>2.5000000000000001E-2</v>
      </c>
      <c r="X2143" s="11">
        <v>6.7450000000000001</v>
      </c>
      <c r="Y2143" s="38">
        <f t="shared" si="339"/>
        <v>6.5</v>
      </c>
      <c r="Z2143" s="11">
        <v>0</v>
      </c>
      <c r="AA2143" s="11">
        <v>0</v>
      </c>
      <c r="AB2143" s="11">
        <f t="shared" si="341"/>
        <v>1.4750000000000001</v>
      </c>
      <c r="AC2143" s="11">
        <v>1.42</v>
      </c>
      <c r="AD2143" s="11">
        <v>0</v>
      </c>
      <c r="AE2143" s="11">
        <v>0</v>
      </c>
      <c r="AF2143" s="11">
        <f t="shared" si="342"/>
        <v>0</v>
      </c>
      <c r="AG2143" s="38">
        <f t="shared" si="340"/>
        <v>0</v>
      </c>
      <c r="AH2143" s="11">
        <v>12.03</v>
      </c>
      <c r="AI2143" s="11">
        <f t="shared" si="343"/>
        <v>0.22362673110883907</v>
      </c>
      <c r="AJ2143" s="11">
        <v>5.68</v>
      </c>
      <c r="AK2143" s="38">
        <f t="shared" si="344"/>
        <v>0.10558602100566968</v>
      </c>
      <c r="AL2143" s="11">
        <v>0</v>
      </c>
      <c r="AM2143" s="38">
        <f t="shared" si="345"/>
        <v>0</v>
      </c>
      <c r="AN2143" s="25">
        <f t="shared" si="346"/>
        <v>0</v>
      </c>
      <c r="AO2143" s="25">
        <f t="shared" si="347"/>
        <v>0</v>
      </c>
      <c r="AP2143" s="25">
        <f t="shared" si="348"/>
        <v>27.220269999999999</v>
      </c>
      <c r="AQ2143" s="25">
        <f t="shared" si="349"/>
        <v>27.220269999999999</v>
      </c>
      <c r="AR2143" s="25">
        <f t="shared" si="350"/>
        <v>1.4750000000000001</v>
      </c>
      <c r="AS2143" s="25">
        <f t="shared" si="351"/>
        <v>1.4750000000000001</v>
      </c>
      <c r="AT2143" s="1"/>
      <c r="AU2143" s="41"/>
      <c r="AV2143" s="275">
        <v>1.5369999999999999</v>
      </c>
      <c r="AW2143" s="41"/>
      <c r="AX2143" s="4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</row>
    <row r="2144" spans="1:88" s="22" customFormat="1">
      <c r="A2144" s="1">
        <v>1640</v>
      </c>
      <c r="B2144" s="170" t="s">
        <v>2182</v>
      </c>
      <c r="C2144" s="170">
        <v>417</v>
      </c>
      <c r="D2144" s="89">
        <v>3702</v>
      </c>
      <c r="E2144" s="9">
        <v>200</v>
      </c>
      <c r="F2144" s="170" t="s">
        <v>2197</v>
      </c>
      <c r="G2144" s="6" t="s">
        <v>2224</v>
      </c>
      <c r="H2144" s="6" t="s">
        <v>2225</v>
      </c>
      <c r="I2144" s="35">
        <v>0.52800000000000002</v>
      </c>
      <c r="J2144" s="170">
        <v>2</v>
      </c>
      <c r="K2144" s="170" t="s">
        <v>12</v>
      </c>
      <c r="L2144" s="172">
        <v>42241</v>
      </c>
      <c r="M2144" s="9" t="s">
        <v>191</v>
      </c>
      <c r="N2144" s="11">
        <v>0.35</v>
      </c>
      <c r="O2144" s="11">
        <v>0.2</v>
      </c>
      <c r="P2144" s="11">
        <v>2.5000000000000001E-2</v>
      </c>
      <c r="Q2144" s="11">
        <v>0.05</v>
      </c>
      <c r="R2144" s="11">
        <v>2.5880000000000001</v>
      </c>
      <c r="S2144" s="38">
        <f t="shared" si="338"/>
        <v>2.5</v>
      </c>
      <c r="T2144" s="11">
        <v>0.625</v>
      </c>
      <c r="U2144" s="11">
        <v>0</v>
      </c>
      <c r="V2144" s="11">
        <v>0</v>
      </c>
      <c r="W2144" s="11">
        <v>0</v>
      </c>
      <c r="X2144" s="11">
        <v>3.9780000000000002</v>
      </c>
      <c r="Y2144" s="38">
        <f t="shared" si="339"/>
        <v>4</v>
      </c>
      <c r="Z2144" s="11">
        <v>0</v>
      </c>
      <c r="AA2144" s="11">
        <v>0</v>
      </c>
      <c r="AB2144" s="11">
        <f t="shared" si="341"/>
        <v>0.62500000000000011</v>
      </c>
      <c r="AC2144" s="11">
        <v>1.409</v>
      </c>
      <c r="AD2144" s="11">
        <v>0</v>
      </c>
      <c r="AE2144" s="11">
        <v>0</v>
      </c>
      <c r="AF2144" s="11">
        <f t="shared" si="342"/>
        <v>0</v>
      </c>
      <c r="AG2144" s="38">
        <f t="shared" si="340"/>
        <v>0</v>
      </c>
      <c r="AH2144" s="11">
        <v>0</v>
      </c>
      <c r="AI2144" s="11">
        <f t="shared" si="343"/>
        <v>0</v>
      </c>
      <c r="AJ2144" s="11">
        <v>0</v>
      </c>
      <c r="AK2144" s="38">
        <f t="shared" si="344"/>
        <v>0</v>
      </c>
      <c r="AL2144" s="11">
        <v>0</v>
      </c>
      <c r="AM2144" s="38">
        <f t="shared" si="345"/>
        <v>0</v>
      </c>
      <c r="AN2144" s="25">
        <f t="shared" si="346"/>
        <v>0</v>
      </c>
      <c r="AO2144" s="25">
        <f t="shared" si="347"/>
        <v>0</v>
      </c>
      <c r="AP2144" s="25">
        <f t="shared" si="348"/>
        <v>0</v>
      </c>
      <c r="AQ2144" s="25">
        <f t="shared" si="349"/>
        <v>0</v>
      </c>
      <c r="AR2144" s="25">
        <f t="shared" si="350"/>
        <v>0.62500000000000011</v>
      </c>
      <c r="AS2144" s="25">
        <f t="shared" si="351"/>
        <v>0.625</v>
      </c>
      <c r="AT2144" s="1"/>
      <c r="AU2144" s="41"/>
      <c r="AV2144" s="275">
        <v>0.52800000000000002</v>
      </c>
      <c r="AW2144" s="41"/>
      <c r="AX2144" s="4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</row>
    <row r="2145" spans="1:88" s="22" customFormat="1">
      <c r="A2145" s="1">
        <v>1641</v>
      </c>
      <c r="B2145" s="170" t="s">
        <v>2182</v>
      </c>
      <c r="C2145" s="170">
        <v>417</v>
      </c>
      <c r="D2145" s="89">
        <v>3702</v>
      </c>
      <c r="E2145" s="9">
        <v>200</v>
      </c>
      <c r="F2145" s="170" t="s">
        <v>2197</v>
      </c>
      <c r="G2145" s="6" t="s">
        <v>2226</v>
      </c>
      <c r="H2145" s="6" t="s">
        <v>2227</v>
      </c>
      <c r="I2145" s="35">
        <v>0.60599999999999998</v>
      </c>
      <c r="J2145" s="170">
        <v>2</v>
      </c>
      <c r="K2145" s="170" t="s">
        <v>12</v>
      </c>
      <c r="L2145" s="172">
        <v>42241</v>
      </c>
      <c r="M2145" s="9" t="s">
        <v>191</v>
      </c>
      <c r="N2145" s="11">
        <v>0.4</v>
      </c>
      <c r="O2145" s="11">
        <v>0.2</v>
      </c>
      <c r="P2145" s="11">
        <v>0</v>
      </c>
      <c r="Q2145" s="11">
        <v>2.5000000000000001E-2</v>
      </c>
      <c r="R2145" s="11">
        <v>2.484</v>
      </c>
      <c r="S2145" s="38">
        <f t="shared" si="338"/>
        <v>2.5</v>
      </c>
      <c r="T2145" s="11">
        <v>0.55000000000000004</v>
      </c>
      <c r="U2145" s="11">
        <v>7.4999999999999997E-2</v>
      </c>
      <c r="V2145" s="11">
        <v>0</v>
      </c>
      <c r="W2145" s="11">
        <v>0</v>
      </c>
      <c r="X2145" s="11">
        <v>2.6709999999999998</v>
      </c>
      <c r="Y2145" s="38">
        <f t="shared" si="339"/>
        <v>2.5</v>
      </c>
      <c r="Z2145" s="11">
        <v>0</v>
      </c>
      <c r="AA2145" s="11">
        <v>0</v>
      </c>
      <c r="AB2145" s="11">
        <f t="shared" si="341"/>
        <v>0.62500000000000011</v>
      </c>
      <c r="AC2145" s="11">
        <v>1.472</v>
      </c>
      <c r="AD2145" s="11">
        <v>0</v>
      </c>
      <c r="AE2145" s="11">
        <v>0</v>
      </c>
      <c r="AF2145" s="11">
        <f t="shared" si="342"/>
        <v>0</v>
      </c>
      <c r="AG2145" s="38">
        <f t="shared" si="340"/>
        <v>0</v>
      </c>
      <c r="AH2145" s="11">
        <v>0</v>
      </c>
      <c r="AI2145" s="11">
        <f t="shared" si="343"/>
        <v>0</v>
      </c>
      <c r="AJ2145" s="11">
        <v>0</v>
      </c>
      <c r="AK2145" s="38">
        <f t="shared" si="344"/>
        <v>0</v>
      </c>
      <c r="AL2145" s="11">
        <v>0</v>
      </c>
      <c r="AM2145" s="38">
        <f t="shared" si="345"/>
        <v>0</v>
      </c>
      <c r="AN2145" s="25">
        <f t="shared" si="346"/>
        <v>0</v>
      </c>
      <c r="AO2145" s="25">
        <f t="shared" si="347"/>
        <v>0</v>
      </c>
      <c r="AP2145" s="25">
        <f t="shared" si="348"/>
        <v>0</v>
      </c>
      <c r="AQ2145" s="25">
        <f t="shared" si="349"/>
        <v>0</v>
      </c>
      <c r="AR2145" s="25">
        <f t="shared" si="350"/>
        <v>0.62500000000000011</v>
      </c>
      <c r="AS2145" s="25">
        <f t="shared" si="351"/>
        <v>0.625</v>
      </c>
      <c r="AT2145" s="1"/>
      <c r="AU2145" s="41"/>
      <c r="AV2145" s="275">
        <v>0.60599999999999998</v>
      </c>
      <c r="AW2145" s="41"/>
      <c r="AX2145" s="4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</row>
    <row r="2146" spans="1:88" s="22" customFormat="1">
      <c r="A2146" s="1">
        <v>1642</v>
      </c>
      <c r="B2146" s="170" t="s">
        <v>2182</v>
      </c>
      <c r="C2146" s="170">
        <v>417</v>
      </c>
      <c r="D2146" s="89">
        <v>3702</v>
      </c>
      <c r="E2146" s="9">
        <v>200</v>
      </c>
      <c r="F2146" s="170" t="s">
        <v>2197</v>
      </c>
      <c r="G2146" s="6" t="s">
        <v>2228</v>
      </c>
      <c r="H2146" s="6" t="s">
        <v>2229</v>
      </c>
      <c r="I2146" s="35">
        <v>1.6459999999999999</v>
      </c>
      <c r="J2146" s="170">
        <v>2</v>
      </c>
      <c r="K2146" s="170" t="s">
        <v>12</v>
      </c>
      <c r="L2146" s="172">
        <v>42241</v>
      </c>
      <c r="M2146" s="9" t="s">
        <v>191</v>
      </c>
      <c r="N2146" s="11">
        <v>1.05</v>
      </c>
      <c r="O2146" s="11">
        <v>0.47499999999999998</v>
      </c>
      <c r="P2146" s="11">
        <v>0.05</v>
      </c>
      <c r="Q2146" s="11">
        <v>7.4999999999999997E-2</v>
      </c>
      <c r="R2146" s="11">
        <v>2.3820000000000001</v>
      </c>
      <c r="S2146" s="38">
        <f t="shared" si="338"/>
        <v>2.5</v>
      </c>
      <c r="T2146" s="11">
        <v>1.625</v>
      </c>
      <c r="U2146" s="11">
        <v>2.5000000000000001E-2</v>
      </c>
      <c r="V2146" s="11">
        <v>0</v>
      </c>
      <c r="W2146" s="11">
        <v>0</v>
      </c>
      <c r="X2146" s="11">
        <v>2.968</v>
      </c>
      <c r="Y2146" s="38">
        <f t="shared" si="339"/>
        <v>3</v>
      </c>
      <c r="Z2146" s="11">
        <v>0</v>
      </c>
      <c r="AA2146" s="11">
        <v>0</v>
      </c>
      <c r="AB2146" s="11">
        <f t="shared" si="341"/>
        <v>1.65</v>
      </c>
      <c r="AC2146" s="11">
        <v>1.1970000000000001</v>
      </c>
      <c r="AD2146" s="11">
        <v>0</v>
      </c>
      <c r="AE2146" s="11">
        <v>0</v>
      </c>
      <c r="AF2146" s="11">
        <f t="shared" si="342"/>
        <v>0</v>
      </c>
      <c r="AG2146" s="38">
        <f t="shared" si="340"/>
        <v>0</v>
      </c>
      <c r="AH2146" s="11">
        <v>0</v>
      </c>
      <c r="AI2146" s="11">
        <f t="shared" si="343"/>
        <v>0</v>
      </c>
      <c r="AJ2146" s="11">
        <v>0</v>
      </c>
      <c r="AK2146" s="38">
        <f t="shared" si="344"/>
        <v>0</v>
      </c>
      <c r="AL2146" s="11">
        <v>0</v>
      </c>
      <c r="AM2146" s="38">
        <f t="shared" si="345"/>
        <v>0</v>
      </c>
      <c r="AN2146" s="25">
        <f t="shared" si="346"/>
        <v>0</v>
      </c>
      <c r="AO2146" s="25">
        <f t="shared" si="347"/>
        <v>0</v>
      </c>
      <c r="AP2146" s="25">
        <f t="shared" si="348"/>
        <v>0</v>
      </c>
      <c r="AQ2146" s="25">
        <f t="shared" si="349"/>
        <v>0</v>
      </c>
      <c r="AR2146" s="25">
        <f t="shared" si="350"/>
        <v>1.65</v>
      </c>
      <c r="AS2146" s="25">
        <f t="shared" si="351"/>
        <v>1.65</v>
      </c>
      <c r="AT2146" s="1"/>
      <c r="AU2146" s="41"/>
      <c r="AV2146" s="275">
        <v>1.6459999999999999</v>
      </c>
      <c r="AW2146" s="41"/>
      <c r="AX2146" s="4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</row>
    <row r="2147" spans="1:88" s="22" customFormat="1">
      <c r="A2147" s="1">
        <v>1643</v>
      </c>
      <c r="B2147" s="170" t="s">
        <v>2182</v>
      </c>
      <c r="C2147" s="170">
        <v>417</v>
      </c>
      <c r="D2147" s="89">
        <v>3702</v>
      </c>
      <c r="E2147" s="9">
        <v>200</v>
      </c>
      <c r="F2147" s="170" t="s">
        <v>2197</v>
      </c>
      <c r="G2147" s="6" t="s">
        <v>2230</v>
      </c>
      <c r="H2147" s="6" t="s">
        <v>2231</v>
      </c>
      <c r="I2147" s="35">
        <v>0.40200000000000002</v>
      </c>
      <c r="J2147" s="170">
        <v>2</v>
      </c>
      <c r="K2147" s="170" t="s">
        <v>12</v>
      </c>
      <c r="L2147" s="172">
        <v>42241</v>
      </c>
      <c r="M2147" s="9" t="s">
        <v>191</v>
      </c>
      <c r="N2147" s="11">
        <v>0.1</v>
      </c>
      <c r="O2147" s="11">
        <v>7.4999999999999997E-2</v>
      </c>
      <c r="P2147" s="11">
        <v>0.05</v>
      </c>
      <c r="Q2147" s="11">
        <v>0.25</v>
      </c>
      <c r="R2147" s="11">
        <v>5.9550000000000001</v>
      </c>
      <c r="S2147" s="38">
        <f t="shared" si="338"/>
        <v>6</v>
      </c>
      <c r="T2147" s="11">
        <v>0.27500000000000002</v>
      </c>
      <c r="U2147" s="11">
        <v>0.2</v>
      </c>
      <c r="V2147" s="11">
        <v>0</v>
      </c>
      <c r="W2147" s="11">
        <v>0</v>
      </c>
      <c r="X2147" s="11">
        <v>9.1430000000000007</v>
      </c>
      <c r="Y2147" s="38">
        <f t="shared" si="339"/>
        <v>9</v>
      </c>
      <c r="Z2147" s="11">
        <v>0</v>
      </c>
      <c r="AA2147" s="11">
        <v>0</v>
      </c>
      <c r="AB2147" s="11">
        <f t="shared" si="341"/>
        <v>0.47499999999999998</v>
      </c>
      <c r="AC2147" s="11">
        <v>2.4900000000000002</v>
      </c>
      <c r="AD2147" s="11">
        <v>0</v>
      </c>
      <c r="AE2147" s="11">
        <v>0</v>
      </c>
      <c r="AF2147" s="11">
        <f t="shared" si="342"/>
        <v>0</v>
      </c>
      <c r="AG2147" s="38">
        <f t="shared" si="340"/>
        <v>0</v>
      </c>
      <c r="AH2147" s="11">
        <v>0</v>
      </c>
      <c r="AI2147" s="11">
        <f t="shared" si="343"/>
        <v>0</v>
      </c>
      <c r="AJ2147" s="11">
        <v>0</v>
      </c>
      <c r="AK2147" s="38">
        <f t="shared" si="344"/>
        <v>0</v>
      </c>
      <c r="AL2147" s="11">
        <v>0</v>
      </c>
      <c r="AM2147" s="38">
        <f t="shared" si="345"/>
        <v>0</v>
      </c>
      <c r="AN2147" s="25">
        <f t="shared" si="346"/>
        <v>0</v>
      </c>
      <c r="AO2147" s="25">
        <f t="shared" si="347"/>
        <v>0</v>
      </c>
      <c r="AP2147" s="25">
        <f t="shared" si="348"/>
        <v>0</v>
      </c>
      <c r="AQ2147" s="25">
        <f t="shared" si="349"/>
        <v>0</v>
      </c>
      <c r="AR2147" s="25">
        <f t="shared" si="350"/>
        <v>0.47499999999999998</v>
      </c>
      <c r="AS2147" s="25">
        <f t="shared" si="351"/>
        <v>0.47500000000000003</v>
      </c>
      <c r="AT2147" s="1"/>
      <c r="AU2147" s="41"/>
      <c r="AV2147" s="275">
        <v>0.40200000000000002</v>
      </c>
      <c r="AW2147" s="41"/>
      <c r="AX2147" s="4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</row>
    <row r="2148" spans="1:88" s="22" customFormat="1">
      <c r="A2148" s="1">
        <v>1644</v>
      </c>
      <c r="B2148" s="170" t="s">
        <v>2182</v>
      </c>
      <c r="C2148" s="170">
        <v>417</v>
      </c>
      <c r="D2148" s="89">
        <v>3702</v>
      </c>
      <c r="E2148" s="9">
        <v>200</v>
      </c>
      <c r="F2148" s="170" t="s">
        <v>2197</v>
      </c>
      <c r="G2148" s="6" t="s">
        <v>2232</v>
      </c>
      <c r="H2148" s="6" t="s">
        <v>2233</v>
      </c>
      <c r="I2148" s="35">
        <v>1.1859999999999999</v>
      </c>
      <c r="J2148" s="170">
        <v>2</v>
      </c>
      <c r="K2148" s="170" t="s">
        <v>12</v>
      </c>
      <c r="L2148" s="172">
        <v>42241</v>
      </c>
      <c r="M2148" s="9" t="s">
        <v>191</v>
      </c>
      <c r="N2148" s="11">
        <v>0.77500000000000002</v>
      </c>
      <c r="O2148" s="11">
        <v>0.3</v>
      </c>
      <c r="P2148" s="11">
        <v>0.1</v>
      </c>
      <c r="Q2148" s="11">
        <v>0</v>
      </c>
      <c r="R2148" s="11">
        <v>2.218</v>
      </c>
      <c r="S2148" s="38">
        <f t="shared" si="338"/>
        <v>2</v>
      </c>
      <c r="T2148" s="11">
        <v>0.45</v>
      </c>
      <c r="U2148" s="11">
        <v>0.3</v>
      </c>
      <c r="V2148" s="11">
        <v>2.5000000000000001E-2</v>
      </c>
      <c r="W2148" s="11">
        <v>0.4</v>
      </c>
      <c r="X2148" s="11">
        <v>18.664999999999999</v>
      </c>
      <c r="Y2148" s="38">
        <f t="shared" si="339"/>
        <v>18.5</v>
      </c>
      <c r="Z2148" s="11">
        <v>0</v>
      </c>
      <c r="AA2148" s="11">
        <v>0</v>
      </c>
      <c r="AB2148" s="11">
        <f t="shared" si="341"/>
        <v>1.175</v>
      </c>
      <c r="AC2148" s="11">
        <v>1.798</v>
      </c>
      <c r="AD2148" s="11">
        <v>0</v>
      </c>
      <c r="AE2148" s="11">
        <v>0</v>
      </c>
      <c r="AF2148" s="11">
        <f t="shared" si="342"/>
        <v>0</v>
      </c>
      <c r="AG2148" s="38">
        <f t="shared" si="340"/>
        <v>0</v>
      </c>
      <c r="AH2148" s="11">
        <v>0</v>
      </c>
      <c r="AI2148" s="11">
        <f t="shared" si="343"/>
        <v>0</v>
      </c>
      <c r="AJ2148" s="11">
        <v>0</v>
      </c>
      <c r="AK2148" s="38">
        <f t="shared" si="344"/>
        <v>0</v>
      </c>
      <c r="AL2148" s="11">
        <v>0</v>
      </c>
      <c r="AM2148" s="38">
        <f t="shared" si="345"/>
        <v>0</v>
      </c>
      <c r="AN2148" s="25">
        <f t="shared" si="346"/>
        <v>0</v>
      </c>
      <c r="AO2148" s="25">
        <f t="shared" si="347"/>
        <v>0</v>
      </c>
      <c r="AP2148" s="25">
        <f t="shared" si="348"/>
        <v>0</v>
      </c>
      <c r="AQ2148" s="25">
        <f t="shared" si="349"/>
        <v>0</v>
      </c>
      <c r="AR2148" s="25">
        <f t="shared" si="350"/>
        <v>1.175</v>
      </c>
      <c r="AS2148" s="25">
        <f t="shared" si="351"/>
        <v>1.175</v>
      </c>
      <c r="AT2148" s="1"/>
      <c r="AU2148" s="41"/>
      <c r="AV2148" s="275">
        <v>1.1859999999999999</v>
      </c>
      <c r="AW2148" s="41"/>
      <c r="AX2148" s="4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</row>
    <row r="2149" spans="1:88" s="22" customFormat="1">
      <c r="A2149" s="1">
        <v>1645</v>
      </c>
      <c r="B2149" s="170" t="s">
        <v>2182</v>
      </c>
      <c r="C2149" s="170">
        <v>417</v>
      </c>
      <c r="D2149" s="89">
        <v>3702</v>
      </c>
      <c r="E2149" s="9">
        <v>200</v>
      </c>
      <c r="F2149" s="170" t="s">
        <v>2197</v>
      </c>
      <c r="G2149" s="6" t="s">
        <v>2234</v>
      </c>
      <c r="H2149" s="6" t="s">
        <v>2205</v>
      </c>
      <c r="I2149" s="35">
        <v>0.14000000000000001</v>
      </c>
      <c r="J2149" s="170">
        <v>2</v>
      </c>
      <c r="K2149" s="170" t="s">
        <v>12</v>
      </c>
      <c r="L2149" s="172">
        <v>42241</v>
      </c>
      <c r="M2149" s="9" t="s">
        <v>191</v>
      </c>
      <c r="N2149" s="11">
        <v>7.4999999999999997E-2</v>
      </c>
      <c r="O2149" s="11">
        <v>0.125</v>
      </c>
      <c r="P2149" s="11">
        <v>2.5000000000000001E-2</v>
      </c>
      <c r="Q2149" s="11">
        <v>0</v>
      </c>
      <c r="R2149" s="11">
        <v>2.6160000000000001</v>
      </c>
      <c r="S2149" s="38">
        <f t="shared" si="338"/>
        <v>2.5</v>
      </c>
      <c r="T2149" s="11">
        <v>0.15</v>
      </c>
      <c r="U2149" s="11">
        <v>2.5000000000000001E-2</v>
      </c>
      <c r="V2149" s="11">
        <v>0</v>
      </c>
      <c r="W2149" s="11">
        <v>0.05</v>
      </c>
      <c r="X2149" s="11">
        <v>9.1289999999999996</v>
      </c>
      <c r="Y2149" s="38">
        <f t="shared" si="339"/>
        <v>9</v>
      </c>
      <c r="Z2149" s="11">
        <v>0</v>
      </c>
      <c r="AA2149" s="11">
        <v>0</v>
      </c>
      <c r="AB2149" s="11">
        <f t="shared" si="341"/>
        <v>0.22500000000000001</v>
      </c>
      <c r="AC2149" s="11">
        <v>1.3640000000000001</v>
      </c>
      <c r="AD2149" s="11">
        <v>0</v>
      </c>
      <c r="AE2149" s="11">
        <v>0</v>
      </c>
      <c r="AF2149" s="11">
        <f t="shared" si="342"/>
        <v>0</v>
      </c>
      <c r="AG2149" s="38">
        <f t="shared" si="340"/>
        <v>0</v>
      </c>
      <c r="AH2149" s="11">
        <v>0</v>
      </c>
      <c r="AI2149" s="11">
        <f t="shared" si="343"/>
        <v>0</v>
      </c>
      <c r="AJ2149" s="11">
        <v>0</v>
      </c>
      <c r="AK2149" s="38">
        <f t="shared" si="344"/>
        <v>0</v>
      </c>
      <c r="AL2149" s="11">
        <v>0</v>
      </c>
      <c r="AM2149" s="38">
        <f t="shared" si="345"/>
        <v>0</v>
      </c>
      <c r="AN2149" s="25">
        <f t="shared" si="346"/>
        <v>0</v>
      </c>
      <c r="AO2149" s="25">
        <f t="shared" si="347"/>
        <v>0</v>
      </c>
      <c r="AP2149" s="25">
        <f t="shared" si="348"/>
        <v>0</v>
      </c>
      <c r="AQ2149" s="25">
        <f t="shared" si="349"/>
        <v>0</v>
      </c>
      <c r="AR2149" s="25">
        <f t="shared" si="350"/>
        <v>0.22500000000000001</v>
      </c>
      <c r="AS2149" s="25">
        <f t="shared" si="351"/>
        <v>0.22499999999999998</v>
      </c>
      <c r="AT2149" s="1"/>
      <c r="AU2149" s="41"/>
      <c r="AV2149" s="275">
        <v>0.14000000000000001</v>
      </c>
      <c r="AW2149" s="41"/>
      <c r="AX2149" s="4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</row>
    <row r="2150" spans="1:88" s="22" customFormat="1">
      <c r="A2150" s="1">
        <v>1646</v>
      </c>
      <c r="B2150" s="170" t="s">
        <v>2182</v>
      </c>
      <c r="C2150" s="170">
        <v>417</v>
      </c>
      <c r="D2150" s="89">
        <v>3702</v>
      </c>
      <c r="E2150" s="9">
        <v>200</v>
      </c>
      <c r="F2150" s="170" t="s">
        <v>2197</v>
      </c>
      <c r="G2150" s="6" t="s">
        <v>2235</v>
      </c>
      <c r="H2150" s="6" t="s">
        <v>2236</v>
      </c>
      <c r="I2150" s="35">
        <v>1.8480000000000001</v>
      </c>
      <c r="J2150" s="170">
        <v>2</v>
      </c>
      <c r="K2150" s="170" t="s">
        <v>12</v>
      </c>
      <c r="L2150" s="172">
        <v>42241</v>
      </c>
      <c r="M2150" s="9" t="s">
        <v>191</v>
      </c>
      <c r="N2150" s="11">
        <v>1.45</v>
      </c>
      <c r="O2150" s="11">
        <v>0.32500000000000001</v>
      </c>
      <c r="P2150" s="11">
        <v>7.4999999999999997E-2</v>
      </c>
      <c r="Q2150" s="11">
        <v>0</v>
      </c>
      <c r="R2150" s="11">
        <v>2.1709999999999998</v>
      </c>
      <c r="S2150" s="38">
        <f t="shared" si="338"/>
        <v>2</v>
      </c>
      <c r="T2150" s="11">
        <v>1.85</v>
      </c>
      <c r="U2150" s="11">
        <v>0</v>
      </c>
      <c r="V2150" s="11">
        <v>0</v>
      </c>
      <c r="W2150" s="11">
        <v>0</v>
      </c>
      <c r="X2150" s="11">
        <v>4.649</v>
      </c>
      <c r="Y2150" s="38">
        <f t="shared" si="339"/>
        <v>4.5</v>
      </c>
      <c r="Z2150" s="11">
        <v>0</v>
      </c>
      <c r="AA2150" s="11">
        <v>0</v>
      </c>
      <c r="AB2150" s="11">
        <f t="shared" si="341"/>
        <v>1.8499999999999999</v>
      </c>
      <c r="AC2150" s="11">
        <v>1.645</v>
      </c>
      <c r="AD2150" s="11">
        <v>0</v>
      </c>
      <c r="AE2150" s="11">
        <v>0</v>
      </c>
      <c r="AF2150" s="11">
        <f t="shared" si="342"/>
        <v>0</v>
      </c>
      <c r="AG2150" s="38">
        <f t="shared" si="340"/>
        <v>0</v>
      </c>
      <c r="AH2150" s="11">
        <v>0</v>
      </c>
      <c r="AI2150" s="11">
        <f t="shared" si="343"/>
        <v>0</v>
      </c>
      <c r="AJ2150" s="11">
        <v>0</v>
      </c>
      <c r="AK2150" s="38">
        <f t="shared" si="344"/>
        <v>0</v>
      </c>
      <c r="AL2150" s="11">
        <v>0</v>
      </c>
      <c r="AM2150" s="38">
        <f t="shared" si="345"/>
        <v>0</v>
      </c>
      <c r="AN2150" s="25">
        <f t="shared" si="346"/>
        <v>0</v>
      </c>
      <c r="AO2150" s="25">
        <f t="shared" si="347"/>
        <v>0</v>
      </c>
      <c r="AP2150" s="25">
        <f t="shared" si="348"/>
        <v>0</v>
      </c>
      <c r="AQ2150" s="25">
        <f t="shared" si="349"/>
        <v>0</v>
      </c>
      <c r="AR2150" s="25">
        <f t="shared" si="350"/>
        <v>1.8499999999999999</v>
      </c>
      <c r="AS2150" s="25">
        <f t="shared" si="351"/>
        <v>1.85</v>
      </c>
      <c r="AT2150" s="1"/>
      <c r="AU2150" s="41"/>
      <c r="AV2150" s="275">
        <v>1.8480000000000001</v>
      </c>
      <c r="AW2150" s="41"/>
      <c r="AX2150" s="4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</row>
    <row r="2151" spans="1:88" s="22" customFormat="1">
      <c r="A2151" s="1">
        <v>1647</v>
      </c>
      <c r="B2151" s="170" t="s">
        <v>2182</v>
      </c>
      <c r="C2151" s="170">
        <v>417</v>
      </c>
      <c r="D2151" s="89">
        <v>3702</v>
      </c>
      <c r="E2151" s="9">
        <v>200</v>
      </c>
      <c r="F2151" s="170" t="s">
        <v>2197</v>
      </c>
      <c r="G2151" s="6" t="s">
        <v>2237</v>
      </c>
      <c r="H2151" s="6" t="s">
        <v>2238</v>
      </c>
      <c r="I2151" s="35">
        <v>0.91200000000000003</v>
      </c>
      <c r="J2151" s="170">
        <v>2</v>
      </c>
      <c r="K2151" s="170" t="s">
        <v>12</v>
      </c>
      <c r="L2151" s="172">
        <v>42241</v>
      </c>
      <c r="M2151" s="9" t="s">
        <v>191</v>
      </c>
      <c r="N2151" s="11">
        <v>0.17499999999999999</v>
      </c>
      <c r="O2151" s="11">
        <v>0.5</v>
      </c>
      <c r="P2151" s="11">
        <v>0.2</v>
      </c>
      <c r="Q2151" s="11">
        <v>2.5000000000000001E-2</v>
      </c>
      <c r="R2151" s="11">
        <v>3.0910000000000002</v>
      </c>
      <c r="S2151" s="38">
        <f t="shared" si="338"/>
        <v>3</v>
      </c>
      <c r="T2151" s="11">
        <v>0.875</v>
      </c>
      <c r="U2151" s="11">
        <v>2.5000000000000001E-2</v>
      </c>
      <c r="V2151" s="11">
        <v>0</v>
      </c>
      <c r="W2151" s="11">
        <v>0</v>
      </c>
      <c r="X2151" s="11">
        <v>4.0259999999999998</v>
      </c>
      <c r="Y2151" s="38">
        <f t="shared" si="339"/>
        <v>4</v>
      </c>
      <c r="Z2151" s="11">
        <v>0</v>
      </c>
      <c r="AA2151" s="11">
        <v>0</v>
      </c>
      <c r="AB2151" s="11">
        <f t="shared" si="341"/>
        <v>0.9</v>
      </c>
      <c r="AC2151" s="11">
        <v>1.607</v>
      </c>
      <c r="AD2151" s="11">
        <v>0</v>
      </c>
      <c r="AE2151" s="11">
        <v>0</v>
      </c>
      <c r="AF2151" s="11">
        <f t="shared" si="342"/>
        <v>0</v>
      </c>
      <c r="AG2151" s="38">
        <f t="shared" si="340"/>
        <v>0</v>
      </c>
      <c r="AH2151" s="11">
        <v>0</v>
      </c>
      <c r="AI2151" s="11">
        <f t="shared" si="343"/>
        <v>0</v>
      </c>
      <c r="AJ2151" s="11">
        <v>0</v>
      </c>
      <c r="AK2151" s="38">
        <f t="shared" si="344"/>
        <v>0</v>
      </c>
      <c r="AL2151" s="11">
        <v>0</v>
      </c>
      <c r="AM2151" s="38">
        <f t="shared" si="345"/>
        <v>0</v>
      </c>
      <c r="AN2151" s="25">
        <f t="shared" si="346"/>
        <v>0</v>
      </c>
      <c r="AO2151" s="25">
        <f t="shared" si="347"/>
        <v>0</v>
      </c>
      <c r="AP2151" s="25">
        <f t="shared" si="348"/>
        <v>0</v>
      </c>
      <c r="AQ2151" s="25">
        <f t="shared" si="349"/>
        <v>0</v>
      </c>
      <c r="AR2151" s="25">
        <f t="shared" si="350"/>
        <v>0.9</v>
      </c>
      <c r="AS2151" s="25">
        <f t="shared" si="351"/>
        <v>0.9</v>
      </c>
      <c r="AT2151" s="1"/>
      <c r="AU2151" s="41"/>
      <c r="AV2151" s="275">
        <v>0.91200000000000003</v>
      </c>
      <c r="AW2151" s="41"/>
      <c r="AX2151" s="4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</row>
    <row r="2152" spans="1:88" s="22" customFormat="1">
      <c r="A2152" s="1">
        <v>1648</v>
      </c>
      <c r="B2152" s="170" t="s">
        <v>2182</v>
      </c>
      <c r="C2152" s="170">
        <v>417</v>
      </c>
      <c r="D2152" s="89">
        <v>3702</v>
      </c>
      <c r="E2152" s="9">
        <v>200</v>
      </c>
      <c r="F2152" s="170" t="s">
        <v>2197</v>
      </c>
      <c r="G2152" s="6" t="s">
        <v>2239</v>
      </c>
      <c r="H2152" s="6" t="s">
        <v>2240</v>
      </c>
      <c r="I2152" s="35">
        <v>0.74299999999999999</v>
      </c>
      <c r="J2152" s="170">
        <v>2</v>
      </c>
      <c r="K2152" s="170" t="s">
        <v>12</v>
      </c>
      <c r="L2152" s="172">
        <v>42241</v>
      </c>
      <c r="M2152" s="9" t="s">
        <v>191</v>
      </c>
      <c r="N2152" s="11">
        <v>0.4</v>
      </c>
      <c r="O2152" s="11">
        <v>0.17499999999999999</v>
      </c>
      <c r="P2152" s="11">
        <v>0.17499999999999999</v>
      </c>
      <c r="Q2152" s="11">
        <v>2.5000000000000001E-2</v>
      </c>
      <c r="R2152" s="11">
        <v>2.7240000000000002</v>
      </c>
      <c r="S2152" s="38">
        <f t="shared" si="338"/>
        <v>2.5</v>
      </c>
      <c r="T2152" s="11">
        <v>0.77500000000000002</v>
      </c>
      <c r="U2152" s="11">
        <v>0</v>
      </c>
      <c r="V2152" s="11">
        <v>0</v>
      </c>
      <c r="W2152" s="11">
        <v>0</v>
      </c>
      <c r="X2152" s="11">
        <v>4.8360000000000003</v>
      </c>
      <c r="Y2152" s="38">
        <f t="shared" si="339"/>
        <v>5</v>
      </c>
      <c r="Z2152" s="11">
        <v>0</v>
      </c>
      <c r="AA2152" s="11">
        <v>0</v>
      </c>
      <c r="AB2152" s="11">
        <f t="shared" si="341"/>
        <v>0.77500000000000002</v>
      </c>
      <c r="AC2152" s="11">
        <v>1.5620000000000001</v>
      </c>
      <c r="AD2152" s="11">
        <v>0</v>
      </c>
      <c r="AE2152" s="11">
        <v>0</v>
      </c>
      <c r="AF2152" s="11">
        <f t="shared" si="342"/>
        <v>0</v>
      </c>
      <c r="AG2152" s="38">
        <f t="shared" si="340"/>
        <v>0</v>
      </c>
      <c r="AH2152" s="11">
        <v>6</v>
      </c>
      <c r="AI2152" s="11">
        <f t="shared" si="343"/>
        <v>0.23072486060373007</v>
      </c>
      <c r="AJ2152" s="11">
        <v>0</v>
      </c>
      <c r="AK2152" s="38">
        <f t="shared" si="344"/>
        <v>0</v>
      </c>
      <c r="AL2152" s="11">
        <v>1</v>
      </c>
      <c r="AM2152" s="38">
        <f t="shared" si="345"/>
        <v>3.8454143433955007E-2</v>
      </c>
      <c r="AN2152" s="25">
        <f t="shared" si="346"/>
        <v>0</v>
      </c>
      <c r="AO2152" s="25">
        <f t="shared" si="347"/>
        <v>0</v>
      </c>
      <c r="AP2152" s="25">
        <f t="shared" si="348"/>
        <v>5.2009999999999996</v>
      </c>
      <c r="AQ2152" s="25">
        <f t="shared" si="349"/>
        <v>5.2009999999999996</v>
      </c>
      <c r="AR2152" s="25">
        <f t="shared" si="350"/>
        <v>0.77500000000000002</v>
      </c>
      <c r="AS2152" s="25">
        <f t="shared" si="351"/>
        <v>0.77500000000000002</v>
      </c>
      <c r="AT2152" s="1"/>
      <c r="AU2152" s="41"/>
      <c r="AV2152" s="275">
        <v>0.74299999999999999</v>
      </c>
      <c r="AW2152" s="41"/>
      <c r="AX2152" s="4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</row>
    <row r="2153" spans="1:88" s="22" customFormat="1">
      <c r="A2153" s="1">
        <v>1649</v>
      </c>
      <c r="B2153" s="170" t="s">
        <v>2182</v>
      </c>
      <c r="C2153" s="170">
        <v>417</v>
      </c>
      <c r="D2153" s="89">
        <v>3702</v>
      </c>
      <c r="E2153" s="9">
        <v>200</v>
      </c>
      <c r="F2153" s="170" t="s">
        <v>2197</v>
      </c>
      <c r="G2153" s="6" t="s">
        <v>2241</v>
      </c>
      <c r="H2153" s="6" t="s">
        <v>2242</v>
      </c>
      <c r="I2153" s="35">
        <v>1.2450000000000001</v>
      </c>
      <c r="J2153" s="170">
        <v>2</v>
      </c>
      <c r="K2153" s="170" t="s">
        <v>12</v>
      </c>
      <c r="L2153" s="172">
        <v>42241</v>
      </c>
      <c r="M2153" s="9" t="s">
        <v>191</v>
      </c>
      <c r="N2153" s="11">
        <v>1.1000000000000001</v>
      </c>
      <c r="O2153" s="11">
        <v>0.15</v>
      </c>
      <c r="P2153" s="11">
        <v>2.5000000000000001E-2</v>
      </c>
      <c r="Q2153" s="11">
        <v>0</v>
      </c>
      <c r="R2153" s="11">
        <v>2.085</v>
      </c>
      <c r="S2153" s="38">
        <f t="shared" si="338"/>
        <v>2</v>
      </c>
      <c r="T2153" s="11">
        <v>1.25</v>
      </c>
      <c r="U2153" s="11">
        <v>2.5000000000000001E-2</v>
      </c>
      <c r="V2153" s="11">
        <v>0</v>
      </c>
      <c r="W2153" s="11">
        <v>0</v>
      </c>
      <c r="X2153" s="11">
        <v>5.24</v>
      </c>
      <c r="Y2153" s="38">
        <f t="shared" si="339"/>
        <v>5</v>
      </c>
      <c r="Z2153" s="11">
        <v>0</v>
      </c>
      <c r="AA2153" s="11">
        <v>0</v>
      </c>
      <c r="AB2153" s="11">
        <f t="shared" si="341"/>
        <v>1.2749999999999999</v>
      </c>
      <c r="AC2153" s="11">
        <v>1.4139999999999999</v>
      </c>
      <c r="AD2153" s="11">
        <v>0</v>
      </c>
      <c r="AE2153" s="11">
        <v>0</v>
      </c>
      <c r="AF2153" s="11">
        <f t="shared" si="342"/>
        <v>0</v>
      </c>
      <c r="AG2153" s="38">
        <f t="shared" si="340"/>
        <v>0</v>
      </c>
      <c r="AH2153" s="11">
        <v>0</v>
      </c>
      <c r="AI2153" s="11">
        <f t="shared" si="343"/>
        <v>0</v>
      </c>
      <c r="AJ2153" s="11">
        <v>0</v>
      </c>
      <c r="AK2153" s="38">
        <f t="shared" si="344"/>
        <v>0</v>
      </c>
      <c r="AL2153" s="11">
        <v>0</v>
      </c>
      <c r="AM2153" s="38">
        <f t="shared" si="345"/>
        <v>0</v>
      </c>
      <c r="AN2153" s="25">
        <f t="shared" si="346"/>
        <v>0</v>
      </c>
      <c r="AO2153" s="25">
        <f t="shared" si="347"/>
        <v>0</v>
      </c>
      <c r="AP2153" s="25">
        <f t="shared" si="348"/>
        <v>0</v>
      </c>
      <c r="AQ2153" s="25">
        <f t="shared" si="349"/>
        <v>0</v>
      </c>
      <c r="AR2153" s="25">
        <f t="shared" si="350"/>
        <v>1.2749999999999999</v>
      </c>
      <c r="AS2153" s="25">
        <f t="shared" si="351"/>
        <v>1.2749999999999999</v>
      </c>
      <c r="AT2153" s="1"/>
      <c r="AU2153" s="41"/>
      <c r="AV2153" s="275">
        <v>1.2450000000000001</v>
      </c>
      <c r="AW2153" s="41"/>
      <c r="AX2153" s="4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</row>
    <row r="2154" spans="1:88" s="22" customFormat="1">
      <c r="A2154" s="1">
        <v>1650</v>
      </c>
      <c r="B2154" s="170" t="s">
        <v>2182</v>
      </c>
      <c r="C2154" s="170">
        <v>417</v>
      </c>
      <c r="D2154" s="89">
        <v>3702</v>
      </c>
      <c r="E2154" s="9">
        <v>200</v>
      </c>
      <c r="F2154" s="170" t="s">
        <v>2197</v>
      </c>
      <c r="G2154" s="6" t="s">
        <v>2243</v>
      </c>
      <c r="H2154" s="6" t="s">
        <v>2244</v>
      </c>
      <c r="I2154" s="35">
        <v>0.64800000000000002</v>
      </c>
      <c r="J2154" s="170">
        <v>2</v>
      </c>
      <c r="K2154" s="170" t="s">
        <v>12</v>
      </c>
      <c r="L2154" s="172">
        <v>42241</v>
      </c>
      <c r="M2154" s="9" t="s">
        <v>191</v>
      </c>
      <c r="N2154" s="11">
        <v>0.22500000000000001</v>
      </c>
      <c r="O2154" s="11">
        <v>0.32500000000000001</v>
      </c>
      <c r="P2154" s="11">
        <v>7.4999999999999997E-2</v>
      </c>
      <c r="Q2154" s="11">
        <v>2.5000000000000001E-2</v>
      </c>
      <c r="R2154" s="11">
        <v>2.8730000000000002</v>
      </c>
      <c r="S2154" s="38">
        <f t="shared" si="338"/>
        <v>3</v>
      </c>
      <c r="T2154" s="11">
        <v>0.65</v>
      </c>
      <c r="U2154" s="11">
        <v>0</v>
      </c>
      <c r="V2154" s="11">
        <v>0</v>
      </c>
      <c r="W2154" s="11">
        <v>0</v>
      </c>
      <c r="X2154" s="11">
        <v>3.7010000000000001</v>
      </c>
      <c r="Y2154" s="38">
        <f t="shared" si="339"/>
        <v>3.5</v>
      </c>
      <c r="Z2154" s="11">
        <v>0</v>
      </c>
      <c r="AA2154" s="11">
        <v>0</v>
      </c>
      <c r="AB2154" s="11">
        <f t="shared" si="341"/>
        <v>0.65</v>
      </c>
      <c r="AC2154" s="11">
        <v>1.5089999999999999</v>
      </c>
      <c r="AD2154" s="11">
        <v>0</v>
      </c>
      <c r="AE2154" s="11">
        <v>0</v>
      </c>
      <c r="AF2154" s="11">
        <f t="shared" si="342"/>
        <v>0</v>
      </c>
      <c r="AG2154" s="38">
        <f t="shared" si="340"/>
        <v>0</v>
      </c>
      <c r="AH2154" s="11">
        <v>0</v>
      </c>
      <c r="AI2154" s="11">
        <f t="shared" si="343"/>
        <v>0</v>
      </c>
      <c r="AJ2154" s="11">
        <v>0</v>
      </c>
      <c r="AK2154" s="38">
        <f t="shared" si="344"/>
        <v>0</v>
      </c>
      <c r="AL2154" s="11">
        <v>0</v>
      </c>
      <c r="AM2154" s="38">
        <f t="shared" si="345"/>
        <v>0</v>
      </c>
      <c r="AN2154" s="25">
        <f t="shared" si="346"/>
        <v>0</v>
      </c>
      <c r="AO2154" s="25">
        <f t="shared" si="347"/>
        <v>0</v>
      </c>
      <c r="AP2154" s="25">
        <f t="shared" si="348"/>
        <v>0</v>
      </c>
      <c r="AQ2154" s="25">
        <f t="shared" si="349"/>
        <v>0</v>
      </c>
      <c r="AR2154" s="25">
        <f t="shared" si="350"/>
        <v>0.65</v>
      </c>
      <c r="AS2154" s="25">
        <f t="shared" si="351"/>
        <v>0.65</v>
      </c>
      <c r="AT2154" s="1"/>
      <c r="AU2154" s="41"/>
      <c r="AV2154" s="275">
        <v>0.64800000000000002</v>
      </c>
      <c r="AW2154" s="41"/>
      <c r="AX2154" s="4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</row>
    <row r="2155" spans="1:88" s="22" customFormat="1">
      <c r="A2155" s="1">
        <v>1651</v>
      </c>
      <c r="B2155" s="170" t="s">
        <v>2182</v>
      </c>
      <c r="C2155" s="170">
        <v>417</v>
      </c>
      <c r="D2155" s="89">
        <v>3702</v>
      </c>
      <c r="E2155" s="9">
        <v>200</v>
      </c>
      <c r="F2155" s="170" t="s">
        <v>2197</v>
      </c>
      <c r="G2155" s="6" t="s">
        <v>2245</v>
      </c>
      <c r="H2155" s="6" t="s">
        <v>2246</v>
      </c>
      <c r="I2155" s="35">
        <v>1.1890000000000001</v>
      </c>
      <c r="J2155" s="170">
        <v>2</v>
      </c>
      <c r="K2155" s="170" t="s">
        <v>12</v>
      </c>
      <c r="L2155" s="172">
        <v>42241</v>
      </c>
      <c r="M2155" s="9" t="s">
        <v>191</v>
      </c>
      <c r="N2155" s="11">
        <v>0.875</v>
      </c>
      <c r="O2155" s="11">
        <v>0.22500000000000001</v>
      </c>
      <c r="P2155" s="11">
        <v>0.05</v>
      </c>
      <c r="Q2155" s="11">
        <v>2.5000000000000001E-2</v>
      </c>
      <c r="R2155" s="11">
        <v>2.2749999999999999</v>
      </c>
      <c r="S2155" s="38">
        <f t="shared" si="338"/>
        <v>2.5</v>
      </c>
      <c r="T2155" s="11">
        <v>1.175</v>
      </c>
      <c r="U2155" s="11">
        <v>0</v>
      </c>
      <c r="V2155" s="11">
        <v>0</v>
      </c>
      <c r="W2155" s="11">
        <v>0</v>
      </c>
      <c r="X2155" s="11">
        <v>3.891</v>
      </c>
      <c r="Y2155" s="38">
        <f t="shared" si="339"/>
        <v>4</v>
      </c>
      <c r="Z2155" s="11">
        <v>0</v>
      </c>
      <c r="AA2155" s="11">
        <v>0</v>
      </c>
      <c r="AB2155" s="11">
        <f t="shared" si="341"/>
        <v>1.175</v>
      </c>
      <c r="AC2155" s="11">
        <v>1.448</v>
      </c>
      <c r="AD2155" s="11">
        <v>0</v>
      </c>
      <c r="AE2155" s="11">
        <v>0</v>
      </c>
      <c r="AF2155" s="11">
        <f t="shared" si="342"/>
        <v>0</v>
      </c>
      <c r="AG2155" s="38">
        <f t="shared" si="340"/>
        <v>0</v>
      </c>
      <c r="AH2155" s="11">
        <v>3.25</v>
      </c>
      <c r="AI2155" s="11">
        <f t="shared" si="343"/>
        <v>7.8096840081701313E-2</v>
      </c>
      <c r="AJ2155" s="11">
        <v>0</v>
      </c>
      <c r="AK2155" s="38">
        <f t="shared" si="344"/>
        <v>0</v>
      </c>
      <c r="AL2155" s="11">
        <v>0</v>
      </c>
      <c r="AM2155" s="38">
        <f t="shared" si="345"/>
        <v>0</v>
      </c>
      <c r="AN2155" s="25">
        <f t="shared" si="346"/>
        <v>0</v>
      </c>
      <c r="AO2155" s="25">
        <f t="shared" si="347"/>
        <v>0</v>
      </c>
      <c r="AP2155" s="25">
        <f t="shared" si="348"/>
        <v>3.8642500000000002</v>
      </c>
      <c r="AQ2155" s="25">
        <f t="shared" si="349"/>
        <v>3.8642500000000002</v>
      </c>
      <c r="AR2155" s="25">
        <f t="shared" si="350"/>
        <v>1.175</v>
      </c>
      <c r="AS2155" s="25">
        <f t="shared" si="351"/>
        <v>1.175</v>
      </c>
      <c r="AT2155" s="1"/>
      <c r="AU2155" s="41"/>
      <c r="AV2155" s="275">
        <v>1.1890000000000001</v>
      </c>
      <c r="AW2155" s="41"/>
      <c r="AX2155" s="4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</row>
    <row r="2156" spans="1:88" s="22" customFormat="1">
      <c r="A2156" s="1">
        <v>1652</v>
      </c>
      <c r="B2156" s="170" t="s">
        <v>2182</v>
      </c>
      <c r="C2156" s="170">
        <v>417</v>
      </c>
      <c r="D2156" s="89">
        <v>3702</v>
      </c>
      <c r="E2156" s="9">
        <v>200</v>
      </c>
      <c r="F2156" s="170" t="s">
        <v>2197</v>
      </c>
      <c r="G2156" s="6" t="s">
        <v>2222</v>
      </c>
      <c r="H2156" s="6" t="s">
        <v>2247</v>
      </c>
      <c r="I2156" s="35">
        <v>2.367</v>
      </c>
      <c r="J2156" s="170">
        <v>2</v>
      </c>
      <c r="K2156" s="170" t="s">
        <v>12</v>
      </c>
      <c r="L2156" s="172">
        <v>42241</v>
      </c>
      <c r="M2156" s="9" t="s">
        <v>191</v>
      </c>
      <c r="N2156" s="11">
        <v>1.05</v>
      </c>
      <c r="O2156" s="11">
        <v>0.875</v>
      </c>
      <c r="P2156" s="11">
        <v>0.3</v>
      </c>
      <c r="Q2156" s="11">
        <v>0.2</v>
      </c>
      <c r="R2156" s="11">
        <v>3.4390000000000001</v>
      </c>
      <c r="S2156" s="38">
        <f t="shared" si="338"/>
        <v>3.5</v>
      </c>
      <c r="T2156" s="11">
        <v>2.4</v>
      </c>
      <c r="U2156" s="11">
        <v>2.5000000000000001E-2</v>
      </c>
      <c r="V2156" s="11">
        <v>0</v>
      </c>
      <c r="W2156" s="11">
        <v>0</v>
      </c>
      <c r="X2156" s="11">
        <v>3.5649999999999999</v>
      </c>
      <c r="Y2156" s="38">
        <f t="shared" si="339"/>
        <v>3.5</v>
      </c>
      <c r="Z2156" s="11">
        <v>0</v>
      </c>
      <c r="AA2156" s="11">
        <v>0</v>
      </c>
      <c r="AB2156" s="11">
        <f t="shared" si="341"/>
        <v>2.4250000000000003</v>
      </c>
      <c r="AC2156" s="11">
        <v>1.468</v>
      </c>
      <c r="AD2156" s="11">
        <v>0</v>
      </c>
      <c r="AE2156" s="11">
        <v>0</v>
      </c>
      <c r="AF2156" s="11">
        <f t="shared" si="342"/>
        <v>0</v>
      </c>
      <c r="AG2156" s="38">
        <f t="shared" si="340"/>
        <v>0</v>
      </c>
      <c r="AH2156" s="11">
        <v>2.63</v>
      </c>
      <c r="AI2156" s="11">
        <f t="shared" si="343"/>
        <v>3.1746031746031744E-2</v>
      </c>
      <c r="AJ2156" s="11">
        <v>0.6</v>
      </c>
      <c r="AK2156" s="38">
        <f t="shared" si="344"/>
        <v>7.2424407025167472E-3</v>
      </c>
      <c r="AL2156" s="11">
        <v>0</v>
      </c>
      <c r="AM2156" s="38">
        <f t="shared" si="345"/>
        <v>0</v>
      </c>
      <c r="AN2156" s="25">
        <f t="shared" si="346"/>
        <v>0</v>
      </c>
      <c r="AO2156" s="25">
        <f t="shared" si="347"/>
        <v>0</v>
      </c>
      <c r="AP2156" s="25">
        <f t="shared" si="348"/>
        <v>7.64541</v>
      </c>
      <c r="AQ2156" s="25">
        <f t="shared" si="349"/>
        <v>7.64541</v>
      </c>
      <c r="AR2156" s="25">
        <f t="shared" si="350"/>
        <v>2.4250000000000003</v>
      </c>
      <c r="AS2156" s="25">
        <f t="shared" si="351"/>
        <v>2.4249999999999998</v>
      </c>
      <c r="AT2156" s="1"/>
      <c r="AU2156" s="41"/>
      <c r="AV2156" s="275">
        <v>2.367</v>
      </c>
      <c r="AW2156" s="41"/>
      <c r="AX2156" s="4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</row>
    <row r="2157" spans="1:88" s="22" customFormat="1">
      <c r="A2157" s="1">
        <v>1654</v>
      </c>
      <c r="B2157" s="170" t="s">
        <v>2182</v>
      </c>
      <c r="C2157" s="170">
        <v>417</v>
      </c>
      <c r="D2157" s="89">
        <v>3902</v>
      </c>
      <c r="E2157" s="9">
        <v>700</v>
      </c>
      <c r="F2157" s="170" t="s">
        <v>2248</v>
      </c>
      <c r="G2157" s="6" t="s">
        <v>2250</v>
      </c>
      <c r="H2157" s="6" t="s">
        <v>2250</v>
      </c>
      <c r="I2157" s="35">
        <v>2.0499999999999998</v>
      </c>
      <c r="J2157" s="170">
        <v>2</v>
      </c>
      <c r="K2157" s="170" t="s">
        <v>12</v>
      </c>
      <c r="L2157" s="172">
        <v>42241</v>
      </c>
      <c r="M2157" s="9" t="s">
        <v>191</v>
      </c>
      <c r="N2157" s="11">
        <v>1.2250000000000001</v>
      </c>
      <c r="O2157" s="11">
        <v>0.85</v>
      </c>
      <c r="P2157" s="11">
        <v>0.375</v>
      </c>
      <c r="Q2157" s="11">
        <v>0.22500000000000001</v>
      </c>
      <c r="R2157" s="11">
        <v>2.9079999999999999</v>
      </c>
      <c r="S2157" s="38">
        <f t="shared" si="338"/>
        <v>3</v>
      </c>
      <c r="T2157" s="11">
        <v>2.6749999999999998</v>
      </c>
      <c r="U2157" s="11">
        <v>0</v>
      </c>
      <c r="V2157" s="11">
        <v>0</v>
      </c>
      <c r="W2157" s="11">
        <v>0</v>
      </c>
      <c r="X2157" s="11">
        <v>4.7130000000000001</v>
      </c>
      <c r="Y2157" s="38">
        <f t="shared" si="339"/>
        <v>4.5</v>
      </c>
      <c r="Z2157" s="11">
        <v>0</v>
      </c>
      <c r="AA2157" s="11">
        <v>0</v>
      </c>
      <c r="AB2157" s="11">
        <f t="shared" si="341"/>
        <v>2.6750000000000003</v>
      </c>
      <c r="AC2157" s="11">
        <v>1.1890000000000001</v>
      </c>
      <c r="AD2157" s="11">
        <v>0</v>
      </c>
      <c r="AE2157" s="11">
        <v>0</v>
      </c>
      <c r="AF2157" s="11">
        <f t="shared" si="342"/>
        <v>0</v>
      </c>
      <c r="AG2157" s="38">
        <f t="shared" si="340"/>
        <v>0</v>
      </c>
      <c r="AH2157" s="11">
        <v>9</v>
      </c>
      <c r="AI2157" s="11">
        <f t="shared" si="343"/>
        <v>0.12543554006968644</v>
      </c>
      <c r="AJ2157" s="11">
        <v>0</v>
      </c>
      <c r="AK2157" s="38">
        <f t="shared" si="344"/>
        <v>0</v>
      </c>
      <c r="AL2157" s="11">
        <v>0</v>
      </c>
      <c r="AM2157" s="38">
        <f t="shared" si="345"/>
        <v>0</v>
      </c>
      <c r="AN2157" s="25">
        <f t="shared" si="346"/>
        <v>0</v>
      </c>
      <c r="AO2157" s="25">
        <f t="shared" si="347"/>
        <v>0</v>
      </c>
      <c r="AP2157" s="25">
        <f t="shared" si="348"/>
        <v>18.45</v>
      </c>
      <c r="AQ2157" s="25">
        <f t="shared" si="349"/>
        <v>18.45</v>
      </c>
      <c r="AR2157" s="25">
        <f t="shared" si="350"/>
        <v>2.6750000000000003</v>
      </c>
      <c r="AS2157" s="25">
        <f t="shared" si="351"/>
        <v>2.6749999999999998</v>
      </c>
      <c r="AT2157" s="1"/>
      <c r="AU2157" s="41"/>
      <c r="AV2157" s="275">
        <v>2.0499999999999998</v>
      </c>
      <c r="AW2157" s="41"/>
      <c r="AX2157" s="4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</row>
    <row r="2158" spans="1:88" s="22" customFormat="1">
      <c r="A2158" s="1">
        <v>1658</v>
      </c>
      <c r="B2158" s="34" t="s">
        <v>2251</v>
      </c>
      <c r="C2158" s="34">
        <v>418</v>
      </c>
      <c r="D2158" s="69">
        <v>307</v>
      </c>
      <c r="E2158" s="34">
        <v>102</v>
      </c>
      <c r="F2158" s="34" t="s">
        <v>2255</v>
      </c>
      <c r="G2158" s="58" t="s">
        <v>2257</v>
      </c>
      <c r="H2158" s="58" t="s">
        <v>2256</v>
      </c>
      <c r="I2158" s="35">
        <v>1.758</v>
      </c>
      <c r="J2158" s="34">
        <v>2</v>
      </c>
      <c r="K2158" s="34" t="s">
        <v>96</v>
      </c>
      <c r="L2158" s="10">
        <v>42245</v>
      </c>
      <c r="M2158" s="9" t="s">
        <v>191</v>
      </c>
      <c r="N2158" s="55">
        <v>0.82499999999999996</v>
      </c>
      <c r="O2158" s="55">
        <v>0.6</v>
      </c>
      <c r="P2158" s="55">
        <v>0.22500000000000001</v>
      </c>
      <c r="Q2158" s="55">
        <v>0.15</v>
      </c>
      <c r="R2158" s="55">
        <v>3.0562499999999999</v>
      </c>
      <c r="S2158" s="38">
        <f t="shared" si="338"/>
        <v>3</v>
      </c>
      <c r="T2158" s="38">
        <v>1.6</v>
      </c>
      <c r="U2158" s="38">
        <v>0.15</v>
      </c>
      <c r="V2158" s="38">
        <v>0</v>
      </c>
      <c r="W2158" s="38">
        <v>0.05</v>
      </c>
      <c r="X2158" s="38">
        <v>6.1385300000000003</v>
      </c>
      <c r="Y2158" s="38">
        <f t="shared" si="339"/>
        <v>6</v>
      </c>
      <c r="Z2158" s="38">
        <v>0</v>
      </c>
      <c r="AA2158" s="38">
        <v>0</v>
      </c>
      <c r="AB2158" s="38">
        <f t="shared" si="341"/>
        <v>1.7999999999999998</v>
      </c>
      <c r="AC2158" s="38">
        <v>0.88065300000000002</v>
      </c>
      <c r="AD2158" s="38">
        <v>0</v>
      </c>
      <c r="AE2158" s="38">
        <v>0</v>
      </c>
      <c r="AF2158" s="38">
        <f t="shared" si="342"/>
        <v>0</v>
      </c>
      <c r="AG2158" s="38">
        <f t="shared" si="340"/>
        <v>0</v>
      </c>
      <c r="AH2158" s="38">
        <v>0</v>
      </c>
      <c r="AI2158" s="38">
        <f t="shared" si="343"/>
        <v>0</v>
      </c>
      <c r="AJ2158" s="38">
        <v>0</v>
      </c>
      <c r="AK2158" s="38">
        <f t="shared" si="344"/>
        <v>0</v>
      </c>
      <c r="AL2158" s="38">
        <v>0</v>
      </c>
      <c r="AM2158" s="38">
        <f t="shared" si="345"/>
        <v>0</v>
      </c>
      <c r="AN2158" s="25"/>
      <c r="AO2158" s="25">
        <f t="shared" si="347"/>
        <v>0</v>
      </c>
      <c r="AP2158" s="25">
        <f t="shared" si="348"/>
        <v>0</v>
      </c>
      <c r="AQ2158" s="25">
        <f t="shared" si="349"/>
        <v>0</v>
      </c>
      <c r="AR2158" s="25">
        <f t="shared" si="350"/>
        <v>1.7999999999999998</v>
      </c>
      <c r="AS2158" s="25">
        <f t="shared" si="351"/>
        <v>1.8</v>
      </c>
      <c r="AU2158" s="41"/>
      <c r="AV2158" s="41"/>
      <c r="AW2158" s="41"/>
      <c r="AX2158" s="41"/>
    </row>
    <row r="2159" spans="1:88" s="22" customFormat="1">
      <c r="A2159" s="1">
        <v>1660</v>
      </c>
      <c r="B2159" s="34" t="s">
        <v>2251</v>
      </c>
      <c r="C2159" s="34">
        <v>418</v>
      </c>
      <c r="D2159" s="69">
        <v>345</v>
      </c>
      <c r="E2159" s="34">
        <v>100</v>
      </c>
      <c r="F2159" s="34" t="s">
        <v>2258</v>
      </c>
      <c r="G2159" s="58" t="s">
        <v>2260</v>
      </c>
      <c r="H2159" s="58" t="s">
        <v>2259</v>
      </c>
      <c r="I2159" s="35">
        <v>8.56</v>
      </c>
      <c r="J2159" s="34">
        <v>4</v>
      </c>
      <c r="K2159" s="34" t="s">
        <v>96</v>
      </c>
      <c r="L2159" s="10">
        <v>42244</v>
      </c>
      <c r="M2159" s="9" t="s">
        <v>191</v>
      </c>
      <c r="N2159" s="55">
        <v>5.6749999999999998</v>
      </c>
      <c r="O2159" s="55">
        <v>2.0249999999999999</v>
      </c>
      <c r="P2159" s="55">
        <v>0.625</v>
      </c>
      <c r="Q2159" s="55">
        <v>0.25</v>
      </c>
      <c r="R2159" s="55">
        <v>2.33379</v>
      </c>
      <c r="S2159" s="38">
        <f t="shared" si="338"/>
        <v>2.5</v>
      </c>
      <c r="T2159" s="38">
        <v>8.0500000000000007</v>
      </c>
      <c r="U2159" s="38">
        <v>0.5</v>
      </c>
      <c r="V2159" s="38">
        <v>2.5000000000000001E-2</v>
      </c>
      <c r="W2159" s="38">
        <v>0</v>
      </c>
      <c r="X2159" s="38">
        <v>5.5247200000000003</v>
      </c>
      <c r="Y2159" s="38">
        <f t="shared" si="339"/>
        <v>5.5</v>
      </c>
      <c r="Z2159" s="38">
        <v>0</v>
      </c>
      <c r="AA2159" s="38">
        <v>0</v>
      </c>
      <c r="AB2159" s="38">
        <f t="shared" si="341"/>
        <v>8.5749999999999993</v>
      </c>
      <c r="AC2159" s="38">
        <v>0.98137200000000002</v>
      </c>
      <c r="AD2159" s="38">
        <v>0</v>
      </c>
      <c r="AE2159" s="38">
        <v>0</v>
      </c>
      <c r="AF2159" s="38">
        <f t="shared" si="342"/>
        <v>0</v>
      </c>
      <c r="AG2159" s="38">
        <f t="shared" si="340"/>
        <v>0</v>
      </c>
      <c r="AH2159" s="38">
        <v>0</v>
      </c>
      <c r="AI2159" s="38">
        <f t="shared" si="343"/>
        <v>0</v>
      </c>
      <c r="AJ2159" s="38">
        <v>0</v>
      </c>
      <c r="AK2159" s="38">
        <f t="shared" si="344"/>
        <v>0</v>
      </c>
      <c r="AL2159" s="38">
        <v>0</v>
      </c>
      <c r="AM2159" s="38">
        <f t="shared" si="345"/>
        <v>0</v>
      </c>
      <c r="AN2159" s="25"/>
      <c r="AO2159" s="25">
        <f t="shared" si="347"/>
        <v>0</v>
      </c>
      <c r="AP2159" s="25">
        <f t="shared" si="348"/>
        <v>0</v>
      </c>
      <c r="AQ2159" s="25">
        <f t="shared" si="349"/>
        <v>0</v>
      </c>
      <c r="AR2159" s="25">
        <f t="shared" si="350"/>
        <v>8.5749999999999993</v>
      </c>
      <c r="AS2159" s="25">
        <f t="shared" si="351"/>
        <v>8.5750000000000011</v>
      </c>
      <c r="AU2159" s="41"/>
      <c r="AV2159" s="41"/>
      <c r="AW2159" s="41"/>
      <c r="AX2159" s="41"/>
    </row>
    <row r="2160" spans="1:88">
      <c r="A2160" s="1">
        <v>1661</v>
      </c>
      <c r="B2160" s="34" t="s">
        <v>2251</v>
      </c>
      <c r="C2160" s="34">
        <v>418</v>
      </c>
      <c r="D2160" s="69">
        <v>3215</v>
      </c>
      <c r="E2160" s="34">
        <v>101</v>
      </c>
      <c r="F2160" s="34" t="s">
        <v>2261</v>
      </c>
      <c r="G2160" s="58" t="s">
        <v>2262</v>
      </c>
      <c r="H2160" s="58" t="s">
        <v>2263</v>
      </c>
      <c r="I2160" s="35">
        <v>2.625</v>
      </c>
      <c r="J2160" s="34">
        <v>2</v>
      </c>
      <c r="K2160" s="34" t="s">
        <v>237</v>
      </c>
      <c r="L2160" s="10">
        <v>42246</v>
      </c>
      <c r="M2160" s="9" t="s">
        <v>191</v>
      </c>
      <c r="N2160" s="55">
        <v>0.75</v>
      </c>
      <c r="O2160" s="55">
        <v>0.75</v>
      </c>
      <c r="P2160" s="55">
        <v>0.7</v>
      </c>
      <c r="Q2160" s="55">
        <v>0.42499999999999999</v>
      </c>
      <c r="R2160" s="55">
        <v>3.7448600000000001</v>
      </c>
      <c r="S2160" s="38">
        <f t="shared" si="338"/>
        <v>3.5</v>
      </c>
      <c r="T2160" s="38">
        <v>2.4500000000000002</v>
      </c>
      <c r="U2160" s="38">
        <v>0.17499999999999999</v>
      </c>
      <c r="V2160" s="38">
        <v>0</v>
      </c>
      <c r="W2160" s="38">
        <v>0</v>
      </c>
      <c r="X2160" s="38">
        <v>5.40639</v>
      </c>
      <c r="Y2160" s="38">
        <f t="shared" si="339"/>
        <v>5.5</v>
      </c>
      <c r="Z2160" s="38">
        <v>0</v>
      </c>
      <c r="AA2160" s="38">
        <v>0</v>
      </c>
      <c r="AB2160" s="38">
        <f t="shared" si="341"/>
        <v>2.625</v>
      </c>
      <c r="AC2160" s="38">
        <v>0.87353099999999995</v>
      </c>
      <c r="AD2160" s="38">
        <v>0</v>
      </c>
      <c r="AE2160" s="38">
        <v>0</v>
      </c>
      <c r="AF2160" s="38">
        <f t="shared" si="342"/>
        <v>0</v>
      </c>
      <c r="AG2160" s="38">
        <f t="shared" si="340"/>
        <v>0</v>
      </c>
      <c r="AH2160" s="38">
        <v>0</v>
      </c>
      <c r="AI2160" s="38">
        <f t="shared" si="343"/>
        <v>0</v>
      </c>
      <c r="AJ2160" s="38">
        <v>0</v>
      </c>
      <c r="AK2160" s="38">
        <f t="shared" si="344"/>
        <v>0</v>
      </c>
      <c r="AL2160" s="38">
        <v>0</v>
      </c>
      <c r="AM2160" s="38">
        <f t="shared" si="345"/>
        <v>0</v>
      </c>
      <c r="AN2160" s="25"/>
      <c r="AO2160" s="25">
        <f t="shared" si="347"/>
        <v>0</v>
      </c>
      <c r="AP2160" s="25">
        <f t="shared" si="348"/>
        <v>0</v>
      </c>
      <c r="AQ2160" s="25">
        <f t="shared" si="349"/>
        <v>0</v>
      </c>
      <c r="AR2160" s="25">
        <f t="shared" si="350"/>
        <v>2.625</v>
      </c>
      <c r="AS2160" s="25">
        <f t="shared" si="351"/>
        <v>2.625</v>
      </c>
      <c r="AT2160" s="22"/>
      <c r="AU2160" s="41"/>
      <c r="AV2160" s="41"/>
      <c r="AW2160" s="41"/>
      <c r="AX2160" s="41"/>
      <c r="AY2160" s="22"/>
      <c r="AZ2160" s="22"/>
      <c r="BA2160" s="22"/>
      <c r="BB2160" s="22"/>
      <c r="BC2160" s="22"/>
      <c r="BD2160" s="22"/>
      <c r="BE2160" s="22"/>
      <c r="BF2160" s="22"/>
      <c r="BG2160" s="22"/>
      <c r="BH2160" s="22"/>
      <c r="BI2160" s="22"/>
      <c r="BJ2160" s="22"/>
      <c r="BK2160" s="22"/>
      <c r="BL2160" s="22"/>
      <c r="BM2160" s="22"/>
      <c r="BN2160" s="22"/>
      <c r="BO2160" s="22"/>
      <c r="BP2160" s="22"/>
      <c r="BQ2160" s="22"/>
      <c r="BR2160" s="22"/>
      <c r="BS2160" s="22"/>
      <c r="BT2160" s="22"/>
      <c r="BU2160" s="22"/>
      <c r="BV2160" s="22"/>
      <c r="BW2160" s="22"/>
      <c r="BX2160" s="22"/>
      <c r="BY2160" s="22"/>
      <c r="BZ2160" s="22"/>
      <c r="CA2160" s="22"/>
      <c r="CB2160" s="22"/>
      <c r="CC2160" s="22"/>
      <c r="CD2160" s="22"/>
      <c r="CE2160" s="22"/>
      <c r="CF2160" s="22"/>
      <c r="CG2160" s="22"/>
      <c r="CH2160" s="22"/>
      <c r="CI2160" s="22"/>
      <c r="CJ2160" s="22"/>
    </row>
    <row r="2161" spans="1:88">
      <c r="A2161" s="1">
        <v>1678</v>
      </c>
      <c r="B2161" s="34" t="s">
        <v>2279</v>
      </c>
      <c r="C2161" s="34">
        <v>421</v>
      </c>
      <c r="D2161" s="8">
        <v>304</v>
      </c>
      <c r="E2161" s="34">
        <v>301</v>
      </c>
      <c r="F2161" s="34" t="s">
        <v>2280</v>
      </c>
      <c r="G2161" s="20">
        <v>49884</v>
      </c>
      <c r="H2161" s="20">
        <v>67638</v>
      </c>
      <c r="I2161" s="35">
        <v>17.754000000000001</v>
      </c>
      <c r="J2161" s="9">
        <v>4</v>
      </c>
      <c r="K2161" s="34" t="s">
        <v>237</v>
      </c>
      <c r="L2161" s="10">
        <v>42227</v>
      </c>
      <c r="M2161" s="9" t="s">
        <v>191</v>
      </c>
      <c r="N2161" s="38">
        <v>3.75</v>
      </c>
      <c r="O2161" s="38">
        <v>5.2</v>
      </c>
      <c r="P2161" s="38">
        <v>3.9</v>
      </c>
      <c r="Q2161" s="38">
        <v>2.5</v>
      </c>
      <c r="R2161" s="38">
        <v>3.62</v>
      </c>
      <c r="S2161" s="38">
        <f t="shared" si="338"/>
        <v>3.5</v>
      </c>
      <c r="T2161" s="38">
        <v>14.55</v>
      </c>
      <c r="U2161" s="38">
        <v>0.52500000000000002</v>
      </c>
      <c r="V2161" s="38">
        <v>0.15</v>
      </c>
      <c r="W2161" s="38">
        <v>0.125</v>
      </c>
      <c r="X2161" s="38">
        <v>5.62</v>
      </c>
      <c r="Y2161" s="38">
        <f t="shared" si="339"/>
        <v>5.5</v>
      </c>
      <c r="Z2161" s="38">
        <v>0</v>
      </c>
      <c r="AA2161" s="38">
        <v>0</v>
      </c>
      <c r="AB2161" s="38">
        <v>17.754000000000001</v>
      </c>
      <c r="AC2161" s="38">
        <v>1.1100000000000001</v>
      </c>
      <c r="AD2161" s="38">
        <v>0</v>
      </c>
      <c r="AE2161" s="38">
        <v>0</v>
      </c>
      <c r="AF2161" s="38">
        <v>0</v>
      </c>
      <c r="AG2161" s="38">
        <f t="shared" si="340"/>
        <v>0</v>
      </c>
      <c r="AH2161" s="38">
        <v>0</v>
      </c>
      <c r="AI2161" s="38">
        <v>0</v>
      </c>
      <c r="AJ2161" s="38">
        <v>28.5</v>
      </c>
      <c r="AK2161" s="38">
        <f t="shared" si="344"/>
        <v>4.5864915753391591E-2</v>
      </c>
      <c r="AL2161" s="38">
        <v>0</v>
      </c>
      <c r="AM2161" s="38">
        <v>0</v>
      </c>
      <c r="AN2161" s="25"/>
      <c r="AO2161" s="25"/>
      <c r="AP2161" s="25"/>
      <c r="AQ2161" s="25"/>
      <c r="AR2161" s="25"/>
      <c r="AS2161" s="22"/>
      <c r="AT2161" s="41"/>
      <c r="AU2161" s="41"/>
      <c r="AV2161" s="41"/>
      <c r="AW2161" s="41"/>
      <c r="AX2161" s="22"/>
      <c r="AY2161" s="22"/>
      <c r="AZ2161" s="22"/>
      <c r="BA2161" s="22"/>
      <c r="BB2161" s="22"/>
      <c r="BC2161" s="22"/>
      <c r="BD2161" s="22"/>
      <c r="BE2161" s="22"/>
      <c r="BF2161" s="22"/>
      <c r="BG2161" s="22"/>
      <c r="BH2161" s="22"/>
      <c r="BI2161" s="22"/>
      <c r="BJ2161" s="22"/>
      <c r="BK2161" s="22"/>
      <c r="BL2161" s="22"/>
      <c r="BM2161" s="22"/>
      <c r="BN2161" s="22"/>
      <c r="BO2161" s="22"/>
      <c r="BP2161" s="22"/>
      <c r="BQ2161" s="22"/>
      <c r="BR2161" s="22"/>
      <c r="BS2161" s="22"/>
      <c r="BT2161" s="22"/>
      <c r="BU2161" s="22"/>
      <c r="BV2161" s="22"/>
      <c r="BW2161" s="22"/>
      <c r="BX2161" s="22"/>
      <c r="BY2161" s="22"/>
      <c r="BZ2161" s="22"/>
      <c r="CA2161" s="22"/>
      <c r="CB2161" s="22"/>
      <c r="CC2161" s="22"/>
      <c r="CD2161" s="22"/>
      <c r="CE2161" s="22"/>
      <c r="CF2161" s="22"/>
      <c r="CG2161" s="22"/>
      <c r="CH2161" s="22"/>
      <c r="CI2161" s="22"/>
      <c r="CJ2161" s="22"/>
    </row>
    <row r="2162" spans="1:88">
      <c r="A2162" s="1">
        <v>1682</v>
      </c>
      <c r="B2162" s="34" t="s">
        <v>2279</v>
      </c>
      <c r="C2162" s="34">
        <v>421</v>
      </c>
      <c r="D2162" s="8">
        <v>314</v>
      </c>
      <c r="E2162" s="34">
        <v>102</v>
      </c>
      <c r="F2162" s="34" t="s">
        <v>2282</v>
      </c>
      <c r="G2162" s="58" t="s">
        <v>499</v>
      </c>
      <c r="H2162" s="58" t="s">
        <v>2283</v>
      </c>
      <c r="I2162" s="35">
        <v>13.025</v>
      </c>
      <c r="J2162" s="9">
        <v>4</v>
      </c>
      <c r="K2162" s="34" t="s">
        <v>96</v>
      </c>
      <c r="L2162" s="10">
        <v>42227</v>
      </c>
      <c r="M2162" s="9" t="s">
        <v>191</v>
      </c>
      <c r="N2162" s="38">
        <v>7.2249999999999996</v>
      </c>
      <c r="O2162" s="38">
        <v>2.4</v>
      </c>
      <c r="P2162" s="38">
        <v>3.125</v>
      </c>
      <c r="Q2162" s="38">
        <v>0.27500000000000002</v>
      </c>
      <c r="R2162" s="38">
        <v>2.39758</v>
      </c>
      <c r="S2162" s="38">
        <f t="shared" si="338"/>
        <v>2.5</v>
      </c>
      <c r="T2162" s="38">
        <v>12.425000000000001</v>
      </c>
      <c r="U2162" s="38">
        <v>0.47499999999999998</v>
      </c>
      <c r="V2162" s="38">
        <v>0.125</v>
      </c>
      <c r="W2162" s="38">
        <v>0</v>
      </c>
      <c r="X2162" s="38">
        <v>5.5003399999999996</v>
      </c>
      <c r="Y2162" s="38">
        <f t="shared" si="339"/>
        <v>5.5</v>
      </c>
      <c r="Z2162" s="38">
        <v>0</v>
      </c>
      <c r="AA2162" s="38">
        <v>0</v>
      </c>
      <c r="AB2162" s="38">
        <v>13.025</v>
      </c>
      <c r="AC2162" s="38">
        <v>1.2718499999999999</v>
      </c>
      <c r="AD2162" s="38">
        <v>0</v>
      </c>
      <c r="AE2162" s="38">
        <v>0</v>
      </c>
      <c r="AF2162" s="38">
        <f>(AD2162+AE2162*0.5)/(3.5*I2162*1000)*100</f>
        <v>0</v>
      </c>
      <c r="AG2162" s="38">
        <f t="shared" si="340"/>
        <v>0</v>
      </c>
      <c r="AH2162" s="38">
        <v>0</v>
      </c>
      <c r="AI2162" s="38">
        <f>AH2162/(3.5*I2162*1000)*100</f>
        <v>0</v>
      </c>
      <c r="AJ2162" s="38">
        <v>7</v>
      </c>
      <c r="AK2162" s="38">
        <f t="shared" si="344"/>
        <v>1.5355086372360844E-2</v>
      </c>
      <c r="AL2162" s="38">
        <v>0</v>
      </c>
      <c r="AM2162" s="38">
        <f>AL2162/(3.5*I2162*1000)*100</f>
        <v>0</v>
      </c>
      <c r="AN2162" s="25"/>
      <c r="AO2162" s="25">
        <f>AE2162*0.5</f>
        <v>0</v>
      </c>
      <c r="AP2162" s="25">
        <f>(AD2162+AH2162+AJ2162+AL2162+AO2162)*I2162</f>
        <v>91.174999999999997</v>
      </c>
      <c r="AQ2162" s="25">
        <f>SUM(N2162:Q2162)</f>
        <v>13.025</v>
      </c>
      <c r="AR2162" s="25">
        <f>SUM(T2162:W2162)</f>
        <v>13.025</v>
      </c>
      <c r="AS2162" s="22"/>
      <c r="AT2162" s="41"/>
      <c r="AU2162" s="41"/>
      <c r="AV2162" s="41"/>
      <c r="AW2162" s="41"/>
      <c r="AX2162" s="22"/>
      <c r="AY2162" s="22"/>
      <c r="AZ2162" s="22"/>
      <c r="BA2162" s="22"/>
      <c r="BB2162" s="22"/>
      <c r="BC2162" s="22"/>
      <c r="BD2162" s="22"/>
      <c r="BE2162" s="22"/>
      <c r="BF2162" s="22"/>
      <c r="BG2162" s="22"/>
      <c r="BH2162" s="22"/>
      <c r="BI2162" s="22"/>
      <c r="BJ2162" s="22"/>
      <c r="BK2162" s="22"/>
      <c r="BL2162" s="22"/>
      <c r="BM2162" s="22"/>
      <c r="BN2162" s="22"/>
      <c r="BO2162" s="22"/>
      <c r="BP2162" s="22"/>
      <c r="BQ2162" s="22"/>
      <c r="BR2162" s="22"/>
      <c r="BS2162" s="22"/>
      <c r="BT2162" s="22"/>
      <c r="BU2162" s="22"/>
      <c r="BV2162" s="22"/>
      <c r="BW2162" s="22"/>
      <c r="BX2162" s="22"/>
      <c r="BY2162" s="22"/>
      <c r="BZ2162" s="22"/>
      <c r="CA2162" s="22"/>
      <c r="CB2162" s="22"/>
      <c r="CC2162" s="22"/>
      <c r="CD2162" s="22"/>
      <c r="CE2162" s="22"/>
      <c r="CF2162" s="22"/>
      <c r="CG2162" s="22"/>
      <c r="CH2162" s="22"/>
      <c r="CI2162" s="22"/>
      <c r="CJ2162" s="22"/>
    </row>
    <row r="2163" spans="1:88">
      <c r="A2163" s="1">
        <v>1686</v>
      </c>
      <c r="B2163" s="34" t="s">
        <v>2279</v>
      </c>
      <c r="C2163" s="34">
        <v>421</v>
      </c>
      <c r="D2163" s="8">
        <v>365</v>
      </c>
      <c r="E2163" s="34">
        <v>101</v>
      </c>
      <c r="F2163" s="34" t="s">
        <v>2286</v>
      </c>
      <c r="G2163" s="58">
        <v>0</v>
      </c>
      <c r="H2163" s="58">
        <v>5886</v>
      </c>
      <c r="I2163" s="35">
        <v>5.8860000000000001</v>
      </c>
      <c r="J2163" s="9">
        <v>2</v>
      </c>
      <c r="K2163" s="34" t="s">
        <v>238</v>
      </c>
      <c r="L2163" s="10">
        <v>42227</v>
      </c>
      <c r="M2163" s="9" t="s">
        <v>191</v>
      </c>
      <c r="N2163" s="38">
        <v>3.875</v>
      </c>
      <c r="O2163" s="38">
        <v>1.3</v>
      </c>
      <c r="P2163" s="38">
        <v>0.4</v>
      </c>
      <c r="Q2163" s="38">
        <v>0.35</v>
      </c>
      <c r="R2163" s="38">
        <v>2.5343499999999999</v>
      </c>
      <c r="S2163" s="38">
        <f t="shared" si="338"/>
        <v>2.5</v>
      </c>
      <c r="T2163" s="38">
        <v>5.7</v>
      </c>
      <c r="U2163" s="38">
        <v>0.15</v>
      </c>
      <c r="V2163" s="38">
        <v>0.05</v>
      </c>
      <c r="W2163" s="38">
        <v>2.5000000000000001E-2</v>
      </c>
      <c r="X2163" s="38">
        <v>5.4216199999999999</v>
      </c>
      <c r="Y2163" s="38">
        <f t="shared" si="339"/>
        <v>5.5</v>
      </c>
      <c r="Z2163" s="38">
        <v>0</v>
      </c>
      <c r="AA2163" s="38">
        <v>0</v>
      </c>
      <c r="AB2163" s="38">
        <v>5.8860000000000001</v>
      </c>
      <c r="AC2163" s="38">
        <v>1.1103799999999999</v>
      </c>
      <c r="AD2163" s="38">
        <v>0</v>
      </c>
      <c r="AE2163" s="38">
        <v>0</v>
      </c>
      <c r="AF2163" s="38">
        <f>(AD2163+AE2163*0.5)/(3.5*I2163*1000)*100</f>
        <v>0</v>
      </c>
      <c r="AG2163" s="38">
        <f t="shared" si="340"/>
        <v>0</v>
      </c>
      <c r="AH2163" s="38">
        <v>15.7</v>
      </c>
      <c r="AI2163" s="38">
        <f>AH2163/(3.5*I2163*1000)*100</f>
        <v>7.6209892723654193E-2</v>
      </c>
      <c r="AJ2163" s="38">
        <v>164</v>
      </c>
      <c r="AK2163" s="38">
        <f t="shared" si="344"/>
        <v>0.79607786029804384</v>
      </c>
      <c r="AL2163" s="38">
        <v>0</v>
      </c>
      <c r="AM2163" s="38">
        <f>AL2163/(3.5*I2163*1000)*100</f>
        <v>0</v>
      </c>
      <c r="AN2163" s="25"/>
      <c r="AO2163" s="25">
        <f>AE2163*0.5</f>
        <v>0</v>
      </c>
      <c r="AP2163" s="25">
        <f>(AD2163+AH2163+AJ2163+AL2163+AO2163)*I2163</f>
        <v>1057.7141999999999</v>
      </c>
      <c r="AQ2163" s="25">
        <f>SUM(N2163:Q2163)</f>
        <v>5.9249999999999998</v>
      </c>
      <c r="AR2163" s="25">
        <f>SUM(T2163:W2163)</f>
        <v>5.9250000000000007</v>
      </c>
      <c r="AS2163" s="22"/>
      <c r="AT2163" s="41"/>
      <c r="AU2163" s="41"/>
      <c r="AV2163" s="41"/>
      <c r="AW2163" s="41"/>
      <c r="AX2163" s="22"/>
      <c r="AY2163" s="22"/>
      <c r="AZ2163" s="22"/>
      <c r="BA2163" s="22"/>
      <c r="BB2163" s="22"/>
      <c r="BC2163" s="22"/>
      <c r="BD2163" s="22"/>
      <c r="BE2163" s="22"/>
      <c r="BF2163" s="22"/>
      <c r="BG2163" s="22"/>
      <c r="BH2163" s="22"/>
      <c r="BI2163" s="22"/>
      <c r="BJ2163" s="22"/>
      <c r="BK2163" s="22"/>
      <c r="BL2163" s="22"/>
      <c r="BM2163" s="22"/>
      <c r="BN2163" s="22"/>
      <c r="BO2163" s="22"/>
      <c r="BP2163" s="22"/>
      <c r="BQ2163" s="22"/>
      <c r="BR2163" s="22"/>
      <c r="BS2163" s="22"/>
      <c r="BT2163" s="22"/>
      <c r="BU2163" s="22"/>
      <c r="BV2163" s="22"/>
      <c r="BW2163" s="22"/>
      <c r="BX2163" s="22"/>
      <c r="BY2163" s="22"/>
      <c r="BZ2163" s="22"/>
      <c r="CA2163" s="22"/>
      <c r="CB2163" s="22"/>
      <c r="CC2163" s="22"/>
      <c r="CD2163" s="22"/>
      <c r="CE2163" s="22"/>
      <c r="CF2163" s="22"/>
      <c r="CG2163" s="22"/>
      <c r="CH2163" s="22"/>
      <c r="CI2163" s="22"/>
      <c r="CJ2163" s="22"/>
    </row>
    <row r="2164" spans="1:88">
      <c r="A2164" s="1">
        <v>1692</v>
      </c>
      <c r="B2164" s="34" t="s">
        <v>2279</v>
      </c>
      <c r="C2164" s="34">
        <v>421</v>
      </c>
      <c r="D2164" s="69">
        <v>3259</v>
      </c>
      <c r="E2164" s="34">
        <v>100</v>
      </c>
      <c r="F2164" s="34" t="s">
        <v>2293</v>
      </c>
      <c r="G2164" s="58">
        <v>4400</v>
      </c>
      <c r="H2164" s="58">
        <v>0</v>
      </c>
      <c r="I2164" s="205">
        <v>2.4</v>
      </c>
      <c r="J2164" s="34">
        <v>2</v>
      </c>
      <c r="K2164" s="34" t="s">
        <v>12</v>
      </c>
      <c r="L2164" s="10">
        <v>42226</v>
      </c>
      <c r="M2164" s="34" t="s">
        <v>191</v>
      </c>
      <c r="N2164" s="55">
        <f>1925/1000</f>
        <v>1.925</v>
      </c>
      <c r="O2164" s="38">
        <f>750/1000</f>
        <v>0.75</v>
      </c>
      <c r="P2164" s="38">
        <f>450/1000</f>
        <v>0.45</v>
      </c>
      <c r="Q2164" s="38">
        <f>450/1000</f>
        <v>0.45</v>
      </c>
      <c r="R2164" s="38">
        <v>3.4748299999999999</v>
      </c>
      <c r="S2164" s="38">
        <f t="shared" si="338"/>
        <v>3.5</v>
      </c>
      <c r="T2164" s="38">
        <f>3200/1000</f>
        <v>3.2</v>
      </c>
      <c r="U2164" s="38">
        <f>250/1000</f>
        <v>0.25</v>
      </c>
      <c r="V2164" s="38">
        <f>75/1000</f>
        <v>7.4999999999999997E-2</v>
      </c>
      <c r="W2164" s="38">
        <f>50/1000</f>
        <v>0.05</v>
      </c>
      <c r="X2164" s="38">
        <v>5.2013299999999996</v>
      </c>
      <c r="Y2164" s="38">
        <f t="shared" si="339"/>
        <v>5</v>
      </c>
      <c r="Z2164" s="38">
        <v>0</v>
      </c>
      <c r="AA2164" s="38">
        <v>0</v>
      </c>
      <c r="AB2164" s="38">
        <v>2.2999999999999998</v>
      </c>
      <c r="AC2164" s="38">
        <v>1.2867999999999999</v>
      </c>
      <c r="AD2164" s="38">
        <v>0</v>
      </c>
      <c r="AE2164" s="38">
        <v>0</v>
      </c>
      <c r="AF2164" s="38">
        <v>0</v>
      </c>
      <c r="AG2164" s="38">
        <f t="shared" si="340"/>
        <v>0</v>
      </c>
      <c r="AH2164" s="38">
        <v>0</v>
      </c>
      <c r="AI2164" s="38">
        <v>0</v>
      </c>
      <c r="AJ2164" s="38">
        <v>0</v>
      </c>
      <c r="AK2164" s="38">
        <v>0</v>
      </c>
      <c r="AL2164" s="38">
        <v>0</v>
      </c>
      <c r="AM2164" s="38">
        <v>0</v>
      </c>
      <c r="AN2164" s="25"/>
      <c r="AO2164" s="25"/>
      <c r="AP2164" s="25"/>
      <c r="AQ2164" s="25"/>
      <c r="AR2164" s="25"/>
      <c r="AS2164" s="22"/>
      <c r="AT2164" s="41"/>
      <c r="AU2164" s="41"/>
      <c r="AV2164" s="41"/>
      <c r="AW2164" s="41"/>
      <c r="AX2164" s="22"/>
      <c r="AY2164" s="22"/>
      <c r="AZ2164" s="22"/>
      <c r="BA2164" s="22"/>
      <c r="BB2164" s="22"/>
      <c r="BC2164" s="22"/>
      <c r="BD2164" s="22"/>
      <c r="BE2164" s="22"/>
      <c r="BF2164" s="22"/>
      <c r="BG2164" s="22"/>
      <c r="BH2164" s="22"/>
      <c r="BI2164" s="22"/>
      <c r="BJ2164" s="22"/>
      <c r="BK2164" s="22"/>
      <c r="BL2164" s="22"/>
      <c r="BM2164" s="22"/>
      <c r="BN2164" s="22"/>
      <c r="BO2164" s="22"/>
      <c r="BP2164" s="22"/>
      <c r="BQ2164" s="22"/>
      <c r="BR2164" s="22"/>
      <c r="BS2164" s="22"/>
      <c r="BT2164" s="22"/>
      <c r="BU2164" s="22"/>
      <c r="BV2164" s="22"/>
      <c r="BW2164" s="22"/>
      <c r="BX2164" s="22"/>
      <c r="BY2164" s="22"/>
      <c r="BZ2164" s="22"/>
      <c r="CA2164" s="22"/>
      <c r="CB2164" s="22"/>
      <c r="CC2164" s="22"/>
      <c r="CD2164" s="22"/>
      <c r="CE2164" s="22"/>
      <c r="CF2164" s="22"/>
      <c r="CG2164" s="22"/>
      <c r="CH2164" s="22"/>
      <c r="CI2164" s="22"/>
      <c r="CJ2164" s="22"/>
    </row>
    <row r="2165" spans="1:88">
      <c r="A2165" s="1">
        <v>1693</v>
      </c>
      <c r="B2165" s="34" t="s">
        <v>2279</v>
      </c>
      <c r="C2165" s="34">
        <v>421</v>
      </c>
      <c r="D2165" s="69">
        <v>3259</v>
      </c>
      <c r="E2165" s="34">
        <v>100</v>
      </c>
      <c r="F2165" s="34" t="s">
        <v>2293</v>
      </c>
      <c r="G2165" s="58">
        <v>8006</v>
      </c>
      <c r="H2165" s="58">
        <v>4400</v>
      </c>
      <c r="I2165" s="205">
        <v>3.6059999999999999</v>
      </c>
      <c r="J2165" s="34">
        <v>2</v>
      </c>
      <c r="K2165" s="34" t="s">
        <v>12</v>
      </c>
      <c r="L2165" s="10">
        <v>42226</v>
      </c>
      <c r="M2165" s="34" t="s">
        <v>191</v>
      </c>
      <c r="N2165" s="55">
        <f>100/1000</f>
        <v>0.1</v>
      </c>
      <c r="O2165" s="38">
        <f>650/1000</f>
        <v>0.65</v>
      </c>
      <c r="P2165" s="38">
        <f>900/1000</f>
        <v>0.9</v>
      </c>
      <c r="Q2165" s="38">
        <f>725/1000</f>
        <v>0.72499999999999998</v>
      </c>
      <c r="R2165" s="38">
        <v>5.3081100000000001</v>
      </c>
      <c r="S2165" s="38">
        <f t="shared" si="338"/>
        <v>5.5</v>
      </c>
      <c r="T2165" s="38">
        <f>1825/1000</f>
        <v>1.825</v>
      </c>
      <c r="U2165" s="38">
        <f>175/1000</f>
        <v>0.17499999999999999</v>
      </c>
      <c r="V2165" s="38">
        <f>50/1000</f>
        <v>0.05</v>
      </c>
      <c r="W2165" s="38">
        <f>325/1000</f>
        <v>0.32500000000000001</v>
      </c>
      <c r="X2165" s="38">
        <v>8.4425000000000008</v>
      </c>
      <c r="Y2165" s="38">
        <f t="shared" si="339"/>
        <v>8.5</v>
      </c>
      <c r="Z2165" s="38">
        <v>0</v>
      </c>
      <c r="AA2165" s="38">
        <v>0</v>
      </c>
      <c r="AB2165" s="38">
        <v>3.6</v>
      </c>
      <c r="AC2165" s="38">
        <v>1.2348600000000001</v>
      </c>
      <c r="AD2165" s="38">
        <v>0</v>
      </c>
      <c r="AE2165" s="38">
        <v>0</v>
      </c>
      <c r="AF2165" s="38">
        <v>0</v>
      </c>
      <c r="AG2165" s="38">
        <f t="shared" si="340"/>
        <v>0</v>
      </c>
      <c r="AH2165" s="38">
        <v>0</v>
      </c>
      <c r="AI2165" s="38">
        <v>0</v>
      </c>
      <c r="AJ2165" s="38">
        <v>0</v>
      </c>
      <c r="AK2165" s="38">
        <v>0</v>
      </c>
      <c r="AL2165" s="38">
        <v>0</v>
      </c>
      <c r="AM2165" s="38">
        <v>0</v>
      </c>
      <c r="AN2165" s="25"/>
      <c r="AO2165" s="25"/>
      <c r="AP2165" s="25"/>
      <c r="AQ2165" s="25"/>
      <c r="AR2165" s="25"/>
      <c r="AS2165" s="22"/>
      <c r="AT2165" s="41"/>
      <c r="AU2165" s="41"/>
      <c r="AV2165" s="41"/>
      <c r="AW2165" s="41"/>
      <c r="AX2165" s="22"/>
      <c r="AY2165" s="22"/>
      <c r="AZ2165" s="22"/>
      <c r="BA2165" s="22"/>
      <c r="BB2165" s="22"/>
      <c r="BC2165" s="22"/>
      <c r="BD2165" s="22"/>
      <c r="BE2165" s="22"/>
      <c r="BF2165" s="22"/>
      <c r="BG2165" s="22"/>
      <c r="BH2165" s="22"/>
      <c r="BI2165" s="22"/>
      <c r="BJ2165" s="22"/>
      <c r="BK2165" s="22"/>
      <c r="BL2165" s="22"/>
      <c r="BM2165" s="22"/>
      <c r="BN2165" s="22"/>
      <c r="BO2165" s="22"/>
      <c r="BP2165" s="22"/>
      <c r="BQ2165" s="22"/>
      <c r="BR2165" s="22"/>
      <c r="BS2165" s="22"/>
      <c r="BT2165" s="22"/>
      <c r="BU2165" s="22"/>
      <c r="BV2165" s="22"/>
      <c r="BW2165" s="22"/>
      <c r="BX2165" s="22"/>
      <c r="BY2165" s="22"/>
      <c r="BZ2165" s="22"/>
      <c r="CA2165" s="22"/>
      <c r="CB2165" s="22"/>
      <c r="CC2165" s="22"/>
      <c r="CD2165" s="22"/>
      <c r="CE2165" s="22"/>
      <c r="CF2165" s="22"/>
      <c r="CG2165" s="22"/>
      <c r="CH2165" s="22"/>
      <c r="CI2165" s="22"/>
      <c r="CJ2165" s="22"/>
    </row>
    <row r="2166" spans="1:88" ht="23.25" customHeight="1">
      <c r="A2166" s="1">
        <v>2165</v>
      </c>
      <c r="B2166" s="34" t="s">
        <v>2798</v>
      </c>
      <c r="C2166" s="34">
        <v>311</v>
      </c>
      <c r="D2166" s="75">
        <v>408</v>
      </c>
      <c r="E2166" s="8">
        <v>102</v>
      </c>
      <c r="F2166" s="9" t="s">
        <v>2801</v>
      </c>
      <c r="G2166" s="20" t="s">
        <v>2804</v>
      </c>
      <c r="H2166" s="20" t="s">
        <v>2805</v>
      </c>
      <c r="I2166" s="21">
        <v>6.44</v>
      </c>
      <c r="J2166" s="8">
        <v>2</v>
      </c>
      <c r="K2166" s="8" t="s">
        <v>2602</v>
      </c>
      <c r="L2166" s="18">
        <v>42147</v>
      </c>
      <c r="M2166" s="9" t="s">
        <v>191</v>
      </c>
      <c r="N2166" s="38">
        <v>6.0750000000000002</v>
      </c>
      <c r="O2166" s="38">
        <v>2.9</v>
      </c>
      <c r="P2166" s="38">
        <v>1.125</v>
      </c>
      <c r="Q2166" s="38">
        <v>0.4</v>
      </c>
      <c r="R2166" s="38">
        <v>2.5946199999999999</v>
      </c>
      <c r="S2166" s="38">
        <f t="shared" si="338"/>
        <v>2.5</v>
      </c>
      <c r="T2166" s="38">
        <v>10.225</v>
      </c>
      <c r="U2166" s="38">
        <v>0.22500000000000001</v>
      </c>
      <c r="V2166" s="38">
        <v>0.05</v>
      </c>
      <c r="W2166" s="38">
        <v>0</v>
      </c>
      <c r="X2166" s="38">
        <v>3.69781</v>
      </c>
      <c r="Y2166" s="38">
        <f t="shared" si="339"/>
        <v>3.5</v>
      </c>
      <c r="Z2166" s="38">
        <v>0</v>
      </c>
      <c r="AA2166" s="38">
        <v>0</v>
      </c>
      <c r="AB2166" s="38">
        <v>10.5</v>
      </c>
      <c r="AC2166" s="38">
        <v>1.26214</v>
      </c>
      <c r="AD2166" s="38">
        <v>0</v>
      </c>
      <c r="AE2166" s="38">
        <v>0</v>
      </c>
      <c r="AF2166" s="38">
        <f>(AD2166+AE2166*0.5)/(3.5*I2166*1000)*100</f>
        <v>0</v>
      </c>
      <c r="AG2166" s="38">
        <f t="shared" si="340"/>
        <v>0</v>
      </c>
      <c r="AH2166" s="38">
        <v>0</v>
      </c>
      <c r="AI2166" s="38">
        <f t="shared" ref="AI2166:AI2171" si="352">AH2166/(3.5*I2166*1000)*100</f>
        <v>0</v>
      </c>
      <c r="AJ2166" s="38">
        <v>0</v>
      </c>
      <c r="AK2166" s="38">
        <f t="shared" ref="AK2166:AK2171" si="353">AJ2166/(3.5*I2166*1000)*100</f>
        <v>0</v>
      </c>
      <c r="AL2166" s="38">
        <v>0</v>
      </c>
      <c r="AM2166" s="38">
        <f>AL2166/(3.5*I2166*1000)*100</f>
        <v>0</v>
      </c>
      <c r="AN2166" s="72"/>
      <c r="AO2166" s="41"/>
      <c r="AP2166" s="41"/>
      <c r="AQ2166" s="41">
        <f>SUM(N2166:Q2166)</f>
        <v>10.5</v>
      </c>
      <c r="AR2166" s="41">
        <f>SUM(T2166:W2166)</f>
        <v>10.5</v>
      </c>
      <c r="AS2166" s="12">
        <f>SUM(Z2166:AB2166)</f>
        <v>10.5</v>
      </c>
      <c r="AU2166" s="1">
        <f>I2166/AQ2166</f>
        <v>0.6133333333333334</v>
      </c>
      <c r="AV2166" s="1">
        <f>I2166/AR2166</f>
        <v>0.6133333333333334</v>
      </c>
      <c r="AW2166" s="1">
        <f>I2166/AS2166</f>
        <v>0.6133333333333334</v>
      </c>
    </row>
    <row r="2167" spans="1:88" ht="23.25" customHeight="1">
      <c r="A2167" s="1">
        <v>2166</v>
      </c>
      <c r="B2167" s="34" t="s">
        <v>2798</v>
      </c>
      <c r="C2167" s="34">
        <v>311</v>
      </c>
      <c r="D2167" s="75">
        <v>408</v>
      </c>
      <c r="E2167" s="8">
        <v>102</v>
      </c>
      <c r="F2167" s="9" t="s">
        <v>2801</v>
      </c>
      <c r="G2167" s="20" t="s">
        <v>2805</v>
      </c>
      <c r="H2167" s="20" t="s">
        <v>2804</v>
      </c>
      <c r="I2167" s="21">
        <v>6.44</v>
      </c>
      <c r="J2167" s="8">
        <v>2</v>
      </c>
      <c r="K2167" s="8" t="s">
        <v>96</v>
      </c>
      <c r="L2167" s="18">
        <v>42147</v>
      </c>
      <c r="M2167" s="9" t="s">
        <v>191</v>
      </c>
      <c r="N2167" s="38">
        <v>5.9749999999999996</v>
      </c>
      <c r="O2167" s="38">
        <v>2.0750000000000002</v>
      </c>
      <c r="P2167" s="38">
        <v>1.575</v>
      </c>
      <c r="Q2167" s="38">
        <v>0.77500000000000002</v>
      </c>
      <c r="R2167" s="38">
        <v>2.8243200000000002</v>
      </c>
      <c r="S2167" s="38">
        <f t="shared" si="338"/>
        <v>3</v>
      </c>
      <c r="T2167" s="38">
        <v>8.9</v>
      </c>
      <c r="U2167" s="38">
        <v>1.25</v>
      </c>
      <c r="V2167" s="38">
        <v>0.2</v>
      </c>
      <c r="W2167" s="38">
        <v>2.5000000000000001E-2</v>
      </c>
      <c r="X2167" s="38">
        <v>5.0432800000000002</v>
      </c>
      <c r="Y2167" s="38">
        <f t="shared" si="339"/>
        <v>5</v>
      </c>
      <c r="Z2167" s="38">
        <v>0</v>
      </c>
      <c r="AA2167" s="38">
        <v>0</v>
      </c>
      <c r="AB2167" s="38">
        <v>10.4</v>
      </c>
      <c r="AC2167" s="38">
        <v>1.2168699999999999</v>
      </c>
      <c r="AD2167" s="38">
        <v>0</v>
      </c>
      <c r="AE2167" s="38">
        <v>0</v>
      </c>
      <c r="AF2167" s="38">
        <f>(AD2167+AE2167*0.5)/(3.5*I2167*1000)*100</f>
        <v>0</v>
      </c>
      <c r="AG2167" s="38">
        <f t="shared" si="340"/>
        <v>0</v>
      </c>
      <c r="AH2167" s="38">
        <v>0</v>
      </c>
      <c r="AI2167" s="38">
        <f t="shared" si="352"/>
        <v>0</v>
      </c>
      <c r="AJ2167" s="38">
        <v>0</v>
      </c>
      <c r="AK2167" s="38">
        <f t="shared" si="353"/>
        <v>0</v>
      </c>
      <c r="AL2167" s="38">
        <v>0</v>
      </c>
      <c r="AM2167" s="38">
        <f>AL2167/(3.5*I2167*1000)*100</f>
        <v>0</v>
      </c>
      <c r="AN2167" s="72"/>
      <c r="AO2167" s="41"/>
      <c r="AP2167" s="41"/>
      <c r="AQ2167" s="41">
        <f>SUM(N2167:Q2167)</f>
        <v>10.4</v>
      </c>
      <c r="AR2167" s="41">
        <f>SUM(T2167:W2167)</f>
        <v>10.375</v>
      </c>
      <c r="AS2167" s="12">
        <f>SUM(Z2167:AB2167)</f>
        <v>10.4</v>
      </c>
      <c r="AU2167" s="1">
        <f>I2167/AQ2167</f>
        <v>0.61923076923076925</v>
      </c>
      <c r="AV2167" s="1">
        <f>I2167/AR2167</f>
        <v>0.62072289156626514</v>
      </c>
      <c r="AW2167" s="1">
        <f>I2167/AS2167</f>
        <v>0.61923076923076925</v>
      </c>
    </row>
    <row r="2168" spans="1:88">
      <c r="A2168" s="1">
        <v>1698</v>
      </c>
      <c r="B2168" s="34" t="s">
        <v>2279</v>
      </c>
      <c r="C2168" s="34">
        <v>421</v>
      </c>
      <c r="D2168" s="8">
        <v>3572</v>
      </c>
      <c r="E2168" s="34">
        <v>100</v>
      </c>
      <c r="F2168" s="34" t="s">
        <v>2297</v>
      </c>
      <c r="G2168" s="58">
        <v>0</v>
      </c>
      <c r="H2168" s="58">
        <v>461</v>
      </c>
      <c r="I2168" s="35">
        <v>0.46100000000000002</v>
      </c>
      <c r="J2168" s="9">
        <v>4</v>
      </c>
      <c r="K2168" s="34" t="s">
        <v>237</v>
      </c>
      <c r="L2168" s="10">
        <v>42227</v>
      </c>
      <c r="M2168" s="9" t="s">
        <v>191</v>
      </c>
      <c r="N2168" s="38">
        <v>0.35</v>
      </c>
      <c r="O2168" s="38">
        <v>7.4999999999999997E-2</v>
      </c>
      <c r="P2168" s="38">
        <v>0</v>
      </c>
      <c r="Q2168" s="38">
        <v>0.05</v>
      </c>
      <c r="R2168" s="38">
        <v>2.5442100000000001</v>
      </c>
      <c r="S2168" s="38">
        <f t="shared" si="338"/>
        <v>2.5</v>
      </c>
      <c r="T2168" s="38">
        <v>0.4</v>
      </c>
      <c r="U2168" s="38">
        <v>7.4999999999999997E-2</v>
      </c>
      <c r="V2168" s="38">
        <v>0</v>
      </c>
      <c r="W2168" s="38">
        <v>0</v>
      </c>
      <c r="X2168" s="38">
        <v>6.1390000000000002</v>
      </c>
      <c r="Y2168" s="38">
        <f t="shared" si="339"/>
        <v>6</v>
      </c>
      <c r="Z2168" s="38">
        <v>0</v>
      </c>
      <c r="AA2168" s="38">
        <v>0</v>
      </c>
      <c r="AB2168" s="38">
        <v>0.46100000000000002</v>
      </c>
      <c r="AC2168" s="38">
        <v>1.08379</v>
      </c>
      <c r="AD2168" s="38">
        <v>0</v>
      </c>
      <c r="AE2168" s="38">
        <v>0</v>
      </c>
      <c r="AF2168" s="38">
        <f>(AD2168+AE2168*0.5)/(3.5*I2168*1000)*100</f>
        <v>0</v>
      </c>
      <c r="AG2168" s="38">
        <f t="shared" si="340"/>
        <v>0</v>
      </c>
      <c r="AH2168" s="38">
        <v>0</v>
      </c>
      <c r="AI2168" s="38">
        <f t="shared" si="352"/>
        <v>0</v>
      </c>
      <c r="AJ2168" s="38">
        <v>0</v>
      </c>
      <c r="AK2168" s="38">
        <f t="shared" si="353"/>
        <v>0</v>
      </c>
      <c r="AL2168" s="38">
        <v>0</v>
      </c>
      <c r="AM2168" s="38">
        <f>AL2168/(3.5*I2168*1000)*100</f>
        <v>0</v>
      </c>
      <c r="AN2168" s="25"/>
      <c r="AO2168" s="25">
        <f>AE2168*0.5</f>
        <v>0</v>
      </c>
      <c r="AP2168" s="25">
        <f>(AD2168+AH2168+AJ2168+AL2168+AO2168)*I2168</f>
        <v>0</v>
      </c>
      <c r="AQ2168" s="25">
        <f>SUM(N2168:Q2168)</f>
        <v>0.47499999999999998</v>
      </c>
      <c r="AR2168" s="25">
        <f>SUM(T2168:W2168)</f>
        <v>0.47500000000000003</v>
      </c>
      <c r="AS2168" s="22"/>
      <c r="AT2168" s="41"/>
      <c r="AU2168" s="41"/>
      <c r="AV2168" s="41"/>
      <c r="AW2168" s="41"/>
      <c r="AX2168" s="22"/>
      <c r="AY2168" s="22"/>
      <c r="AZ2168" s="22"/>
      <c r="BA2168" s="22"/>
      <c r="BB2168" s="22"/>
      <c r="BC2168" s="22"/>
      <c r="BD2168" s="22"/>
      <c r="BE2168" s="22"/>
      <c r="BF2168" s="22"/>
      <c r="BG2168" s="22"/>
      <c r="BH2168" s="22"/>
      <c r="BI2168" s="22"/>
      <c r="BJ2168" s="22"/>
      <c r="BK2168" s="22"/>
      <c r="BL2168" s="22"/>
      <c r="BM2168" s="22"/>
      <c r="BN2168" s="22"/>
      <c r="BO2168" s="22"/>
      <c r="BP2168" s="22"/>
      <c r="BQ2168" s="22"/>
      <c r="BR2168" s="22"/>
      <c r="BS2168" s="22"/>
      <c r="BT2168" s="22"/>
      <c r="BU2168" s="22"/>
      <c r="BV2168" s="22"/>
      <c r="BW2168" s="22"/>
      <c r="BX2168" s="22"/>
      <c r="BY2168" s="22"/>
      <c r="BZ2168" s="22"/>
      <c r="CA2168" s="22"/>
      <c r="CB2168" s="22"/>
      <c r="CC2168" s="22"/>
      <c r="CD2168" s="22"/>
      <c r="CE2168" s="22"/>
      <c r="CF2168" s="22"/>
      <c r="CG2168" s="22"/>
      <c r="CH2168" s="22"/>
      <c r="CI2168" s="22"/>
      <c r="CJ2168" s="22"/>
    </row>
    <row r="2169" spans="1:88">
      <c r="A2169" s="1">
        <v>1699</v>
      </c>
      <c r="B2169" s="34" t="s">
        <v>2279</v>
      </c>
      <c r="C2169" s="34">
        <v>421</v>
      </c>
      <c r="D2169" s="8">
        <v>3572</v>
      </c>
      <c r="E2169" s="34">
        <v>100</v>
      </c>
      <c r="F2169" s="34" t="s">
        <v>2297</v>
      </c>
      <c r="G2169" s="58">
        <v>461</v>
      </c>
      <c r="H2169" s="58">
        <v>0</v>
      </c>
      <c r="I2169" s="35">
        <v>0.46100000000000002</v>
      </c>
      <c r="J2169" s="9">
        <v>4</v>
      </c>
      <c r="K2169" s="34" t="s">
        <v>96</v>
      </c>
      <c r="L2169" s="10">
        <v>42227</v>
      </c>
      <c r="M2169" s="9" t="s">
        <v>191</v>
      </c>
      <c r="N2169" s="38">
        <v>0.35</v>
      </c>
      <c r="O2169" s="38">
        <v>0.1</v>
      </c>
      <c r="P2169" s="38">
        <v>0</v>
      </c>
      <c r="Q2169" s="38">
        <v>2.5000000000000001E-2</v>
      </c>
      <c r="R2169" s="38">
        <v>2.4363199999999998</v>
      </c>
      <c r="S2169" s="38">
        <f t="shared" si="338"/>
        <v>2.5</v>
      </c>
      <c r="T2169" s="38">
        <v>0.45</v>
      </c>
      <c r="U2169" s="38">
        <v>0</v>
      </c>
      <c r="V2169" s="38">
        <v>0</v>
      </c>
      <c r="W2169" s="38">
        <v>2.5000000000000001E-2</v>
      </c>
      <c r="X2169" s="38">
        <v>6.8843699999999997</v>
      </c>
      <c r="Y2169" s="38">
        <f t="shared" si="339"/>
        <v>7</v>
      </c>
      <c r="Z2169" s="38">
        <v>0</v>
      </c>
      <c r="AA2169" s="38">
        <v>0</v>
      </c>
      <c r="AB2169" s="38">
        <v>0.46100000000000002</v>
      </c>
      <c r="AC2169" s="38">
        <v>1.3507400000000001</v>
      </c>
      <c r="AD2169" s="38">
        <v>0</v>
      </c>
      <c r="AE2169" s="38">
        <v>0</v>
      </c>
      <c r="AF2169" s="38">
        <f>(AD2169+AE2169*0.5)/(3.5*I2169*1000)*100</f>
        <v>0</v>
      </c>
      <c r="AG2169" s="38">
        <f t="shared" si="340"/>
        <v>0</v>
      </c>
      <c r="AH2169" s="38">
        <v>0</v>
      </c>
      <c r="AI2169" s="38">
        <f t="shared" si="352"/>
        <v>0</v>
      </c>
      <c r="AJ2169" s="38">
        <v>43</v>
      </c>
      <c r="AK2169" s="38">
        <f t="shared" si="353"/>
        <v>2.6650139448404087</v>
      </c>
      <c r="AL2169" s="38">
        <v>0</v>
      </c>
      <c r="AM2169" s="38">
        <f>AL2169/(3.5*I2169*1000)*100</f>
        <v>0</v>
      </c>
      <c r="AN2169" s="25"/>
      <c r="AO2169" s="25">
        <f>AE2169*0.5</f>
        <v>0</v>
      </c>
      <c r="AP2169" s="25">
        <f>(AD2169+AH2169+AJ2169+AL2169+AO2169)*I2169</f>
        <v>19.823</v>
      </c>
      <c r="AQ2169" s="25">
        <f>SUM(N2169:Q2169)</f>
        <v>0.47499999999999998</v>
      </c>
      <c r="AR2169" s="25">
        <f>SUM(T2169:W2169)</f>
        <v>0.47500000000000003</v>
      </c>
      <c r="AS2169" s="22"/>
      <c r="AT2169" s="41"/>
      <c r="AU2169" s="41"/>
      <c r="AV2169" s="41"/>
      <c r="AW2169" s="41"/>
      <c r="AX2169" s="22"/>
      <c r="AY2169" s="22"/>
      <c r="AZ2169" s="22"/>
      <c r="BA2169" s="22"/>
      <c r="BB2169" s="22"/>
      <c r="BC2169" s="22"/>
      <c r="BD2169" s="22"/>
      <c r="BE2169" s="22"/>
      <c r="BF2169" s="22"/>
      <c r="BG2169" s="22"/>
      <c r="BH2169" s="22"/>
      <c r="BI2169" s="22"/>
      <c r="BJ2169" s="22"/>
      <c r="BK2169" s="22"/>
      <c r="BL2169" s="22"/>
      <c r="BM2169" s="22"/>
      <c r="BN2169" s="22"/>
      <c r="BO2169" s="22"/>
      <c r="BP2169" s="22"/>
      <c r="BQ2169" s="22"/>
      <c r="BR2169" s="22"/>
      <c r="BS2169" s="22"/>
      <c r="BT2169" s="22"/>
      <c r="BU2169" s="22"/>
      <c r="BV2169" s="22"/>
      <c r="BW2169" s="22"/>
      <c r="BX2169" s="22"/>
      <c r="BY2169" s="22"/>
      <c r="BZ2169" s="22"/>
      <c r="CA2169" s="22"/>
      <c r="CB2169" s="22"/>
      <c r="CC2169" s="22"/>
      <c r="CD2169" s="22"/>
      <c r="CE2169" s="22"/>
      <c r="CF2169" s="22"/>
      <c r="CG2169" s="22"/>
      <c r="CH2169" s="22"/>
      <c r="CI2169" s="22"/>
      <c r="CJ2169" s="22"/>
    </row>
    <row r="2170" spans="1:88" s="22" customFormat="1">
      <c r="A2170" s="1">
        <v>1701</v>
      </c>
      <c r="B2170" s="34" t="s">
        <v>2279</v>
      </c>
      <c r="C2170" s="34">
        <v>421</v>
      </c>
      <c r="D2170" s="34">
        <v>3606</v>
      </c>
      <c r="E2170" s="34">
        <v>100</v>
      </c>
      <c r="F2170" s="34" t="s">
        <v>2299</v>
      </c>
      <c r="G2170" s="58">
        <v>0</v>
      </c>
      <c r="H2170" s="58">
        <v>1221</v>
      </c>
      <c r="I2170" s="34">
        <v>1.2210000000000001</v>
      </c>
      <c r="J2170" s="34">
        <v>2</v>
      </c>
      <c r="K2170" s="34" t="s">
        <v>238</v>
      </c>
      <c r="L2170" s="10">
        <v>42227</v>
      </c>
      <c r="M2170" s="34" t="s">
        <v>191</v>
      </c>
      <c r="N2170" s="38">
        <f>675/1000</f>
        <v>0.67500000000000004</v>
      </c>
      <c r="O2170" s="38">
        <f>325/1000</f>
        <v>0.32500000000000001</v>
      </c>
      <c r="P2170" s="38">
        <f>225/1000</f>
        <v>0.22500000000000001</v>
      </c>
      <c r="Q2170" s="38">
        <f>100/1000</f>
        <v>0.1</v>
      </c>
      <c r="R2170" s="38">
        <v>3.10547</v>
      </c>
      <c r="S2170" s="38">
        <f t="shared" si="338"/>
        <v>3</v>
      </c>
      <c r="T2170" s="38">
        <f>1300/1000</f>
        <v>1.3</v>
      </c>
      <c r="U2170" s="38">
        <v>0</v>
      </c>
      <c r="V2170" s="38">
        <f>25/1000</f>
        <v>2.5000000000000001E-2</v>
      </c>
      <c r="W2170" s="38">
        <v>0</v>
      </c>
      <c r="X2170" s="38">
        <v>3.3728699999999998</v>
      </c>
      <c r="Y2170" s="38">
        <f t="shared" si="339"/>
        <v>3.5</v>
      </c>
      <c r="Z2170" s="38">
        <v>0</v>
      </c>
      <c r="AA2170" s="38">
        <v>0</v>
      </c>
      <c r="AB2170" s="38">
        <v>1.2</v>
      </c>
      <c r="AC2170" s="38">
        <v>1.1772800000000001</v>
      </c>
      <c r="AD2170" s="38">
        <v>0</v>
      </c>
      <c r="AE2170" s="38">
        <v>0</v>
      </c>
      <c r="AF2170" s="38">
        <v>0</v>
      </c>
      <c r="AG2170" s="38">
        <f t="shared" si="340"/>
        <v>0</v>
      </c>
      <c r="AH2170" s="38">
        <v>0</v>
      </c>
      <c r="AI2170" s="38">
        <f t="shared" si="352"/>
        <v>0</v>
      </c>
      <c r="AJ2170" s="38">
        <v>0</v>
      </c>
      <c r="AK2170" s="38">
        <f t="shared" si="353"/>
        <v>0</v>
      </c>
      <c r="AL2170" s="38">
        <v>0</v>
      </c>
      <c r="AM2170" s="38">
        <v>0</v>
      </c>
      <c r="AN2170" s="25"/>
      <c r="AO2170" s="25">
        <f>AE2170*0.5</f>
        <v>0</v>
      </c>
      <c r="AP2170" s="25">
        <f>(AD2170+AH2170+AJ2170+AL2170+AO2170)*I2170</f>
        <v>0</v>
      </c>
      <c r="AQ2170" s="25"/>
      <c r="AR2170" s="25">
        <f>SUM(T2170:W2170)</f>
        <v>1.325</v>
      </c>
      <c r="AT2170" s="41"/>
      <c r="AU2170" s="41"/>
      <c r="AV2170" s="41"/>
      <c r="AW2170" s="41"/>
    </row>
    <row r="2171" spans="1:88" s="22" customFormat="1">
      <c r="A2171" s="1">
        <v>1702</v>
      </c>
      <c r="B2171" s="34" t="s">
        <v>2279</v>
      </c>
      <c r="C2171" s="34">
        <v>421</v>
      </c>
      <c r="D2171" s="34">
        <v>3606</v>
      </c>
      <c r="E2171" s="34">
        <v>100</v>
      </c>
      <c r="F2171" s="34" t="s">
        <v>2299</v>
      </c>
      <c r="G2171" s="58">
        <v>1221</v>
      </c>
      <c r="H2171" s="58">
        <v>3568</v>
      </c>
      <c r="I2171" s="34">
        <v>2.347</v>
      </c>
      <c r="J2171" s="34">
        <v>2</v>
      </c>
      <c r="K2171" s="34" t="s">
        <v>238</v>
      </c>
      <c r="L2171" s="10">
        <v>42227</v>
      </c>
      <c r="M2171" s="34" t="s">
        <v>191</v>
      </c>
      <c r="N2171" s="38">
        <f>1575/1000</f>
        <v>1.575</v>
      </c>
      <c r="O2171" s="38">
        <f>650/1000</f>
        <v>0.65</v>
      </c>
      <c r="P2171" s="38">
        <f>200/1000</f>
        <v>0.2</v>
      </c>
      <c r="Q2171" s="38">
        <f>25/1000</f>
        <v>2.5000000000000001E-2</v>
      </c>
      <c r="R2171" s="38">
        <v>2.4316300000000002</v>
      </c>
      <c r="S2171" s="38">
        <f t="shared" si="338"/>
        <v>2.5</v>
      </c>
      <c r="T2171" s="38">
        <f>2325/1000</f>
        <v>2.3250000000000002</v>
      </c>
      <c r="U2171" s="38">
        <f>75/1000</f>
        <v>7.4999999999999997E-2</v>
      </c>
      <c r="V2171" s="38">
        <v>0</v>
      </c>
      <c r="W2171" s="38">
        <f>50/1000</f>
        <v>0.05</v>
      </c>
      <c r="X2171" s="38">
        <v>5.1379099999999998</v>
      </c>
      <c r="Y2171" s="38">
        <f t="shared" si="339"/>
        <v>5</v>
      </c>
      <c r="Z2171" s="38">
        <v>0</v>
      </c>
      <c r="AA2171" s="38">
        <v>0</v>
      </c>
      <c r="AB2171" s="38">
        <v>2.2000000000000002</v>
      </c>
      <c r="AC2171" s="38">
        <v>1.22495</v>
      </c>
      <c r="AD2171" s="38">
        <v>0</v>
      </c>
      <c r="AE2171" s="38">
        <v>0</v>
      </c>
      <c r="AF2171" s="38">
        <v>0</v>
      </c>
      <c r="AG2171" s="38">
        <f t="shared" si="340"/>
        <v>0</v>
      </c>
      <c r="AH2171" s="34">
        <v>1.25</v>
      </c>
      <c r="AI2171" s="38">
        <f t="shared" si="352"/>
        <v>1.5216994339278107E-2</v>
      </c>
      <c r="AJ2171" s="34">
        <v>110.28</v>
      </c>
      <c r="AK2171" s="38">
        <f t="shared" si="353"/>
        <v>1.3425041085884717</v>
      </c>
      <c r="AL2171" s="38">
        <v>0</v>
      </c>
      <c r="AM2171" s="38">
        <v>0</v>
      </c>
      <c r="AN2171" s="25"/>
      <c r="AO2171" s="25">
        <f>AE2171*0.5</f>
        <v>0</v>
      </c>
      <c r="AP2171" s="25">
        <f>(AD2171+AH2171+AJ2171+AL2171+AO2171)*I2171</f>
        <v>261.76091000000002</v>
      </c>
      <c r="AQ2171" s="25"/>
      <c r="AR2171" s="25"/>
      <c r="AT2171" s="41"/>
      <c r="AU2171" s="41"/>
      <c r="AV2171" s="41"/>
      <c r="AW2171" s="41"/>
    </row>
    <row r="2172" spans="1:88" s="22" customFormat="1">
      <c r="A2172" s="1">
        <v>1703</v>
      </c>
      <c r="B2172" s="34" t="s">
        <v>2279</v>
      </c>
      <c r="C2172" s="34">
        <v>421</v>
      </c>
      <c r="D2172" s="69">
        <v>3609</v>
      </c>
      <c r="E2172" s="34">
        <v>100</v>
      </c>
      <c r="F2172" s="34" t="s">
        <v>2300</v>
      </c>
      <c r="G2172" s="58">
        <v>0</v>
      </c>
      <c r="H2172" s="58">
        <v>3568</v>
      </c>
      <c r="I2172" s="34">
        <v>3.5680000000000001</v>
      </c>
      <c r="J2172" s="34">
        <v>2</v>
      </c>
      <c r="K2172" s="34" t="s">
        <v>238</v>
      </c>
      <c r="L2172" s="10">
        <v>42227</v>
      </c>
      <c r="M2172" s="34" t="s">
        <v>191</v>
      </c>
      <c r="N2172" s="38">
        <f>600/1000</f>
        <v>0.6</v>
      </c>
      <c r="O2172" s="38">
        <f>1600/1000</f>
        <v>1.6</v>
      </c>
      <c r="P2172" s="38">
        <f>1400/1000</f>
        <v>1.4</v>
      </c>
      <c r="Q2172" s="38">
        <f>325/1000</f>
        <v>0.32500000000000001</v>
      </c>
      <c r="R2172" s="38">
        <v>3.7453500000000002</v>
      </c>
      <c r="S2172" s="38">
        <f t="shared" si="338"/>
        <v>3.5</v>
      </c>
      <c r="T2172" s="38">
        <f>3775/1000</f>
        <v>3.7749999999999999</v>
      </c>
      <c r="U2172" s="38">
        <f>75/1000</f>
        <v>7.4999999999999997E-2</v>
      </c>
      <c r="V2172" s="38">
        <f>25/1000</f>
        <v>2.5000000000000001E-2</v>
      </c>
      <c r="W2172" s="38">
        <f>50/1000</f>
        <v>0.05</v>
      </c>
      <c r="X2172" s="38">
        <v>3.96706</v>
      </c>
      <c r="Y2172" s="38">
        <f t="shared" si="339"/>
        <v>4</v>
      </c>
      <c r="Z2172" s="38">
        <v>0</v>
      </c>
      <c r="AA2172" s="38">
        <v>0</v>
      </c>
      <c r="AB2172" s="38">
        <v>3.5</v>
      </c>
      <c r="AC2172" s="38">
        <v>1.40605</v>
      </c>
      <c r="AD2172" s="38">
        <v>0</v>
      </c>
      <c r="AE2172" s="38">
        <v>0</v>
      </c>
      <c r="AF2172" s="38">
        <v>0</v>
      </c>
      <c r="AG2172" s="38">
        <f t="shared" si="340"/>
        <v>0</v>
      </c>
      <c r="AH2172" s="38">
        <v>0</v>
      </c>
      <c r="AI2172" s="38">
        <v>0</v>
      </c>
      <c r="AJ2172" s="38">
        <v>0</v>
      </c>
      <c r="AK2172" s="38">
        <v>0</v>
      </c>
      <c r="AL2172" s="38">
        <v>0</v>
      </c>
      <c r="AM2172" s="38">
        <v>0</v>
      </c>
      <c r="AN2172" s="25"/>
      <c r="AO2172" s="25"/>
      <c r="AP2172" s="25"/>
      <c r="AQ2172" s="25"/>
      <c r="AR2172" s="25"/>
      <c r="AT2172" s="41"/>
      <c r="AU2172" s="41"/>
      <c r="AV2172" s="41"/>
      <c r="AW2172" s="41"/>
    </row>
    <row r="2173" spans="1:88" s="22" customFormat="1">
      <c r="A2173" s="1">
        <v>1705</v>
      </c>
      <c r="B2173" s="34" t="s">
        <v>2279</v>
      </c>
      <c r="C2173" s="34">
        <v>421</v>
      </c>
      <c r="D2173" s="8">
        <v>3702</v>
      </c>
      <c r="E2173" s="34">
        <v>300</v>
      </c>
      <c r="F2173" s="34" t="s">
        <v>2301</v>
      </c>
      <c r="G2173" s="58" t="s">
        <v>2303</v>
      </c>
      <c r="H2173" s="58" t="s">
        <v>2304</v>
      </c>
      <c r="I2173" s="35">
        <v>0.2</v>
      </c>
      <c r="J2173" s="9">
        <v>2</v>
      </c>
      <c r="K2173" s="34" t="s">
        <v>238</v>
      </c>
      <c r="L2173" s="10">
        <v>42227</v>
      </c>
      <c r="M2173" s="9" t="s">
        <v>191</v>
      </c>
      <c r="N2173" s="38">
        <v>2.5000000000000001E-2</v>
      </c>
      <c r="O2173" s="38">
        <v>0.2</v>
      </c>
      <c r="P2173" s="38">
        <v>0.05</v>
      </c>
      <c r="Q2173" s="38">
        <v>0</v>
      </c>
      <c r="R2173" s="38">
        <v>2.9860000000000002</v>
      </c>
      <c r="S2173" s="38">
        <f t="shared" si="338"/>
        <v>3</v>
      </c>
      <c r="T2173" s="38">
        <v>0.17499999999999999</v>
      </c>
      <c r="U2173" s="38">
        <v>0</v>
      </c>
      <c r="V2173" s="38">
        <v>0</v>
      </c>
      <c r="W2173" s="38">
        <v>0.1</v>
      </c>
      <c r="X2173" s="38">
        <v>11.967000000000001</v>
      </c>
      <c r="Y2173" s="38">
        <f t="shared" si="339"/>
        <v>12</v>
      </c>
      <c r="Z2173" s="38">
        <v>0</v>
      </c>
      <c r="AA2173" s="38">
        <v>0</v>
      </c>
      <c r="AB2173" s="38">
        <v>0.2</v>
      </c>
      <c r="AC2173" s="38">
        <v>1.4219999999999999</v>
      </c>
      <c r="AD2173" s="38">
        <v>0</v>
      </c>
      <c r="AE2173" s="38">
        <v>0</v>
      </c>
      <c r="AF2173" s="38">
        <f>(AD2173+AE2173*0.5)/(3.5*I2173*1000)*100</f>
        <v>0</v>
      </c>
      <c r="AG2173" s="38">
        <f t="shared" si="340"/>
        <v>0</v>
      </c>
      <c r="AH2173" s="38">
        <v>0</v>
      </c>
      <c r="AI2173" s="38">
        <f>AH2173/(3.5*I2173*1000)*100</f>
        <v>0</v>
      </c>
      <c r="AJ2173" s="38">
        <v>0</v>
      </c>
      <c r="AK2173" s="38">
        <f>AJ2173/(3.5*I2173*1000)*100</f>
        <v>0</v>
      </c>
      <c r="AL2173" s="38">
        <v>0</v>
      </c>
      <c r="AM2173" s="38">
        <f>AL2173/(3.5*I2173*1000)*100</f>
        <v>0</v>
      </c>
      <c r="AN2173" s="25"/>
      <c r="AO2173" s="25">
        <f t="shared" ref="AO2173:AO2181" si="354">AE2173*0.5</f>
        <v>0</v>
      </c>
      <c r="AP2173" s="25">
        <f t="shared" ref="AP2173:AP2181" si="355">(AD2173+AH2173+AJ2173+AL2173+AO2173)*I2173</f>
        <v>0</v>
      </c>
      <c r="AQ2173" s="25"/>
      <c r="AR2173" s="25"/>
      <c r="AT2173" s="41"/>
      <c r="AU2173" s="41"/>
      <c r="AV2173" s="41"/>
      <c r="AW2173" s="41"/>
    </row>
    <row r="2174" spans="1:88" s="22" customFormat="1">
      <c r="A2174" s="1">
        <v>1719</v>
      </c>
      <c r="B2174" s="34" t="s">
        <v>2308</v>
      </c>
      <c r="C2174" s="34">
        <v>422</v>
      </c>
      <c r="D2174" s="8">
        <v>3248</v>
      </c>
      <c r="E2174" s="34">
        <v>100</v>
      </c>
      <c r="F2174" s="34" t="s">
        <v>2317</v>
      </c>
      <c r="G2174" s="58">
        <v>0</v>
      </c>
      <c r="H2174" s="58">
        <v>14765</v>
      </c>
      <c r="I2174" s="206">
        <v>14.765000000000001</v>
      </c>
      <c r="J2174" s="9">
        <v>2</v>
      </c>
      <c r="K2174" s="34" t="s">
        <v>238</v>
      </c>
      <c r="L2174" s="10">
        <v>42229</v>
      </c>
      <c r="M2174" s="9" t="s">
        <v>191</v>
      </c>
      <c r="N2174" s="38">
        <v>6.75</v>
      </c>
      <c r="O2174" s="38">
        <v>3.45</v>
      </c>
      <c r="P2174" s="38">
        <v>2.25</v>
      </c>
      <c r="Q2174" s="38">
        <v>2.25</v>
      </c>
      <c r="R2174" s="38">
        <v>3.3249300000000002</v>
      </c>
      <c r="S2174" s="38">
        <f t="shared" si="338"/>
        <v>3.5</v>
      </c>
      <c r="T2174" s="38">
        <v>13.225</v>
      </c>
      <c r="U2174" s="38">
        <v>1.3</v>
      </c>
      <c r="V2174" s="38">
        <v>0.17499999999999999</v>
      </c>
      <c r="W2174" s="38">
        <v>0</v>
      </c>
      <c r="X2174" s="38">
        <v>6.2006800000000002</v>
      </c>
      <c r="Y2174" s="38">
        <f t="shared" si="339"/>
        <v>6</v>
      </c>
      <c r="Z2174" s="38">
        <v>0</v>
      </c>
      <c r="AA2174" s="38">
        <v>0</v>
      </c>
      <c r="AB2174" s="206">
        <v>14.765000000000001</v>
      </c>
      <c r="AC2174" s="38">
        <v>1.48</v>
      </c>
      <c r="AD2174" s="38">
        <v>0</v>
      </c>
      <c r="AE2174" s="38">
        <v>0</v>
      </c>
      <c r="AF2174" s="38">
        <v>0</v>
      </c>
      <c r="AG2174" s="38">
        <f t="shared" si="340"/>
        <v>0</v>
      </c>
      <c r="AH2174" s="38">
        <v>0</v>
      </c>
      <c r="AI2174" s="38">
        <v>0</v>
      </c>
      <c r="AJ2174" s="38">
        <v>0</v>
      </c>
      <c r="AK2174" s="38">
        <v>0</v>
      </c>
      <c r="AL2174" s="38">
        <v>0</v>
      </c>
      <c r="AM2174" s="38">
        <v>0</v>
      </c>
      <c r="AO2174" s="22">
        <f t="shared" si="354"/>
        <v>0</v>
      </c>
      <c r="AP2174" s="41">
        <f t="shared" si="355"/>
        <v>0</v>
      </c>
      <c r="AQ2174" s="25">
        <f t="shared" ref="AQ2174:AQ2183" si="356">SUM(N2174:Q2174)</f>
        <v>14.7</v>
      </c>
      <c r="AR2174" s="25">
        <f t="shared" ref="AR2174:AR2183" si="357">SUM(T2174:W2174)</f>
        <v>14.700000000000001</v>
      </c>
      <c r="AS2174" s="268">
        <v>14.765000000000001</v>
      </c>
      <c r="AU2174" s="25">
        <f>AS2174-AQ2174</f>
        <v>6.5000000000001279E-2</v>
      </c>
      <c r="AV2174" s="41">
        <f>SUM(N2174:Q2174)</f>
        <v>14.7</v>
      </c>
      <c r="AW2174" s="41">
        <f>SUM(T2174:W2174)</f>
        <v>14.700000000000001</v>
      </c>
      <c r="AX2174" s="41">
        <f>SUM(Z2174:AB2174)</f>
        <v>14.765000000000001</v>
      </c>
      <c r="AZ2174" s="22">
        <f>I2174/AV2174</f>
        <v>1.004421768707483</v>
      </c>
      <c r="BA2174" s="22">
        <f>I2174/AW2174</f>
        <v>1.004421768707483</v>
      </c>
      <c r="BB2174" s="22">
        <f>I2174/AX2174</f>
        <v>1</v>
      </c>
    </row>
    <row r="2175" spans="1:88" s="22" customFormat="1">
      <c r="A2175" s="1">
        <v>1721</v>
      </c>
      <c r="B2175" s="34" t="s">
        <v>2308</v>
      </c>
      <c r="C2175" s="34">
        <v>422</v>
      </c>
      <c r="D2175" s="8">
        <v>3401</v>
      </c>
      <c r="E2175" s="34">
        <v>100</v>
      </c>
      <c r="F2175" s="34" t="s">
        <v>2319</v>
      </c>
      <c r="G2175" s="58">
        <v>0</v>
      </c>
      <c r="H2175" s="58">
        <v>27864</v>
      </c>
      <c r="I2175" s="206">
        <v>27.864000000000001</v>
      </c>
      <c r="J2175" s="9">
        <v>2</v>
      </c>
      <c r="K2175" s="34" t="s">
        <v>238</v>
      </c>
      <c r="L2175" s="10">
        <v>42229</v>
      </c>
      <c r="M2175" s="9" t="s">
        <v>191</v>
      </c>
      <c r="N2175" s="38">
        <v>1.875</v>
      </c>
      <c r="O2175" s="38">
        <v>6.5750000000000002</v>
      </c>
      <c r="P2175" s="38">
        <v>9.5250000000000004</v>
      </c>
      <c r="Q2175" s="38">
        <v>9.75</v>
      </c>
      <c r="R2175" s="38">
        <v>4.7434399999999997</v>
      </c>
      <c r="S2175" s="38">
        <f t="shared" si="338"/>
        <v>4.5</v>
      </c>
      <c r="T2175" s="38">
        <v>22.1</v>
      </c>
      <c r="U2175" s="38">
        <v>4.2750000000000004</v>
      </c>
      <c r="V2175" s="38">
        <v>0.95</v>
      </c>
      <c r="W2175" s="38">
        <v>0.4</v>
      </c>
      <c r="X2175" s="38">
        <v>7.2117000000000004</v>
      </c>
      <c r="Y2175" s="38">
        <f t="shared" si="339"/>
        <v>7</v>
      </c>
      <c r="Z2175" s="38">
        <v>0</v>
      </c>
      <c r="AA2175" s="38">
        <v>2.5000000000000001E-2</v>
      </c>
      <c r="AB2175" s="206">
        <v>27.864000000000001</v>
      </c>
      <c r="AC2175" s="38">
        <v>1.35917</v>
      </c>
      <c r="AD2175" s="38">
        <v>0</v>
      </c>
      <c r="AE2175" s="38">
        <v>0</v>
      </c>
      <c r="AF2175" s="38">
        <v>0</v>
      </c>
      <c r="AG2175" s="38">
        <f t="shared" si="340"/>
        <v>0</v>
      </c>
      <c r="AH2175" s="38">
        <v>0</v>
      </c>
      <c r="AI2175" s="38">
        <v>0</v>
      </c>
      <c r="AJ2175" s="38">
        <v>0</v>
      </c>
      <c r="AK2175" s="38">
        <v>0</v>
      </c>
      <c r="AL2175" s="38">
        <v>0</v>
      </c>
      <c r="AM2175" s="38">
        <v>0</v>
      </c>
      <c r="AO2175" s="22">
        <f t="shared" si="354"/>
        <v>0</v>
      </c>
      <c r="AP2175" s="41">
        <f t="shared" si="355"/>
        <v>0</v>
      </c>
      <c r="AQ2175" s="25">
        <f t="shared" si="356"/>
        <v>27.725000000000001</v>
      </c>
      <c r="AR2175" s="25">
        <f t="shared" si="357"/>
        <v>27.724999999999998</v>
      </c>
      <c r="AS2175" s="268">
        <v>27.864000000000001</v>
      </c>
      <c r="AU2175" s="25">
        <f>AS2175-AQ2175</f>
        <v>0.13899999999999935</v>
      </c>
      <c r="AV2175" s="41">
        <f>SUM(N2175:Q2175)</f>
        <v>27.725000000000001</v>
      </c>
      <c r="AW2175" s="41">
        <f>SUM(T2175:W2175)</f>
        <v>27.724999999999998</v>
      </c>
      <c r="AX2175" s="41">
        <f>SUM(Z2175:AB2175)</f>
        <v>27.888999999999999</v>
      </c>
      <c r="AZ2175" s="22">
        <f>I2175/AV2175</f>
        <v>1.0050135256988277</v>
      </c>
      <c r="BA2175" s="22">
        <f>I2175/AW2175</f>
        <v>1.005013525698828</v>
      </c>
      <c r="BB2175" s="22">
        <f>I2175/AX2175</f>
        <v>0.99910358922872822</v>
      </c>
    </row>
    <row r="2176" spans="1:88" s="22" customFormat="1">
      <c r="A2176" s="1">
        <v>1722</v>
      </c>
      <c r="B2176" s="34" t="s">
        <v>2308</v>
      </c>
      <c r="C2176" s="34">
        <v>422</v>
      </c>
      <c r="D2176" s="8">
        <v>3466</v>
      </c>
      <c r="E2176" s="34">
        <v>100</v>
      </c>
      <c r="F2176" s="34" t="s">
        <v>2320</v>
      </c>
      <c r="G2176" s="58">
        <v>0</v>
      </c>
      <c r="H2176" s="58">
        <v>10538</v>
      </c>
      <c r="I2176" s="206">
        <v>9</v>
      </c>
      <c r="J2176" s="9">
        <v>4</v>
      </c>
      <c r="K2176" s="34" t="s">
        <v>237</v>
      </c>
      <c r="L2176" s="10">
        <v>42229</v>
      </c>
      <c r="M2176" s="9" t="s">
        <v>191</v>
      </c>
      <c r="N2176" s="38">
        <v>3</v>
      </c>
      <c r="O2176" s="38">
        <v>0.69</v>
      </c>
      <c r="P2176" s="38">
        <v>0.92</v>
      </c>
      <c r="Q2176" s="38">
        <v>4.38</v>
      </c>
      <c r="R2176" s="38">
        <v>2.20255</v>
      </c>
      <c r="S2176" s="38">
        <f t="shared" si="338"/>
        <v>2</v>
      </c>
      <c r="T2176" s="38">
        <v>8.42</v>
      </c>
      <c r="U2176" s="38">
        <v>0.45</v>
      </c>
      <c r="V2176" s="38">
        <v>0.1</v>
      </c>
      <c r="W2176" s="38">
        <v>0.03</v>
      </c>
      <c r="X2176" s="38">
        <v>5.8583400000000001</v>
      </c>
      <c r="Y2176" s="38">
        <f t="shared" si="339"/>
        <v>6</v>
      </c>
      <c r="Z2176" s="38">
        <v>0</v>
      </c>
      <c r="AA2176" s="38">
        <v>0</v>
      </c>
      <c r="AB2176" s="206">
        <v>9</v>
      </c>
      <c r="AC2176" s="38">
        <v>1.16124</v>
      </c>
      <c r="AD2176" s="38">
        <v>0</v>
      </c>
      <c r="AE2176" s="38">
        <v>0</v>
      </c>
      <c r="AF2176" s="38">
        <v>0</v>
      </c>
      <c r="AG2176" s="38">
        <f t="shared" si="340"/>
        <v>0</v>
      </c>
      <c r="AH2176" s="38">
        <v>0</v>
      </c>
      <c r="AI2176" s="38">
        <v>0</v>
      </c>
      <c r="AJ2176" s="38">
        <v>0</v>
      </c>
      <c r="AK2176" s="38">
        <v>0</v>
      </c>
      <c r="AL2176" s="38">
        <v>0</v>
      </c>
      <c r="AM2176" s="55">
        <v>0</v>
      </c>
      <c r="AO2176" s="22">
        <f t="shared" si="354"/>
        <v>0</v>
      </c>
      <c r="AP2176" s="41">
        <f t="shared" si="355"/>
        <v>0</v>
      </c>
      <c r="AQ2176" s="25">
        <f t="shared" si="356"/>
        <v>8.99</v>
      </c>
      <c r="AR2176" s="25">
        <f t="shared" si="357"/>
        <v>8.9999999999999982</v>
      </c>
      <c r="AS2176" s="272">
        <v>9</v>
      </c>
      <c r="AU2176" s="25">
        <f>AS2176-AQ2176</f>
        <v>9.9999999999997868E-3</v>
      </c>
      <c r="AV2176" s="41">
        <f>SUM(N2176:Q2176)</f>
        <v>8.99</v>
      </c>
      <c r="AW2176" s="41">
        <f>SUM(T2176:W2176)</f>
        <v>8.9999999999999982</v>
      </c>
      <c r="AX2176" s="41">
        <f>SUM(Z2176:AB2176)</f>
        <v>9</v>
      </c>
      <c r="AZ2176" s="22">
        <f>I2176/AV2176</f>
        <v>1.0011123470522802</v>
      </c>
      <c r="BA2176" s="22">
        <f>I2176/AW2176</f>
        <v>1.0000000000000002</v>
      </c>
      <c r="BB2176" s="22">
        <f>I2176/AX2176</f>
        <v>1</v>
      </c>
    </row>
    <row r="2177" spans="1:88" s="22" customFormat="1">
      <c r="A2177" s="1">
        <v>1723</v>
      </c>
      <c r="B2177" s="34" t="s">
        <v>2308</v>
      </c>
      <c r="C2177" s="34">
        <v>422</v>
      </c>
      <c r="D2177" s="8">
        <v>3466</v>
      </c>
      <c r="E2177" s="34">
        <v>100</v>
      </c>
      <c r="F2177" s="34" t="s">
        <v>2320</v>
      </c>
      <c r="G2177" s="58">
        <v>10538</v>
      </c>
      <c r="H2177" s="58">
        <v>0</v>
      </c>
      <c r="I2177" s="206">
        <v>9</v>
      </c>
      <c r="J2177" s="9">
        <v>4</v>
      </c>
      <c r="K2177" s="34" t="s">
        <v>96</v>
      </c>
      <c r="L2177" s="10">
        <v>42229</v>
      </c>
      <c r="M2177" s="9" t="s">
        <v>191</v>
      </c>
      <c r="N2177" s="38">
        <v>6.86</v>
      </c>
      <c r="O2177" s="38">
        <v>1.21</v>
      </c>
      <c r="P2177" s="38">
        <v>0.74</v>
      </c>
      <c r="Q2177" s="38">
        <v>0.2</v>
      </c>
      <c r="R2177" s="38">
        <v>2.23373</v>
      </c>
      <c r="S2177" s="38">
        <f t="shared" si="338"/>
        <v>2</v>
      </c>
      <c r="T2177" s="38">
        <v>8.35</v>
      </c>
      <c r="U2177" s="38">
        <v>0.53</v>
      </c>
      <c r="V2177" s="38">
        <v>0.1</v>
      </c>
      <c r="W2177" s="38">
        <v>0.03</v>
      </c>
      <c r="X2177" s="38">
        <v>6.2176900000000002</v>
      </c>
      <c r="Y2177" s="38">
        <f t="shared" si="339"/>
        <v>6</v>
      </c>
      <c r="Z2177" s="38">
        <v>0</v>
      </c>
      <c r="AA2177" s="38">
        <v>0</v>
      </c>
      <c r="AB2177" s="206">
        <v>9</v>
      </c>
      <c r="AC2177" s="38">
        <v>1.1494800000000001</v>
      </c>
      <c r="AD2177" s="38">
        <v>0</v>
      </c>
      <c r="AE2177" s="38">
        <v>0</v>
      </c>
      <c r="AF2177" s="38">
        <v>0</v>
      </c>
      <c r="AG2177" s="38">
        <f t="shared" si="340"/>
        <v>0</v>
      </c>
      <c r="AH2177" s="38">
        <v>0</v>
      </c>
      <c r="AI2177" s="38">
        <v>0</v>
      </c>
      <c r="AJ2177" s="38">
        <v>0</v>
      </c>
      <c r="AK2177" s="38">
        <v>0</v>
      </c>
      <c r="AL2177" s="38">
        <v>0</v>
      </c>
      <c r="AM2177" s="55">
        <v>0</v>
      </c>
      <c r="AO2177" s="22">
        <f t="shared" si="354"/>
        <v>0</v>
      </c>
      <c r="AP2177" s="41">
        <f t="shared" si="355"/>
        <v>0</v>
      </c>
      <c r="AQ2177" s="25">
        <f t="shared" si="356"/>
        <v>9.01</v>
      </c>
      <c r="AR2177" s="25">
        <f t="shared" si="357"/>
        <v>9.009999999999998</v>
      </c>
      <c r="AS2177" s="272">
        <v>9</v>
      </c>
      <c r="AU2177" s="25">
        <f>AS2177-AQ2177</f>
        <v>-9.9999999999997868E-3</v>
      </c>
      <c r="AV2177" s="41">
        <f>SUM(N2177:Q2177)</f>
        <v>9.01</v>
      </c>
      <c r="AW2177" s="41">
        <f>SUM(T2177:W2177)</f>
        <v>9.009999999999998</v>
      </c>
      <c r="AX2177" s="41">
        <f>SUM(Z2177:AB2177)</f>
        <v>9</v>
      </c>
      <c r="AZ2177" s="22">
        <f>I2177/AV2177</f>
        <v>0.99889012208657046</v>
      </c>
      <c r="BA2177" s="22">
        <f>I2177/AW2177</f>
        <v>0.99889012208657069</v>
      </c>
      <c r="BB2177" s="22">
        <f>I2177/AX2177</f>
        <v>1</v>
      </c>
    </row>
    <row r="2178" spans="1:88" s="22" customFormat="1">
      <c r="A2178" s="1">
        <v>1735</v>
      </c>
      <c r="B2178" s="34" t="s">
        <v>2324</v>
      </c>
      <c r="C2178" s="34">
        <v>423</v>
      </c>
      <c r="D2178" s="8">
        <v>3153</v>
      </c>
      <c r="E2178" s="88">
        <v>100</v>
      </c>
      <c r="F2178" s="34" t="s">
        <v>2330</v>
      </c>
      <c r="G2178" s="58">
        <v>0</v>
      </c>
      <c r="H2178" s="58">
        <v>7500</v>
      </c>
      <c r="I2178" s="35">
        <v>7.5</v>
      </c>
      <c r="J2178" s="9">
        <v>2</v>
      </c>
      <c r="K2178" s="88" t="s">
        <v>238</v>
      </c>
      <c r="L2178" s="116">
        <v>42234</v>
      </c>
      <c r="M2178" s="9" t="s">
        <v>191</v>
      </c>
      <c r="N2178" s="38">
        <v>2.7</v>
      </c>
      <c r="O2178" s="38">
        <v>3.15</v>
      </c>
      <c r="P2178" s="38">
        <v>1.2250000000000001</v>
      </c>
      <c r="Q2178" s="38">
        <v>0.5</v>
      </c>
      <c r="R2178" s="38">
        <v>3.2004700000000001</v>
      </c>
      <c r="S2178" s="38">
        <f t="shared" si="338"/>
        <v>3</v>
      </c>
      <c r="T2178" s="38">
        <v>7.125</v>
      </c>
      <c r="U2178" s="38">
        <v>0.35</v>
      </c>
      <c r="V2178" s="38">
        <v>0.1</v>
      </c>
      <c r="W2178" s="38">
        <v>0</v>
      </c>
      <c r="X2178" s="38">
        <v>6.83338</v>
      </c>
      <c r="Y2178" s="38">
        <f t="shared" si="339"/>
        <v>7</v>
      </c>
      <c r="Z2178" s="38">
        <v>0</v>
      </c>
      <c r="AA2178" s="117">
        <v>0</v>
      </c>
      <c r="AB2178" s="35">
        <v>7.5</v>
      </c>
      <c r="AC2178" s="117">
        <v>1.01935</v>
      </c>
      <c r="AD2178" s="38">
        <v>0</v>
      </c>
      <c r="AE2178" s="38">
        <v>0</v>
      </c>
      <c r="AF2178" s="38">
        <v>0</v>
      </c>
      <c r="AG2178" s="38">
        <f t="shared" si="340"/>
        <v>0</v>
      </c>
      <c r="AH2178" s="38">
        <v>0</v>
      </c>
      <c r="AI2178" s="38">
        <v>0</v>
      </c>
      <c r="AJ2178" s="38">
        <v>0</v>
      </c>
      <c r="AK2178" s="38">
        <f>AJ2178/(3.5*I2178*1000)*100</f>
        <v>0</v>
      </c>
      <c r="AL2178" s="38">
        <v>1.22</v>
      </c>
      <c r="AM2178" s="38">
        <v>4.6499999999999996E-3</v>
      </c>
      <c r="AN2178" s="12"/>
      <c r="AO2178" s="12">
        <f t="shared" si="354"/>
        <v>0</v>
      </c>
      <c r="AP2178" s="12">
        <f t="shared" si="355"/>
        <v>9.15</v>
      </c>
      <c r="AQ2178" s="136">
        <f t="shared" si="356"/>
        <v>7.5749999999999993</v>
      </c>
      <c r="AR2178" s="136">
        <f t="shared" si="357"/>
        <v>7.5749999999999993</v>
      </c>
      <c r="AS2178" s="1"/>
      <c r="AT2178" s="41"/>
      <c r="AU2178" s="41"/>
      <c r="AV2178" s="41"/>
      <c r="AW2178" s="4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</row>
    <row r="2179" spans="1:88" s="22" customFormat="1">
      <c r="A2179" s="1">
        <v>1765</v>
      </c>
      <c r="B2179" s="34" t="s">
        <v>2348</v>
      </c>
      <c r="C2179" s="34">
        <v>425</v>
      </c>
      <c r="D2179" s="8">
        <v>3517</v>
      </c>
      <c r="E2179" s="34">
        <v>100</v>
      </c>
      <c r="F2179" s="34" t="s">
        <v>2367</v>
      </c>
      <c r="G2179" s="58">
        <v>0</v>
      </c>
      <c r="H2179" s="58">
        <v>395</v>
      </c>
      <c r="I2179" s="35">
        <v>0.39500000000000002</v>
      </c>
      <c r="J2179" s="9">
        <v>2</v>
      </c>
      <c r="K2179" s="34" t="s">
        <v>238</v>
      </c>
      <c r="L2179" s="10">
        <v>42236</v>
      </c>
      <c r="M2179" s="9" t="s">
        <v>191</v>
      </c>
      <c r="N2179" s="38">
        <v>0.05</v>
      </c>
      <c r="O2179" s="38">
        <v>0.25</v>
      </c>
      <c r="P2179" s="38">
        <v>0.125</v>
      </c>
      <c r="Q2179" s="38">
        <v>0</v>
      </c>
      <c r="R2179" s="38">
        <v>3.2211799999999999</v>
      </c>
      <c r="S2179" s="38">
        <f t="shared" ref="S2179:S2235" si="358">ROUND(R2179/5,1)*5</f>
        <v>3</v>
      </c>
      <c r="T2179" s="38">
        <v>0.4</v>
      </c>
      <c r="U2179" s="38">
        <v>2.5000000000000001E-2</v>
      </c>
      <c r="V2179" s="38">
        <v>0</v>
      </c>
      <c r="W2179" s="38">
        <v>0</v>
      </c>
      <c r="X2179" s="38">
        <v>3.883</v>
      </c>
      <c r="Y2179" s="38">
        <f t="shared" ref="Y2179:Y2235" si="359">ROUND(X2179/5,1)*5</f>
        <v>4</v>
      </c>
      <c r="Z2179" s="38">
        <v>0</v>
      </c>
      <c r="AA2179" s="38">
        <v>0</v>
      </c>
      <c r="AB2179" s="38">
        <f t="shared" ref="AB2179:AB2184" si="360">SUM(T2179:W2179)</f>
        <v>0.42500000000000004</v>
      </c>
      <c r="AC2179" s="38">
        <v>1.0185900000000001</v>
      </c>
      <c r="AD2179" s="38">
        <v>0</v>
      </c>
      <c r="AE2179" s="38">
        <v>0</v>
      </c>
      <c r="AF2179" s="38">
        <f>(AD2179+AE2179*0.5)/(3.5*I2179*1000)*100</f>
        <v>0</v>
      </c>
      <c r="AG2179" s="38">
        <f t="shared" ref="AG2179:AG2235" si="361">ROUND(AF2179,1)</f>
        <v>0</v>
      </c>
      <c r="AH2179" s="38">
        <v>0</v>
      </c>
      <c r="AI2179" s="38">
        <f>AH2179/(3.5*I2179*1000)*100</f>
        <v>0</v>
      </c>
      <c r="AJ2179" s="38">
        <v>0</v>
      </c>
      <c r="AK2179" s="38">
        <f>AJ2179/(3.5*I2179*1000)*100</f>
        <v>0</v>
      </c>
      <c r="AL2179" s="38">
        <v>0</v>
      </c>
      <c r="AM2179" s="55">
        <f>AL2179/(3.5*I2179*1000)*100</f>
        <v>0</v>
      </c>
      <c r="AN2179" s="25"/>
      <c r="AO2179" s="25">
        <f t="shared" si="354"/>
        <v>0</v>
      </c>
      <c r="AP2179" s="25">
        <f t="shared" si="355"/>
        <v>0</v>
      </c>
      <c r="AQ2179" s="25">
        <f t="shared" si="356"/>
        <v>0.42499999999999999</v>
      </c>
      <c r="AR2179" s="25">
        <f t="shared" si="357"/>
        <v>0.42500000000000004</v>
      </c>
      <c r="AT2179" s="41"/>
      <c r="AU2179" s="41"/>
      <c r="AV2179" s="41"/>
      <c r="AW2179" s="41"/>
    </row>
    <row r="2180" spans="1:88" s="22" customFormat="1">
      <c r="A2180" s="1">
        <v>1766</v>
      </c>
      <c r="B2180" s="34" t="s">
        <v>2348</v>
      </c>
      <c r="C2180" s="34">
        <v>425</v>
      </c>
      <c r="D2180" s="8">
        <v>3577</v>
      </c>
      <c r="E2180" s="34">
        <v>100</v>
      </c>
      <c r="F2180" s="34" t="s">
        <v>2368</v>
      </c>
      <c r="G2180" s="58">
        <v>0</v>
      </c>
      <c r="H2180" s="58">
        <v>1828</v>
      </c>
      <c r="I2180" s="35">
        <v>1.8280000000000001</v>
      </c>
      <c r="J2180" s="9">
        <v>2</v>
      </c>
      <c r="K2180" s="34" t="s">
        <v>238</v>
      </c>
      <c r="L2180" s="10">
        <v>42235</v>
      </c>
      <c r="M2180" s="9" t="s">
        <v>191</v>
      </c>
      <c r="N2180" s="38">
        <v>0.95</v>
      </c>
      <c r="O2180" s="38">
        <v>0.5</v>
      </c>
      <c r="P2180" s="38">
        <v>0.15</v>
      </c>
      <c r="Q2180" s="38">
        <v>0.3</v>
      </c>
      <c r="R2180" s="38">
        <v>3.1997399999999998</v>
      </c>
      <c r="S2180" s="38">
        <f t="shared" si="358"/>
        <v>3</v>
      </c>
      <c r="T2180" s="38">
        <v>1.7250000000000001</v>
      </c>
      <c r="U2180" s="38">
        <v>0.1</v>
      </c>
      <c r="V2180" s="38">
        <v>0.05</v>
      </c>
      <c r="W2180" s="38">
        <v>2.5000000000000001E-2</v>
      </c>
      <c r="X2180" s="38">
        <v>6.20878</v>
      </c>
      <c r="Y2180" s="38">
        <f t="shared" si="359"/>
        <v>6</v>
      </c>
      <c r="Z2180" s="38">
        <v>0</v>
      </c>
      <c r="AA2180" s="38">
        <v>0</v>
      </c>
      <c r="AB2180" s="38">
        <f t="shared" si="360"/>
        <v>1.9000000000000001</v>
      </c>
      <c r="AC2180" s="38">
        <v>1.20068</v>
      </c>
      <c r="AD2180" s="38">
        <v>0</v>
      </c>
      <c r="AE2180" s="38">
        <v>0</v>
      </c>
      <c r="AF2180" s="38">
        <f>(AD2180+AE2180*0.5)/(3.5*I2180*1000)*100</f>
        <v>0</v>
      </c>
      <c r="AG2180" s="38">
        <f t="shared" si="361"/>
        <v>0</v>
      </c>
      <c r="AH2180" s="38">
        <v>0.05</v>
      </c>
      <c r="AI2180" s="38">
        <v>7.8100000000000001E-4</v>
      </c>
      <c r="AJ2180" s="38">
        <v>0</v>
      </c>
      <c r="AK2180" s="38">
        <f>AJ2180/(3.5*I2180*1000)*100</f>
        <v>0</v>
      </c>
      <c r="AL2180" s="38">
        <v>8.02</v>
      </c>
      <c r="AM2180" s="55">
        <f>AL2180/(3.5*I2180*1000)*100</f>
        <v>0.12535167239762424</v>
      </c>
      <c r="AN2180" s="25"/>
      <c r="AO2180" s="25">
        <f t="shared" si="354"/>
        <v>0</v>
      </c>
      <c r="AP2180" s="25">
        <f t="shared" si="355"/>
        <v>14.75196</v>
      </c>
      <c r="AQ2180" s="25">
        <f t="shared" si="356"/>
        <v>1.9</v>
      </c>
      <c r="AR2180" s="25">
        <f t="shared" si="357"/>
        <v>1.9000000000000001</v>
      </c>
      <c r="AT2180" s="41"/>
      <c r="AU2180" s="41"/>
      <c r="AV2180" s="41"/>
      <c r="AW2180" s="41"/>
    </row>
    <row r="2181" spans="1:88" s="22" customFormat="1">
      <c r="A2181" s="1">
        <v>1771</v>
      </c>
      <c r="B2181" s="34" t="s">
        <v>2369</v>
      </c>
      <c r="C2181" s="34">
        <v>426</v>
      </c>
      <c r="D2181" s="8">
        <v>3145</v>
      </c>
      <c r="E2181" s="34">
        <v>101</v>
      </c>
      <c r="F2181" s="34" t="s">
        <v>2373</v>
      </c>
      <c r="G2181" s="58">
        <v>10500</v>
      </c>
      <c r="H2181" s="58">
        <v>2575</v>
      </c>
      <c r="I2181" s="35">
        <v>7.9249999999999998</v>
      </c>
      <c r="J2181" s="9">
        <v>2</v>
      </c>
      <c r="K2181" s="34" t="s">
        <v>12</v>
      </c>
      <c r="L2181" s="10">
        <v>42233</v>
      </c>
      <c r="M2181" s="9" t="s">
        <v>191</v>
      </c>
      <c r="N2181" s="38">
        <v>2.9750000000000001</v>
      </c>
      <c r="O2181" s="38">
        <v>3.57</v>
      </c>
      <c r="P2181" s="38">
        <v>1.1200000000000001</v>
      </c>
      <c r="Q2181" s="38">
        <v>0.2</v>
      </c>
      <c r="R2181" s="38">
        <v>2.86</v>
      </c>
      <c r="S2181" s="38">
        <f t="shared" si="358"/>
        <v>3</v>
      </c>
      <c r="T2181" s="38">
        <v>7.75</v>
      </c>
      <c r="U2181" s="38">
        <v>0.12</v>
      </c>
      <c r="V2181" s="38">
        <v>0</v>
      </c>
      <c r="W2181" s="38">
        <v>0</v>
      </c>
      <c r="X2181" s="38">
        <v>4.33</v>
      </c>
      <c r="Y2181" s="38">
        <f t="shared" si="359"/>
        <v>4.5</v>
      </c>
      <c r="Z2181" s="38">
        <v>0</v>
      </c>
      <c r="AA2181" s="38">
        <v>0</v>
      </c>
      <c r="AB2181" s="38">
        <f t="shared" si="360"/>
        <v>7.87</v>
      </c>
      <c r="AC2181" s="38">
        <v>1.25</v>
      </c>
      <c r="AD2181" s="38">
        <v>0</v>
      </c>
      <c r="AE2181" s="38">
        <v>0</v>
      </c>
      <c r="AF2181" s="38">
        <v>0</v>
      </c>
      <c r="AG2181" s="38">
        <f t="shared" si="361"/>
        <v>0</v>
      </c>
      <c r="AH2181" s="38">
        <v>0</v>
      </c>
      <c r="AI2181" s="38">
        <v>0</v>
      </c>
      <c r="AJ2181" s="38">
        <v>0</v>
      </c>
      <c r="AK2181" s="38">
        <v>0</v>
      </c>
      <c r="AL2181" s="38">
        <v>0</v>
      </c>
      <c r="AM2181" s="38">
        <v>0</v>
      </c>
      <c r="AN2181" s="25"/>
      <c r="AO2181" s="25">
        <f t="shared" si="354"/>
        <v>0</v>
      </c>
      <c r="AP2181" s="25">
        <f t="shared" si="355"/>
        <v>0</v>
      </c>
      <c r="AQ2181" s="25">
        <f t="shared" si="356"/>
        <v>7.8650000000000002</v>
      </c>
      <c r="AR2181" s="25">
        <f t="shared" si="357"/>
        <v>7.87</v>
      </c>
      <c r="AT2181" s="41"/>
      <c r="AU2181" s="41"/>
      <c r="AV2181" s="41"/>
      <c r="AW2181" s="41"/>
    </row>
    <row r="2182" spans="1:88" s="22" customFormat="1">
      <c r="A2182" s="1">
        <v>1772</v>
      </c>
      <c r="B2182" s="34" t="s">
        <v>2369</v>
      </c>
      <c r="C2182" s="34">
        <v>426</v>
      </c>
      <c r="D2182" s="8">
        <v>3145</v>
      </c>
      <c r="E2182" s="34">
        <v>102</v>
      </c>
      <c r="F2182" s="34" t="s">
        <v>2374</v>
      </c>
      <c r="G2182" s="58">
        <v>27515</v>
      </c>
      <c r="H2182" s="58">
        <v>10500</v>
      </c>
      <c r="I2182" s="35">
        <v>17.015000000000001</v>
      </c>
      <c r="J2182" s="9">
        <v>2</v>
      </c>
      <c r="K2182" s="34" t="s">
        <v>12</v>
      </c>
      <c r="L2182" s="10">
        <v>42233</v>
      </c>
      <c r="M2182" s="9" t="s">
        <v>191</v>
      </c>
      <c r="N2182" s="38">
        <v>13.025</v>
      </c>
      <c r="O2182" s="38">
        <v>2.65</v>
      </c>
      <c r="P2182" s="38">
        <v>0.8</v>
      </c>
      <c r="Q2182" s="38">
        <v>0.47</v>
      </c>
      <c r="R2182" s="38">
        <v>2.2000000000000002</v>
      </c>
      <c r="S2182" s="38">
        <f t="shared" si="358"/>
        <v>2</v>
      </c>
      <c r="T2182" s="38">
        <v>15.6</v>
      </c>
      <c r="U2182" s="38">
        <v>1.02</v>
      </c>
      <c r="V2182" s="38">
        <v>0.22</v>
      </c>
      <c r="W2182" s="38">
        <v>0.1</v>
      </c>
      <c r="X2182" s="38">
        <v>5.61</v>
      </c>
      <c r="Y2182" s="38">
        <f t="shared" si="359"/>
        <v>5.5</v>
      </c>
      <c r="Z2182" s="38">
        <v>0</v>
      </c>
      <c r="AA2182" s="38">
        <v>0</v>
      </c>
      <c r="AB2182" s="38">
        <f t="shared" si="360"/>
        <v>16.940000000000001</v>
      </c>
      <c r="AC2182" s="38">
        <v>1.3</v>
      </c>
      <c r="AD2182" s="38">
        <v>0</v>
      </c>
      <c r="AE2182" s="38">
        <v>0</v>
      </c>
      <c r="AF2182" s="38">
        <v>0</v>
      </c>
      <c r="AG2182" s="38">
        <f t="shared" si="361"/>
        <v>0</v>
      </c>
      <c r="AH2182" s="38">
        <v>0</v>
      </c>
      <c r="AI2182" s="38">
        <v>0</v>
      </c>
      <c r="AJ2182" s="38">
        <v>0</v>
      </c>
      <c r="AK2182" s="38">
        <v>0</v>
      </c>
      <c r="AL2182" s="38">
        <v>0</v>
      </c>
      <c r="AM2182" s="38">
        <v>0</v>
      </c>
      <c r="AN2182" s="25"/>
      <c r="AO2182" s="25"/>
      <c r="AP2182" s="25"/>
      <c r="AQ2182" s="25">
        <f t="shared" si="356"/>
        <v>16.945</v>
      </c>
      <c r="AR2182" s="25">
        <f t="shared" si="357"/>
        <v>16.940000000000001</v>
      </c>
      <c r="AT2182" s="41"/>
      <c r="AU2182" s="41"/>
      <c r="AV2182" s="41"/>
      <c r="AW2182" s="41"/>
    </row>
    <row r="2183" spans="1:88" s="22" customFormat="1">
      <c r="A2183" s="1">
        <v>1778</v>
      </c>
      <c r="B2183" s="34" t="s">
        <v>2369</v>
      </c>
      <c r="C2183" s="34">
        <v>426</v>
      </c>
      <c r="D2183" s="8">
        <v>3471</v>
      </c>
      <c r="E2183" s="34">
        <v>100</v>
      </c>
      <c r="F2183" s="34" t="s">
        <v>2378</v>
      </c>
      <c r="G2183" s="58">
        <v>0</v>
      </c>
      <c r="H2183" s="58">
        <v>30416</v>
      </c>
      <c r="I2183" s="35">
        <v>30.416</v>
      </c>
      <c r="J2183" s="9">
        <v>2</v>
      </c>
      <c r="K2183" s="34" t="s">
        <v>238</v>
      </c>
      <c r="L2183" s="10">
        <v>42233</v>
      </c>
      <c r="M2183" s="9" t="s">
        <v>191</v>
      </c>
      <c r="N2183" s="38">
        <v>17.225000000000001</v>
      </c>
      <c r="O2183" s="38">
        <v>9.15</v>
      </c>
      <c r="P2183" s="38">
        <v>2.7749999999999999</v>
      </c>
      <c r="Q2183" s="38">
        <v>1</v>
      </c>
      <c r="R2183" s="38">
        <v>2.6</v>
      </c>
      <c r="S2183" s="38">
        <f t="shared" si="358"/>
        <v>2.5</v>
      </c>
      <c r="T2183" s="38">
        <v>28.05</v>
      </c>
      <c r="U2183" s="38">
        <v>1.8</v>
      </c>
      <c r="V2183" s="38">
        <v>0.27500000000000002</v>
      </c>
      <c r="W2183" s="38">
        <v>2.5000000000000001E-2</v>
      </c>
      <c r="X2183" s="38">
        <v>5.23</v>
      </c>
      <c r="Y2183" s="38">
        <f t="shared" si="359"/>
        <v>5</v>
      </c>
      <c r="Z2183" s="38">
        <v>0</v>
      </c>
      <c r="AA2183" s="38">
        <v>0</v>
      </c>
      <c r="AB2183" s="38">
        <f t="shared" si="360"/>
        <v>30.15</v>
      </c>
      <c r="AC2183" s="38">
        <v>1.24</v>
      </c>
      <c r="AD2183" s="38">
        <v>0</v>
      </c>
      <c r="AE2183" s="38">
        <v>0</v>
      </c>
      <c r="AF2183" s="38">
        <v>0</v>
      </c>
      <c r="AG2183" s="38">
        <f t="shared" si="361"/>
        <v>0</v>
      </c>
      <c r="AH2183" s="38">
        <v>0</v>
      </c>
      <c r="AI2183" s="38">
        <v>0</v>
      </c>
      <c r="AJ2183" s="38">
        <v>0</v>
      </c>
      <c r="AK2183" s="38">
        <v>0</v>
      </c>
      <c r="AL2183" s="38">
        <v>0</v>
      </c>
      <c r="AM2183" s="38">
        <v>0</v>
      </c>
      <c r="AN2183" s="25"/>
      <c r="AO2183" s="25"/>
      <c r="AP2183" s="25"/>
      <c r="AQ2183" s="25">
        <f t="shared" si="356"/>
        <v>30.15</v>
      </c>
      <c r="AR2183" s="25">
        <f t="shared" si="357"/>
        <v>30.15</v>
      </c>
      <c r="AT2183" s="41"/>
      <c r="AU2183" s="41"/>
      <c r="AV2183" s="41"/>
      <c r="AW2183" s="41"/>
    </row>
    <row r="2184" spans="1:88" s="22" customFormat="1">
      <c r="A2184" s="1">
        <v>1779</v>
      </c>
      <c r="B2184" s="34" t="s">
        <v>2369</v>
      </c>
      <c r="C2184" s="34">
        <v>426</v>
      </c>
      <c r="D2184" s="8">
        <v>3578</v>
      </c>
      <c r="E2184" s="34">
        <v>100</v>
      </c>
      <c r="F2184" s="34" t="s">
        <v>2379</v>
      </c>
      <c r="G2184" s="58">
        <v>0</v>
      </c>
      <c r="H2184" s="58">
        <v>6040</v>
      </c>
      <c r="I2184" s="35">
        <v>6.04</v>
      </c>
      <c r="J2184" s="9">
        <v>2</v>
      </c>
      <c r="K2184" s="34" t="s">
        <v>12</v>
      </c>
      <c r="L2184" s="10">
        <v>42233</v>
      </c>
      <c r="M2184" s="9" t="s">
        <v>191</v>
      </c>
      <c r="N2184" s="38">
        <v>3.2749999999999999</v>
      </c>
      <c r="O2184" s="38">
        <v>1.7749999999999999</v>
      </c>
      <c r="P2184" s="38">
        <v>0.67500000000000004</v>
      </c>
      <c r="Q2184" s="38">
        <v>0.3</v>
      </c>
      <c r="R2184" s="38">
        <v>2.75</v>
      </c>
      <c r="S2184" s="38">
        <f t="shared" si="358"/>
        <v>3</v>
      </c>
      <c r="T2184" s="38">
        <v>5.6749999999999998</v>
      </c>
      <c r="U2184" s="38">
        <v>0.32500000000000001</v>
      </c>
      <c r="V2184" s="38">
        <v>2.5000000000000001E-2</v>
      </c>
      <c r="W2184" s="38">
        <v>0</v>
      </c>
      <c r="X2184" s="38">
        <v>4.46</v>
      </c>
      <c r="Y2184" s="38">
        <f t="shared" si="359"/>
        <v>4.5</v>
      </c>
      <c r="Z2184" s="38">
        <v>0</v>
      </c>
      <c r="AA2184" s="38">
        <v>0</v>
      </c>
      <c r="AB2184" s="38">
        <f t="shared" si="360"/>
        <v>6.0250000000000004</v>
      </c>
      <c r="AC2184" s="38">
        <v>1.36</v>
      </c>
      <c r="AD2184" s="38">
        <v>0</v>
      </c>
      <c r="AE2184" s="38">
        <v>0</v>
      </c>
      <c r="AF2184" s="38">
        <v>0</v>
      </c>
      <c r="AG2184" s="38">
        <f t="shared" si="361"/>
        <v>0</v>
      </c>
      <c r="AH2184" s="38">
        <v>0</v>
      </c>
      <c r="AI2184" s="38">
        <v>0</v>
      </c>
      <c r="AJ2184" s="38">
        <v>0</v>
      </c>
      <c r="AK2184" s="38">
        <v>0</v>
      </c>
      <c r="AL2184" s="38">
        <v>0</v>
      </c>
      <c r="AM2184" s="38">
        <v>0</v>
      </c>
      <c r="AN2184" s="25"/>
      <c r="AO2184" s="25"/>
      <c r="AP2184" s="25"/>
      <c r="AQ2184" s="25"/>
      <c r="AR2184" s="25"/>
      <c r="AT2184" s="41"/>
      <c r="AU2184" s="41"/>
      <c r="AV2184" s="41"/>
      <c r="AW2184" s="41"/>
    </row>
    <row r="2185" spans="1:88" s="22" customFormat="1">
      <c r="A2185" s="1">
        <v>1794</v>
      </c>
      <c r="B2185" s="34" t="s">
        <v>2382</v>
      </c>
      <c r="C2185" s="34">
        <v>428</v>
      </c>
      <c r="D2185" s="8">
        <v>3240</v>
      </c>
      <c r="E2185" s="34">
        <v>102</v>
      </c>
      <c r="F2185" s="34" t="s">
        <v>2396</v>
      </c>
      <c r="G2185" s="58" t="s">
        <v>2397</v>
      </c>
      <c r="H2185" s="58" t="s">
        <v>578</v>
      </c>
      <c r="I2185" s="35">
        <v>6.1740000000000004</v>
      </c>
      <c r="J2185" s="9">
        <v>2</v>
      </c>
      <c r="K2185" s="34" t="s">
        <v>12</v>
      </c>
      <c r="L2185" s="10">
        <v>42232</v>
      </c>
      <c r="M2185" s="9" t="s">
        <v>191</v>
      </c>
      <c r="N2185" s="38">
        <v>5.2</v>
      </c>
      <c r="O2185" s="38">
        <v>0.77500000000000002</v>
      </c>
      <c r="P2185" s="38">
        <v>0.1</v>
      </c>
      <c r="Q2185" s="38">
        <v>0.1</v>
      </c>
      <c r="R2185" s="38">
        <v>2.8116300000000001</v>
      </c>
      <c r="S2185" s="38">
        <f t="shared" si="358"/>
        <v>3</v>
      </c>
      <c r="T2185" s="38">
        <v>6.15</v>
      </c>
      <c r="U2185" s="38">
        <v>2.5000000000000001E-2</v>
      </c>
      <c r="V2185" s="38">
        <v>0</v>
      </c>
      <c r="W2185" s="38">
        <v>0</v>
      </c>
      <c r="X2185" s="38">
        <v>4.4575699999999996</v>
      </c>
      <c r="Y2185" s="38">
        <f t="shared" si="359"/>
        <v>4.5</v>
      </c>
      <c r="Z2185" s="38">
        <v>0</v>
      </c>
      <c r="AA2185" s="38">
        <v>0</v>
      </c>
      <c r="AB2185" s="38">
        <f t="shared" ref="AB2185:AB2214" si="362">SUM(N2185:Q2185)</f>
        <v>6.1749999999999998</v>
      </c>
      <c r="AC2185" s="38">
        <v>1.0623100000000001</v>
      </c>
      <c r="AD2185" s="38">
        <v>0</v>
      </c>
      <c r="AE2185" s="38">
        <v>0</v>
      </c>
      <c r="AF2185" s="38">
        <f t="shared" ref="AF2185:AF2214" si="363">(AD2185+AE2185*0.5)/(3.5*I2185*1000)*100</f>
        <v>0</v>
      </c>
      <c r="AG2185" s="38">
        <f t="shared" si="361"/>
        <v>0</v>
      </c>
      <c r="AH2185" s="38">
        <v>0</v>
      </c>
      <c r="AI2185" s="38">
        <f t="shared" ref="AI2185:AI2214" si="364">AH2185/(3.5*I2185*1000)*100</f>
        <v>0</v>
      </c>
      <c r="AJ2185" s="38">
        <v>0</v>
      </c>
      <c r="AK2185" s="38">
        <f t="shared" ref="AK2185:AK2214" si="365">AJ2185/(3.5*I2185*1000)*100</f>
        <v>0</v>
      </c>
      <c r="AL2185" s="38">
        <v>0</v>
      </c>
      <c r="AM2185" s="38">
        <f t="shared" ref="AM2185:AM2216" si="366">AL2185/(3.5*I2185*1000)*100</f>
        <v>0</v>
      </c>
      <c r="AN2185" s="25"/>
      <c r="AO2185" s="25">
        <f t="shared" ref="AO2185:AO2211" si="367">AE2185*0.5</f>
        <v>0</v>
      </c>
      <c r="AP2185" s="25">
        <f t="shared" ref="AP2185:AP2211" si="368">(AD2185+AH2185+AJ2185+AL2185+AO2185)*I2185</f>
        <v>0</v>
      </c>
      <c r="AQ2185" s="25">
        <f>SUM(N2185:Q2185)</f>
        <v>6.1749999999999998</v>
      </c>
      <c r="AR2185" s="25">
        <f>SUM(T2185:W2185)</f>
        <v>6.1750000000000007</v>
      </c>
      <c r="AT2185" s="41"/>
      <c r="AU2185" s="41"/>
      <c r="AV2185" s="41"/>
      <c r="AW2185" s="41"/>
    </row>
    <row r="2186" spans="1:88">
      <c r="A2186" s="1">
        <v>1803</v>
      </c>
      <c r="B2186" s="34" t="s">
        <v>2382</v>
      </c>
      <c r="C2186" s="34">
        <v>428</v>
      </c>
      <c r="D2186" s="8">
        <v>3701</v>
      </c>
      <c r="E2186" s="34">
        <v>500</v>
      </c>
      <c r="F2186" s="34" t="s">
        <v>2406</v>
      </c>
      <c r="G2186" s="58" t="s">
        <v>2409</v>
      </c>
      <c r="H2186" s="58" t="s">
        <v>2410</v>
      </c>
      <c r="I2186" s="35">
        <v>1.1499999999999999</v>
      </c>
      <c r="J2186" s="9">
        <v>2</v>
      </c>
      <c r="K2186" s="34" t="s">
        <v>238</v>
      </c>
      <c r="L2186" s="10">
        <v>42231</v>
      </c>
      <c r="M2186" s="9" t="s">
        <v>191</v>
      </c>
      <c r="N2186" s="38">
        <v>0.67500000000000004</v>
      </c>
      <c r="O2186" s="38">
        <v>0.17499999999999999</v>
      </c>
      <c r="P2186" s="38">
        <v>0.2</v>
      </c>
      <c r="Q2186" s="38">
        <v>0.05</v>
      </c>
      <c r="R2186" s="38">
        <v>2.8370000000000002</v>
      </c>
      <c r="S2186" s="38">
        <f t="shared" si="358"/>
        <v>3</v>
      </c>
      <c r="T2186" s="38">
        <v>1.1000000000000001</v>
      </c>
      <c r="U2186" s="38">
        <v>0</v>
      </c>
      <c r="V2186" s="38">
        <v>0</v>
      </c>
      <c r="W2186" s="38">
        <v>0</v>
      </c>
      <c r="X2186" s="38">
        <v>4.3159999999999998</v>
      </c>
      <c r="Y2186" s="38">
        <f t="shared" si="359"/>
        <v>4.5</v>
      </c>
      <c r="Z2186" s="38">
        <v>0</v>
      </c>
      <c r="AA2186" s="38">
        <v>0</v>
      </c>
      <c r="AB2186" s="38">
        <f t="shared" si="362"/>
        <v>1.1000000000000001</v>
      </c>
      <c r="AC2186" s="38">
        <v>1.135</v>
      </c>
      <c r="AD2186" s="38">
        <v>0</v>
      </c>
      <c r="AE2186" s="38">
        <v>0</v>
      </c>
      <c r="AF2186" s="38">
        <f t="shared" si="363"/>
        <v>0</v>
      </c>
      <c r="AG2186" s="38">
        <f t="shared" si="361"/>
        <v>0</v>
      </c>
      <c r="AH2186" s="38">
        <v>0</v>
      </c>
      <c r="AI2186" s="38">
        <f t="shared" si="364"/>
        <v>0</v>
      </c>
      <c r="AJ2186" s="38">
        <v>0</v>
      </c>
      <c r="AK2186" s="38">
        <f t="shared" si="365"/>
        <v>0</v>
      </c>
      <c r="AL2186" s="38">
        <v>0</v>
      </c>
      <c r="AM2186" s="38">
        <f t="shared" si="366"/>
        <v>0</v>
      </c>
      <c r="AN2186" s="25"/>
      <c r="AO2186" s="25">
        <f t="shared" si="367"/>
        <v>0</v>
      </c>
      <c r="AP2186" s="25">
        <f t="shared" si="368"/>
        <v>0</v>
      </c>
      <c r="AQ2186" s="25"/>
      <c r="AR2186" s="25"/>
      <c r="AS2186" s="22"/>
      <c r="AT2186" s="41"/>
      <c r="AU2186" s="41"/>
      <c r="AV2186" s="41"/>
      <c r="AW2186" s="41"/>
      <c r="AX2186" s="22"/>
      <c r="AY2186" s="22"/>
      <c r="AZ2186" s="22"/>
      <c r="BA2186" s="22"/>
      <c r="BB2186" s="22"/>
      <c r="BC2186" s="22"/>
      <c r="BD2186" s="22"/>
      <c r="BE2186" s="22"/>
      <c r="BF2186" s="22"/>
      <c r="BG2186" s="22"/>
      <c r="BH2186" s="22"/>
      <c r="BI2186" s="22"/>
      <c r="BJ2186" s="22"/>
      <c r="BK2186" s="22"/>
      <c r="BL2186" s="22"/>
      <c r="BM2186" s="22"/>
      <c r="BN2186" s="22"/>
      <c r="BO2186" s="22"/>
      <c r="BP2186" s="22"/>
      <c r="BQ2186" s="22"/>
      <c r="BR2186" s="22"/>
      <c r="BS2186" s="22"/>
      <c r="BT2186" s="22"/>
      <c r="BU2186" s="22"/>
      <c r="BV2186" s="22"/>
      <c r="BW2186" s="22"/>
      <c r="BX2186" s="22"/>
      <c r="BY2186" s="22"/>
      <c r="BZ2186" s="22"/>
      <c r="CA2186" s="22"/>
      <c r="CB2186" s="22"/>
      <c r="CC2186" s="22"/>
      <c r="CD2186" s="22"/>
      <c r="CE2186" s="22"/>
      <c r="CF2186" s="22"/>
      <c r="CG2186" s="22"/>
      <c r="CH2186" s="22"/>
      <c r="CI2186" s="22"/>
      <c r="CJ2186" s="22"/>
    </row>
    <row r="2187" spans="1:88">
      <c r="A2187" s="1">
        <v>1804</v>
      </c>
      <c r="B2187" s="34" t="s">
        <v>2382</v>
      </c>
      <c r="C2187" s="34">
        <v>428</v>
      </c>
      <c r="D2187" s="8">
        <v>3701</v>
      </c>
      <c r="E2187" s="34">
        <v>500</v>
      </c>
      <c r="F2187" s="34" t="s">
        <v>2406</v>
      </c>
      <c r="G2187" s="58" t="s">
        <v>2411</v>
      </c>
      <c r="H2187" s="58" t="s">
        <v>2412</v>
      </c>
      <c r="I2187" s="35">
        <v>6.5</v>
      </c>
      <c r="J2187" s="9">
        <v>2</v>
      </c>
      <c r="K2187" s="34" t="s">
        <v>238</v>
      </c>
      <c r="L2187" s="10">
        <v>42231</v>
      </c>
      <c r="M2187" s="9" t="s">
        <v>191</v>
      </c>
      <c r="N2187" s="38">
        <v>4.875</v>
      </c>
      <c r="O2187" s="38">
        <v>1.05</v>
      </c>
      <c r="P2187" s="38">
        <v>0.5</v>
      </c>
      <c r="Q2187" s="38">
        <v>0.125</v>
      </c>
      <c r="R2187" s="38">
        <v>2.16</v>
      </c>
      <c r="S2187" s="38">
        <f t="shared" si="358"/>
        <v>2</v>
      </c>
      <c r="T2187" s="38">
        <v>6.3</v>
      </c>
      <c r="U2187" s="38">
        <v>0.2</v>
      </c>
      <c r="V2187" s="38">
        <v>0.05</v>
      </c>
      <c r="W2187" s="38">
        <v>0</v>
      </c>
      <c r="X2187" s="38">
        <v>5.2560000000000002</v>
      </c>
      <c r="Y2187" s="38">
        <f t="shared" si="359"/>
        <v>5.5</v>
      </c>
      <c r="Z2187" s="38">
        <v>0</v>
      </c>
      <c r="AA2187" s="38">
        <v>0</v>
      </c>
      <c r="AB2187" s="38">
        <f t="shared" si="362"/>
        <v>6.55</v>
      </c>
      <c r="AC2187" s="38">
        <v>1.1419999999999999</v>
      </c>
      <c r="AD2187" s="38">
        <v>0</v>
      </c>
      <c r="AE2187" s="38">
        <v>0</v>
      </c>
      <c r="AF2187" s="38">
        <f t="shared" si="363"/>
        <v>0</v>
      </c>
      <c r="AG2187" s="38">
        <f t="shared" si="361"/>
        <v>0</v>
      </c>
      <c r="AH2187" s="38">
        <v>8.3000000000000007</v>
      </c>
      <c r="AI2187" s="38">
        <f t="shared" si="364"/>
        <v>3.6483516483516484E-2</v>
      </c>
      <c r="AJ2187" s="38">
        <v>0</v>
      </c>
      <c r="AK2187" s="38">
        <f t="shared" si="365"/>
        <v>0</v>
      </c>
      <c r="AL2187" s="38">
        <v>0</v>
      </c>
      <c r="AM2187" s="38">
        <f t="shared" si="366"/>
        <v>0</v>
      </c>
      <c r="AN2187" s="25"/>
      <c r="AO2187" s="25">
        <f t="shared" si="367"/>
        <v>0</v>
      </c>
      <c r="AP2187" s="25">
        <f t="shared" si="368"/>
        <v>53.95</v>
      </c>
      <c r="AQ2187" s="25"/>
      <c r="AR2187" s="25"/>
      <c r="AS2187" s="22"/>
      <c r="AT2187" s="41"/>
      <c r="AU2187" s="41"/>
      <c r="AV2187" s="41"/>
      <c r="AW2187" s="41"/>
      <c r="AX2187" s="22"/>
      <c r="AY2187" s="22"/>
      <c r="AZ2187" s="22"/>
      <c r="BA2187" s="22"/>
      <c r="BB2187" s="22"/>
      <c r="BC2187" s="22"/>
      <c r="BD2187" s="22"/>
      <c r="BE2187" s="22"/>
      <c r="BF2187" s="22"/>
      <c r="BG2187" s="22"/>
      <c r="BH2187" s="22"/>
      <c r="BI2187" s="22"/>
      <c r="BJ2187" s="22"/>
      <c r="BK2187" s="22"/>
      <c r="BL2187" s="22"/>
      <c r="BM2187" s="22"/>
      <c r="BN2187" s="22"/>
      <c r="BO2187" s="22"/>
      <c r="BP2187" s="22"/>
      <c r="BQ2187" s="22"/>
      <c r="BR2187" s="22"/>
      <c r="BS2187" s="22"/>
      <c r="BT2187" s="22"/>
      <c r="BU2187" s="22"/>
      <c r="BV2187" s="22"/>
      <c r="BW2187" s="22"/>
      <c r="BX2187" s="22"/>
      <c r="BY2187" s="22"/>
      <c r="BZ2187" s="22"/>
      <c r="CA2187" s="22"/>
      <c r="CB2187" s="22"/>
      <c r="CC2187" s="22"/>
      <c r="CD2187" s="22"/>
      <c r="CE2187" s="22"/>
      <c r="CF2187" s="22"/>
      <c r="CG2187" s="22"/>
      <c r="CH2187" s="22"/>
      <c r="CI2187" s="22"/>
      <c r="CJ2187" s="22"/>
    </row>
    <row r="2188" spans="1:88" s="22" customFormat="1">
      <c r="A2188" s="1">
        <v>1805</v>
      </c>
      <c r="B2188" s="34" t="s">
        <v>2382</v>
      </c>
      <c r="C2188" s="34">
        <v>428</v>
      </c>
      <c r="D2188" s="8">
        <v>3701</v>
      </c>
      <c r="E2188" s="34">
        <v>500</v>
      </c>
      <c r="F2188" s="34" t="s">
        <v>2406</v>
      </c>
      <c r="G2188" s="58" t="s">
        <v>2412</v>
      </c>
      <c r="H2188" s="58" t="s">
        <v>2413</v>
      </c>
      <c r="I2188" s="35">
        <v>0.5</v>
      </c>
      <c r="J2188" s="9">
        <v>2</v>
      </c>
      <c r="K2188" s="34" t="s">
        <v>238</v>
      </c>
      <c r="L2188" s="10">
        <v>42231</v>
      </c>
      <c r="M2188" s="9" t="s">
        <v>191</v>
      </c>
      <c r="N2188" s="38">
        <v>0.22500000000000001</v>
      </c>
      <c r="O2188" s="38">
        <v>7.4999999999999997E-2</v>
      </c>
      <c r="P2188" s="38">
        <v>2.5000000000000001E-2</v>
      </c>
      <c r="Q2188" s="38">
        <v>0.2</v>
      </c>
      <c r="R2188" s="38">
        <v>4.0860000000000003</v>
      </c>
      <c r="S2188" s="38">
        <f t="shared" si="358"/>
        <v>4</v>
      </c>
      <c r="T2188" s="38">
        <v>0.5</v>
      </c>
      <c r="U2188" s="38">
        <v>2.5000000000000001E-2</v>
      </c>
      <c r="V2188" s="38">
        <v>0</v>
      </c>
      <c r="W2188" s="38">
        <v>0</v>
      </c>
      <c r="X2188" s="38">
        <v>4.9610000000000003</v>
      </c>
      <c r="Y2188" s="38">
        <f t="shared" si="359"/>
        <v>5</v>
      </c>
      <c r="Z2188" s="38">
        <v>0</v>
      </c>
      <c r="AA2188" s="38">
        <v>0</v>
      </c>
      <c r="AB2188" s="38">
        <f t="shared" si="362"/>
        <v>0.52500000000000002</v>
      </c>
      <c r="AC2188" s="38">
        <v>0.95799999999999996</v>
      </c>
      <c r="AD2188" s="38">
        <v>0</v>
      </c>
      <c r="AE2188" s="38">
        <v>0</v>
      </c>
      <c r="AF2188" s="38">
        <f t="shared" si="363"/>
        <v>0</v>
      </c>
      <c r="AG2188" s="38">
        <f t="shared" si="361"/>
        <v>0</v>
      </c>
      <c r="AH2188" s="38">
        <v>0</v>
      </c>
      <c r="AI2188" s="38">
        <f t="shared" si="364"/>
        <v>0</v>
      </c>
      <c r="AJ2188" s="38">
        <v>0</v>
      </c>
      <c r="AK2188" s="38">
        <f t="shared" si="365"/>
        <v>0</v>
      </c>
      <c r="AL2188" s="38">
        <v>0</v>
      </c>
      <c r="AM2188" s="38">
        <f t="shared" si="366"/>
        <v>0</v>
      </c>
      <c r="AN2188" s="25"/>
      <c r="AO2188" s="25">
        <f t="shared" si="367"/>
        <v>0</v>
      </c>
      <c r="AP2188" s="25">
        <f t="shared" si="368"/>
        <v>0</v>
      </c>
      <c r="AQ2188" s="25"/>
      <c r="AR2188" s="25"/>
      <c r="AT2188" s="41"/>
      <c r="AU2188" s="41"/>
      <c r="AV2188" s="41"/>
      <c r="AW2188" s="41"/>
    </row>
    <row r="2189" spans="1:88" s="22" customFormat="1">
      <c r="A2189" s="1">
        <v>1806</v>
      </c>
      <c r="B2189" s="34" t="s">
        <v>2382</v>
      </c>
      <c r="C2189" s="34">
        <v>428</v>
      </c>
      <c r="D2189" s="8">
        <v>3701</v>
      </c>
      <c r="E2189" s="34">
        <v>500</v>
      </c>
      <c r="F2189" s="34" t="s">
        <v>2406</v>
      </c>
      <c r="G2189" s="58" t="s">
        <v>2414</v>
      </c>
      <c r="H2189" s="58" t="s">
        <v>2415</v>
      </c>
      <c r="I2189" s="35">
        <v>0.3</v>
      </c>
      <c r="J2189" s="9">
        <v>2</v>
      </c>
      <c r="K2189" s="34" t="s">
        <v>238</v>
      </c>
      <c r="L2189" s="10">
        <v>42231</v>
      </c>
      <c r="M2189" s="9" t="s">
        <v>191</v>
      </c>
      <c r="N2189" s="38">
        <v>0.1</v>
      </c>
      <c r="O2189" s="38">
        <v>0.05</v>
      </c>
      <c r="P2189" s="38">
        <v>0.1</v>
      </c>
      <c r="Q2189" s="38">
        <v>0.1</v>
      </c>
      <c r="R2189" s="38">
        <v>4.024</v>
      </c>
      <c r="S2189" s="38">
        <f t="shared" si="358"/>
        <v>4</v>
      </c>
      <c r="T2189" s="38">
        <v>0.27500000000000002</v>
      </c>
      <c r="U2189" s="38">
        <v>7.4999999999999997E-2</v>
      </c>
      <c r="V2189" s="38">
        <v>0</v>
      </c>
      <c r="W2189" s="38">
        <v>0</v>
      </c>
      <c r="X2189" s="38">
        <v>6.7009999999999996</v>
      </c>
      <c r="Y2189" s="38">
        <f t="shared" si="359"/>
        <v>6.5</v>
      </c>
      <c r="Z2189" s="38">
        <v>0</v>
      </c>
      <c r="AA2189" s="38">
        <v>0</v>
      </c>
      <c r="AB2189" s="38">
        <f t="shared" si="362"/>
        <v>0.35</v>
      </c>
      <c r="AC2189" s="38">
        <v>0.95</v>
      </c>
      <c r="AD2189" s="38">
        <v>0</v>
      </c>
      <c r="AE2189" s="38">
        <v>0</v>
      </c>
      <c r="AF2189" s="38">
        <f t="shared" si="363"/>
        <v>0</v>
      </c>
      <c r="AG2189" s="38">
        <f t="shared" si="361"/>
        <v>0</v>
      </c>
      <c r="AH2189" s="38">
        <v>0</v>
      </c>
      <c r="AI2189" s="38">
        <f t="shared" si="364"/>
        <v>0</v>
      </c>
      <c r="AJ2189" s="38">
        <v>0</v>
      </c>
      <c r="AK2189" s="38">
        <f t="shared" si="365"/>
        <v>0</v>
      </c>
      <c r="AL2189" s="38">
        <v>0</v>
      </c>
      <c r="AM2189" s="38">
        <f t="shared" si="366"/>
        <v>0</v>
      </c>
      <c r="AN2189" s="25"/>
      <c r="AO2189" s="25">
        <f t="shared" si="367"/>
        <v>0</v>
      </c>
      <c r="AP2189" s="25">
        <f t="shared" si="368"/>
        <v>0</v>
      </c>
      <c r="AQ2189" s="25"/>
      <c r="AR2189" s="25"/>
      <c r="AT2189" s="41"/>
      <c r="AU2189" s="41"/>
      <c r="AV2189" s="41"/>
      <c r="AW2189" s="41"/>
    </row>
    <row r="2190" spans="1:88" s="22" customFormat="1">
      <c r="A2190" s="1">
        <v>1807</v>
      </c>
      <c r="B2190" s="34" t="s">
        <v>2382</v>
      </c>
      <c r="C2190" s="34">
        <v>428</v>
      </c>
      <c r="D2190" s="8">
        <v>3701</v>
      </c>
      <c r="E2190" s="34">
        <v>500</v>
      </c>
      <c r="F2190" s="34" t="s">
        <v>2406</v>
      </c>
      <c r="G2190" s="58" t="s">
        <v>2416</v>
      </c>
      <c r="H2190" s="58" t="s">
        <v>2417</v>
      </c>
      <c r="I2190" s="35">
        <v>2.44</v>
      </c>
      <c r="J2190" s="9">
        <v>2</v>
      </c>
      <c r="K2190" s="34" t="s">
        <v>238</v>
      </c>
      <c r="L2190" s="10">
        <v>42231</v>
      </c>
      <c r="M2190" s="9" t="s">
        <v>191</v>
      </c>
      <c r="N2190" s="38">
        <v>1.5249999999999999</v>
      </c>
      <c r="O2190" s="38">
        <v>0.375</v>
      </c>
      <c r="P2190" s="38">
        <v>0.25</v>
      </c>
      <c r="Q2190" s="38">
        <v>2.5000000000000001E-2</v>
      </c>
      <c r="R2190" s="38">
        <v>2.2890000000000001</v>
      </c>
      <c r="S2190" s="38">
        <f t="shared" si="358"/>
        <v>2.5</v>
      </c>
      <c r="T2190" s="38">
        <v>2.1749999999999998</v>
      </c>
      <c r="U2190" s="38">
        <v>0</v>
      </c>
      <c r="V2190" s="38">
        <v>0</v>
      </c>
      <c r="W2190" s="38">
        <v>0</v>
      </c>
      <c r="X2190" s="38">
        <v>4.0549999999999997</v>
      </c>
      <c r="Y2190" s="38">
        <f t="shared" si="359"/>
        <v>4</v>
      </c>
      <c r="Z2190" s="38">
        <v>0</v>
      </c>
      <c r="AA2190" s="38">
        <v>0</v>
      </c>
      <c r="AB2190" s="38">
        <f t="shared" si="362"/>
        <v>2.1749999999999998</v>
      </c>
      <c r="AC2190" s="38">
        <v>1.0940000000000001</v>
      </c>
      <c r="AD2190" s="38">
        <v>0</v>
      </c>
      <c r="AE2190" s="38">
        <v>0</v>
      </c>
      <c r="AF2190" s="38">
        <f t="shared" si="363"/>
        <v>0</v>
      </c>
      <c r="AG2190" s="38">
        <f t="shared" si="361"/>
        <v>0</v>
      </c>
      <c r="AH2190" s="38">
        <v>0</v>
      </c>
      <c r="AI2190" s="38">
        <f t="shared" si="364"/>
        <v>0</v>
      </c>
      <c r="AJ2190" s="38">
        <v>0</v>
      </c>
      <c r="AK2190" s="38">
        <f t="shared" si="365"/>
        <v>0</v>
      </c>
      <c r="AL2190" s="38">
        <v>0</v>
      </c>
      <c r="AM2190" s="38">
        <f t="shared" si="366"/>
        <v>0</v>
      </c>
      <c r="AN2190" s="25"/>
      <c r="AO2190" s="25">
        <f t="shared" si="367"/>
        <v>0</v>
      </c>
      <c r="AP2190" s="25">
        <f t="shared" si="368"/>
        <v>0</v>
      </c>
      <c r="AQ2190" s="25"/>
      <c r="AR2190" s="25"/>
      <c r="AT2190" s="41"/>
      <c r="AU2190" s="41"/>
      <c r="AV2190" s="41"/>
      <c r="AW2190" s="41"/>
    </row>
    <row r="2191" spans="1:88">
      <c r="A2191" s="1">
        <v>1808</v>
      </c>
      <c r="B2191" s="34" t="s">
        <v>2382</v>
      </c>
      <c r="C2191" s="34">
        <v>428</v>
      </c>
      <c r="D2191" s="8">
        <v>3701</v>
      </c>
      <c r="E2191" s="34">
        <v>500</v>
      </c>
      <c r="F2191" s="34" t="s">
        <v>2406</v>
      </c>
      <c r="G2191" s="58" t="s">
        <v>2418</v>
      </c>
      <c r="H2191" s="58" t="s">
        <v>2419</v>
      </c>
      <c r="I2191" s="35">
        <v>0.65</v>
      </c>
      <c r="J2191" s="9">
        <v>2</v>
      </c>
      <c r="K2191" s="34" t="s">
        <v>238</v>
      </c>
      <c r="L2191" s="10">
        <v>42231</v>
      </c>
      <c r="M2191" s="9" t="s">
        <v>191</v>
      </c>
      <c r="N2191" s="38">
        <v>0.55000000000000004</v>
      </c>
      <c r="O2191" s="38">
        <v>0.15</v>
      </c>
      <c r="P2191" s="38">
        <v>0</v>
      </c>
      <c r="Q2191" s="38">
        <v>0</v>
      </c>
      <c r="R2191" s="38">
        <v>2.0030000000000001</v>
      </c>
      <c r="S2191" s="38">
        <f t="shared" si="358"/>
        <v>2</v>
      </c>
      <c r="T2191" s="38">
        <v>0.67500000000000004</v>
      </c>
      <c r="U2191" s="38">
        <v>2.5000000000000001E-2</v>
      </c>
      <c r="V2191" s="38">
        <v>0</v>
      </c>
      <c r="W2191" s="38">
        <v>0</v>
      </c>
      <c r="X2191" s="38">
        <v>4.66</v>
      </c>
      <c r="Y2191" s="38">
        <f t="shared" si="359"/>
        <v>4.5</v>
      </c>
      <c r="Z2191" s="38">
        <v>0</v>
      </c>
      <c r="AA2191" s="38">
        <v>0</v>
      </c>
      <c r="AB2191" s="38">
        <f t="shared" si="362"/>
        <v>0.70000000000000007</v>
      </c>
      <c r="AC2191" s="38">
        <v>1.0149999999999999</v>
      </c>
      <c r="AD2191" s="38">
        <v>0</v>
      </c>
      <c r="AE2191" s="38">
        <v>0</v>
      </c>
      <c r="AF2191" s="38">
        <f t="shared" si="363"/>
        <v>0</v>
      </c>
      <c r="AG2191" s="38">
        <f t="shared" si="361"/>
        <v>0</v>
      </c>
      <c r="AH2191" s="38">
        <v>0</v>
      </c>
      <c r="AI2191" s="38">
        <f t="shared" si="364"/>
        <v>0</v>
      </c>
      <c r="AJ2191" s="38">
        <v>0</v>
      </c>
      <c r="AK2191" s="38">
        <f t="shared" si="365"/>
        <v>0</v>
      </c>
      <c r="AL2191" s="38">
        <v>0</v>
      </c>
      <c r="AM2191" s="38">
        <f t="shared" si="366"/>
        <v>0</v>
      </c>
      <c r="AN2191" s="25"/>
      <c r="AO2191" s="25">
        <f t="shared" si="367"/>
        <v>0</v>
      </c>
      <c r="AP2191" s="25">
        <f t="shared" si="368"/>
        <v>0</v>
      </c>
      <c r="AQ2191" s="25"/>
      <c r="AR2191" s="25"/>
      <c r="AS2191" s="22"/>
      <c r="AT2191" s="41"/>
      <c r="AU2191" s="41"/>
      <c r="AV2191" s="41"/>
      <c r="AW2191" s="41"/>
      <c r="AX2191" s="22"/>
      <c r="AY2191" s="22"/>
      <c r="AZ2191" s="22"/>
      <c r="BA2191" s="22"/>
      <c r="BB2191" s="22"/>
      <c r="BC2191" s="22"/>
      <c r="BD2191" s="22"/>
      <c r="BE2191" s="22"/>
      <c r="BF2191" s="22"/>
      <c r="BG2191" s="22"/>
      <c r="BH2191" s="22"/>
      <c r="BI2191" s="22"/>
      <c r="BJ2191" s="22"/>
      <c r="BK2191" s="22"/>
      <c r="BL2191" s="22"/>
      <c r="BM2191" s="22"/>
      <c r="BN2191" s="22"/>
      <c r="BO2191" s="22"/>
      <c r="BP2191" s="22"/>
      <c r="BQ2191" s="22"/>
      <c r="BR2191" s="22"/>
      <c r="BS2191" s="22"/>
      <c r="BT2191" s="22"/>
      <c r="BU2191" s="22"/>
      <c r="BV2191" s="22"/>
      <c r="BW2191" s="22"/>
      <c r="BX2191" s="22"/>
      <c r="BY2191" s="22"/>
      <c r="BZ2191" s="22"/>
      <c r="CA2191" s="22"/>
      <c r="CB2191" s="22"/>
      <c r="CC2191" s="22"/>
      <c r="CD2191" s="22"/>
      <c r="CE2191" s="22"/>
      <c r="CF2191" s="22"/>
      <c r="CG2191" s="22"/>
      <c r="CH2191" s="22"/>
      <c r="CI2191" s="22"/>
      <c r="CJ2191" s="22"/>
    </row>
    <row r="2192" spans="1:88">
      <c r="A2192" s="1">
        <v>1810</v>
      </c>
      <c r="B2192" s="34" t="s">
        <v>2382</v>
      </c>
      <c r="C2192" s="34">
        <v>428</v>
      </c>
      <c r="D2192" s="8">
        <v>3701</v>
      </c>
      <c r="E2192" s="34">
        <v>500</v>
      </c>
      <c r="F2192" s="34" t="s">
        <v>2406</v>
      </c>
      <c r="G2192" s="58" t="s">
        <v>2422</v>
      </c>
      <c r="H2192" s="58" t="s">
        <v>2423</v>
      </c>
      <c r="I2192" s="35">
        <v>3.3250000000000002</v>
      </c>
      <c r="J2192" s="9">
        <v>2</v>
      </c>
      <c r="K2192" s="34" t="s">
        <v>238</v>
      </c>
      <c r="L2192" s="10">
        <v>42231</v>
      </c>
      <c r="M2192" s="9" t="s">
        <v>191</v>
      </c>
      <c r="N2192" s="38">
        <v>2.4249999999999998</v>
      </c>
      <c r="O2192" s="38">
        <v>0.8</v>
      </c>
      <c r="P2192" s="38">
        <v>0.25</v>
      </c>
      <c r="Q2192" s="38">
        <v>0</v>
      </c>
      <c r="R2192" s="38">
        <v>2.2509999999999999</v>
      </c>
      <c r="S2192" s="38">
        <f t="shared" si="358"/>
        <v>2.5</v>
      </c>
      <c r="T2192" s="38">
        <v>3.4</v>
      </c>
      <c r="U2192" s="38">
        <v>7.4999999999999997E-2</v>
      </c>
      <c r="V2192" s="38">
        <v>0</v>
      </c>
      <c r="W2192" s="38">
        <v>0</v>
      </c>
      <c r="X2192" s="38">
        <v>5.3470000000000004</v>
      </c>
      <c r="Y2192" s="38">
        <f t="shared" si="359"/>
        <v>5.5</v>
      </c>
      <c r="Z2192" s="38">
        <v>0</v>
      </c>
      <c r="AA2192" s="38">
        <v>0</v>
      </c>
      <c r="AB2192" s="38">
        <f t="shared" si="362"/>
        <v>3.4749999999999996</v>
      </c>
      <c r="AC2192" s="38">
        <v>1.196</v>
      </c>
      <c r="AD2192" s="38">
        <v>0</v>
      </c>
      <c r="AE2192" s="38">
        <v>0</v>
      </c>
      <c r="AF2192" s="38">
        <f t="shared" si="363"/>
        <v>0</v>
      </c>
      <c r="AG2192" s="38">
        <f t="shared" si="361"/>
        <v>0</v>
      </c>
      <c r="AH2192" s="38">
        <v>0</v>
      </c>
      <c r="AI2192" s="38">
        <f t="shared" si="364"/>
        <v>0</v>
      </c>
      <c r="AJ2192" s="38">
        <v>0</v>
      </c>
      <c r="AK2192" s="38">
        <f t="shared" si="365"/>
        <v>0</v>
      </c>
      <c r="AL2192" s="38">
        <v>0</v>
      </c>
      <c r="AM2192" s="38">
        <f t="shared" si="366"/>
        <v>0</v>
      </c>
      <c r="AN2192" s="25"/>
      <c r="AO2192" s="25">
        <f t="shared" si="367"/>
        <v>0</v>
      </c>
      <c r="AP2192" s="25">
        <f t="shared" si="368"/>
        <v>0</v>
      </c>
      <c r="AQ2192" s="25"/>
      <c r="AR2192" s="25"/>
      <c r="AS2192" s="22"/>
      <c r="AT2192" s="41"/>
      <c r="AU2192" s="41"/>
      <c r="AV2192" s="41"/>
      <c r="AW2192" s="41"/>
      <c r="AX2192" s="22"/>
      <c r="AY2192" s="22"/>
      <c r="AZ2192" s="22"/>
      <c r="BA2192" s="22"/>
      <c r="BB2192" s="22"/>
      <c r="BC2192" s="22"/>
      <c r="BD2192" s="22"/>
      <c r="BE2192" s="22"/>
      <c r="BF2192" s="22"/>
      <c r="BG2192" s="22"/>
      <c r="BH2192" s="22"/>
      <c r="BI2192" s="22"/>
      <c r="BJ2192" s="22"/>
      <c r="BK2192" s="22"/>
      <c r="BL2192" s="22"/>
      <c r="BM2192" s="22"/>
      <c r="BN2192" s="22"/>
      <c r="BO2192" s="22"/>
      <c r="BP2192" s="22"/>
      <c r="BQ2192" s="22"/>
      <c r="BR2192" s="22"/>
      <c r="BS2192" s="22"/>
      <c r="BT2192" s="22"/>
      <c r="BU2192" s="22"/>
      <c r="BV2192" s="22"/>
      <c r="BW2192" s="22"/>
      <c r="BX2192" s="22"/>
      <c r="BY2192" s="22"/>
      <c r="BZ2192" s="22"/>
      <c r="CA2192" s="22"/>
      <c r="CB2192" s="22"/>
      <c r="CC2192" s="22"/>
      <c r="CD2192" s="22"/>
      <c r="CE2192" s="22"/>
      <c r="CF2192" s="22"/>
      <c r="CG2192" s="22"/>
      <c r="CH2192" s="22"/>
      <c r="CI2192" s="22"/>
      <c r="CJ2192" s="22"/>
    </row>
    <row r="2193" spans="1:88">
      <c r="A2193" s="1">
        <v>1811</v>
      </c>
      <c r="B2193" s="34" t="s">
        <v>2382</v>
      </c>
      <c r="C2193" s="34">
        <v>428</v>
      </c>
      <c r="D2193" s="8">
        <v>3701</v>
      </c>
      <c r="E2193" s="34">
        <v>500</v>
      </c>
      <c r="F2193" s="34" t="s">
        <v>2406</v>
      </c>
      <c r="G2193" s="58" t="s">
        <v>2424</v>
      </c>
      <c r="H2193" s="58" t="s">
        <v>2425</v>
      </c>
      <c r="I2193" s="35">
        <v>2.2069999999999999</v>
      </c>
      <c r="J2193" s="9">
        <v>2</v>
      </c>
      <c r="K2193" s="34" t="s">
        <v>238</v>
      </c>
      <c r="L2193" s="10">
        <v>42231</v>
      </c>
      <c r="M2193" s="9" t="s">
        <v>191</v>
      </c>
      <c r="N2193" s="38">
        <v>1.7250000000000001</v>
      </c>
      <c r="O2193" s="38">
        <v>0.375</v>
      </c>
      <c r="P2193" s="38">
        <v>0.1</v>
      </c>
      <c r="Q2193" s="38">
        <v>0</v>
      </c>
      <c r="R2193" s="38">
        <v>1.996</v>
      </c>
      <c r="S2193" s="38">
        <f t="shared" si="358"/>
        <v>2</v>
      </c>
      <c r="T2193" s="38">
        <v>2.2000000000000002</v>
      </c>
      <c r="U2193" s="38">
        <v>0</v>
      </c>
      <c r="V2193" s="38">
        <v>0</v>
      </c>
      <c r="W2193" s="38">
        <v>0</v>
      </c>
      <c r="X2193" s="38">
        <v>5.4850000000000003</v>
      </c>
      <c r="Y2193" s="38">
        <f t="shared" si="359"/>
        <v>5.5</v>
      </c>
      <c r="Z2193" s="38">
        <v>0</v>
      </c>
      <c r="AA2193" s="38">
        <v>0</v>
      </c>
      <c r="AB2193" s="38">
        <f t="shared" si="362"/>
        <v>2.2000000000000002</v>
      </c>
      <c r="AC2193" s="38">
        <v>1.0940000000000001</v>
      </c>
      <c r="AD2193" s="38">
        <v>0</v>
      </c>
      <c r="AE2193" s="38">
        <v>0</v>
      </c>
      <c r="AF2193" s="38">
        <f t="shared" si="363"/>
        <v>0</v>
      </c>
      <c r="AG2193" s="38">
        <f t="shared" si="361"/>
        <v>0</v>
      </c>
      <c r="AH2193" s="38">
        <v>0</v>
      </c>
      <c r="AI2193" s="38">
        <f t="shared" si="364"/>
        <v>0</v>
      </c>
      <c r="AJ2193" s="38">
        <v>0</v>
      </c>
      <c r="AK2193" s="38">
        <f t="shared" si="365"/>
        <v>0</v>
      </c>
      <c r="AL2193" s="38">
        <v>0</v>
      </c>
      <c r="AM2193" s="38">
        <f t="shared" si="366"/>
        <v>0</v>
      </c>
      <c r="AN2193" s="25"/>
      <c r="AO2193" s="25">
        <f t="shared" si="367"/>
        <v>0</v>
      </c>
      <c r="AP2193" s="25">
        <f t="shared" si="368"/>
        <v>0</v>
      </c>
      <c r="AQ2193" s="25"/>
      <c r="AR2193" s="25"/>
      <c r="AS2193" s="22"/>
      <c r="AT2193" s="41"/>
      <c r="AU2193" s="41"/>
      <c r="AV2193" s="41"/>
      <c r="AW2193" s="41"/>
      <c r="AX2193" s="22"/>
      <c r="AY2193" s="22"/>
      <c r="AZ2193" s="22"/>
      <c r="BA2193" s="22"/>
      <c r="BB2193" s="22"/>
      <c r="BC2193" s="22"/>
      <c r="BD2193" s="22"/>
      <c r="BE2193" s="22"/>
      <c r="BF2193" s="22"/>
      <c r="BG2193" s="22"/>
      <c r="BH2193" s="22"/>
      <c r="BI2193" s="22"/>
      <c r="BJ2193" s="22"/>
      <c r="BK2193" s="22"/>
      <c r="BL2193" s="22"/>
      <c r="BM2193" s="22"/>
      <c r="BN2193" s="22"/>
      <c r="BO2193" s="22"/>
      <c r="BP2193" s="22"/>
      <c r="BQ2193" s="22"/>
      <c r="BR2193" s="22"/>
      <c r="BS2193" s="22"/>
      <c r="BT2193" s="22"/>
      <c r="BU2193" s="22"/>
      <c r="BV2193" s="22"/>
      <c r="BW2193" s="22"/>
      <c r="BX2193" s="22"/>
      <c r="BY2193" s="22"/>
      <c r="BZ2193" s="22"/>
      <c r="CA2193" s="22"/>
      <c r="CB2193" s="22"/>
      <c r="CC2193" s="22"/>
      <c r="CD2193" s="22"/>
      <c r="CE2193" s="22"/>
      <c r="CF2193" s="22"/>
      <c r="CG2193" s="22"/>
      <c r="CH2193" s="22"/>
      <c r="CI2193" s="22"/>
      <c r="CJ2193" s="22"/>
    </row>
    <row r="2194" spans="1:88">
      <c r="A2194" s="1">
        <v>1812</v>
      </c>
      <c r="B2194" s="34" t="s">
        <v>2382</v>
      </c>
      <c r="C2194" s="34">
        <v>428</v>
      </c>
      <c r="D2194" s="8">
        <v>3701</v>
      </c>
      <c r="E2194" s="34">
        <v>500</v>
      </c>
      <c r="F2194" s="34" t="s">
        <v>2406</v>
      </c>
      <c r="G2194" s="58" t="s">
        <v>2426</v>
      </c>
      <c r="H2194" s="58" t="s">
        <v>2427</v>
      </c>
      <c r="I2194" s="35">
        <v>0.27</v>
      </c>
      <c r="J2194" s="9">
        <v>2</v>
      </c>
      <c r="K2194" s="34" t="s">
        <v>238</v>
      </c>
      <c r="L2194" s="10">
        <v>42231</v>
      </c>
      <c r="M2194" s="9" t="s">
        <v>191</v>
      </c>
      <c r="N2194" s="38">
        <v>0.125</v>
      </c>
      <c r="O2194" s="38">
        <v>0.15</v>
      </c>
      <c r="P2194" s="38">
        <v>2.5000000000000001E-2</v>
      </c>
      <c r="Q2194" s="38">
        <v>2.5000000000000001E-2</v>
      </c>
      <c r="R2194" s="38">
        <v>2.8769999999999998</v>
      </c>
      <c r="S2194" s="38">
        <f t="shared" si="358"/>
        <v>3</v>
      </c>
      <c r="T2194" s="38">
        <v>0.32500000000000001</v>
      </c>
      <c r="U2194" s="38">
        <v>0</v>
      </c>
      <c r="V2194" s="38">
        <v>0</v>
      </c>
      <c r="W2194" s="38">
        <v>0</v>
      </c>
      <c r="X2194" s="38">
        <v>3.9289999999999998</v>
      </c>
      <c r="Y2194" s="38">
        <f t="shared" si="359"/>
        <v>4</v>
      </c>
      <c r="Z2194" s="38">
        <v>0</v>
      </c>
      <c r="AA2194" s="38">
        <v>0</v>
      </c>
      <c r="AB2194" s="38">
        <f t="shared" si="362"/>
        <v>0.32500000000000007</v>
      </c>
      <c r="AC2194" s="38">
        <v>1.087</v>
      </c>
      <c r="AD2194" s="38">
        <v>0</v>
      </c>
      <c r="AE2194" s="38">
        <v>0</v>
      </c>
      <c r="AF2194" s="38">
        <f t="shared" si="363"/>
        <v>0</v>
      </c>
      <c r="AG2194" s="38">
        <f t="shared" si="361"/>
        <v>0</v>
      </c>
      <c r="AH2194" s="38">
        <v>0</v>
      </c>
      <c r="AI2194" s="38">
        <f t="shared" si="364"/>
        <v>0</v>
      </c>
      <c r="AJ2194" s="38">
        <v>0</v>
      </c>
      <c r="AK2194" s="38">
        <f t="shared" si="365"/>
        <v>0</v>
      </c>
      <c r="AL2194" s="38">
        <v>0</v>
      </c>
      <c r="AM2194" s="38">
        <f t="shared" si="366"/>
        <v>0</v>
      </c>
      <c r="AN2194" s="25"/>
      <c r="AO2194" s="25">
        <f t="shared" si="367"/>
        <v>0</v>
      </c>
      <c r="AP2194" s="25">
        <f t="shared" si="368"/>
        <v>0</v>
      </c>
      <c r="AQ2194" s="25"/>
      <c r="AR2194" s="25"/>
      <c r="AS2194" s="22"/>
      <c r="AT2194" s="41"/>
      <c r="AU2194" s="41"/>
      <c r="AV2194" s="41"/>
      <c r="AW2194" s="41"/>
      <c r="AX2194" s="22"/>
      <c r="AY2194" s="22"/>
      <c r="AZ2194" s="22"/>
      <c r="BA2194" s="22"/>
      <c r="BB2194" s="22"/>
      <c r="BC2194" s="22"/>
      <c r="BD2194" s="22"/>
      <c r="BE2194" s="22"/>
      <c r="BF2194" s="22"/>
      <c r="BG2194" s="22"/>
      <c r="BH2194" s="22"/>
      <c r="BI2194" s="22"/>
      <c r="BJ2194" s="22"/>
      <c r="BK2194" s="22"/>
      <c r="BL2194" s="22"/>
      <c r="BM2194" s="22"/>
      <c r="BN2194" s="22"/>
      <c r="BO2194" s="22"/>
      <c r="BP2194" s="22"/>
      <c r="BQ2194" s="22"/>
      <c r="BR2194" s="22"/>
      <c r="BS2194" s="22"/>
      <c r="BT2194" s="22"/>
      <c r="BU2194" s="22"/>
      <c r="BV2194" s="22"/>
      <c r="BW2194" s="22"/>
      <c r="BX2194" s="22"/>
      <c r="BY2194" s="22"/>
      <c r="BZ2194" s="22"/>
      <c r="CA2194" s="22"/>
      <c r="CB2194" s="22"/>
      <c r="CC2194" s="22"/>
      <c r="CD2194" s="22"/>
      <c r="CE2194" s="22"/>
      <c r="CF2194" s="22"/>
      <c r="CG2194" s="22"/>
      <c r="CH2194" s="22"/>
      <c r="CI2194" s="22"/>
      <c r="CJ2194" s="22"/>
    </row>
    <row r="2195" spans="1:88">
      <c r="A2195" s="1">
        <v>1813</v>
      </c>
      <c r="B2195" s="34" t="s">
        <v>2382</v>
      </c>
      <c r="C2195" s="34">
        <v>428</v>
      </c>
      <c r="D2195" s="8">
        <v>3701</v>
      </c>
      <c r="E2195" s="34">
        <v>500</v>
      </c>
      <c r="F2195" s="34" t="s">
        <v>2406</v>
      </c>
      <c r="G2195" s="58" t="s">
        <v>2428</v>
      </c>
      <c r="H2195" s="58" t="s">
        <v>2429</v>
      </c>
      <c r="I2195" s="35">
        <v>0.61499999999999999</v>
      </c>
      <c r="J2195" s="9">
        <v>2</v>
      </c>
      <c r="K2195" s="34" t="s">
        <v>238</v>
      </c>
      <c r="L2195" s="10">
        <v>42231</v>
      </c>
      <c r="M2195" s="9" t="s">
        <v>191</v>
      </c>
      <c r="N2195" s="38">
        <v>0.42499999999999999</v>
      </c>
      <c r="O2195" s="38">
        <v>0.2</v>
      </c>
      <c r="P2195" s="38">
        <v>0</v>
      </c>
      <c r="Q2195" s="38">
        <v>0</v>
      </c>
      <c r="R2195" s="38">
        <v>2.0950000000000002</v>
      </c>
      <c r="S2195" s="38">
        <f t="shared" si="358"/>
        <v>2</v>
      </c>
      <c r="T2195" s="38">
        <v>0.625</v>
      </c>
      <c r="U2195" s="38">
        <v>0</v>
      </c>
      <c r="V2195" s="38">
        <v>0</v>
      </c>
      <c r="W2195" s="38">
        <v>0</v>
      </c>
      <c r="X2195" s="38">
        <v>1.8080000000000001</v>
      </c>
      <c r="Y2195" s="38">
        <f t="shared" si="359"/>
        <v>2</v>
      </c>
      <c r="Z2195" s="38">
        <v>0</v>
      </c>
      <c r="AA2195" s="38">
        <v>0</v>
      </c>
      <c r="AB2195" s="38">
        <f t="shared" si="362"/>
        <v>0.625</v>
      </c>
      <c r="AC2195" s="38">
        <v>1.1679999999999999</v>
      </c>
      <c r="AD2195" s="38">
        <v>0</v>
      </c>
      <c r="AE2195" s="38">
        <v>0</v>
      </c>
      <c r="AF2195" s="38">
        <f t="shared" si="363"/>
        <v>0</v>
      </c>
      <c r="AG2195" s="38">
        <f t="shared" si="361"/>
        <v>0</v>
      </c>
      <c r="AH2195" s="38">
        <v>0</v>
      </c>
      <c r="AI2195" s="38">
        <f t="shared" si="364"/>
        <v>0</v>
      </c>
      <c r="AJ2195" s="38">
        <v>0</v>
      </c>
      <c r="AK2195" s="38">
        <f t="shared" si="365"/>
        <v>0</v>
      </c>
      <c r="AL2195" s="38">
        <v>0</v>
      </c>
      <c r="AM2195" s="38">
        <f t="shared" si="366"/>
        <v>0</v>
      </c>
      <c r="AN2195" s="25"/>
      <c r="AO2195" s="25">
        <f t="shared" si="367"/>
        <v>0</v>
      </c>
      <c r="AP2195" s="25">
        <f t="shared" si="368"/>
        <v>0</v>
      </c>
      <c r="AQ2195" s="25"/>
      <c r="AR2195" s="25"/>
      <c r="AS2195" s="22"/>
      <c r="AT2195" s="41"/>
      <c r="AU2195" s="41"/>
      <c r="AV2195" s="41"/>
      <c r="AW2195" s="41"/>
      <c r="AX2195" s="22"/>
      <c r="AY2195" s="22"/>
      <c r="AZ2195" s="22"/>
      <c r="BA2195" s="22"/>
      <c r="BB2195" s="22"/>
      <c r="BC2195" s="22"/>
      <c r="BD2195" s="22"/>
      <c r="BE2195" s="22"/>
      <c r="BF2195" s="22"/>
      <c r="BG2195" s="22"/>
      <c r="BH2195" s="22"/>
      <c r="BI2195" s="22"/>
      <c r="BJ2195" s="22"/>
      <c r="BK2195" s="22"/>
      <c r="BL2195" s="22"/>
      <c r="BM2195" s="22"/>
      <c r="BN2195" s="22"/>
      <c r="BO2195" s="22"/>
      <c r="BP2195" s="22"/>
      <c r="BQ2195" s="22"/>
      <c r="BR2195" s="22"/>
      <c r="BS2195" s="22"/>
      <c r="BT2195" s="22"/>
      <c r="BU2195" s="22"/>
      <c r="BV2195" s="22"/>
      <c r="BW2195" s="22"/>
      <c r="BX2195" s="22"/>
      <c r="BY2195" s="22"/>
      <c r="BZ2195" s="22"/>
      <c r="CA2195" s="22"/>
      <c r="CB2195" s="22"/>
      <c r="CC2195" s="22"/>
      <c r="CD2195" s="22"/>
      <c r="CE2195" s="22"/>
      <c r="CF2195" s="22"/>
      <c r="CG2195" s="22"/>
      <c r="CH2195" s="22"/>
      <c r="CI2195" s="22"/>
      <c r="CJ2195" s="22"/>
    </row>
    <row r="2196" spans="1:88">
      <c r="A2196" s="1">
        <v>1814</v>
      </c>
      <c r="B2196" s="34" t="s">
        <v>2382</v>
      </c>
      <c r="C2196" s="34">
        <v>428</v>
      </c>
      <c r="D2196" s="8">
        <v>3701</v>
      </c>
      <c r="E2196" s="34">
        <v>500</v>
      </c>
      <c r="F2196" s="34" t="s">
        <v>2406</v>
      </c>
      <c r="G2196" s="58" t="s">
        <v>2430</v>
      </c>
      <c r="H2196" s="58" t="s">
        <v>2431</v>
      </c>
      <c r="I2196" s="35">
        <v>2.629</v>
      </c>
      <c r="J2196" s="9">
        <v>2</v>
      </c>
      <c r="K2196" s="34" t="s">
        <v>238</v>
      </c>
      <c r="L2196" s="10">
        <v>42231</v>
      </c>
      <c r="M2196" s="9" t="s">
        <v>191</v>
      </c>
      <c r="N2196" s="38">
        <v>1.675</v>
      </c>
      <c r="O2196" s="38">
        <v>0.45</v>
      </c>
      <c r="P2196" s="38">
        <v>0.22500000000000001</v>
      </c>
      <c r="Q2196" s="38">
        <v>0.15</v>
      </c>
      <c r="R2196" s="38">
        <v>2.532</v>
      </c>
      <c r="S2196" s="38">
        <f t="shared" si="358"/>
        <v>2.5</v>
      </c>
      <c r="T2196" s="38">
        <v>2.4</v>
      </c>
      <c r="U2196" s="38">
        <v>7.4999999999999997E-2</v>
      </c>
      <c r="V2196" s="38">
        <v>2.5000000000000001E-2</v>
      </c>
      <c r="W2196" s="38">
        <v>0</v>
      </c>
      <c r="X2196" s="38">
        <v>3.2949999999999999</v>
      </c>
      <c r="Y2196" s="38">
        <f t="shared" si="359"/>
        <v>3.5</v>
      </c>
      <c r="Z2196" s="38">
        <v>0</v>
      </c>
      <c r="AA2196" s="38">
        <v>0</v>
      </c>
      <c r="AB2196" s="38">
        <f t="shared" si="362"/>
        <v>2.5</v>
      </c>
      <c r="AC2196" s="38">
        <v>1.179</v>
      </c>
      <c r="AD2196" s="38">
        <v>0</v>
      </c>
      <c r="AE2196" s="38">
        <v>0</v>
      </c>
      <c r="AF2196" s="38">
        <f t="shared" si="363"/>
        <v>0</v>
      </c>
      <c r="AG2196" s="38">
        <f t="shared" si="361"/>
        <v>0</v>
      </c>
      <c r="AH2196" s="38">
        <v>0</v>
      </c>
      <c r="AI2196" s="38">
        <f t="shared" si="364"/>
        <v>0</v>
      </c>
      <c r="AJ2196" s="38">
        <v>0</v>
      </c>
      <c r="AK2196" s="38">
        <f t="shared" si="365"/>
        <v>0</v>
      </c>
      <c r="AL2196" s="38">
        <v>0</v>
      </c>
      <c r="AM2196" s="38">
        <f t="shared" si="366"/>
        <v>0</v>
      </c>
      <c r="AN2196" s="25"/>
      <c r="AO2196" s="25">
        <f t="shared" si="367"/>
        <v>0</v>
      </c>
      <c r="AP2196" s="25">
        <f t="shared" si="368"/>
        <v>0</v>
      </c>
      <c r="AQ2196" s="25"/>
      <c r="AR2196" s="25"/>
      <c r="AS2196" s="22"/>
      <c r="AT2196" s="41"/>
      <c r="AU2196" s="41"/>
      <c r="AV2196" s="41"/>
      <c r="AW2196" s="41"/>
      <c r="AX2196" s="22"/>
      <c r="AY2196" s="22"/>
      <c r="AZ2196" s="22"/>
      <c r="BA2196" s="22"/>
      <c r="BB2196" s="22"/>
      <c r="BC2196" s="22"/>
      <c r="BD2196" s="22"/>
      <c r="BE2196" s="22"/>
      <c r="BF2196" s="22"/>
      <c r="BG2196" s="22"/>
      <c r="BH2196" s="22"/>
      <c r="BI2196" s="22"/>
      <c r="BJ2196" s="22"/>
      <c r="BK2196" s="22"/>
      <c r="BL2196" s="22"/>
      <c r="BM2196" s="22"/>
      <c r="BN2196" s="22"/>
      <c r="BO2196" s="22"/>
      <c r="BP2196" s="22"/>
      <c r="BQ2196" s="22"/>
      <c r="BR2196" s="22"/>
      <c r="BS2196" s="22"/>
      <c r="BT2196" s="22"/>
      <c r="BU2196" s="22"/>
      <c r="BV2196" s="22"/>
      <c r="BW2196" s="22"/>
      <c r="BX2196" s="22"/>
      <c r="BY2196" s="22"/>
      <c r="BZ2196" s="22"/>
      <c r="CA2196" s="22"/>
      <c r="CB2196" s="22"/>
      <c r="CC2196" s="22"/>
      <c r="CD2196" s="22"/>
      <c r="CE2196" s="22"/>
      <c r="CF2196" s="22"/>
      <c r="CG2196" s="22"/>
      <c r="CH2196" s="22"/>
      <c r="CI2196" s="22"/>
      <c r="CJ2196" s="22"/>
    </row>
    <row r="2197" spans="1:88">
      <c r="A2197" s="1">
        <v>1815</v>
      </c>
      <c r="B2197" s="34" t="s">
        <v>2382</v>
      </c>
      <c r="C2197" s="34">
        <v>428</v>
      </c>
      <c r="D2197" s="8">
        <v>3701</v>
      </c>
      <c r="E2197" s="34">
        <v>500</v>
      </c>
      <c r="F2197" s="34" t="s">
        <v>2406</v>
      </c>
      <c r="G2197" s="58" t="s">
        <v>2432</v>
      </c>
      <c r="H2197" s="58" t="s">
        <v>2433</v>
      </c>
      <c r="I2197" s="35">
        <v>0.19800000000000001</v>
      </c>
      <c r="J2197" s="9">
        <v>2</v>
      </c>
      <c r="K2197" s="34" t="s">
        <v>238</v>
      </c>
      <c r="L2197" s="10">
        <v>42231</v>
      </c>
      <c r="M2197" s="9" t="s">
        <v>191</v>
      </c>
      <c r="N2197" s="38">
        <v>0.75</v>
      </c>
      <c r="O2197" s="38">
        <v>0.15</v>
      </c>
      <c r="P2197" s="38">
        <v>2.5000000000000001E-2</v>
      </c>
      <c r="Q2197" s="38">
        <v>0.05</v>
      </c>
      <c r="R2197" s="38">
        <v>2.25</v>
      </c>
      <c r="S2197" s="38">
        <f t="shared" si="358"/>
        <v>2.5</v>
      </c>
      <c r="T2197" s="38">
        <v>0.97499999999999998</v>
      </c>
      <c r="U2197" s="38">
        <v>0</v>
      </c>
      <c r="V2197" s="38">
        <v>0</v>
      </c>
      <c r="W2197" s="38">
        <v>0</v>
      </c>
      <c r="X2197" s="38">
        <v>3.141</v>
      </c>
      <c r="Y2197" s="38">
        <f t="shared" si="359"/>
        <v>3</v>
      </c>
      <c r="Z2197" s="38">
        <v>0</v>
      </c>
      <c r="AA2197" s="38">
        <v>0</v>
      </c>
      <c r="AB2197" s="38">
        <f t="shared" si="362"/>
        <v>0.97500000000000009</v>
      </c>
      <c r="AC2197" s="38">
        <v>1.0029999999999999</v>
      </c>
      <c r="AD2197" s="38">
        <v>0</v>
      </c>
      <c r="AE2197" s="38">
        <v>0</v>
      </c>
      <c r="AF2197" s="38">
        <f t="shared" si="363"/>
        <v>0</v>
      </c>
      <c r="AG2197" s="38">
        <f t="shared" si="361"/>
        <v>0</v>
      </c>
      <c r="AH2197" s="38">
        <v>0</v>
      </c>
      <c r="AI2197" s="38">
        <f t="shared" si="364"/>
        <v>0</v>
      </c>
      <c r="AJ2197" s="38">
        <v>0</v>
      </c>
      <c r="AK2197" s="38">
        <f t="shared" si="365"/>
        <v>0</v>
      </c>
      <c r="AL2197" s="38">
        <v>0</v>
      </c>
      <c r="AM2197" s="38">
        <f t="shared" si="366"/>
        <v>0</v>
      </c>
      <c r="AN2197" s="25"/>
      <c r="AO2197" s="25">
        <f t="shared" si="367"/>
        <v>0</v>
      </c>
      <c r="AP2197" s="25">
        <f t="shared" si="368"/>
        <v>0</v>
      </c>
      <c r="AQ2197" s="25"/>
      <c r="AR2197" s="25"/>
      <c r="AS2197" s="22"/>
      <c r="AT2197" s="41"/>
      <c r="AU2197" s="41"/>
      <c r="AV2197" s="41"/>
      <c r="AW2197" s="41"/>
      <c r="AX2197" s="22"/>
      <c r="AY2197" s="22"/>
      <c r="AZ2197" s="22"/>
      <c r="BA2197" s="22"/>
      <c r="BB2197" s="22"/>
      <c r="BC2197" s="22"/>
      <c r="BD2197" s="22"/>
      <c r="BE2197" s="22"/>
      <c r="BF2197" s="22"/>
      <c r="BG2197" s="22"/>
      <c r="BH2197" s="22"/>
      <c r="BI2197" s="22"/>
      <c r="BJ2197" s="22"/>
      <c r="BK2197" s="22"/>
      <c r="BL2197" s="22"/>
      <c r="BM2197" s="22"/>
      <c r="BN2197" s="22"/>
      <c r="BO2197" s="22"/>
      <c r="BP2197" s="22"/>
      <c r="BQ2197" s="22"/>
      <c r="BR2197" s="22"/>
      <c r="BS2197" s="22"/>
      <c r="BT2197" s="22"/>
      <c r="BU2197" s="22"/>
      <c r="BV2197" s="22"/>
      <c r="BW2197" s="22"/>
      <c r="BX2197" s="22"/>
      <c r="BY2197" s="22"/>
      <c r="BZ2197" s="22"/>
      <c r="CA2197" s="22"/>
      <c r="CB2197" s="22"/>
      <c r="CC2197" s="22"/>
      <c r="CD2197" s="22"/>
      <c r="CE2197" s="22"/>
      <c r="CF2197" s="22"/>
      <c r="CG2197" s="22"/>
      <c r="CH2197" s="22"/>
      <c r="CI2197" s="22"/>
      <c r="CJ2197" s="22"/>
    </row>
    <row r="2198" spans="1:88">
      <c r="A2198" s="1">
        <v>1816</v>
      </c>
      <c r="B2198" s="34" t="s">
        <v>2382</v>
      </c>
      <c r="C2198" s="34">
        <v>428</v>
      </c>
      <c r="D2198" s="8">
        <v>3701</v>
      </c>
      <c r="E2198" s="34">
        <v>500</v>
      </c>
      <c r="F2198" s="34" t="s">
        <v>2406</v>
      </c>
      <c r="G2198" s="58" t="s">
        <v>2434</v>
      </c>
      <c r="H2198" s="58" t="s">
        <v>2435</v>
      </c>
      <c r="I2198" s="35">
        <v>0.36</v>
      </c>
      <c r="J2198" s="9">
        <v>2</v>
      </c>
      <c r="K2198" s="34" t="s">
        <v>238</v>
      </c>
      <c r="L2198" s="10">
        <v>42231</v>
      </c>
      <c r="M2198" s="9" t="s">
        <v>191</v>
      </c>
      <c r="N2198" s="38">
        <v>0.125</v>
      </c>
      <c r="O2198" s="38">
        <v>0</v>
      </c>
      <c r="P2198" s="38">
        <v>0.05</v>
      </c>
      <c r="Q2198" s="38">
        <v>0</v>
      </c>
      <c r="R2198" s="38">
        <v>2.42</v>
      </c>
      <c r="S2198" s="38">
        <f t="shared" si="358"/>
        <v>2.5</v>
      </c>
      <c r="T2198" s="38">
        <v>0.17499999999999999</v>
      </c>
      <c r="U2198" s="38">
        <v>0</v>
      </c>
      <c r="V2198" s="38">
        <v>0</v>
      </c>
      <c r="W2198" s="38">
        <v>0</v>
      </c>
      <c r="X2198" s="38">
        <v>4.7149999999999999</v>
      </c>
      <c r="Y2198" s="38">
        <f t="shared" si="359"/>
        <v>4.5</v>
      </c>
      <c r="Z2198" s="38">
        <v>0</v>
      </c>
      <c r="AA2198" s="38">
        <v>0</v>
      </c>
      <c r="AB2198" s="38">
        <f t="shared" si="362"/>
        <v>0.17499999999999999</v>
      </c>
      <c r="AC2198" s="38">
        <v>0.93300000000000005</v>
      </c>
      <c r="AD2198" s="38">
        <v>0</v>
      </c>
      <c r="AE2198" s="38">
        <v>0</v>
      </c>
      <c r="AF2198" s="38">
        <f t="shared" si="363"/>
        <v>0</v>
      </c>
      <c r="AG2198" s="38">
        <f t="shared" si="361"/>
        <v>0</v>
      </c>
      <c r="AH2198" s="38">
        <v>0</v>
      </c>
      <c r="AI2198" s="38">
        <f t="shared" si="364"/>
        <v>0</v>
      </c>
      <c r="AJ2198" s="38">
        <v>0</v>
      </c>
      <c r="AK2198" s="38">
        <f t="shared" si="365"/>
        <v>0</v>
      </c>
      <c r="AL2198" s="38">
        <v>0</v>
      </c>
      <c r="AM2198" s="38">
        <f t="shared" si="366"/>
        <v>0</v>
      </c>
      <c r="AN2198" s="25"/>
      <c r="AO2198" s="25">
        <f t="shared" si="367"/>
        <v>0</v>
      </c>
      <c r="AP2198" s="25">
        <f t="shared" si="368"/>
        <v>0</v>
      </c>
      <c r="AQ2198" s="25"/>
      <c r="AR2198" s="25"/>
      <c r="AS2198" s="22"/>
      <c r="AT2198" s="41"/>
      <c r="AU2198" s="41"/>
      <c r="AV2198" s="41"/>
      <c r="AW2198" s="41"/>
      <c r="AX2198" s="22"/>
      <c r="AY2198" s="22"/>
      <c r="AZ2198" s="22"/>
      <c r="BA2198" s="22"/>
      <c r="BB2198" s="22"/>
      <c r="BC2198" s="22"/>
      <c r="BD2198" s="22"/>
      <c r="BE2198" s="22"/>
      <c r="BF2198" s="22"/>
      <c r="BG2198" s="22"/>
      <c r="BH2198" s="22"/>
      <c r="BI2198" s="22"/>
      <c r="BJ2198" s="22"/>
      <c r="BK2198" s="22"/>
      <c r="BL2198" s="22"/>
      <c r="BM2198" s="22"/>
      <c r="BN2198" s="22"/>
      <c r="BO2198" s="22"/>
      <c r="BP2198" s="22"/>
      <c r="BQ2198" s="22"/>
      <c r="BR2198" s="22"/>
      <c r="BS2198" s="22"/>
      <c r="BT2198" s="22"/>
      <c r="BU2198" s="22"/>
      <c r="BV2198" s="22"/>
      <c r="BW2198" s="22"/>
      <c r="BX2198" s="22"/>
      <c r="BY2198" s="22"/>
      <c r="BZ2198" s="22"/>
      <c r="CA2198" s="22"/>
      <c r="CB2198" s="22"/>
      <c r="CC2198" s="22"/>
      <c r="CD2198" s="22"/>
      <c r="CE2198" s="22"/>
      <c r="CF2198" s="22"/>
      <c r="CG2198" s="22"/>
      <c r="CH2198" s="22"/>
      <c r="CI2198" s="22"/>
      <c r="CJ2198" s="22"/>
    </row>
    <row r="2199" spans="1:88">
      <c r="A2199" s="1">
        <v>1817</v>
      </c>
      <c r="B2199" s="34" t="s">
        <v>2382</v>
      </c>
      <c r="C2199" s="34">
        <v>428</v>
      </c>
      <c r="D2199" s="8">
        <v>3701</v>
      </c>
      <c r="E2199" s="34">
        <v>500</v>
      </c>
      <c r="F2199" s="34" t="s">
        <v>2406</v>
      </c>
      <c r="G2199" s="58" t="s">
        <v>2436</v>
      </c>
      <c r="H2199" s="58" t="s">
        <v>2437</v>
      </c>
      <c r="I2199" s="35">
        <v>0.41899999999999998</v>
      </c>
      <c r="J2199" s="9">
        <v>2</v>
      </c>
      <c r="K2199" s="34" t="s">
        <v>238</v>
      </c>
      <c r="L2199" s="10">
        <v>42232</v>
      </c>
      <c r="M2199" s="9" t="s">
        <v>191</v>
      </c>
      <c r="N2199" s="38">
        <v>0.27500000000000002</v>
      </c>
      <c r="O2199" s="38">
        <v>2.5000000000000001E-2</v>
      </c>
      <c r="P2199" s="38">
        <v>0.05</v>
      </c>
      <c r="Q2199" s="38">
        <v>0.125</v>
      </c>
      <c r="R2199" s="38">
        <v>3.8820000000000001</v>
      </c>
      <c r="S2199" s="38">
        <f t="shared" si="358"/>
        <v>4</v>
      </c>
      <c r="T2199" s="38">
        <v>0.47499999999999998</v>
      </c>
      <c r="U2199" s="38">
        <v>0</v>
      </c>
      <c r="V2199" s="38">
        <v>0</v>
      </c>
      <c r="W2199" s="38">
        <v>0</v>
      </c>
      <c r="X2199" s="38">
        <v>3.7149999999999999</v>
      </c>
      <c r="Y2199" s="38">
        <f t="shared" si="359"/>
        <v>3.5</v>
      </c>
      <c r="Z2199" s="38">
        <v>0</v>
      </c>
      <c r="AA2199" s="38">
        <v>0</v>
      </c>
      <c r="AB2199" s="38">
        <f t="shared" si="362"/>
        <v>0.47500000000000003</v>
      </c>
      <c r="AC2199" s="38">
        <v>1.2170000000000001</v>
      </c>
      <c r="AD2199" s="38">
        <v>0</v>
      </c>
      <c r="AE2199" s="38">
        <v>0</v>
      </c>
      <c r="AF2199" s="38">
        <f t="shared" si="363"/>
        <v>0</v>
      </c>
      <c r="AG2199" s="38">
        <f t="shared" si="361"/>
        <v>0</v>
      </c>
      <c r="AH2199" s="38">
        <v>0</v>
      </c>
      <c r="AI2199" s="38">
        <f t="shared" si="364"/>
        <v>0</v>
      </c>
      <c r="AJ2199" s="38">
        <v>0</v>
      </c>
      <c r="AK2199" s="38">
        <f t="shared" si="365"/>
        <v>0</v>
      </c>
      <c r="AL2199" s="38">
        <v>0</v>
      </c>
      <c r="AM2199" s="38">
        <f t="shared" si="366"/>
        <v>0</v>
      </c>
      <c r="AN2199" s="25"/>
      <c r="AO2199" s="25">
        <f t="shared" si="367"/>
        <v>0</v>
      </c>
      <c r="AP2199" s="25">
        <f t="shared" si="368"/>
        <v>0</v>
      </c>
      <c r="AQ2199" s="25"/>
      <c r="AR2199" s="25"/>
      <c r="AS2199" s="22"/>
      <c r="AT2199" s="41"/>
      <c r="AU2199" s="41"/>
      <c r="AV2199" s="41"/>
      <c r="AW2199" s="41"/>
      <c r="AX2199" s="22"/>
      <c r="AY2199" s="22"/>
      <c r="AZ2199" s="22"/>
      <c r="BA2199" s="22"/>
      <c r="BB2199" s="22"/>
      <c r="BC2199" s="22"/>
      <c r="BD2199" s="22"/>
      <c r="BE2199" s="22"/>
      <c r="BF2199" s="22"/>
      <c r="BG2199" s="22"/>
      <c r="BH2199" s="22"/>
      <c r="BI2199" s="22"/>
      <c r="BJ2199" s="22"/>
      <c r="BK2199" s="22"/>
      <c r="BL2199" s="22"/>
      <c r="BM2199" s="22"/>
      <c r="BN2199" s="22"/>
      <c r="BO2199" s="22"/>
      <c r="BP2199" s="22"/>
      <c r="BQ2199" s="22"/>
      <c r="BR2199" s="22"/>
      <c r="BS2199" s="22"/>
      <c r="BT2199" s="22"/>
      <c r="BU2199" s="22"/>
      <c r="BV2199" s="22"/>
      <c r="BW2199" s="22"/>
      <c r="BX2199" s="22"/>
      <c r="BY2199" s="22"/>
      <c r="BZ2199" s="22"/>
      <c r="CA2199" s="22"/>
      <c r="CB2199" s="22"/>
      <c r="CC2199" s="22"/>
      <c r="CD2199" s="22"/>
      <c r="CE2199" s="22"/>
      <c r="CF2199" s="22"/>
      <c r="CG2199" s="22"/>
      <c r="CH2199" s="22"/>
      <c r="CI2199" s="22"/>
      <c r="CJ2199" s="22"/>
    </row>
    <row r="2200" spans="1:88">
      <c r="A2200" s="1">
        <v>1818</v>
      </c>
      <c r="B2200" s="34" t="s">
        <v>2382</v>
      </c>
      <c r="C2200" s="34">
        <v>428</v>
      </c>
      <c r="D2200" s="8">
        <v>3701</v>
      </c>
      <c r="E2200" s="34">
        <v>500</v>
      </c>
      <c r="F2200" s="34" t="s">
        <v>2406</v>
      </c>
      <c r="G2200" s="58" t="s">
        <v>2438</v>
      </c>
      <c r="H2200" s="58" t="s">
        <v>2439</v>
      </c>
      <c r="I2200" s="35">
        <v>0.29399999999999998</v>
      </c>
      <c r="J2200" s="9">
        <v>2</v>
      </c>
      <c r="K2200" s="34" t="s">
        <v>238</v>
      </c>
      <c r="L2200" s="10">
        <v>42232</v>
      </c>
      <c r="M2200" s="9" t="s">
        <v>191</v>
      </c>
      <c r="N2200" s="38">
        <v>0</v>
      </c>
      <c r="O2200" s="38">
        <v>0.1</v>
      </c>
      <c r="P2200" s="38">
        <v>0.17499999999999999</v>
      </c>
      <c r="Q2200" s="38">
        <v>2.5000000000000001E-2</v>
      </c>
      <c r="R2200" s="38">
        <v>3.8879999999999999</v>
      </c>
      <c r="S2200" s="38">
        <f t="shared" si="358"/>
        <v>4</v>
      </c>
      <c r="T2200" s="38">
        <v>0.3</v>
      </c>
      <c r="U2200" s="38">
        <v>0</v>
      </c>
      <c r="V2200" s="38">
        <v>0</v>
      </c>
      <c r="W2200" s="38">
        <v>0</v>
      </c>
      <c r="X2200" s="38">
        <v>3.6819999999999999</v>
      </c>
      <c r="Y2200" s="38">
        <f t="shared" si="359"/>
        <v>3.5</v>
      </c>
      <c r="Z2200" s="38">
        <v>0</v>
      </c>
      <c r="AA2200" s="38">
        <v>0</v>
      </c>
      <c r="AB2200" s="38">
        <f t="shared" si="362"/>
        <v>0.30000000000000004</v>
      </c>
      <c r="AC2200" s="38">
        <v>0.93500000000000005</v>
      </c>
      <c r="AD2200" s="38">
        <v>0</v>
      </c>
      <c r="AE2200" s="38">
        <v>0</v>
      </c>
      <c r="AF2200" s="38">
        <f t="shared" si="363"/>
        <v>0</v>
      </c>
      <c r="AG2200" s="38">
        <f t="shared" si="361"/>
        <v>0</v>
      </c>
      <c r="AH2200" s="38">
        <v>0</v>
      </c>
      <c r="AI2200" s="38">
        <f t="shared" si="364"/>
        <v>0</v>
      </c>
      <c r="AJ2200" s="38">
        <v>0</v>
      </c>
      <c r="AK2200" s="38">
        <f t="shared" si="365"/>
        <v>0</v>
      </c>
      <c r="AL2200" s="38">
        <v>0</v>
      </c>
      <c r="AM2200" s="38">
        <f t="shared" si="366"/>
        <v>0</v>
      </c>
      <c r="AN2200" s="25"/>
      <c r="AO2200" s="25">
        <f t="shared" si="367"/>
        <v>0</v>
      </c>
      <c r="AP2200" s="25">
        <f t="shared" si="368"/>
        <v>0</v>
      </c>
      <c r="AQ2200" s="25"/>
      <c r="AR2200" s="25"/>
      <c r="AS2200" s="22"/>
      <c r="AT2200" s="41"/>
      <c r="AU2200" s="41"/>
      <c r="AV2200" s="41"/>
      <c r="AW2200" s="41"/>
      <c r="AX2200" s="22"/>
      <c r="AY2200" s="22"/>
      <c r="AZ2200" s="22"/>
      <c r="BA2200" s="22"/>
      <c r="BB2200" s="22"/>
      <c r="BC2200" s="22"/>
      <c r="BD2200" s="22"/>
      <c r="BE2200" s="22"/>
      <c r="BF2200" s="22"/>
      <c r="BG2200" s="22"/>
      <c r="BH2200" s="22"/>
      <c r="BI2200" s="22"/>
      <c r="BJ2200" s="22"/>
      <c r="BK2200" s="22"/>
      <c r="BL2200" s="22"/>
      <c r="BM2200" s="22"/>
      <c r="BN2200" s="22"/>
      <c r="BO2200" s="22"/>
      <c r="BP2200" s="22"/>
      <c r="BQ2200" s="22"/>
      <c r="BR2200" s="22"/>
      <c r="BS2200" s="22"/>
      <c r="BT2200" s="22"/>
      <c r="BU2200" s="22"/>
      <c r="BV2200" s="22"/>
      <c r="BW2200" s="22"/>
      <c r="BX2200" s="22"/>
      <c r="BY2200" s="22"/>
      <c r="BZ2200" s="22"/>
      <c r="CA2200" s="22"/>
      <c r="CB2200" s="22"/>
      <c r="CC2200" s="22"/>
      <c r="CD2200" s="22"/>
      <c r="CE2200" s="22"/>
      <c r="CF2200" s="22"/>
      <c r="CG2200" s="22"/>
      <c r="CH2200" s="22"/>
      <c r="CI2200" s="22"/>
      <c r="CJ2200" s="22"/>
    </row>
    <row r="2201" spans="1:88">
      <c r="A2201" s="1">
        <v>1820</v>
      </c>
      <c r="B2201" s="34" t="s">
        <v>2382</v>
      </c>
      <c r="C2201" s="34">
        <v>428</v>
      </c>
      <c r="D2201" s="8">
        <v>3702</v>
      </c>
      <c r="E2201" s="34">
        <v>500</v>
      </c>
      <c r="F2201" s="34" t="s">
        <v>2406</v>
      </c>
      <c r="G2201" s="58" t="s">
        <v>2440</v>
      </c>
      <c r="H2201" s="58" t="s">
        <v>2441</v>
      </c>
      <c r="I2201" s="35">
        <v>0.85</v>
      </c>
      <c r="J2201" s="9">
        <v>2</v>
      </c>
      <c r="K2201" s="34" t="s">
        <v>12</v>
      </c>
      <c r="L2201" s="10">
        <v>42232</v>
      </c>
      <c r="M2201" s="9" t="s">
        <v>191</v>
      </c>
      <c r="N2201" s="38">
        <v>0.7</v>
      </c>
      <c r="O2201" s="38">
        <v>0.15</v>
      </c>
      <c r="P2201" s="38">
        <v>7.4999999999999997E-2</v>
      </c>
      <c r="Q2201" s="38">
        <v>0</v>
      </c>
      <c r="R2201" s="38">
        <v>2.1480000000000001</v>
      </c>
      <c r="S2201" s="38">
        <f t="shared" si="358"/>
        <v>2</v>
      </c>
      <c r="T2201" s="38">
        <v>0.92500000000000004</v>
      </c>
      <c r="U2201" s="38">
        <v>0</v>
      </c>
      <c r="V2201" s="38">
        <v>0</v>
      </c>
      <c r="W2201" s="38">
        <v>0</v>
      </c>
      <c r="X2201" s="38">
        <v>5.0890000000000004</v>
      </c>
      <c r="Y2201" s="38">
        <f t="shared" si="359"/>
        <v>5</v>
      </c>
      <c r="Z2201" s="38">
        <v>0</v>
      </c>
      <c r="AA2201" s="38">
        <v>0</v>
      </c>
      <c r="AB2201" s="38">
        <f t="shared" si="362"/>
        <v>0.92499999999999993</v>
      </c>
      <c r="AC2201" s="38">
        <v>1.1930000000000001</v>
      </c>
      <c r="AD2201" s="38">
        <v>0</v>
      </c>
      <c r="AE2201" s="38">
        <v>0</v>
      </c>
      <c r="AF2201" s="38">
        <f t="shared" si="363"/>
        <v>0</v>
      </c>
      <c r="AG2201" s="38">
        <f t="shared" si="361"/>
        <v>0</v>
      </c>
      <c r="AH2201" s="38">
        <v>0</v>
      </c>
      <c r="AI2201" s="38">
        <f t="shared" si="364"/>
        <v>0</v>
      </c>
      <c r="AJ2201" s="38">
        <v>0</v>
      </c>
      <c r="AK2201" s="38">
        <f t="shared" si="365"/>
        <v>0</v>
      </c>
      <c r="AL2201" s="38">
        <v>0</v>
      </c>
      <c r="AM2201" s="38">
        <f t="shared" si="366"/>
        <v>0</v>
      </c>
      <c r="AN2201" s="25"/>
      <c r="AO2201" s="25">
        <f t="shared" si="367"/>
        <v>0</v>
      </c>
      <c r="AP2201" s="25">
        <f t="shared" si="368"/>
        <v>0</v>
      </c>
      <c r="AQ2201" s="25"/>
      <c r="AR2201" s="25"/>
      <c r="AS2201" s="22"/>
      <c r="AT2201" s="41"/>
      <c r="AU2201" s="41"/>
      <c r="AV2201" s="41"/>
      <c r="AW2201" s="41"/>
      <c r="AX2201" s="22"/>
      <c r="AY2201" s="22"/>
      <c r="AZ2201" s="22"/>
      <c r="BA2201" s="22"/>
      <c r="BB2201" s="22"/>
      <c r="BC2201" s="22"/>
      <c r="BD2201" s="22"/>
      <c r="BE2201" s="22"/>
      <c r="BF2201" s="22"/>
      <c r="BG2201" s="22"/>
      <c r="BH2201" s="22"/>
      <c r="BI2201" s="22"/>
      <c r="BJ2201" s="22"/>
      <c r="BK2201" s="22"/>
      <c r="BL2201" s="22"/>
      <c r="BM2201" s="22"/>
      <c r="BN2201" s="22"/>
      <c r="BO2201" s="22"/>
      <c r="BP2201" s="22"/>
      <c r="BQ2201" s="22"/>
      <c r="BR2201" s="22"/>
      <c r="BS2201" s="22"/>
      <c r="BT2201" s="22"/>
      <c r="BU2201" s="22"/>
      <c r="BV2201" s="22"/>
      <c r="BW2201" s="22"/>
      <c r="BX2201" s="22"/>
      <c r="BY2201" s="22"/>
      <c r="BZ2201" s="22"/>
      <c r="CA2201" s="22"/>
      <c r="CB2201" s="22"/>
      <c r="CC2201" s="22"/>
      <c r="CD2201" s="22"/>
      <c r="CE2201" s="22"/>
      <c r="CF2201" s="22"/>
      <c r="CG2201" s="22"/>
      <c r="CH2201" s="22"/>
      <c r="CI2201" s="22"/>
      <c r="CJ2201" s="22"/>
    </row>
    <row r="2202" spans="1:88">
      <c r="A2202" s="1">
        <v>1823</v>
      </c>
      <c r="B2202" s="34" t="s">
        <v>2382</v>
      </c>
      <c r="C2202" s="34">
        <v>428</v>
      </c>
      <c r="D2202" s="8">
        <v>3702</v>
      </c>
      <c r="E2202" s="34">
        <v>500</v>
      </c>
      <c r="F2202" s="34" t="s">
        <v>2406</v>
      </c>
      <c r="G2202" s="58" t="s">
        <v>2413</v>
      </c>
      <c r="H2202" s="58" t="s">
        <v>2412</v>
      </c>
      <c r="I2202" s="35">
        <v>0.5</v>
      </c>
      <c r="J2202" s="9">
        <v>2</v>
      </c>
      <c r="K2202" s="34" t="s">
        <v>12</v>
      </c>
      <c r="L2202" s="10">
        <v>42232</v>
      </c>
      <c r="M2202" s="9" t="s">
        <v>191</v>
      </c>
      <c r="N2202" s="38">
        <v>0.27500000000000002</v>
      </c>
      <c r="O2202" s="38">
        <v>0.15</v>
      </c>
      <c r="P2202" s="38">
        <v>7.4999999999999997E-2</v>
      </c>
      <c r="Q2202" s="38">
        <v>2.5000000000000001E-2</v>
      </c>
      <c r="R2202" s="38">
        <v>2.649</v>
      </c>
      <c r="S2202" s="38">
        <f t="shared" si="358"/>
        <v>2.5</v>
      </c>
      <c r="T2202" s="38">
        <v>0.45</v>
      </c>
      <c r="U2202" s="38">
        <v>7.4999999999999997E-2</v>
      </c>
      <c r="V2202" s="38">
        <v>0</v>
      </c>
      <c r="W2202" s="38">
        <v>0</v>
      </c>
      <c r="X2202" s="38">
        <v>6.4859999999999998</v>
      </c>
      <c r="Y2202" s="38">
        <f t="shared" si="359"/>
        <v>6.5</v>
      </c>
      <c r="Z2202" s="38">
        <v>0</v>
      </c>
      <c r="AA2202" s="38">
        <v>0</v>
      </c>
      <c r="AB2202" s="38">
        <f t="shared" si="362"/>
        <v>0.52500000000000002</v>
      </c>
      <c r="AC2202" s="38">
        <v>0.88400000000000001</v>
      </c>
      <c r="AD2202" s="38">
        <v>0</v>
      </c>
      <c r="AE2202" s="38">
        <v>0</v>
      </c>
      <c r="AF2202" s="38">
        <f t="shared" si="363"/>
        <v>0</v>
      </c>
      <c r="AG2202" s="38">
        <f t="shared" si="361"/>
        <v>0</v>
      </c>
      <c r="AH2202" s="38">
        <v>0</v>
      </c>
      <c r="AI2202" s="38">
        <f t="shared" si="364"/>
        <v>0</v>
      </c>
      <c r="AJ2202" s="38">
        <v>0</v>
      </c>
      <c r="AK2202" s="38">
        <f t="shared" si="365"/>
        <v>0</v>
      </c>
      <c r="AL2202" s="38">
        <v>0</v>
      </c>
      <c r="AM2202" s="38">
        <f t="shared" si="366"/>
        <v>0</v>
      </c>
      <c r="AN2202" s="25"/>
      <c r="AO2202" s="25">
        <f t="shared" si="367"/>
        <v>0</v>
      </c>
      <c r="AP2202" s="25">
        <f t="shared" si="368"/>
        <v>0</v>
      </c>
      <c r="AQ2202" s="25"/>
      <c r="AR2202" s="25"/>
      <c r="AS2202" s="22"/>
      <c r="AT2202" s="41"/>
      <c r="AU2202" s="41"/>
      <c r="AV2202" s="41"/>
      <c r="AW2202" s="41"/>
      <c r="AX2202" s="22"/>
      <c r="AY2202" s="22"/>
      <c r="AZ2202" s="22"/>
      <c r="BA2202" s="22"/>
      <c r="BB2202" s="22"/>
      <c r="BC2202" s="22"/>
      <c r="BD2202" s="22"/>
      <c r="BE2202" s="22"/>
      <c r="BF2202" s="22"/>
      <c r="BG2202" s="22"/>
      <c r="BH2202" s="22"/>
      <c r="BI2202" s="22"/>
      <c r="BJ2202" s="22"/>
      <c r="BK2202" s="22"/>
      <c r="BL2202" s="22"/>
      <c r="BM2202" s="22"/>
      <c r="BN2202" s="22"/>
      <c r="BO2202" s="22"/>
      <c r="BP2202" s="22"/>
      <c r="BQ2202" s="22"/>
      <c r="BR2202" s="22"/>
      <c r="BS2202" s="22"/>
      <c r="BT2202" s="22"/>
      <c r="BU2202" s="22"/>
      <c r="BV2202" s="22"/>
      <c r="BW2202" s="22"/>
      <c r="BX2202" s="22"/>
      <c r="BY2202" s="22"/>
      <c r="BZ2202" s="22"/>
      <c r="CA2202" s="22"/>
      <c r="CB2202" s="22"/>
      <c r="CC2202" s="22"/>
      <c r="CD2202" s="22"/>
      <c r="CE2202" s="22"/>
      <c r="CF2202" s="22"/>
      <c r="CG2202" s="22"/>
      <c r="CH2202" s="22"/>
      <c r="CI2202" s="22"/>
      <c r="CJ2202" s="22"/>
    </row>
    <row r="2203" spans="1:88">
      <c r="A2203" s="1">
        <v>1824</v>
      </c>
      <c r="B2203" s="34" t="s">
        <v>2382</v>
      </c>
      <c r="C2203" s="34">
        <v>428</v>
      </c>
      <c r="D2203" s="8">
        <v>3702</v>
      </c>
      <c r="E2203" s="34">
        <v>500</v>
      </c>
      <c r="F2203" s="34" t="s">
        <v>2406</v>
      </c>
      <c r="G2203" s="58" t="s">
        <v>2442</v>
      </c>
      <c r="H2203" s="58" t="s">
        <v>2414</v>
      </c>
      <c r="I2203" s="35">
        <v>0.23</v>
      </c>
      <c r="J2203" s="9">
        <v>2</v>
      </c>
      <c r="K2203" s="34" t="s">
        <v>12</v>
      </c>
      <c r="L2203" s="10">
        <v>42232</v>
      </c>
      <c r="M2203" s="9" t="s">
        <v>191</v>
      </c>
      <c r="N2203" s="38">
        <v>0.17499999999999999</v>
      </c>
      <c r="O2203" s="38">
        <v>0.125</v>
      </c>
      <c r="P2203" s="38">
        <v>0.05</v>
      </c>
      <c r="Q2203" s="38">
        <v>0.05</v>
      </c>
      <c r="R2203" s="38">
        <v>3.0710000000000002</v>
      </c>
      <c r="S2203" s="38">
        <f t="shared" si="358"/>
        <v>3</v>
      </c>
      <c r="T2203" s="38">
        <v>0.4</v>
      </c>
      <c r="U2203" s="38">
        <v>0</v>
      </c>
      <c r="V2203" s="38">
        <v>0</v>
      </c>
      <c r="W2203" s="38">
        <v>0</v>
      </c>
      <c r="X2203" s="38">
        <v>3.9350000000000001</v>
      </c>
      <c r="Y2203" s="38">
        <f t="shared" si="359"/>
        <v>4</v>
      </c>
      <c r="Z2203" s="38">
        <v>0</v>
      </c>
      <c r="AA2203" s="38">
        <v>0</v>
      </c>
      <c r="AB2203" s="38">
        <f t="shared" si="362"/>
        <v>0.39999999999999997</v>
      </c>
      <c r="AC2203" s="38">
        <v>0.97599999999999998</v>
      </c>
      <c r="AD2203" s="38">
        <v>0</v>
      </c>
      <c r="AE2203" s="38">
        <v>0</v>
      </c>
      <c r="AF2203" s="38">
        <f t="shared" si="363"/>
        <v>0</v>
      </c>
      <c r="AG2203" s="38">
        <f t="shared" si="361"/>
        <v>0</v>
      </c>
      <c r="AH2203" s="38">
        <v>0</v>
      </c>
      <c r="AI2203" s="38">
        <f t="shared" si="364"/>
        <v>0</v>
      </c>
      <c r="AJ2203" s="38">
        <v>0</v>
      </c>
      <c r="AK2203" s="38">
        <f t="shared" si="365"/>
        <v>0</v>
      </c>
      <c r="AL2203" s="38">
        <v>0</v>
      </c>
      <c r="AM2203" s="38">
        <f t="shared" si="366"/>
        <v>0</v>
      </c>
      <c r="AN2203" s="25"/>
      <c r="AO2203" s="25">
        <f t="shared" si="367"/>
        <v>0</v>
      </c>
      <c r="AP2203" s="25">
        <f t="shared" si="368"/>
        <v>0</v>
      </c>
      <c r="AQ2203" s="25"/>
      <c r="AR2203" s="25"/>
      <c r="AS2203" s="22"/>
      <c r="AT2203" s="41"/>
      <c r="AU2203" s="41"/>
      <c r="AV2203" s="41"/>
      <c r="AW2203" s="41"/>
      <c r="AX2203" s="22"/>
      <c r="AY2203" s="22"/>
      <c r="AZ2203" s="22"/>
      <c r="BA2203" s="22"/>
      <c r="BB2203" s="22"/>
      <c r="BC2203" s="22"/>
      <c r="BD2203" s="22"/>
      <c r="BE2203" s="22"/>
      <c r="BF2203" s="22"/>
      <c r="BG2203" s="22"/>
      <c r="BH2203" s="22"/>
      <c r="BI2203" s="22"/>
      <c r="BJ2203" s="22"/>
      <c r="BK2203" s="22"/>
      <c r="BL2203" s="22"/>
      <c r="BM2203" s="22"/>
      <c r="BN2203" s="22"/>
      <c r="BO2203" s="22"/>
      <c r="BP2203" s="22"/>
      <c r="BQ2203" s="22"/>
      <c r="BR2203" s="22"/>
      <c r="BS2203" s="22"/>
      <c r="BT2203" s="22"/>
      <c r="BU2203" s="22"/>
      <c r="BV2203" s="22"/>
      <c r="BW2203" s="22"/>
      <c r="BX2203" s="22"/>
      <c r="BY2203" s="22"/>
      <c r="BZ2203" s="22"/>
      <c r="CA2203" s="22"/>
      <c r="CB2203" s="22"/>
      <c r="CC2203" s="22"/>
      <c r="CD2203" s="22"/>
      <c r="CE2203" s="22"/>
      <c r="CF2203" s="22"/>
      <c r="CG2203" s="22"/>
      <c r="CH2203" s="22"/>
      <c r="CI2203" s="22"/>
      <c r="CJ2203" s="22"/>
    </row>
    <row r="2204" spans="1:88">
      <c r="A2204" s="1">
        <v>1825</v>
      </c>
      <c r="B2204" s="34" t="s">
        <v>2382</v>
      </c>
      <c r="C2204" s="34">
        <v>428</v>
      </c>
      <c r="D2204" s="8">
        <v>3702</v>
      </c>
      <c r="E2204" s="34">
        <v>500</v>
      </c>
      <c r="F2204" s="34" t="s">
        <v>2406</v>
      </c>
      <c r="G2204" s="58" t="s">
        <v>2417</v>
      </c>
      <c r="H2204" s="58" t="s">
        <v>2443</v>
      </c>
      <c r="I2204" s="35">
        <v>2.6</v>
      </c>
      <c r="J2204" s="9">
        <v>2</v>
      </c>
      <c r="K2204" s="34" t="s">
        <v>12</v>
      </c>
      <c r="L2204" s="10">
        <v>42232</v>
      </c>
      <c r="M2204" s="9" t="s">
        <v>191</v>
      </c>
      <c r="N2204" s="38">
        <v>2.0499999999999998</v>
      </c>
      <c r="O2204" s="38">
        <v>0.42499999999999999</v>
      </c>
      <c r="P2204" s="38">
        <v>0.15</v>
      </c>
      <c r="Q2204" s="38">
        <v>2.5000000000000001E-2</v>
      </c>
      <c r="R2204" s="38">
        <v>2.1419999999999999</v>
      </c>
      <c r="S2204" s="38">
        <f t="shared" si="358"/>
        <v>2</v>
      </c>
      <c r="T2204" s="38">
        <v>2.4750000000000001</v>
      </c>
      <c r="U2204" s="38">
        <v>0.15</v>
      </c>
      <c r="V2204" s="38">
        <v>2.5000000000000001E-2</v>
      </c>
      <c r="W2204" s="38">
        <v>0</v>
      </c>
      <c r="X2204" s="38">
        <v>5.1369999999999996</v>
      </c>
      <c r="Y2204" s="38">
        <f t="shared" si="359"/>
        <v>5</v>
      </c>
      <c r="Z2204" s="38">
        <v>0</v>
      </c>
      <c r="AA2204" s="38">
        <v>0</v>
      </c>
      <c r="AB2204" s="38">
        <f t="shared" si="362"/>
        <v>2.6499999999999995</v>
      </c>
      <c r="AC2204" s="38">
        <v>1.278</v>
      </c>
      <c r="AD2204" s="38">
        <v>0</v>
      </c>
      <c r="AE2204" s="38">
        <v>0</v>
      </c>
      <c r="AF2204" s="38">
        <f t="shared" si="363"/>
        <v>0</v>
      </c>
      <c r="AG2204" s="38">
        <f t="shared" si="361"/>
        <v>0</v>
      </c>
      <c r="AH2204" s="38">
        <v>0</v>
      </c>
      <c r="AI2204" s="38">
        <f t="shared" si="364"/>
        <v>0</v>
      </c>
      <c r="AJ2204" s="38">
        <v>0</v>
      </c>
      <c r="AK2204" s="38">
        <f t="shared" si="365"/>
        <v>0</v>
      </c>
      <c r="AL2204" s="38">
        <v>0</v>
      </c>
      <c r="AM2204" s="38">
        <f t="shared" si="366"/>
        <v>0</v>
      </c>
      <c r="AN2204" s="25"/>
      <c r="AO2204" s="25">
        <f t="shared" si="367"/>
        <v>0</v>
      </c>
      <c r="AP2204" s="25">
        <f t="shared" si="368"/>
        <v>0</v>
      </c>
      <c r="AQ2204" s="25"/>
      <c r="AR2204" s="25"/>
      <c r="AS2204" s="22"/>
      <c r="AT2204" s="41"/>
      <c r="AU2204" s="41"/>
      <c r="AV2204" s="41"/>
      <c r="AW2204" s="41"/>
      <c r="AX2204" s="22"/>
      <c r="AY2204" s="22"/>
      <c r="AZ2204" s="22"/>
      <c r="BA2204" s="22"/>
      <c r="BB2204" s="22"/>
      <c r="BC2204" s="22"/>
      <c r="BD2204" s="22"/>
      <c r="BE2204" s="22"/>
      <c r="BF2204" s="22"/>
      <c r="BG2204" s="22"/>
      <c r="BH2204" s="22"/>
      <c r="BI2204" s="22"/>
      <c r="BJ2204" s="22"/>
      <c r="BK2204" s="22"/>
      <c r="BL2204" s="22"/>
      <c r="BM2204" s="22"/>
      <c r="BN2204" s="22"/>
      <c r="BO2204" s="22"/>
      <c r="BP2204" s="22"/>
      <c r="BQ2204" s="22"/>
      <c r="BR2204" s="22"/>
      <c r="BS2204" s="22"/>
      <c r="BT2204" s="22"/>
      <c r="BU2204" s="22"/>
      <c r="BV2204" s="22"/>
      <c r="BW2204" s="22"/>
      <c r="BX2204" s="22"/>
      <c r="BY2204" s="22"/>
      <c r="BZ2204" s="22"/>
      <c r="CA2204" s="22"/>
      <c r="CB2204" s="22"/>
      <c r="CC2204" s="22"/>
      <c r="CD2204" s="22"/>
      <c r="CE2204" s="22"/>
      <c r="CF2204" s="22"/>
      <c r="CG2204" s="22"/>
      <c r="CH2204" s="22"/>
      <c r="CI2204" s="22"/>
      <c r="CJ2204" s="22"/>
    </row>
    <row r="2205" spans="1:88">
      <c r="A2205" s="1">
        <v>1826</v>
      </c>
      <c r="B2205" s="34" t="s">
        <v>2382</v>
      </c>
      <c r="C2205" s="34">
        <v>428</v>
      </c>
      <c r="D2205" s="8">
        <v>3702</v>
      </c>
      <c r="E2205" s="34">
        <v>500</v>
      </c>
      <c r="F2205" s="34" t="s">
        <v>2406</v>
      </c>
      <c r="G2205" s="58" t="s">
        <v>2444</v>
      </c>
      <c r="H2205" s="58" t="s">
        <v>2445</v>
      </c>
      <c r="I2205" s="35">
        <v>0.35</v>
      </c>
      <c r="J2205" s="9">
        <v>2</v>
      </c>
      <c r="K2205" s="34" t="s">
        <v>12</v>
      </c>
      <c r="L2205" s="10">
        <v>42232</v>
      </c>
      <c r="M2205" s="9" t="s">
        <v>191</v>
      </c>
      <c r="N2205" s="38">
        <v>0.25</v>
      </c>
      <c r="O2205" s="38">
        <v>0.05</v>
      </c>
      <c r="P2205" s="38">
        <v>0.05</v>
      </c>
      <c r="Q2205" s="38">
        <v>0</v>
      </c>
      <c r="R2205" s="38">
        <v>2.496</v>
      </c>
      <c r="S2205" s="38">
        <f t="shared" si="358"/>
        <v>2.5</v>
      </c>
      <c r="T2205" s="38">
        <v>0.25</v>
      </c>
      <c r="U2205" s="38">
        <v>0.1</v>
      </c>
      <c r="V2205" s="38">
        <v>0</v>
      </c>
      <c r="W2205" s="38">
        <v>0</v>
      </c>
      <c r="X2205" s="38">
        <v>7.6680000000000001</v>
      </c>
      <c r="Y2205" s="38">
        <f t="shared" si="359"/>
        <v>7.5</v>
      </c>
      <c r="Z2205" s="38">
        <v>0</v>
      </c>
      <c r="AA2205" s="38">
        <v>0</v>
      </c>
      <c r="AB2205" s="38">
        <f t="shared" si="362"/>
        <v>0.35</v>
      </c>
      <c r="AC2205" s="38">
        <v>1.119</v>
      </c>
      <c r="AD2205" s="38">
        <v>0</v>
      </c>
      <c r="AE2205" s="38">
        <v>0</v>
      </c>
      <c r="AF2205" s="38">
        <f t="shared" si="363"/>
        <v>0</v>
      </c>
      <c r="AG2205" s="38">
        <f t="shared" si="361"/>
        <v>0</v>
      </c>
      <c r="AH2205" s="38">
        <v>0</v>
      </c>
      <c r="AI2205" s="38">
        <f t="shared" si="364"/>
        <v>0</v>
      </c>
      <c r="AJ2205" s="38">
        <v>0</v>
      </c>
      <c r="AK2205" s="38">
        <f t="shared" si="365"/>
        <v>0</v>
      </c>
      <c r="AL2205" s="38">
        <v>0</v>
      </c>
      <c r="AM2205" s="38">
        <f t="shared" si="366"/>
        <v>0</v>
      </c>
      <c r="AN2205" s="25"/>
      <c r="AO2205" s="25">
        <f t="shared" si="367"/>
        <v>0</v>
      </c>
      <c r="AP2205" s="25">
        <f t="shared" si="368"/>
        <v>0</v>
      </c>
      <c r="AQ2205" s="25"/>
      <c r="AR2205" s="25"/>
      <c r="AS2205" s="22"/>
      <c r="AT2205" s="41"/>
      <c r="AU2205" s="41"/>
      <c r="AV2205" s="41"/>
      <c r="AW2205" s="41"/>
      <c r="AX2205" s="22"/>
      <c r="AY2205" s="22"/>
      <c r="AZ2205" s="22"/>
      <c r="BA2205" s="22"/>
      <c r="BB2205" s="22"/>
      <c r="BC2205" s="22"/>
      <c r="BD2205" s="22"/>
      <c r="BE2205" s="22"/>
      <c r="BF2205" s="22"/>
      <c r="BG2205" s="22"/>
      <c r="BH2205" s="22"/>
      <c r="BI2205" s="22"/>
      <c r="BJ2205" s="22"/>
      <c r="BK2205" s="22"/>
      <c r="BL2205" s="22"/>
      <c r="BM2205" s="22"/>
      <c r="BN2205" s="22"/>
      <c r="BO2205" s="22"/>
      <c r="BP2205" s="22"/>
      <c r="BQ2205" s="22"/>
      <c r="BR2205" s="22"/>
      <c r="BS2205" s="22"/>
      <c r="BT2205" s="22"/>
      <c r="BU2205" s="22"/>
      <c r="BV2205" s="22"/>
      <c r="BW2205" s="22"/>
      <c r="BX2205" s="22"/>
      <c r="BY2205" s="22"/>
      <c r="BZ2205" s="22"/>
      <c r="CA2205" s="22"/>
      <c r="CB2205" s="22"/>
      <c r="CC2205" s="22"/>
      <c r="CD2205" s="22"/>
      <c r="CE2205" s="22"/>
      <c r="CF2205" s="22"/>
      <c r="CG2205" s="22"/>
      <c r="CH2205" s="22"/>
      <c r="CI2205" s="22"/>
      <c r="CJ2205" s="22"/>
    </row>
    <row r="2206" spans="1:88">
      <c r="A2206" s="1">
        <v>1827</v>
      </c>
      <c r="B2206" s="34" t="s">
        <v>2382</v>
      </c>
      <c r="C2206" s="34">
        <v>428</v>
      </c>
      <c r="D2206" s="8">
        <v>3702</v>
      </c>
      <c r="E2206" s="34">
        <v>500</v>
      </c>
      <c r="F2206" s="34" t="s">
        <v>2406</v>
      </c>
      <c r="G2206" s="58" t="s">
        <v>2419</v>
      </c>
      <c r="H2206" s="58" t="s">
        <v>2446</v>
      </c>
      <c r="I2206" s="35">
        <v>0.6</v>
      </c>
      <c r="J2206" s="9">
        <v>2</v>
      </c>
      <c r="K2206" s="34" t="s">
        <v>12</v>
      </c>
      <c r="L2206" s="10">
        <v>42232</v>
      </c>
      <c r="M2206" s="9" t="s">
        <v>191</v>
      </c>
      <c r="N2206" s="38">
        <v>0.625</v>
      </c>
      <c r="O2206" s="38">
        <v>0</v>
      </c>
      <c r="P2206" s="38">
        <v>0.05</v>
      </c>
      <c r="Q2206" s="38">
        <v>0</v>
      </c>
      <c r="R2206" s="38">
        <v>1.9059999999999999</v>
      </c>
      <c r="S2206" s="38">
        <f t="shared" si="358"/>
        <v>2</v>
      </c>
      <c r="T2206" s="38">
        <v>0.67500000000000004</v>
      </c>
      <c r="U2206" s="38">
        <v>0</v>
      </c>
      <c r="V2206" s="38">
        <v>0</v>
      </c>
      <c r="W2206" s="38">
        <v>0</v>
      </c>
      <c r="X2206" s="38">
        <v>3.3940000000000001</v>
      </c>
      <c r="Y2206" s="38">
        <f t="shared" si="359"/>
        <v>3.5</v>
      </c>
      <c r="Z2206" s="38">
        <v>0</v>
      </c>
      <c r="AA2206" s="38">
        <v>0</v>
      </c>
      <c r="AB2206" s="38">
        <f t="shared" si="362"/>
        <v>0.67500000000000004</v>
      </c>
      <c r="AC2206" s="38">
        <v>1.2749999999999999</v>
      </c>
      <c r="AD2206" s="38">
        <v>0</v>
      </c>
      <c r="AE2206" s="38">
        <v>0</v>
      </c>
      <c r="AF2206" s="38">
        <f t="shared" si="363"/>
        <v>0</v>
      </c>
      <c r="AG2206" s="38">
        <f t="shared" si="361"/>
        <v>0</v>
      </c>
      <c r="AH2206" s="38">
        <v>0</v>
      </c>
      <c r="AI2206" s="38">
        <f t="shared" si="364"/>
        <v>0</v>
      </c>
      <c r="AJ2206" s="38">
        <v>0</v>
      </c>
      <c r="AK2206" s="38">
        <f t="shared" si="365"/>
        <v>0</v>
      </c>
      <c r="AL2206" s="38">
        <v>0</v>
      </c>
      <c r="AM2206" s="38">
        <f t="shared" si="366"/>
        <v>0</v>
      </c>
      <c r="AN2206" s="25"/>
      <c r="AO2206" s="25">
        <f t="shared" si="367"/>
        <v>0</v>
      </c>
      <c r="AP2206" s="25">
        <f t="shared" si="368"/>
        <v>0</v>
      </c>
      <c r="AQ2206" s="25"/>
      <c r="AR2206" s="25"/>
      <c r="AS2206" s="22"/>
      <c r="AT2206" s="41"/>
      <c r="AU2206" s="41"/>
      <c r="AV2206" s="41"/>
      <c r="AW2206" s="41"/>
      <c r="AX2206" s="22"/>
      <c r="AY2206" s="22"/>
      <c r="AZ2206" s="22"/>
      <c r="BA2206" s="22"/>
      <c r="BB2206" s="22"/>
      <c r="BC2206" s="22"/>
      <c r="BD2206" s="22"/>
      <c r="BE2206" s="22"/>
      <c r="BF2206" s="22"/>
      <c r="BG2206" s="22"/>
      <c r="BH2206" s="22"/>
      <c r="BI2206" s="22"/>
      <c r="BJ2206" s="22"/>
      <c r="BK2206" s="22"/>
      <c r="BL2206" s="22"/>
      <c r="BM2206" s="22"/>
      <c r="BN2206" s="22"/>
      <c r="BO2206" s="22"/>
      <c r="BP2206" s="22"/>
      <c r="BQ2206" s="22"/>
      <c r="BR2206" s="22"/>
      <c r="BS2206" s="22"/>
      <c r="BT2206" s="22"/>
      <c r="BU2206" s="22"/>
      <c r="BV2206" s="22"/>
      <c r="BW2206" s="22"/>
      <c r="BX2206" s="22"/>
      <c r="BY2206" s="22"/>
      <c r="BZ2206" s="22"/>
      <c r="CA2206" s="22"/>
      <c r="CB2206" s="22"/>
      <c r="CC2206" s="22"/>
      <c r="CD2206" s="22"/>
      <c r="CE2206" s="22"/>
      <c r="CF2206" s="22"/>
      <c r="CG2206" s="22"/>
      <c r="CH2206" s="22"/>
      <c r="CI2206" s="22"/>
      <c r="CJ2206" s="22"/>
    </row>
    <row r="2207" spans="1:88">
      <c r="A2207" s="1">
        <v>1828</v>
      </c>
      <c r="B2207" s="34" t="s">
        <v>2382</v>
      </c>
      <c r="C2207" s="34">
        <v>428</v>
      </c>
      <c r="D2207" s="8">
        <v>3702</v>
      </c>
      <c r="E2207" s="34">
        <v>500</v>
      </c>
      <c r="F2207" s="34" t="s">
        <v>2406</v>
      </c>
      <c r="G2207" s="58" t="s">
        <v>2421</v>
      </c>
      <c r="H2207" s="58" t="s">
        <v>2420</v>
      </c>
      <c r="I2207" s="35">
        <v>1</v>
      </c>
      <c r="J2207" s="9">
        <v>2</v>
      </c>
      <c r="K2207" s="34" t="s">
        <v>12</v>
      </c>
      <c r="L2207" s="10">
        <v>42232</v>
      </c>
      <c r="M2207" s="9" t="s">
        <v>191</v>
      </c>
      <c r="N2207" s="38">
        <v>0.92500000000000004</v>
      </c>
      <c r="O2207" s="38">
        <v>7.4999999999999997E-2</v>
      </c>
      <c r="P2207" s="38">
        <v>0</v>
      </c>
      <c r="Q2207" s="38">
        <v>2.5000000000000001E-2</v>
      </c>
      <c r="R2207" s="38">
        <v>1.8240000000000001</v>
      </c>
      <c r="S2207" s="38">
        <f t="shared" si="358"/>
        <v>2</v>
      </c>
      <c r="T2207" s="38">
        <v>1.0249999999999999</v>
      </c>
      <c r="U2207" s="38">
        <v>0</v>
      </c>
      <c r="V2207" s="38">
        <v>0</v>
      </c>
      <c r="W2207" s="38">
        <v>0</v>
      </c>
      <c r="X2207" s="38">
        <v>4.9779999999999998</v>
      </c>
      <c r="Y2207" s="38">
        <f t="shared" si="359"/>
        <v>5</v>
      </c>
      <c r="Z2207" s="38">
        <v>0</v>
      </c>
      <c r="AA2207" s="38">
        <v>0</v>
      </c>
      <c r="AB2207" s="38">
        <f t="shared" si="362"/>
        <v>1.0249999999999999</v>
      </c>
      <c r="AC2207" s="38">
        <v>1.3480000000000001</v>
      </c>
      <c r="AD2207" s="38">
        <v>0</v>
      </c>
      <c r="AE2207" s="38">
        <v>0</v>
      </c>
      <c r="AF2207" s="38">
        <f t="shared" si="363"/>
        <v>0</v>
      </c>
      <c r="AG2207" s="38">
        <f t="shared" si="361"/>
        <v>0</v>
      </c>
      <c r="AH2207" s="38">
        <v>0</v>
      </c>
      <c r="AI2207" s="38">
        <f t="shared" si="364"/>
        <v>0</v>
      </c>
      <c r="AJ2207" s="38">
        <v>0</v>
      </c>
      <c r="AK2207" s="38">
        <f t="shared" si="365"/>
        <v>0</v>
      </c>
      <c r="AL2207" s="38">
        <v>0</v>
      </c>
      <c r="AM2207" s="38">
        <f t="shared" si="366"/>
        <v>0</v>
      </c>
      <c r="AN2207" s="25"/>
      <c r="AO2207" s="25">
        <f t="shared" si="367"/>
        <v>0</v>
      </c>
      <c r="AP2207" s="25">
        <f t="shared" si="368"/>
        <v>0</v>
      </c>
      <c r="AQ2207" s="25"/>
      <c r="AR2207" s="25"/>
      <c r="AS2207" s="22"/>
      <c r="AT2207" s="41"/>
      <c r="AU2207" s="41"/>
      <c r="AV2207" s="41"/>
      <c r="AW2207" s="41"/>
      <c r="AX2207" s="22"/>
      <c r="AY2207" s="22"/>
      <c r="AZ2207" s="22"/>
      <c r="BA2207" s="22"/>
      <c r="BB2207" s="22"/>
      <c r="BC2207" s="22"/>
      <c r="BD2207" s="22"/>
      <c r="BE2207" s="22"/>
      <c r="BF2207" s="22"/>
      <c r="BG2207" s="22"/>
      <c r="BH2207" s="22"/>
      <c r="BI2207" s="22"/>
      <c r="BJ2207" s="22"/>
      <c r="BK2207" s="22"/>
      <c r="BL2207" s="22"/>
      <c r="BM2207" s="22"/>
      <c r="BN2207" s="22"/>
      <c r="BO2207" s="22"/>
      <c r="BP2207" s="22"/>
      <c r="BQ2207" s="22"/>
      <c r="BR2207" s="22"/>
      <c r="BS2207" s="22"/>
      <c r="BT2207" s="22"/>
      <c r="BU2207" s="22"/>
      <c r="BV2207" s="22"/>
      <c r="BW2207" s="22"/>
      <c r="BX2207" s="22"/>
      <c r="BY2207" s="22"/>
      <c r="BZ2207" s="22"/>
      <c r="CA2207" s="22"/>
      <c r="CB2207" s="22"/>
      <c r="CC2207" s="22"/>
      <c r="CD2207" s="22"/>
      <c r="CE2207" s="22"/>
      <c r="CF2207" s="22"/>
      <c r="CG2207" s="22"/>
      <c r="CH2207" s="22"/>
      <c r="CI2207" s="22"/>
      <c r="CJ2207" s="22"/>
    </row>
    <row r="2208" spans="1:88">
      <c r="A2208" s="1">
        <v>1829</v>
      </c>
      <c r="B2208" s="34" t="s">
        <v>2382</v>
      </c>
      <c r="C2208" s="34">
        <v>428</v>
      </c>
      <c r="D2208" s="8">
        <v>3702</v>
      </c>
      <c r="E2208" s="34">
        <v>500</v>
      </c>
      <c r="F2208" s="34" t="s">
        <v>2406</v>
      </c>
      <c r="G2208" s="58" t="s">
        <v>2447</v>
      </c>
      <c r="H2208" s="58" t="s">
        <v>2448</v>
      </c>
      <c r="I2208" s="35">
        <v>1.665</v>
      </c>
      <c r="J2208" s="9">
        <v>2</v>
      </c>
      <c r="K2208" s="34" t="s">
        <v>12</v>
      </c>
      <c r="L2208" s="10">
        <v>42232</v>
      </c>
      <c r="M2208" s="9" t="s">
        <v>191</v>
      </c>
      <c r="N2208" s="38">
        <v>1.425</v>
      </c>
      <c r="O2208" s="38">
        <v>0.22500000000000001</v>
      </c>
      <c r="P2208" s="38">
        <v>0.05</v>
      </c>
      <c r="Q2208" s="38">
        <v>0</v>
      </c>
      <c r="R2208" s="38">
        <v>1.881</v>
      </c>
      <c r="S2208" s="38">
        <f t="shared" si="358"/>
        <v>2</v>
      </c>
      <c r="T2208" s="38">
        <v>1.675</v>
      </c>
      <c r="U2208" s="38">
        <v>2.5000000000000001E-2</v>
      </c>
      <c r="V2208" s="38">
        <v>0</v>
      </c>
      <c r="W2208" s="38">
        <v>0</v>
      </c>
      <c r="X2208" s="38">
        <v>5.7480000000000002</v>
      </c>
      <c r="Y2208" s="38">
        <f t="shared" si="359"/>
        <v>5.5</v>
      </c>
      <c r="Z2208" s="38">
        <v>0</v>
      </c>
      <c r="AA2208" s="38">
        <v>0</v>
      </c>
      <c r="AB2208" s="38">
        <f t="shared" si="362"/>
        <v>1.7000000000000002</v>
      </c>
      <c r="AC2208" s="38">
        <v>1.31</v>
      </c>
      <c r="AD2208" s="38">
        <v>0</v>
      </c>
      <c r="AE2208" s="38">
        <v>0</v>
      </c>
      <c r="AF2208" s="38">
        <f t="shared" si="363"/>
        <v>0</v>
      </c>
      <c r="AG2208" s="38">
        <f t="shared" si="361"/>
        <v>0</v>
      </c>
      <c r="AH2208" s="38">
        <v>0</v>
      </c>
      <c r="AI2208" s="38">
        <f t="shared" si="364"/>
        <v>0</v>
      </c>
      <c r="AJ2208" s="38">
        <v>0</v>
      </c>
      <c r="AK2208" s="38">
        <f t="shared" si="365"/>
        <v>0</v>
      </c>
      <c r="AL2208" s="38">
        <v>0</v>
      </c>
      <c r="AM2208" s="38">
        <f t="shared" si="366"/>
        <v>0</v>
      </c>
      <c r="AN2208" s="25"/>
      <c r="AO2208" s="25">
        <f t="shared" si="367"/>
        <v>0</v>
      </c>
      <c r="AP2208" s="25">
        <f t="shared" si="368"/>
        <v>0</v>
      </c>
      <c r="AQ2208" s="25"/>
      <c r="AR2208" s="25"/>
      <c r="AS2208" s="22"/>
      <c r="AT2208" s="41"/>
      <c r="AU2208" s="41"/>
      <c r="AV2208" s="41"/>
      <c r="AW2208" s="41"/>
      <c r="AX2208" s="22"/>
      <c r="AY2208" s="22"/>
      <c r="AZ2208" s="22"/>
      <c r="BA2208" s="22"/>
      <c r="BB2208" s="22"/>
      <c r="BC2208" s="22"/>
      <c r="BD2208" s="22"/>
      <c r="BE2208" s="22"/>
      <c r="BF2208" s="22"/>
      <c r="BG2208" s="22"/>
      <c r="BH2208" s="22"/>
      <c r="BI2208" s="22"/>
      <c r="BJ2208" s="22"/>
      <c r="BK2208" s="22"/>
      <c r="BL2208" s="22"/>
      <c r="BM2208" s="22"/>
      <c r="BN2208" s="22"/>
      <c r="BO2208" s="22"/>
      <c r="BP2208" s="22"/>
      <c r="BQ2208" s="22"/>
      <c r="BR2208" s="22"/>
      <c r="BS2208" s="22"/>
      <c r="BT2208" s="22"/>
      <c r="BU2208" s="22"/>
      <c r="BV2208" s="22"/>
      <c r="BW2208" s="22"/>
      <c r="BX2208" s="22"/>
      <c r="BY2208" s="22"/>
      <c r="BZ2208" s="22"/>
      <c r="CA2208" s="22"/>
      <c r="CB2208" s="22"/>
      <c r="CC2208" s="22"/>
      <c r="CD2208" s="22"/>
      <c r="CE2208" s="22"/>
      <c r="CF2208" s="22"/>
      <c r="CG2208" s="22"/>
      <c r="CH2208" s="22"/>
      <c r="CI2208" s="22"/>
      <c r="CJ2208" s="22"/>
    </row>
    <row r="2209" spans="1:88">
      <c r="A2209" s="1">
        <v>1830</v>
      </c>
      <c r="B2209" s="34" t="s">
        <v>2382</v>
      </c>
      <c r="C2209" s="34">
        <v>428</v>
      </c>
      <c r="D2209" s="8">
        <v>3702</v>
      </c>
      <c r="E2209" s="34">
        <v>500</v>
      </c>
      <c r="F2209" s="34" t="s">
        <v>2406</v>
      </c>
      <c r="G2209" s="58" t="s">
        <v>2423</v>
      </c>
      <c r="H2209" s="58" t="s">
        <v>2449</v>
      </c>
      <c r="I2209" s="35">
        <v>1.0249999999999999</v>
      </c>
      <c r="J2209" s="9">
        <v>2</v>
      </c>
      <c r="K2209" s="34" t="s">
        <v>12</v>
      </c>
      <c r="L2209" s="10">
        <v>42232</v>
      </c>
      <c r="M2209" s="9" t="s">
        <v>191</v>
      </c>
      <c r="N2209" s="38">
        <v>0.97499999999999998</v>
      </c>
      <c r="O2209" s="38">
        <v>0.1</v>
      </c>
      <c r="P2209" s="38">
        <v>0</v>
      </c>
      <c r="Q2209" s="38">
        <v>0</v>
      </c>
      <c r="R2209" s="38">
        <v>1.8160000000000001</v>
      </c>
      <c r="S2209" s="38">
        <f t="shared" si="358"/>
        <v>2</v>
      </c>
      <c r="T2209" s="38">
        <v>1.05</v>
      </c>
      <c r="U2209" s="38">
        <v>2.5000000000000001E-2</v>
      </c>
      <c r="V2209" s="38">
        <v>0</v>
      </c>
      <c r="W2209" s="38">
        <v>0</v>
      </c>
      <c r="X2209" s="38">
        <v>3.8039999999999998</v>
      </c>
      <c r="Y2209" s="38">
        <f t="shared" si="359"/>
        <v>4</v>
      </c>
      <c r="Z2209" s="38">
        <v>0</v>
      </c>
      <c r="AA2209" s="38">
        <v>0</v>
      </c>
      <c r="AB2209" s="38">
        <f t="shared" si="362"/>
        <v>1.075</v>
      </c>
      <c r="AC2209" s="38">
        <v>1.036</v>
      </c>
      <c r="AD2209" s="38">
        <v>0</v>
      </c>
      <c r="AE2209" s="38">
        <v>0</v>
      </c>
      <c r="AF2209" s="38">
        <f t="shared" si="363"/>
        <v>0</v>
      </c>
      <c r="AG2209" s="38">
        <f t="shared" si="361"/>
        <v>0</v>
      </c>
      <c r="AH2209" s="38">
        <v>0</v>
      </c>
      <c r="AI2209" s="38">
        <f t="shared" si="364"/>
        <v>0</v>
      </c>
      <c r="AJ2209" s="38">
        <v>0</v>
      </c>
      <c r="AK2209" s="38">
        <f t="shared" si="365"/>
        <v>0</v>
      </c>
      <c r="AL2209" s="38">
        <v>0</v>
      </c>
      <c r="AM2209" s="38">
        <f t="shared" si="366"/>
        <v>0</v>
      </c>
      <c r="AN2209" s="25"/>
      <c r="AO2209" s="25">
        <f t="shared" si="367"/>
        <v>0</v>
      </c>
      <c r="AP2209" s="25">
        <f t="shared" si="368"/>
        <v>0</v>
      </c>
      <c r="AQ2209" s="25"/>
      <c r="AR2209" s="25"/>
      <c r="AS2209" s="22"/>
      <c r="AT2209" s="41"/>
      <c r="AU2209" s="41"/>
      <c r="AV2209" s="41"/>
      <c r="AW2209" s="41"/>
      <c r="AX2209" s="22"/>
      <c r="AY2209" s="22"/>
      <c r="AZ2209" s="22"/>
      <c r="BA2209" s="22"/>
      <c r="BB2209" s="22"/>
      <c r="BC2209" s="22"/>
      <c r="BD2209" s="22"/>
      <c r="BE2209" s="22"/>
      <c r="BF2209" s="22"/>
      <c r="BG2209" s="22"/>
      <c r="BH2209" s="22"/>
      <c r="BI2209" s="22"/>
      <c r="BJ2209" s="22"/>
      <c r="BK2209" s="22"/>
      <c r="BL2209" s="22"/>
      <c r="BM2209" s="22"/>
      <c r="BN2209" s="22"/>
      <c r="BO2209" s="22"/>
      <c r="BP2209" s="22"/>
      <c r="BQ2209" s="22"/>
      <c r="BR2209" s="22"/>
      <c r="BS2209" s="22"/>
      <c r="BT2209" s="22"/>
      <c r="BU2209" s="22"/>
      <c r="BV2209" s="22"/>
      <c r="BW2209" s="22"/>
      <c r="BX2209" s="22"/>
      <c r="BY2209" s="22"/>
      <c r="BZ2209" s="22"/>
      <c r="CA2209" s="22"/>
      <c r="CB2209" s="22"/>
      <c r="CC2209" s="22"/>
      <c r="CD2209" s="22"/>
      <c r="CE2209" s="22"/>
      <c r="CF2209" s="22"/>
      <c r="CG2209" s="22"/>
      <c r="CH2209" s="22"/>
      <c r="CI2209" s="22"/>
      <c r="CJ2209" s="22"/>
    </row>
    <row r="2210" spans="1:88">
      <c r="A2210" s="1">
        <v>1831</v>
      </c>
      <c r="B2210" s="34" t="s">
        <v>2382</v>
      </c>
      <c r="C2210" s="34">
        <v>428</v>
      </c>
      <c r="D2210" s="8">
        <v>3702</v>
      </c>
      <c r="E2210" s="34">
        <v>500</v>
      </c>
      <c r="F2210" s="34" t="s">
        <v>2406</v>
      </c>
      <c r="G2210" s="58" t="s">
        <v>2450</v>
      </c>
      <c r="H2210" s="58" t="s">
        <v>2424</v>
      </c>
      <c r="I2210" s="35">
        <v>2.2250000000000001</v>
      </c>
      <c r="J2210" s="9">
        <v>2</v>
      </c>
      <c r="K2210" s="34" t="s">
        <v>12</v>
      </c>
      <c r="L2210" s="10">
        <v>42232</v>
      </c>
      <c r="M2210" s="9" t="s">
        <v>191</v>
      </c>
      <c r="N2210" s="38">
        <v>1.9750000000000001</v>
      </c>
      <c r="O2210" s="38">
        <v>0.15</v>
      </c>
      <c r="P2210" s="38">
        <v>7.4999999999999997E-2</v>
      </c>
      <c r="Q2210" s="38">
        <v>2.5000000000000001E-2</v>
      </c>
      <c r="R2210" s="38">
        <v>1.992</v>
      </c>
      <c r="S2210" s="38">
        <f t="shared" si="358"/>
        <v>2</v>
      </c>
      <c r="T2210" s="38">
        <v>2.0249999999999999</v>
      </c>
      <c r="U2210" s="38">
        <v>0.2</v>
      </c>
      <c r="V2210" s="38">
        <v>0</v>
      </c>
      <c r="W2210" s="38">
        <v>0</v>
      </c>
      <c r="X2210" s="38">
        <v>6.3579999999999997</v>
      </c>
      <c r="Y2210" s="38">
        <f t="shared" si="359"/>
        <v>6.5</v>
      </c>
      <c r="Z2210" s="38">
        <v>0</v>
      </c>
      <c r="AA2210" s="38">
        <v>0</v>
      </c>
      <c r="AB2210" s="38">
        <f t="shared" si="362"/>
        <v>2.2250000000000001</v>
      </c>
      <c r="AC2210" s="38">
        <v>1.26</v>
      </c>
      <c r="AD2210" s="38">
        <v>0</v>
      </c>
      <c r="AE2210" s="38">
        <v>0</v>
      </c>
      <c r="AF2210" s="38">
        <f t="shared" si="363"/>
        <v>0</v>
      </c>
      <c r="AG2210" s="38">
        <f t="shared" si="361"/>
        <v>0</v>
      </c>
      <c r="AH2210" s="38">
        <v>0</v>
      </c>
      <c r="AI2210" s="38">
        <f t="shared" si="364"/>
        <v>0</v>
      </c>
      <c r="AJ2210" s="38">
        <v>0</v>
      </c>
      <c r="AK2210" s="38">
        <f t="shared" si="365"/>
        <v>0</v>
      </c>
      <c r="AL2210" s="38">
        <v>0</v>
      </c>
      <c r="AM2210" s="38">
        <f t="shared" si="366"/>
        <v>0</v>
      </c>
      <c r="AN2210" s="25"/>
      <c r="AO2210" s="25">
        <f t="shared" si="367"/>
        <v>0</v>
      </c>
      <c r="AP2210" s="25">
        <f t="shared" si="368"/>
        <v>0</v>
      </c>
      <c r="AQ2210" s="25"/>
      <c r="AR2210" s="25"/>
      <c r="AS2210" s="22"/>
      <c r="AT2210" s="41"/>
      <c r="AU2210" s="41"/>
      <c r="AV2210" s="41"/>
      <c r="AW2210" s="41"/>
      <c r="AX2210" s="22"/>
      <c r="AY2210" s="22"/>
      <c r="AZ2210" s="22"/>
      <c r="BA2210" s="22"/>
      <c r="BB2210" s="22"/>
      <c r="BC2210" s="22"/>
      <c r="BD2210" s="22"/>
      <c r="BE2210" s="22"/>
      <c r="BF2210" s="22"/>
      <c r="BG2210" s="22"/>
      <c r="BH2210" s="22"/>
      <c r="BI2210" s="22"/>
      <c r="BJ2210" s="22"/>
      <c r="BK2210" s="22"/>
      <c r="BL2210" s="22"/>
      <c r="BM2210" s="22"/>
      <c r="BN2210" s="22"/>
      <c r="BO2210" s="22"/>
      <c r="BP2210" s="22"/>
      <c r="BQ2210" s="22"/>
      <c r="BR2210" s="22"/>
      <c r="BS2210" s="22"/>
      <c r="BT2210" s="22"/>
      <c r="BU2210" s="22"/>
      <c r="BV2210" s="22"/>
      <c r="BW2210" s="22"/>
      <c r="BX2210" s="22"/>
      <c r="BY2210" s="22"/>
      <c r="BZ2210" s="22"/>
      <c r="CA2210" s="22"/>
      <c r="CB2210" s="22"/>
      <c r="CC2210" s="22"/>
      <c r="CD2210" s="22"/>
      <c r="CE2210" s="22"/>
      <c r="CF2210" s="22"/>
      <c r="CG2210" s="22"/>
      <c r="CH2210" s="22"/>
      <c r="CI2210" s="22"/>
      <c r="CJ2210" s="22"/>
    </row>
    <row r="2211" spans="1:88">
      <c r="A2211" s="1">
        <v>1832</v>
      </c>
      <c r="B2211" s="34" t="s">
        <v>2382</v>
      </c>
      <c r="C2211" s="34">
        <v>428</v>
      </c>
      <c r="D2211" s="8">
        <v>3702</v>
      </c>
      <c r="E2211" s="34">
        <v>500</v>
      </c>
      <c r="F2211" s="34" t="s">
        <v>2406</v>
      </c>
      <c r="G2211" s="58" t="s">
        <v>2451</v>
      </c>
      <c r="H2211" s="58" t="s">
        <v>2452</v>
      </c>
      <c r="I2211" s="35">
        <v>1.476</v>
      </c>
      <c r="J2211" s="9">
        <v>2</v>
      </c>
      <c r="K2211" s="34" t="s">
        <v>12</v>
      </c>
      <c r="L2211" s="10">
        <v>42232</v>
      </c>
      <c r="M2211" s="9" t="s">
        <v>191</v>
      </c>
      <c r="N2211" s="38">
        <v>1.325</v>
      </c>
      <c r="O2211" s="38">
        <v>0.05</v>
      </c>
      <c r="P2211" s="38">
        <v>2.5000000000000001E-2</v>
      </c>
      <c r="Q2211" s="38">
        <v>2.5000000000000001E-2</v>
      </c>
      <c r="R2211" s="38">
        <v>1.829</v>
      </c>
      <c r="S2211" s="38">
        <f t="shared" si="358"/>
        <v>2</v>
      </c>
      <c r="T2211" s="38">
        <v>1.425</v>
      </c>
      <c r="U2211" s="38">
        <v>0</v>
      </c>
      <c r="V2211" s="38">
        <v>0</v>
      </c>
      <c r="W2211" s="38">
        <v>0</v>
      </c>
      <c r="X2211" s="38">
        <v>2.2749999999999999</v>
      </c>
      <c r="Y2211" s="38">
        <f t="shared" si="359"/>
        <v>2.5</v>
      </c>
      <c r="Z2211" s="38">
        <v>0</v>
      </c>
      <c r="AA2211" s="38">
        <v>0</v>
      </c>
      <c r="AB2211" s="38">
        <f t="shared" si="362"/>
        <v>1.4249999999999998</v>
      </c>
      <c r="AC2211" s="38">
        <v>1.2569999999999999</v>
      </c>
      <c r="AD2211" s="38">
        <v>0</v>
      </c>
      <c r="AE2211" s="38">
        <v>0</v>
      </c>
      <c r="AF2211" s="38">
        <f t="shared" si="363"/>
        <v>0</v>
      </c>
      <c r="AG2211" s="38">
        <f t="shared" si="361"/>
        <v>0</v>
      </c>
      <c r="AH2211" s="38">
        <v>0</v>
      </c>
      <c r="AI2211" s="38">
        <f t="shared" si="364"/>
        <v>0</v>
      </c>
      <c r="AJ2211" s="38">
        <v>0</v>
      </c>
      <c r="AK2211" s="38">
        <f t="shared" si="365"/>
        <v>0</v>
      </c>
      <c r="AL2211" s="38">
        <v>0</v>
      </c>
      <c r="AM2211" s="38">
        <f t="shared" si="366"/>
        <v>0</v>
      </c>
      <c r="AN2211" s="25"/>
      <c r="AO2211" s="25">
        <f t="shared" si="367"/>
        <v>0</v>
      </c>
      <c r="AP2211" s="25">
        <f t="shared" si="368"/>
        <v>0</v>
      </c>
      <c r="AQ2211" s="25"/>
      <c r="AR2211" s="25"/>
      <c r="AS2211" s="22"/>
      <c r="AT2211" s="41"/>
      <c r="AU2211" s="41"/>
      <c r="AV2211" s="41"/>
      <c r="AW2211" s="41"/>
      <c r="AX2211" s="22"/>
      <c r="AY2211" s="22"/>
      <c r="AZ2211" s="22"/>
      <c r="BA2211" s="22"/>
      <c r="BB2211" s="22"/>
      <c r="BC2211" s="22"/>
      <c r="BD2211" s="22"/>
      <c r="BE2211" s="22"/>
      <c r="BF2211" s="22"/>
      <c r="BG2211" s="22"/>
      <c r="BH2211" s="22"/>
      <c r="BI2211" s="22"/>
      <c r="BJ2211" s="22"/>
      <c r="BK2211" s="22"/>
      <c r="BL2211" s="22"/>
      <c r="BM2211" s="22"/>
      <c r="BN2211" s="22"/>
      <c r="BO2211" s="22"/>
      <c r="BP2211" s="22"/>
      <c r="BQ2211" s="22"/>
      <c r="BR2211" s="22"/>
      <c r="BS2211" s="22"/>
      <c r="BT2211" s="22"/>
      <c r="BU2211" s="22"/>
      <c r="BV2211" s="22"/>
      <c r="BW2211" s="22"/>
      <c r="BX2211" s="22"/>
      <c r="BY2211" s="22"/>
      <c r="BZ2211" s="22"/>
      <c r="CA2211" s="22"/>
      <c r="CB2211" s="22"/>
      <c r="CC2211" s="22"/>
      <c r="CD2211" s="22"/>
      <c r="CE2211" s="22"/>
      <c r="CF2211" s="22"/>
      <c r="CG2211" s="22"/>
      <c r="CH2211" s="22"/>
      <c r="CI2211" s="22"/>
      <c r="CJ2211" s="22"/>
    </row>
    <row r="2212" spans="1:88">
      <c r="A2212" s="1">
        <v>1834</v>
      </c>
      <c r="B2212" s="34" t="s">
        <v>2382</v>
      </c>
      <c r="C2212" s="34">
        <v>428</v>
      </c>
      <c r="D2212" s="8">
        <v>3702</v>
      </c>
      <c r="E2212" s="34">
        <v>500</v>
      </c>
      <c r="F2212" s="34" t="s">
        <v>2406</v>
      </c>
      <c r="G2212" s="58" t="s">
        <v>2455</v>
      </c>
      <c r="H2212" s="58" t="s">
        <v>2456</v>
      </c>
      <c r="I2212" s="35">
        <v>0.111</v>
      </c>
      <c r="J2212" s="9">
        <v>2</v>
      </c>
      <c r="K2212" s="34" t="s">
        <v>12</v>
      </c>
      <c r="L2212" s="10">
        <v>42232</v>
      </c>
      <c r="M2212" s="9" t="s">
        <v>191</v>
      </c>
      <c r="N2212" s="38">
        <v>0.1</v>
      </c>
      <c r="O2212" s="38">
        <v>0</v>
      </c>
      <c r="P2212" s="38">
        <v>0</v>
      </c>
      <c r="Q2212" s="38">
        <v>0</v>
      </c>
      <c r="R2212" s="38">
        <v>1.883</v>
      </c>
      <c r="S2212" s="38">
        <f t="shared" si="358"/>
        <v>2</v>
      </c>
      <c r="T2212" s="38">
        <v>0.1</v>
      </c>
      <c r="U2212" s="38">
        <v>0</v>
      </c>
      <c r="V2212" s="38">
        <v>0</v>
      </c>
      <c r="W2212" s="38">
        <v>0</v>
      </c>
      <c r="X2212" s="38">
        <v>1.351</v>
      </c>
      <c r="Y2212" s="38">
        <f t="shared" si="359"/>
        <v>1.5</v>
      </c>
      <c r="Z2212" s="38">
        <v>0</v>
      </c>
      <c r="AA2212" s="38">
        <v>0</v>
      </c>
      <c r="AB2212" s="38">
        <f t="shared" si="362"/>
        <v>0.1</v>
      </c>
      <c r="AC2212" s="38">
        <v>1.099</v>
      </c>
      <c r="AD2212" s="38">
        <v>0</v>
      </c>
      <c r="AE2212" s="38">
        <v>0</v>
      </c>
      <c r="AF2212" s="38">
        <f t="shared" si="363"/>
        <v>0</v>
      </c>
      <c r="AG2212" s="38">
        <f t="shared" si="361"/>
        <v>0</v>
      </c>
      <c r="AH2212" s="38">
        <v>0</v>
      </c>
      <c r="AI2212" s="38">
        <f t="shared" si="364"/>
        <v>0</v>
      </c>
      <c r="AJ2212" s="38">
        <v>0</v>
      </c>
      <c r="AK2212" s="38">
        <f t="shared" si="365"/>
        <v>0</v>
      </c>
      <c r="AL2212" s="38">
        <v>0</v>
      </c>
      <c r="AM2212" s="38">
        <f t="shared" si="366"/>
        <v>0</v>
      </c>
      <c r="AN2212" s="25"/>
      <c r="AO2212" s="25"/>
      <c r="AP2212" s="25"/>
      <c r="AQ2212" s="25"/>
      <c r="AR2212" s="25"/>
      <c r="AS2212" s="22"/>
      <c r="AT2212" s="41"/>
      <c r="AU2212" s="41"/>
      <c r="AV2212" s="41"/>
      <c r="AW2212" s="41"/>
      <c r="AX2212" s="22"/>
      <c r="AY2212" s="22"/>
      <c r="AZ2212" s="22"/>
      <c r="BA2212" s="22"/>
      <c r="BB2212" s="22"/>
      <c r="BC2212" s="22"/>
      <c r="BD2212" s="22"/>
      <c r="BE2212" s="22"/>
      <c r="BF2212" s="22"/>
      <c r="BG2212" s="22"/>
      <c r="BH2212" s="22"/>
      <c r="BI2212" s="22"/>
      <c r="BJ2212" s="22"/>
      <c r="BK2212" s="22"/>
      <c r="BL2212" s="22"/>
      <c r="BM2212" s="22"/>
      <c r="BN2212" s="22"/>
      <c r="BO2212" s="22"/>
      <c r="BP2212" s="22"/>
      <c r="BQ2212" s="22"/>
      <c r="BR2212" s="22"/>
      <c r="BS2212" s="22"/>
      <c r="BT2212" s="22"/>
      <c r="BU2212" s="22"/>
      <c r="BV2212" s="22"/>
      <c r="BW2212" s="22"/>
      <c r="BX2212" s="22"/>
      <c r="BY2212" s="22"/>
      <c r="BZ2212" s="22"/>
      <c r="CA2212" s="22"/>
      <c r="CB2212" s="22"/>
      <c r="CC2212" s="22"/>
      <c r="CD2212" s="22"/>
      <c r="CE2212" s="22"/>
      <c r="CF2212" s="22"/>
      <c r="CG2212" s="22"/>
      <c r="CH2212" s="22"/>
      <c r="CI2212" s="22"/>
      <c r="CJ2212" s="22"/>
    </row>
    <row r="2213" spans="1:88">
      <c r="A2213" s="1">
        <v>1835</v>
      </c>
      <c r="B2213" s="34" t="s">
        <v>2382</v>
      </c>
      <c r="C2213" s="34">
        <v>428</v>
      </c>
      <c r="D2213" s="8">
        <v>3702</v>
      </c>
      <c r="E2213" s="34">
        <v>500</v>
      </c>
      <c r="F2213" s="34" t="s">
        <v>2406</v>
      </c>
      <c r="G2213" s="58" t="s">
        <v>2457</v>
      </c>
      <c r="H2213" s="58" t="s">
        <v>2458</v>
      </c>
      <c r="I2213" s="35">
        <v>0.41099999999999998</v>
      </c>
      <c r="J2213" s="9">
        <v>2</v>
      </c>
      <c r="K2213" s="34" t="s">
        <v>12</v>
      </c>
      <c r="L2213" s="10">
        <v>42232</v>
      </c>
      <c r="M2213" s="9" t="s">
        <v>191</v>
      </c>
      <c r="N2213" s="38">
        <v>0.3</v>
      </c>
      <c r="O2213" s="38">
        <v>7.4999999999999997E-2</v>
      </c>
      <c r="P2213" s="38">
        <v>0</v>
      </c>
      <c r="Q2213" s="38">
        <v>2.5000000000000001E-2</v>
      </c>
      <c r="R2213" s="38">
        <v>2.254</v>
      </c>
      <c r="S2213" s="38">
        <f t="shared" si="358"/>
        <v>2.5</v>
      </c>
      <c r="T2213" s="38">
        <v>0.375</v>
      </c>
      <c r="U2213" s="38">
        <v>2.5000000000000001E-2</v>
      </c>
      <c r="V2213" s="38">
        <v>0</v>
      </c>
      <c r="W2213" s="38">
        <v>0</v>
      </c>
      <c r="X2213" s="38">
        <v>4.569</v>
      </c>
      <c r="Y2213" s="38">
        <f t="shared" si="359"/>
        <v>4.5</v>
      </c>
      <c r="Z2213" s="38">
        <v>0</v>
      </c>
      <c r="AA2213" s="38">
        <v>0</v>
      </c>
      <c r="AB2213" s="38">
        <f t="shared" si="362"/>
        <v>0.4</v>
      </c>
      <c r="AC2213" s="38">
        <v>1.2410000000000001</v>
      </c>
      <c r="AD2213" s="38">
        <v>0</v>
      </c>
      <c r="AE2213" s="38">
        <v>0</v>
      </c>
      <c r="AF2213" s="38">
        <f t="shared" si="363"/>
        <v>0</v>
      </c>
      <c r="AG2213" s="38">
        <f t="shared" si="361"/>
        <v>0</v>
      </c>
      <c r="AH2213" s="38">
        <v>0</v>
      </c>
      <c r="AI2213" s="38">
        <f t="shared" si="364"/>
        <v>0</v>
      </c>
      <c r="AJ2213" s="38">
        <v>0</v>
      </c>
      <c r="AK2213" s="38">
        <f t="shared" si="365"/>
        <v>0</v>
      </c>
      <c r="AL2213" s="38">
        <v>0</v>
      </c>
      <c r="AM2213" s="38">
        <f t="shared" si="366"/>
        <v>0</v>
      </c>
      <c r="AN2213" s="25"/>
      <c r="AO2213" s="25"/>
      <c r="AP2213" s="25"/>
      <c r="AQ2213" s="25"/>
      <c r="AR2213" s="25"/>
      <c r="AS2213" s="22"/>
      <c r="AT2213" s="41"/>
      <c r="AU2213" s="41"/>
      <c r="AV2213" s="41"/>
      <c r="AW2213" s="41"/>
      <c r="AX2213" s="22"/>
      <c r="AY2213" s="22"/>
      <c r="AZ2213" s="22"/>
      <c r="BA2213" s="22"/>
      <c r="BB2213" s="22"/>
      <c r="BC2213" s="22"/>
      <c r="BD2213" s="22"/>
      <c r="BE2213" s="22"/>
      <c r="BF2213" s="22"/>
      <c r="BG2213" s="22"/>
      <c r="BH2213" s="22"/>
      <c r="BI2213" s="22"/>
      <c r="BJ2213" s="22"/>
      <c r="BK2213" s="22"/>
      <c r="BL2213" s="22"/>
      <c r="BM2213" s="22"/>
      <c r="BN2213" s="22"/>
      <c r="BO2213" s="22"/>
      <c r="BP2213" s="22"/>
      <c r="BQ2213" s="22"/>
      <c r="BR2213" s="22"/>
      <c r="BS2213" s="22"/>
      <c r="BT2213" s="22"/>
      <c r="BU2213" s="22"/>
      <c r="BV2213" s="22"/>
      <c r="BW2213" s="22"/>
      <c r="BX2213" s="22"/>
      <c r="BY2213" s="22"/>
      <c r="BZ2213" s="22"/>
      <c r="CA2213" s="22"/>
      <c r="CB2213" s="22"/>
      <c r="CC2213" s="22"/>
      <c r="CD2213" s="22"/>
      <c r="CE2213" s="22"/>
      <c r="CF2213" s="22"/>
      <c r="CG2213" s="22"/>
      <c r="CH2213" s="22"/>
      <c r="CI2213" s="22"/>
      <c r="CJ2213" s="22"/>
    </row>
    <row r="2214" spans="1:88">
      <c r="A2214" s="1">
        <v>1836</v>
      </c>
      <c r="B2214" s="34" t="s">
        <v>2382</v>
      </c>
      <c r="C2214" s="34">
        <v>428</v>
      </c>
      <c r="D2214" s="8">
        <v>3702</v>
      </c>
      <c r="E2214" s="34">
        <v>500</v>
      </c>
      <c r="F2214" s="34" t="s">
        <v>2406</v>
      </c>
      <c r="G2214" s="58" t="s">
        <v>2459</v>
      </c>
      <c r="H2214" s="58" t="s">
        <v>2460</v>
      </c>
      <c r="I2214" s="35">
        <v>0.26500000000000001</v>
      </c>
      <c r="J2214" s="9">
        <v>2</v>
      </c>
      <c r="K2214" s="34" t="s">
        <v>12</v>
      </c>
      <c r="L2214" s="10">
        <v>42232</v>
      </c>
      <c r="M2214" s="9" t="s">
        <v>191</v>
      </c>
      <c r="N2214" s="38">
        <v>0.05</v>
      </c>
      <c r="O2214" s="38">
        <v>0.15</v>
      </c>
      <c r="P2214" s="38">
        <v>7.4999999999999997E-2</v>
      </c>
      <c r="Q2214" s="38">
        <v>0</v>
      </c>
      <c r="R2214" s="38">
        <v>3.1</v>
      </c>
      <c r="S2214" s="38">
        <f t="shared" si="358"/>
        <v>3</v>
      </c>
      <c r="T2214" s="38">
        <v>0.25</v>
      </c>
      <c r="U2214" s="38">
        <v>0</v>
      </c>
      <c r="V2214" s="38">
        <v>2.5000000000000001E-2</v>
      </c>
      <c r="W2214" s="38">
        <v>0</v>
      </c>
      <c r="X2214" s="38">
        <v>4.149</v>
      </c>
      <c r="Y2214" s="38">
        <f t="shared" si="359"/>
        <v>4</v>
      </c>
      <c r="Z2214" s="38">
        <v>0</v>
      </c>
      <c r="AA2214" s="38">
        <v>0</v>
      </c>
      <c r="AB2214" s="38">
        <f t="shared" si="362"/>
        <v>0.27500000000000002</v>
      </c>
      <c r="AC2214" s="38">
        <v>1.17</v>
      </c>
      <c r="AD2214" s="38">
        <v>0</v>
      </c>
      <c r="AE2214" s="38">
        <v>0</v>
      </c>
      <c r="AF2214" s="38">
        <f t="shared" si="363"/>
        <v>0</v>
      </c>
      <c r="AG2214" s="38">
        <f t="shared" si="361"/>
        <v>0</v>
      </c>
      <c r="AH2214" s="38">
        <v>0</v>
      </c>
      <c r="AI2214" s="38">
        <f t="shared" si="364"/>
        <v>0</v>
      </c>
      <c r="AJ2214" s="38">
        <v>0</v>
      </c>
      <c r="AK2214" s="38">
        <f t="shared" si="365"/>
        <v>0</v>
      </c>
      <c r="AL2214" s="38">
        <v>0</v>
      </c>
      <c r="AM2214" s="38">
        <f t="shared" si="366"/>
        <v>0</v>
      </c>
      <c r="AN2214" s="25"/>
      <c r="AO2214" s="25"/>
      <c r="AP2214" s="25"/>
      <c r="AQ2214" s="25"/>
      <c r="AR2214" s="25"/>
      <c r="AS2214" s="22"/>
      <c r="AT2214" s="41"/>
      <c r="AU2214" s="41"/>
      <c r="AV2214" s="41"/>
      <c r="AW2214" s="41"/>
      <c r="AX2214" s="22"/>
      <c r="AY2214" s="22"/>
      <c r="AZ2214" s="22"/>
      <c r="BA2214" s="22"/>
      <c r="BB2214" s="22"/>
      <c r="BC2214" s="22"/>
      <c r="BD2214" s="22"/>
      <c r="BE2214" s="22"/>
      <c r="BF2214" s="22"/>
      <c r="BG2214" s="22"/>
      <c r="BH2214" s="22"/>
      <c r="BI2214" s="22"/>
      <c r="BJ2214" s="22"/>
      <c r="BK2214" s="22"/>
      <c r="BL2214" s="22"/>
      <c r="BM2214" s="22"/>
      <c r="BN2214" s="22"/>
      <c r="BO2214" s="22"/>
      <c r="BP2214" s="22"/>
      <c r="BQ2214" s="22"/>
      <c r="BR2214" s="22"/>
      <c r="BS2214" s="22"/>
      <c r="BT2214" s="22"/>
      <c r="BU2214" s="22"/>
      <c r="BV2214" s="22"/>
      <c r="BW2214" s="22"/>
      <c r="BX2214" s="22"/>
      <c r="BY2214" s="22"/>
      <c r="BZ2214" s="22"/>
      <c r="CA2214" s="22"/>
      <c r="CB2214" s="22"/>
      <c r="CC2214" s="22"/>
      <c r="CD2214" s="22"/>
      <c r="CE2214" s="22"/>
      <c r="CF2214" s="22"/>
      <c r="CG2214" s="22"/>
      <c r="CH2214" s="22"/>
      <c r="CI2214" s="22"/>
      <c r="CJ2214" s="22"/>
    </row>
    <row r="2215" spans="1:88">
      <c r="A2215" s="1">
        <v>1849</v>
      </c>
      <c r="B2215" s="34" t="s">
        <v>2461</v>
      </c>
      <c r="C2215" s="34">
        <v>332</v>
      </c>
      <c r="D2215" s="75">
        <v>4003</v>
      </c>
      <c r="E2215" s="8">
        <v>100</v>
      </c>
      <c r="F2215" s="9" t="s">
        <v>2472</v>
      </c>
      <c r="G2215" s="20" t="s">
        <v>2474</v>
      </c>
      <c r="H2215" s="20" t="s">
        <v>2475</v>
      </c>
      <c r="I2215" s="21">
        <v>12.407</v>
      </c>
      <c r="J2215" s="8">
        <v>2</v>
      </c>
      <c r="K2215" s="8" t="s">
        <v>238</v>
      </c>
      <c r="L2215" s="18">
        <v>42100</v>
      </c>
      <c r="M2215" s="207" t="s">
        <v>191</v>
      </c>
      <c r="N2215" s="38">
        <v>8.5500000000000007</v>
      </c>
      <c r="O2215" s="38">
        <v>3.875</v>
      </c>
      <c r="P2215" s="38">
        <v>0</v>
      </c>
      <c r="Q2215" s="38">
        <v>0</v>
      </c>
      <c r="R2215" s="38">
        <v>2.7123499999999998</v>
      </c>
      <c r="S2215" s="38">
        <f t="shared" si="358"/>
        <v>2.5</v>
      </c>
      <c r="T2215" s="38">
        <v>12.425000000000001</v>
      </c>
      <c r="U2215" s="38">
        <v>0</v>
      </c>
      <c r="V2215" s="38">
        <v>0</v>
      </c>
      <c r="W2215" s="38">
        <v>0</v>
      </c>
      <c r="X2215" s="38">
        <v>1.86321</v>
      </c>
      <c r="Y2215" s="38">
        <f t="shared" si="359"/>
        <v>2</v>
      </c>
      <c r="Z2215" s="38">
        <v>0</v>
      </c>
      <c r="AA2215" s="11">
        <v>0</v>
      </c>
      <c r="AB2215" s="38">
        <v>12.425000000000001</v>
      </c>
      <c r="AC2215" s="38">
        <v>1.21441</v>
      </c>
      <c r="AD2215" s="38">
        <v>0</v>
      </c>
      <c r="AE2215" s="38">
        <v>0</v>
      </c>
      <c r="AF2215" s="38">
        <f>(AD2215+AE2215*0.5)/(3.5*L2215*1000)*100</f>
        <v>0</v>
      </c>
      <c r="AG2215" s="38">
        <f t="shared" si="361"/>
        <v>0</v>
      </c>
      <c r="AH2215" s="38">
        <v>0</v>
      </c>
      <c r="AI2215" s="38">
        <f>AH2215/(3.5*L2215*1000)*100</f>
        <v>0</v>
      </c>
      <c r="AJ2215" s="38">
        <v>0</v>
      </c>
      <c r="AK2215" s="38">
        <f>AJ2215/(3.5*L2215*1000)*100</f>
        <v>0</v>
      </c>
      <c r="AL2215" s="38">
        <v>0</v>
      </c>
      <c r="AM2215" s="38">
        <f t="shared" si="366"/>
        <v>0</v>
      </c>
      <c r="AN2215" s="73"/>
      <c r="AO2215" s="73"/>
      <c r="AP2215" s="73"/>
      <c r="AQ2215" s="73"/>
      <c r="AR2215" s="73"/>
      <c r="AS2215" s="73"/>
      <c r="AT2215" s="73"/>
      <c r="AU2215" s="73"/>
      <c r="AV2215" s="73"/>
      <c r="AW2215" s="73"/>
      <c r="AX2215" s="73"/>
      <c r="AY2215" s="73"/>
      <c r="AZ2215" s="73"/>
      <c r="BA2215" s="73"/>
      <c r="BB2215" s="22"/>
      <c r="BC2215" s="22"/>
      <c r="BD2215" s="22"/>
      <c r="BE2215" s="22"/>
      <c r="BF2215" s="22"/>
      <c r="BG2215" s="22"/>
      <c r="BH2215" s="22"/>
      <c r="BI2215" s="22"/>
      <c r="BJ2215" s="22"/>
      <c r="BK2215" s="22"/>
      <c r="BL2215" s="22"/>
      <c r="BM2215" s="22"/>
      <c r="BN2215" s="22"/>
      <c r="BO2215" s="22"/>
      <c r="BP2215" s="22"/>
      <c r="BQ2215" s="22"/>
      <c r="BR2215" s="22"/>
      <c r="BS2215" s="22"/>
      <c r="BT2215" s="22"/>
      <c r="BU2215" s="22"/>
      <c r="BV2215" s="22"/>
      <c r="BW2215" s="22"/>
      <c r="BX2215" s="22"/>
      <c r="BY2215" s="22"/>
      <c r="BZ2215" s="22"/>
      <c r="CA2215" s="22"/>
      <c r="CB2215" s="22"/>
      <c r="CC2215" s="22"/>
      <c r="CD2215" s="22"/>
      <c r="CE2215" s="22"/>
      <c r="CF2215" s="22"/>
      <c r="CG2215" s="22"/>
      <c r="CH2215" s="22"/>
      <c r="CI2215" s="22"/>
      <c r="CJ2215" s="22"/>
    </row>
    <row r="2216" spans="1:88">
      <c r="A2216" s="1">
        <v>1868</v>
      </c>
      <c r="B2216" s="34" t="s">
        <v>2495</v>
      </c>
      <c r="C2216" s="34">
        <v>335</v>
      </c>
      <c r="D2216" s="75">
        <v>3090</v>
      </c>
      <c r="E2216" s="8">
        <v>100</v>
      </c>
      <c r="F2216" s="9" t="s">
        <v>2498</v>
      </c>
      <c r="G2216" s="20" t="s">
        <v>2499</v>
      </c>
      <c r="H2216" s="20" t="s">
        <v>92</v>
      </c>
      <c r="I2216" s="21">
        <v>16.094000000000001</v>
      </c>
      <c r="J2216" s="34">
        <v>2</v>
      </c>
      <c r="K2216" s="34" t="s">
        <v>12</v>
      </c>
      <c r="L2216" s="18">
        <v>42093</v>
      </c>
      <c r="M2216" s="207" t="s">
        <v>191</v>
      </c>
      <c r="N2216" s="38">
        <v>12.12</v>
      </c>
      <c r="O2216" s="38">
        <v>3.97</v>
      </c>
      <c r="P2216" s="38">
        <v>0</v>
      </c>
      <c r="Q2216" s="38">
        <v>0</v>
      </c>
      <c r="R2216" s="38">
        <v>2.5367000000000002</v>
      </c>
      <c r="S2216" s="38">
        <f t="shared" si="358"/>
        <v>2.5</v>
      </c>
      <c r="T2216" s="38">
        <v>16.09</v>
      </c>
      <c r="U2216" s="38">
        <v>0</v>
      </c>
      <c r="V2216" s="38">
        <v>0</v>
      </c>
      <c r="W2216" s="38">
        <v>0</v>
      </c>
      <c r="X2216" s="38">
        <v>2.3696999999999999</v>
      </c>
      <c r="Y2216" s="38">
        <f t="shared" si="359"/>
        <v>2.5</v>
      </c>
      <c r="Z2216" s="38">
        <v>0</v>
      </c>
      <c r="AA2216" s="38">
        <v>0</v>
      </c>
      <c r="AB2216" s="38">
        <v>16.09</v>
      </c>
      <c r="AC2216" s="38">
        <v>1.03369</v>
      </c>
      <c r="AD2216" s="38">
        <v>0</v>
      </c>
      <c r="AE2216" s="38">
        <v>0</v>
      </c>
      <c r="AF2216" s="38">
        <f>(AD2216+AE2216*0.5)/(3.5*I2216*1000)*100</f>
        <v>0</v>
      </c>
      <c r="AG2216" s="38">
        <f t="shared" si="361"/>
        <v>0</v>
      </c>
      <c r="AH2216" s="38">
        <v>0</v>
      </c>
      <c r="AI2216" s="38">
        <f>AH2216/(3.5*I2216*1000)*100</f>
        <v>0</v>
      </c>
      <c r="AJ2216" s="38">
        <v>0</v>
      </c>
      <c r="AK2216" s="38">
        <f>AJ2216/(3.5*I2216*1000)*100</f>
        <v>0</v>
      </c>
      <c r="AL2216" s="38">
        <v>0</v>
      </c>
      <c r="AM2216" s="38">
        <f t="shared" si="366"/>
        <v>0</v>
      </c>
      <c r="AN2216" s="73"/>
      <c r="AO2216" s="73"/>
      <c r="AP2216" s="73"/>
      <c r="AQ2216" s="41">
        <f>SUM(N2216:Q2216)</f>
        <v>16.09</v>
      </c>
      <c r="AR2216" s="41">
        <f>SUM(T2216:W2216)</f>
        <v>16.09</v>
      </c>
      <c r="AS2216" s="12">
        <f>SUM(Z2216:AB2216)</f>
        <v>16.09</v>
      </c>
      <c r="AT2216" s="22"/>
      <c r="AU2216" s="1">
        <f>I2216/AQ2216</f>
        <v>1.0002486016159107</v>
      </c>
      <c r="AV2216" s="1">
        <f>I2216/AR2216</f>
        <v>1.0002486016159107</v>
      </c>
      <c r="AW2216" s="1">
        <f>I2216/AS2216</f>
        <v>1.0002486016159107</v>
      </c>
      <c r="AX2216" s="22"/>
      <c r="AY2216" s="22"/>
      <c r="AZ2216" s="22"/>
      <c r="BA2216" s="22"/>
      <c r="BB2216" s="22"/>
      <c r="BC2216" s="22"/>
      <c r="BD2216" s="22"/>
      <c r="BE2216" s="22"/>
      <c r="BF2216" s="22"/>
      <c r="BG2216" s="22"/>
      <c r="BH2216" s="22"/>
      <c r="BI2216" s="22"/>
      <c r="BJ2216" s="22"/>
      <c r="BK2216" s="22"/>
      <c r="BL2216" s="22"/>
      <c r="BM2216" s="22"/>
      <c r="BN2216" s="22"/>
      <c r="BO2216" s="22"/>
      <c r="BP2216" s="22"/>
      <c r="BQ2216" s="22"/>
      <c r="BR2216" s="22"/>
      <c r="BS2216" s="22"/>
      <c r="BT2216" s="22"/>
      <c r="BU2216" s="22"/>
      <c r="BV2216" s="22"/>
      <c r="BW2216" s="22"/>
      <c r="BX2216" s="22"/>
      <c r="BY2216" s="22"/>
      <c r="BZ2216" s="22"/>
      <c r="CA2216" s="22"/>
      <c r="CB2216" s="22"/>
      <c r="CC2216" s="22"/>
      <c r="CD2216" s="22"/>
      <c r="CE2216" s="22"/>
      <c r="CF2216" s="22"/>
      <c r="CG2216" s="22"/>
      <c r="CH2216" s="22"/>
      <c r="CI2216" s="22"/>
      <c r="CJ2216" s="22"/>
    </row>
    <row r="2217" spans="1:88">
      <c r="A2217" s="1">
        <v>1925</v>
      </c>
      <c r="B2217" s="34" t="s">
        <v>2559</v>
      </c>
      <c r="C2217" s="34">
        <v>338</v>
      </c>
      <c r="D2217" s="75">
        <v>3187</v>
      </c>
      <c r="E2217" s="8">
        <v>100</v>
      </c>
      <c r="F2217" s="9" t="s">
        <v>2571</v>
      </c>
      <c r="G2217" s="20">
        <v>0</v>
      </c>
      <c r="H2217" s="20">
        <v>28201</v>
      </c>
      <c r="I2217" s="21">
        <v>28.201000000000001</v>
      </c>
      <c r="J2217" s="8">
        <v>2</v>
      </c>
      <c r="K2217" s="8" t="s">
        <v>238</v>
      </c>
      <c r="L2217" s="18">
        <v>42096</v>
      </c>
      <c r="M2217" s="207" t="s">
        <v>191</v>
      </c>
      <c r="N2217" s="38">
        <v>20.059999999999999</v>
      </c>
      <c r="O2217" s="38">
        <v>5.34</v>
      </c>
      <c r="P2217" s="38">
        <v>2.19</v>
      </c>
      <c r="Q2217" s="38">
        <v>0.6</v>
      </c>
      <c r="R2217" s="38">
        <v>2.2437100000000001</v>
      </c>
      <c r="S2217" s="38">
        <f t="shared" si="358"/>
        <v>2</v>
      </c>
      <c r="T2217" s="38">
        <v>27.6</v>
      </c>
      <c r="U2217" s="38">
        <v>0.45</v>
      </c>
      <c r="V2217" s="38">
        <v>0.1</v>
      </c>
      <c r="W2217" s="38">
        <v>0.05</v>
      </c>
      <c r="X2217" s="38">
        <v>2.5160100000000001</v>
      </c>
      <c r="Y2217" s="38">
        <f t="shared" si="359"/>
        <v>2.5</v>
      </c>
      <c r="Z2217" s="38">
        <v>0</v>
      </c>
      <c r="AA2217" s="38">
        <v>0</v>
      </c>
      <c r="AB2217" s="38">
        <v>28.2</v>
      </c>
      <c r="AC2217" s="38">
        <v>1.2615799999999999</v>
      </c>
      <c r="AD2217" s="38">
        <v>0</v>
      </c>
      <c r="AE2217" s="38">
        <v>0</v>
      </c>
      <c r="AF2217" s="38">
        <v>0</v>
      </c>
      <c r="AG2217" s="38">
        <f t="shared" si="361"/>
        <v>0</v>
      </c>
      <c r="AH2217" s="38">
        <v>1</v>
      </c>
      <c r="AI2217" s="38">
        <v>1.0131352991535254E-3</v>
      </c>
      <c r="AJ2217" s="38">
        <v>39</v>
      </c>
      <c r="AK2217" s="38">
        <v>3.9512276666987492E-2</v>
      </c>
      <c r="AL2217" s="38">
        <v>0</v>
      </c>
      <c r="AM2217" s="38">
        <f t="shared" ref="AM2217:AM2248" si="369">AL2217/(3.5*I2217*1000)*100</f>
        <v>0</v>
      </c>
      <c r="AN2217" s="41"/>
      <c r="AO2217" s="73"/>
      <c r="AP2217" s="41"/>
      <c r="AQ2217" s="41">
        <f>SUM(N2217:Q2217)</f>
        <v>28.19</v>
      </c>
      <c r="AR2217" s="41">
        <f>SUM(T2217:W2217)</f>
        <v>28.200000000000003</v>
      </c>
      <c r="AS2217" s="12">
        <f>SUM(Z2217:AB2217)</f>
        <v>28.2</v>
      </c>
      <c r="AU2217" s="1">
        <f>I2217/AQ2217</f>
        <v>1.000390209294076</v>
      </c>
      <c r="AV2217" s="1">
        <f>I2217/AR2217</f>
        <v>1.0000354609929076</v>
      </c>
      <c r="AW2217" s="1">
        <f>I2217/AS2217</f>
        <v>1.0000354609929079</v>
      </c>
      <c r="AX2217" s="1" t="e">
        <f>AT2217/I2242</f>
        <v>#DIV/0!</v>
      </c>
    </row>
    <row r="2218" spans="1:88">
      <c r="A2218" s="1">
        <v>1937</v>
      </c>
      <c r="B2218" s="34" t="s">
        <v>2559</v>
      </c>
      <c r="C2218" s="34">
        <v>338</v>
      </c>
      <c r="D2218" s="75">
        <v>3528</v>
      </c>
      <c r="E2218" s="8">
        <v>100</v>
      </c>
      <c r="F2218" s="9" t="s">
        <v>2582</v>
      </c>
      <c r="G2218" s="20" t="s">
        <v>2584</v>
      </c>
      <c r="H2218" s="20" t="s">
        <v>2583</v>
      </c>
      <c r="I2218" s="21">
        <v>1.597</v>
      </c>
      <c r="J2218" s="8">
        <v>6</v>
      </c>
      <c r="K2218" s="8" t="s">
        <v>1521</v>
      </c>
      <c r="L2218" s="18">
        <v>42096</v>
      </c>
      <c r="M2218" s="207" t="s">
        <v>191</v>
      </c>
      <c r="N2218" s="38">
        <v>1.23</v>
      </c>
      <c r="O2218" s="38">
        <v>0.21</v>
      </c>
      <c r="P2218" s="38">
        <v>0.12</v>
      </c>
      <c r="Q2218" s="38">
        <v>0.03</v>
      </c>
      <c r="R2218" s="38">
        <v>2.00481</v>
      </c>
      <c r="S2218" s="38">
        <f t="shared" si="358"/>
        <v>2</v>
      </c>
      <c r="T2218" s="38">
        <v>1.54</v>
      </c>
      <c r="U2218" s="38">
        <v>0.03</v>
      </c>
      <c r="V2218" s="38">
        <v>0.03</v>
      </c>
      <c r="W2218" s="38">
        <v>0</v>
      </c>
      <c r="X2218" s="38">
        <v>3.0099200000000002</v>
      </c>
      <c r="Y2218" s="38">
        <f t="shared" si="359"/>
        <v>3</v>
      </c>
      <c r="Z2218" s="38">
        <v>0</v>
      </c>
      <c r="AA2218" s="38">
        <v>0</v>
      </c>
      <c r="AB2218" s="38">
        <v>1.6</v>
      </c>
      <c r="AC2218" s="38">
        <v>1.58192</v>
      </c>
      <c r="AD2218" s="38">
        <v>0</v>
      </c>
      <c r="AE2218" s="38">
        <v>0</v>
      </c>
      <c r="AF2218" s="38">
        <f>(AD2218+AE2218*0.5)/(3.5*L2218*1000)*100</f>
        <v>0</v>
      </c>
      <c r="AG2218" s="38">
        <f t="shared" si="361"/>
        <v>0</v>
      </c>
      <c r="AH2218" s="38">
        <v>2.09</v>
      </c>
      <c r="AI2218" s="38">
        <f>AH2218/(3.5*L2218*1000)*100</f>
        <v>1.4185263615138187E-6</v>
      </c>
      <c r="AJ2218" s="38">
        <v>0</v>
      </c>
      <c r="AK2218" s="38">
        <f>AJ2218/(3.5*L2218*1000)*100</f>
        <v>0</v>
      </c>
      <c r="AL2218" s="38">
        <v>0</v>
      </c>
      <c r="AM2218" s="38">
        <f t="shared" si="369"/>
        <v>0</v>
      </c>
      <c r="AN2218" s="41"/>
      <c r="AO2218" s="73"/>
      <c r="AP2218" s="41"/>
      <c r="AQ2218" s="41">
        <f>SUM(N2218:Q2218)</f>
        <v>1.59</v>
      </c>
      <c r="AR2218" s="41">
        <f>SUM(T2218:W2218)</f>
        <v>1.6</v>
      </c>
      <c r="AS2218" s="12">
        <f>SUM(Z2218:AB2218)</f>
        <v>1.6</v>
      </c>
      <c r="AU2218" s="1">
        <f>I2218/AQ2218</f>
        <v>1.0044025157232703</v>
      </c>
      <c r="AV2218" s="1">
        <f>I2218/AR2218</f>
        <v>0.99812499999999993</v>
      </c>
      <c r="AW2218" s="1">
        <f>I2218/AS2218</f>
        <v>0.99812499999999993</v>
      </c>
      <c r="AX2218" s="1" t="e">
        <f>AT2218/I2243</f>
        <v>#DIV/0!</v>
      </c>
      <c r="AY2218" s="22"/>
      <c r="AZ2218" s="22"/>
      <c r="BA2218" s="22"/>
      <c r="BB2218" s="22"/>
      <c r="BC2218" s="22"/>
      <c r="BD2218" s="22"/>
      <c r="BE2218" s="22"/>
      <c r="BF2218" s="22"/>
      <c r="BG2218" s="22"/>
      <c r="BH2218" s="22"/>
      <c r="BI2218" s="22"/>
      <c r="BJ2218" s="22"/>
      <c r="BK2218" s="22"/>
      <c r="BL2218" s="22"/>
      <c r="BM2218" s="22"/>
      <c r="BN2218" s="22"/>
      <c r="BO2218" s="22"/>
      <c r="BP2218" s="22"/>
      <c r="BQ2218" s="22"/>
      <c r="BR2218" s="22"/>
      <c r="BS2218" s="22"/>
      <c r="BT2218" s="22"/>
      <c r="BU2218" s="22"/>
      <c r="BV2218" s="22"/>
      <c r="BW2218" s="22"/>
      <c r="BX2218" s="22"/>
      <c r="BY2218" s="22"/>
      <c r="BZ2218" s="22"/>
      <c r="CA2218" s="22"/>
      <c r="CB2218" s="22"/>
      <c r="CC2218" s="22"/>
      <c r="CD2218" s="22"/>
      <c r="CE2218" s="22"/>
      <c r="CF2218" s="22"/>
      <c r="CG2218" s="22"/>
      <c r="CH2218" s="22"/>
      <c r="CI2218" s="22"/>
      <c r="CJ2218" s="22"/>
    </row>
    <row r="2219" spans="1:88">
      <c r="A2219" s="1">
        <v>1938</v>
      </c>
      <c r="B2219" s="34" t="s">
        <v>2559</v>
      </c>
      <c r="C2219" s="34">
        <v>338</v>
      </c>
      <c r="D2219" s="75">
        <v>4280</v>
      </c>
      <c r="E2219" s="8">
        <v>100</v>
      </c>
      <c r="F2219" s="34" t="s">
        <v>2585</v>
      </c>
      <c r="G2219" s="20">
        <v>0</v>
      </c>
      <c r="H2219" s="20">
        <v>1754</v>
      </c>
      <c r="I2219" s="21">
        <v>1.754</v>
      </c>
      <c r="J2219" s="8">
        <v>2</v>
      </c>
      <c r="K2219" s="8" t="s">
        <v>238</v>
      </c>
      <c r="L2219" s="18">
        <v>42097</v>
      </c>
      <c r="M2219" s="207" t="s">
        <v>191</v>
      </c>
      <c r="N2219" s="38">
        <v>0.92</v>
      </c>
      <c r="O2219" s="38">
        <v>0.45</v>
      </c>
      <c r="P2219" s="38">
        <v>0.19</v>
      </c>
      <c r="Q2219" s="38">
        <v>0.19</v>
      </c>
      <c r="R2219" s="38">
        <v>2.8985699999999999</v>
      </c>
      <c r="S2219" s="38">
        <f t="shared" si="358"/>
        <v>3</v>
      </c>
      <c r="T2219" s="38">
        <v>1.73</v>
      </c>
      <c r="U2219" s="38">
        <v>0.03</v>
      </c>
      <c r="V2219" s="38">
        <v>0</v>
      </c>
      <c r="W2219" s="38">
        <v>0</v>
      </c>
      <c r="X2219" s="38">
        <v>2.9865200000000001</v>
      </c>
      <c r="Y2219" s="38">
        <f t="shared" si="359"/>
        <v>3</v>
      </c>
      <c r="Z2219" s="38">
        <v>0</v>
      </c>
      <c r="AA2219" s="38">
        <v>0</v>
      </c>
      <c r="AB2219" s="38">
        <v>1.75</v>
      </c>
      <c r="AC2219" s="38">
        <v>1.1997100000000001</v>
      </c>
      <c r="AD2219" s="38">
        <v>0</v>
      </c>
      <c r="AE2219" s="38">
        <v>0</v>
      </c>
      <c r="AF2219" s="38">
        <v>0</v>
      </c>
      <c r="AG2219" s="38">
        <f t="shared" si="361"/>
        <v>0</v>
      </c>
      <c r="AH2219" s="38">
        <v>0</v>
      </c>
      <c r="AI2219" s="38">
        <v>0</v>
      </c>
      <c r="AJ2219" s="38">
        <v>25</v>
      </c>
      <c r="AK2219" s="38">
        <v>0.40723244828147903</v>
      </c>
      <c r="AL2219" s="38">
        <v>0</v>
      </c>
      <c r="AM2219" s="38">
        <f t="shared" si="369"/>
        <v>0</v>
      </c>
      <c r="AN2219" s="41"/>
      <c r="AO2219" s="73"/>
      <c r="AP2219" s="41"/>
      <c r="AQ2219" s="41">
        <f>SUM(N2219:Q2219)</f>
        <v>1.75</v>
      </c>
      <c r="AR2219" s="41">
        <f>SUM(T2219:W2219)</f>
        <v>1.76</v>
      </c>
      <c r="AS2219" s="12">
        <f>SUM(Z2219:AB2219)</f>
        <v>1.75</v>
      </c>
      <c r="AU2219" s="1">
        <f>I2219/AQ2219</f>
        <v>1.0022857142857142</v>
      </c>
      <c r="AV2219" s="1">
        <f>I2219/AR2219</f>
        <v>0.99659090909090908</v>
      </c>
      <c r="AW2219" s="1">
        <f>I2219/AS2219</f>
        <v>1.0022857142857142</v>
      </c>
      <c r="AX2219" s="1" t="e">
        <f>AT2219/I2244</f>
        <v>#DIV/0!</v>
      </c>
    </row>
    <row r="2220" spans="1:88">
      <c r="A2220" s="1">
        <v>1942</v>
      </c>
      <c r="B2220" s="34" t="s">
        <v>2586</v>
      </c>
      <c r="C2220" s="34">
        <v>321</v>
      </c>
      <c r="D2220" s="75">
        <v>401</v>
      </c>
      <c r="E2220" s="8">
        <v>503</v>
      </c>
      <c r="F2220" s="34" t="s">
        <v>2588</v>
      </c>
      <c r="G2220" s="58">
        <v>292863</v>
      </c>
      <c r="H2220" s="58">
        <v>286310</v>
      </c>
      <c r="I2220" s="21">
        <v>6.5529999999999999</v>
      </c>
      <c r="J2220" s="8">
        <v>4</v>
      </c>
      <c r="K2220" s="8" t="s">
        <v>96</v>
      </c>
      <c r="L2220" s="18">
        <v>42122</v>
      </c>
      <c r="M2220" s="9" t="s">
        <v>191</v>
      </c>
      <c r="N2220" s="38">
        <v>4.8250000000000002</v>
      </c>
      <c r="O2220" s="38">
        <v>1.4</v>
      </c>
      <c r="P2220" s="38">
        <v>0.22500000000000001</v>
      </c>
      <c r="Q2220" s="38">
        <v>7.4999999999999997E-2</v>
      </c>
      <c r="R2220" s="38">
        <v>2.2305700000000002</v>
      </c>
      <c r="S2220" s="38">
        <f t="shared" si="358"/>
        <v>2</v>
      </c>
      <c r="T2220" s="38">
        <v>6.4249999999999998</v>
      </c>
      <c r="U2220" s="38">
        <v>0.1</v>
      </c>
      <c r="V2220" s="38">
        <v>0</v>
      </c>
      <c r="W2220" s="38">
        <v>0</v>
      </c>
      <c r="X2220" s="38">
        <v>5.4412799999999999</v>
      </c>
      <c r="Y2220" s="38">
        <f t="shared" si="359"/>
        <v>5.5</v>
      </c>
      <c r="Z2220" s="38">
        <v>0</v>
      </c>
      <c r="AA2220" s="38">
        <v>0</v>
      </c>
      <c r="AB2220" s="38">
        <v>6.5249999999999995</v>
      </c>
      <c r="AC2220" s="38">
        <v>1.20323</v>
      </c>
      <c r="AD2220" s="38">
        <v>0</v>
      </c>
      <c r="AE2220" s="38">
        <v>0</v>
      </c>
      <c r="AF2220" s="38">
        <v>0</v>
      </c>
      <c r="AG2220" s="38">
        <f t="shared" si="361"/>
        <v>0</v>
      </c>
      <c r="AH2220" s="38">
        <v>11</v>
      </c>
      <c r="AI2220" s="38">
        <f>AH2220/(3.5*I2220*1000)*100</f>
        <v>4.7960585119138456E-2</v>
      </c>
      <c r="AJ2220" s="38">
        <v>0</v>
      </c>
      <c r="AK2220" s="38">
        <v>0</v>
      </c>
      <c r="AL2220" s="38">
        <v>0</v>
      </c>
      <c r="AM2220" s="38">
        <f t="shared" si="369"/>
        <v>0</v>
      </c>
      <c r="AN2220" s="73"/>
      <c r="AO2220" s="72"/>
      <c r="AP2220" s="41"/>
      <c r="AQ2220" s="41"/>
      <c r="AR2220" s="73"/>
      <c r="AS2220" s="73"/>
      <c r="AT2220" s="73"/>
      <c r="AU2220" s="73"/>
      <c r="AV2220" s="73"/>
      <c r="AW2220" s="73"/>
      <c r="AX2220" s="73"/>
      <c r="AY2220" s="73"/>
      <c r="AZ2220" s="22"/>
      <c r="BA2220" s="22"/>
      <c r="BB2220" s="22"/>
      <c r="BC2220" s="22"/>
      <c r="BD2220" s="22"/>
      <c r="BE2220" s="22"/>
      <c r="BF2220" s="22"/>
      <c r="BG2220" s="22"/>
      <c r="BH2220" s="22"/>
      <c r="BI2220" s="22"/>
      <c r="BJ2220" s="22"/>
      <c r="BK2220" s="22"/>
      <c r="BL2220" s="22"/>
      <c r="BM2220" s="22"/>
      <c r="BN2220" s="22"/>
      <c r="BO2220" s="22"/>
      <c r="BP2220" s="22"/>
      <c r="BQ2220" s="22"/>
      <c r="BR2220" s="22"/>
      <c r="BS2220" s="22"/>
      <c r="BT2220" s="22"/>
      <c r="BU2220" s="22"/>
      <c r="BV2220" s="22"/>
      <c r="BW2220" s="22"/>
      <c r="BX2220" s="22"/>
      <c r="BY2220" s="22"/>
      <c r="BZ2220" s="22"/>
      <c r="CA2220" s="22"/>
      <c r="CB2220" s="22"/>
      <c r="CC2220" s="22"/>
      <c r="CD2220" s="22"/>
      <c r="CE2220" s="22"/>
      <c r="CF2220" s="22"/>
      <c r="CG2220" s="22"/>
      <c r="CH2220" s="22"/>
      <c r="CI2220" s="22"/>
      <c r="CJ2220" s="22"/>
    </row>
    <row r="2221" spans="1:88">
      <c r="A2221" s="1">
        <v>1951</v>
      </c>
      <c r="B2221" s="34" t="s">
        <v>2586</v>
      </c>
      <c r="C2221" s="5">
        <v>321</v>
      </c>
      <c r="D2221" s="5">
        <v>4016</v>
      </c>
      <c r="E2221" s="5">
        <v>101</v>
      </c>
      <c r="F2221" s="5" t="s">
        <v>2596</v>
      </c>
      <c r="G2221" s="53">
        <v>13500</v>
      </c>
      <c r="H2221" s="53" t="s">
        <v>2597</v>
      </c>
      <c r="I2221" s="5">
        <v>5.2290000000000001</v>
      </c>
      <c r="J2221" s="34">
        <v>4</v>
      </c>
      <c r="K2221" s="5" t="s">
        <v>238</v>
      </c>
      <c r="L2221" s="10">
        <v>42124</v>
      </c>
      <c r="M2221" s="9" t="s">
        <v>191</v>
      </c>
      <c r="N2221" s="38">
        <v>3.25</v>
      </c>
      <c r="O2221" s="38">
        <v>1.5</v>
      </c>
      <c r="P2221" s="38">
        <v>0.52500000000000002</v>
      </c>
      <c r="Q2221" s="38">
        <v>0</v>
      </c>
      <c r="R2221" s="38">
        <v>2.6389999999999998</v>
      </c>
      <c r="S2221" s="38">
        <f t="shared" si="358"/>
        <v>2.5</v>
      </c>
      <c r="T2221" s="38">
        <v>5.2750000000000004</v>
      </c>
      <c r="U2221" s="38">
        <v>0</v>
      </c>
      <c r="V2221" s="38">
        <v>0</v>
      </c>
      <c r="W2221" s="38">
        <v>0</v>
      </c>
      <c r="X2221" s="38">
        <v>2.9630000000000001</v>
      </c>
      <c r="Y2221" s="38">
        <f t="shared" si="359"/>
        <v>3</v>
      </c>
      <c r="Z2221" s="38">
        <v>0</v>
      </c>
      <c r="AA2221" s="38">
        <v>0</v>
      </c>
      <c r="AB2221" s="38">
        <v>5.2750000000000004</v>
      </c>
      <c r="AC2221" s="38">
        <v>1.321</v>
      </c>
      <c r="AD2221" s="38">
        <v>0</v>
      </c>
      <c r="AE2221" s="38">
        <v>0</v>
      </c>
      <c r="AF2221" s="38">
        <f>(AD2221+AE2221*0.5)/(3.5*I2221*1000)*100</f>
        <v>0</v>
      </c>
      <c r="AG2221" s="38">
        <f t="shared" si="361"/>
        <v>0</v>
      </c>
      <c r="AH2221" s="38">
        <v>16.2</v>
      </c>
      <c r="AI2221" s="38">
        <f>AH2221/(3.5*I2221*1000)*100</f>
        <v>8.8517334644701254E-2</v>
      </c>
      <c r="AJ2221" s="38">
        <v>0</v>
      </c>
      <c r="AK2221" s="38">
        <v>0</v>
      </c>
      <c r="AL2221" s="38">
        <v>0</v>
      </c>
      <c r="AM2221" s="38">
        <f t="shared" si="369"/>
        <v>0</v>
      </c>
      <c r="AN2221" s="73"/>
      <c r="AO2221" s="72"/>
      <c r="AP2221" s="41"/>
      <c r="AQ2221" s="41"/>
      <c r="AR2221" s="73"/>
      <c r="AS2221" s="73"/>
      <c r="AT2221" s="73"/>
      <c r="AU2221" s="73"/>
      <c r="AV2221" s="73"/>
      <c r="AW2221" s="73"/>
      <c r="AX2221" s="73"/>
      <c r="AY2221" s="73"/>
    </row>
    <row r="2222" spans="1:88" s="22" customFormat="1">
      <c r="A2222" s="1">
        <v>1985</v>
      </c>
      <c r="B2222" s="34" t="s">
        <v>2615</v>
      </c>
      <c r="C2222" s="34">
        <v>322</v>
      </c>
      <c r="D2222" s="75">
        <v>4124</v>
      </c>
      <c r="E2222" s="8">
        <v>100</v>
      </c>
      <c r="F2222" s="34" t="s">
        <v>2625</v>
      </c>
      <c r="G2222" s="58" t="s">
        <v>92</v>
      </c>
      <c r="H2222" s="58" t="s">
        <v>2626</v>
      </c>
      <c r="I2222" s="21">
        <v>24.035</v>
      </c>
      <c r="J2222" s="8">
        <v>2</v>
      </c>
      <c r="K2222" s="8" t="s">
        <v>237</v>
      </c>
      <c r="L2222" s="18">
        <v>42131</v>
      </c>
      <c r="M2222" s="9" t="s">
        <v>191</v>
      </c>
      <c r="N2222" s="38">
        <v>21.45</v>
      </c>
      <c r="O2222" s="38">
        <v>2.125</v>
      </c>
      <c r="P2222" s="38">
        <v>0.72499999999999998</v>
      </c>
      <c r="Q2222" s="38">
        <v>0.35</v>
      </c>
      <c r="R2222" s="38">
        <v>1.8493900000000001</v>
      </c>
      <c r="S2222" s="38">
        <f t="shared" si="358"/>
        <v>2</v>
      </c>
      <c r="T2222" s="38">
        <v>24.65</v>
      </c>
      <c r="U2222" s="38">
        <v>0</v>
      </c>
      <c r="V2222" s="38">
        <v>0</v>
      </c>
      <c r="W2222" s="38">
        <v>0</v>
      </c>
      <c r="X2222" s="38">
        <v>1.45373</v>
      </c>
      <c r="Y2222" s="38">
        <f t="shared" si="359"/>
        <v>1.5</v>
      </c>
      <c r="Z2222" s="38">
        <v>0</v>
      </c>
      <c r="AA2222" s="38">
        <v>0</v>
      </c>
      <c r="AB2222" s="38">
        <v>24.650000000000002</v>
      </c>
      <c r="AC2222" s="38">
        <v>1.3594599999999999</v>
      </c>
      <c r="AD2222" s="38">
        <v>0</v>
      </c>
      <c r="AE2222" s="38">
        <v>0</v>
      </c>
      <c r="AF2222" s="38">
        <v>0</v>
      </c>
      <c r="AG2222" s="38">
        <f t="shared" si="361"/>
        <v>0</v>
      </c>
      <c r="AH2222" s="38">
        <v>0</v>
      </c>
      <c r="AI2222" s="38">
        <v>0</v>
      </c>
      <c r="AJ2222" s="38">
        <v>12.21</v>
      </c>
      <c r="AK2222" s="38">
        <f>AJ2222/(3.5*L2222*1000)*100</f>
        <v>8.2802958120420321E-6</v>
      </c>
      <c r="AL2222" s="38">
        <v>0</v>
      </c>
      <c r="AM2222" s="38">
        <f t="shared" si="369"/>
        <v>0</v>
      </c>
      <c r="AN2222" s="72"/>
      <c r="AO2222" s="41"/>
      <c r="AP2222" s="41"/>
      <c r="AQ2222" s="73"/>
      <c r="AR2222" s="73"/>
      <c r="AS2222" s="73"/>
      <c r="AT2222" s="73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</row>
    <row r="2223" spans="1:88">
      <c r="A2223" s="1">
        <v>1996</v>
      </c>
      <c r="B2223" s="34" t="s">
        <v>2615</v>
      </c>
      <c r="C2223" s="34">
        <v>322</v>
      </c>
      <c r="D2223" s="75">
        <v>4268</v>
      </c>
      <c r="E2223" s="8">
        <v>100</v>
      </c>
      <c r="F2223" s="34" t="s">
        <v>2639</v>
      </c>
      <c r="G2223" s="58">
        <v>9414</v>
      </c>
      <c r="H2223" s="58">
        <v>0</v>
      </c>
      <c r="I2223" s="21">
        <v>9.4139999999999997</v>
      </c>
      <c r="J2223" s="8">
        <v>2</v>
      </c>
      <c r="K2223" s="8" t="s">
        <v>96</v>
      </c>
      <c r="L2223" s="18">
        <v>42127</v>
      </c>
      <c r="M2223" s="9" t="s">
        <v>191</v>
      </c>
      <c r="N2223" s="38">
        <v>8</v>
      </c>
      <c r="O2223" s="38">
        <v>1</v>
      </c>
      <c r="P2223" s="38">
        <v>0.2</v>
      </c>
      <c r="Q2223" s="38">
        <v>0.15</v>
      </c>
      <c r="R2223" s="38">
        <v>1.9223300000000001</v>
      </c>
      <c r="S2223" s="38">
        <f t="shared" si="358"/>
        <v>2</v>
      </c>
      <c r="T2223" s="38">
        <v>9.3249999999999993</v>
      </c>
      <c r="U2223" s="38">
        <v>2.5000000000000001E-2</v>
      </c>
      <c r="V2223" s="38">
        <v>0</v>
      </c>
      <c r="W2223" s="38">
        <v>0</v>
      </c>
      <c r="X2223" s="38">
        <v>2.0070199999999998</v>
      </c>
      <c r="Y2223" s="38">
        <f t="shared" si="359"/>
        <v>2</v>
      </c>
      <c r="Z2223" s="38">
        <v>0</v>
      </c>
      <c r="AA2223" s="38">
        <v>0</v>
      </c>
      <c r="AB2223" s="38">
        <v>9.35</v>
      </c>
      <c r="AC2223" s="38">
        <v>1.11145</v>
      </c>
      <c r="AD2223" s="38">
        <v>0</v>
      </c>
      <c r="AE2223" s="38">
        <v>0</v>
      </c>
      <c r="AF2223" s="38">
        <v>0</v>
      </c>
      <c r="AG2223" s="38">
        <f t="shared" si="361"/>
        <v>0</v>
      </c>
      <c r="AH2223" s="38">
        <v>0</v>
      </c>
      <c r="AI2223" s="38">
        <v>0</v>
      </c>
      <c r="AJ2223" s="38">
        <v>19.399999999999999</v>
      </c>
      <c r="AK2223" s="38">
        <v>5.8878873410422167E-2</v>
      </c>
      <c r="AL2223" s="38">
        <v>0</v>
      </c>
      <c r="AM2223" s="38">
        <f t="shared" si="369"/>
        <v>0</v>
      </c>
      <c r="AN2223" s="72"/>
      <c r="AO2223" s="41"/>
      <c r="AP2223" s="41"/>
      <c r="AQ2223" s="73"/>
      <c r="AR2223" s="73"/>
      <c r="AS2223" s="73"/>
      <c r="AT2223" s="73"/>
    </row>
    <row r="2224" spans="1:88">
      <c r="A2224" s="1">
        <v>2015</v>
      </c>
      <c r="B2224" s="34" t="s">
        <v>2646</v>
      </c>
      <c r="C2224" s="34">
        <v>325</v>
      </c>
      <c r="D2224" s="75">
        <v>4185</v>
      </c>
      <c r="E2224" s="8">
        <v>100</v>
      </c>
      <c r="F2224" s="34" t="s">
        <v>2662</v>
      </c>
      <c r="G2224" s="58">
        <v>4800</v>
      </c>
      <c r="H2224" s="58">
        <v>0</v>
      </c>
      <c r="I2224" s="21">
        <v>4.8</v>
      </c>
      <c r="J2224" s="8">
        <v>2</v>
      </c>
      <c r="K2224" s="8" t="s">
        <v>12</v>
      </c>
      <c r="L2224" s="18">
        <v>42117</v>
      </c>
      <c r="M2224" s="9" t="s">
        <v>191</v>
      </c>
      <c r="N2224" s="38">
        <v>3.63</v>
      </c>
      <c r="O2224" s="38">
        <v>0.67</v>
      </c>
      <c r="P2224" s="38">
        <v>0.32</v>
      </c>
      <c r="Q2224" s="38">
        <v>0.19</v>
      </c>
      <c r="R2224" s="38">
        <v>2.2378300000000002</v>
      </c>
      <c r="S2224" s="38">
        <f t="shared" si="358"/>
        <v>2</v>
      </c>
      <c r="T2224" s="38">
        <v>4.21</v>
      </c>
      <c r="U2224" s="38">
        <v>0.56000000000000005</v>
      </c>
      <c r="V2224" s="38">
        <v>0.03</v>
      </c>
      <c r="W2224" s="38">
        <v>0</v>
      </c>
      <c r="X2224" s="38">
        <v>5.5958399999999999</v>
      </c>
      <c r="Y2224" s="38">
        <f t="shared" si="359"/>
        <v>5.5</v>
      </c>
      <c r="Z2224" s="38">
        <v>0</v>
      </c>
      <c r="AA2224" s="38">
        <v>0</v>
      </c>
      <c r="AB2224" s="38">
        <v>4.8</v>
      </c>
      <c r="AC2224" s="38">
        <v>1.35043</v>
      </c>
      <c r="AD2224" s="38">
        <v>0</v>
      </c>
      <c r="AE2224" s="38">
        <v>0</v>
      </c>
      <c r="AF2224" s="38">
        <f>(AD2224+AE2224*0.5)/(3.5*I2224*1000)*100</f>
        <v>0</v>
      </c>
      <c r="AG2224" s="38">
        <f t="shared" si="361"/>
        <v>0</v>
      </c>
      <c r="AH2224" s="38">
        <v>0</v>
      </c>
      <c r="AI2224" s="38">
        <f>AH2224/(3.5*I2224*1000)*100</f>
        <v>0</v>
      </c>
      <c r="AJ2224" s="38">
        <v>8.9</v>
      </c>
      <c r="AK2224" s="38">
        <f>AJ2224/(3.5*I2224*1000)*100</f>
        <v>5.2976190476190475E-2</v>
      </c>
      <c r="AL2224" s="38">
        <v>0</v>
      </c>
      <c r="AM2224" s="38">
        <f t="shared" si="369"/>
        <v>0</v>
      </c>
      <c r="AN2224" s="12"/>
      <c r="AO2224" s="12"/>
      <c r="AQ2224" s="41">
        <f>SUM(N2224:Q2224)</f>
        <v>4.8100000000000005</v>
      </c>
      <c r="AR2224" s="41">
        <f>SUM(T2224:W2224)</f>
        <v>4.8</v>
      </c>
      <c r="AS2224" s="12">
        <f>SUM(Z2224:AB2224)</f>
        <v>4.8</v>
      </c>
      <c r="AU2224" s="1">
        <f>I2224/AQ2224</f>
        <v>0.99792099792099775</v>
      </c>
      <c r="AV2224" s="1">
        <f>I2224/AR2224</f>
        <v>1</v>
      </c>
      <c r="AW2224" s="1">
        <f>I2224/AS2224</f>
        <v>1</v>
      </c>
    </row>
    <row r="2225" spans="1:88">
      <c r="A2225" s="1">
        <v>2067</v>
      </c>
      <c r="B2225" s="34" t="s">
        <v>2697</v>
      </c>
      <c r="C2225" s="34">
        <v>328</v>
      </c>
      <c r="D2225" s="75">
        <v>4339</v>
      </c>
      <c r="E2225" s="8">
        <v>100</v>
      </c>
      <c r="F2225" s="34" t="s">
        <v>2713</v>
      </c>
      <c r="G2225" s="58">
        <v>0</v>
      </c>
      <c r="H2225" s="58">
        <v>3525</v>
      </c>
      <c r="I2225" s="21">
        <v>3.5249999999999999</v>
      </c>
      <c r="J2225" s="8">
        <v>2</v>
      </c>
      <c r="K2225" s="8" t="s">
        <v>238</v>
      </c>
      <c r="L2225" s="18">
        <v>42119</v>
      </c>
      <c r="M2225" s="9" t="s">
        <v>191</v>
      </c>
      <c r="N2225" s="38">
        <v>2.0750000000000002</v>
      </c>
      <c r="O2225" s="38">
        <v>1.1000000000000001</v>
      </c>
      <c r="P2225" s="38">
        <v>0.27500000000000002</v>
      </c>
      <c r="Q2225" s="38">
        <v>7.4999999999999997E-2</v>
      </c>
      <c r="R2225" s="38">
        <v>2.5295000000000001</v>
      </c>
      <c r="S2225" s="38">
        <f t="shared" si="358"/>
        <v>2.5</v>
      </c>
      <c r="T2225" s="38">
        <v>3.5249999999999999</v>
      </c>
      <c r="U2225" s="38">
        <v>0</v>
      </c>
      <c r="V2225" s="38">
        <v>0</v>
      </c>
      <c r="W2225" s="38">
        <v>0</v>
      </c>
      <c r="X2225" s="38">
        <v>2.3470200000000001</v>
      </c>
      <c r="Y2225" s="38">
        <f t="shared" si="359"/>
        <v>2.5</v>
      </c>
      <c r="Z2225" s="38">
        <v>0</v>
      </c>
      <c r="AA2225" s="38">
        <v>0</v>
      </c>
      <c r="AB2225" s="38">
        <v>3.5250000000000004</v>
      </c>
      <c r="AC2225" s="38">
        <v>1.39253</v>
      </c>
      <c r="AD2225" s="38">
        <v>0</v>
      </c>
      <c r="AE2225" s="38">
        <v>0</v>
      </c>
      <c r="AF2225" s="38">
        <v>0</v>
      </c>
      <c r="AG2225" s="38">
        <f t="shared" si="361"/>
        <v>0</v>
      </c>
      <c r="AH2225" s="38">
        <v>1.5</v>
      </c>
      <c r="AI2225" s="38">
        <v>1.2158054711246201E-2</v>
      </c>
      <c r="AJ2225" s="38">
        <v>0</v>
      </c>
      <c r="AK2225" s="38">
        <v>0</v>
      </c>
      <c r="AL2225" s="38">
        <v>0</v>
      </c>
      <c r="AM2225" s="38">
        <f t="shared" si="369"/>
        <v>0</v>
      </c>
      <c r="AN2225" s="72"/>
      <c r="AO2225" s="41"/>
      <c r="AP2225" s="41"/>
      <c r="AQ2225" s="73"/>
      <c r="AR2225" s="73"/>
    </row>
    <row r="2226" spans="1:88">
      <c r="A2226" s="1">
        <v>2085</v>
      </c>
      <c r="B2226" s="34" t="s">
        <v>2715</v>
      </c>
      <c r="C2226" s="34">
        <v>329</v>
      </c>
      <c r="D2226" s="75">
        <v>4344</v>
      </c>
      <c r="E2226" s="8">
        <v>100</v>
      </c>
      <c r="F2226" s="34" t="s">
        <v>2731</v>
      </c>
      <c r="G2226" s="58">
        <v>0</v>
      </c>
      <c r="H2226" s="58">
        <v>1611</v>
      </c>
      <c r="I2226" s="21">
        <v>1.611</v>
      </c>
      <c r="J2226" s="8">
        <v>2</v>
      </c>
      <c r="K2226" s="8" t="s">
        <v>238</v>
      </c>
      <c r="L2226" s="18">
        <v>42121</v>
      </c>
      <c r="M2226" s="9" t="s">
        <v>191</v>
      </c>
      <c r="N2226" s="38">
        <v>1.175</v>
      </c>
      <c r="O2226" s="38">
        <v>0.375</v>
      </c>
      <c r="P2226" s="38">
        <v>7.4999999999999997E-2</v>
      </c>
      <c r="Q2226" s="38">
        <v>2.5000000000000001E-2</v>
      </c>
      <c r="R2226" s="38">
        <v>2.3347000000000002</v>
      </c>
      <c r="S2226" s="38">
        <f t="shared" si="358"/>
        <v>2.5</v>
      </c>
      <c r="T2226" s="38">
        <v>1.625</v>
      </c>
      <c r="U2226" s="38">
        <v>0</v>
      </c>
      <c r="V2226" s="38">
        <v>2.5000000000000001E-2</v>
      </c>
      <c r="W2226" s="38">
        <v>0</v>
      </c>
      <c r="X2226" s="38">
        <v>2.5350299999999999</v>
      </c>
      <c r="Y2226" s="38">
        <f t="shared" si="359"/>
        <v>2.5</v>
      </c>
      <c r="Z2226" s="38">
        <v>0</v>
      </c>
      <c r="AA2226" s="38">
        <v>0</v>
      </c>
      <c r="AB2226" s="38">
        <v>1.65</v>
      </c>
      <c r="AC2226" s="38">
        <v>1.0848800000000001</v>
      </c>
      <c r="AD2226" s="38">
        <v>0</v>
      </c>
      <c r="AE2226" s="38">
        <v>0</v>
      </c>
      <c r="AF2226" s="38">
        <v>0</v>
      </c>
      <c r="AG2226" s="38">
        <f t="shared" si="361"/>
        <v>0</v>
      </c>
      <c r="AH2226" s="38">
        <v>212.47</v>
      </c>
      <c r="AI2226" s="38">
        <v>3.7682007626141703</v>
      </c>
      <c r="AJ2226" s="38">
        <v>0</v>
      </c>
      <c r="AK2226" s="38">
        <v>0</v>
      </c>
      <c r="AL2226" s="38">
        <v>0</v>
      </c>
      <c r="AM2226" s="38">
        <f t="shared" si="369"/>
        <v>0</v>
      </c>
      <c r="AN2226" s="12"/>
      <c r="AO2226" s="12"/>
    </row>
    <row r="2227" spans="1:88">
      <c r="A2227" s="1">
        <v>2086</v>
      </c>
      <c r="B2227" s="34" t="s">
        <v>2732</v>
      </c>
      <c r="C2227" s="34">
        <v>323</v>
      </c>
      <c r="D2227" s="75">
        <v>4033</v>
      </c>
      <c r="E2227" s="8">
        <v>100</v>
      </c>
      <c r="F2227" s="9" t="s">
        <v>2733</v>
      </c>
      <c r="G2227" s="20">
        <v>0</v>
      </c>
      <c r="H2227" s="20">
        <v>5310</v>
      </c>
      <c r="I2227" s="21">
        <v>5.31</v>
      </c>
      <c r="J2227" s="9">
        <v>2</v>
      </c>
      <c r="K2227" s="34" t="s">
        <v>238</v>
      </c>
      <c r="L2227" s="18">
        <v>42132</v>
      </c>
      <c r="M2227" s="9" t="s">
        <v>191</v>
      </c>
      <c r="N2227" s="38">
        <v>4.96</v>
      </c>
      <c r="O2227" s="38">
        <v>0.15</v>
      </c>
      <c r="P2227" s="38">
        <v>0.1</v>
      </c>
      <c r="Q2227" s="38">
        <v>0.1</v>
      </c>
      <c r="R2227" s="38">
        <v>1.66289</v>
      </c>
      <c r="S2227" s="38">
        <f t="shared" si="358"/>
        <v>1.5</v>
      </c>
      <c r="T2227" s="38">
        <v>4.9800000000000004</v>
      </c>
      <c r="U2227" s="38">
        <v>0.28000000000000003</v>
      </c>
      <c r="V2227" s="38">
        <v>0</v>
      </c>
      <c r="W2227" s="38">
        <v>0.05</v>
      </c>
      <c r="X2227" s="38">
        <v>4.5550899999999999</v>
      </c>
      <c r="Y2227" s="38">
        <f t="shared" si="359"/>
        <v>4.5</v>
      </c>
      <c r="Z2227" s="38">
        <v>0</v>
      </c>
      <c r="AA2227" s="38">
        <v>0</v>
      </c>
      <c r="AB2227" s="38">
        <v>5.31</v>
      </c>
      <c r="AC2227" s="38">
        <v>1.14628</v>
      </c>
      <c r="AD2227" s="38">
        <v>0</v>
      </c>
      <c r="AE2227" s="38">
        <v>0</v>
      </c>
      <c r="AF2227" s="38">
        <f t="shared" ref="AF2227:AF2233" si="370">(AD2227+AE2227*0.5)/(3.5*I2227*1000)*100</f>
        <v>0</v>
      </c>
      <c r="AG2227" s="38">
        <f t="shared" si="361"/>
        <v>0</v>
      </c>
      <c r="AH2227" s="38">
        <v>2.48</v>
      </c>
      <c r="AI2227" s="38">
        <f t="shared" ref="AI2227:AI2233" si="371">AH2227/(3.5*I2227*1000)*100</f>
        <v>1.3344094700026905E-2</v>
      </c>
      <c r="AJ2227" s="38">
        <v>0</v>
      </c>
      <c r="AK2227" s="38">
        <v>0</v>
      </c>
      <c r="AL2227" s="38">
        <v>0</v>
      </c>
      <c r="AM2227" s="38">
        <f t="shared" si="369"/>
        <v>0</v>
      </c>
      <c r="AN2227" s="25"/>
      <c r="AO2227" s="25"/>
      <c r="AP2227" s="22"/>
      <c r="AQ2227" s="41">
        <f>SUM(N2227:Q2227)</f>
        <v>5.31</v>
      </c>
      <c r="AR2227" s="41">
        <f>SUM(T2227:W2227)</f>
        <v>5.3100000000000005</v>
      </c>
      <c r="AS2227" s="12">
        <f>SUM(Z2227:AB2227)</f>
        <v>5.31</v>
      </c>
      <c r="AU2227" s="1">
        <f>I2227/AQ2227</f>
        <v>1</v>
      </c>
      <c r="AV2227" s="1">
        <f>I2227/AR2227</f>
        <v>0.99999999999999978</v>
      </c>
      <c r="AW2227" s="1">
        <f>I2227/AS2227</f>
        <v>1</v>
      </c>
      <c r="AX2227" s="22"/>
      <c r="AY2227" s="22"/>
      <c r="AZ2227" s="22"/>
      <c r="BA2227" s="22"/>
      <c r="BB2227" s="22"/>
      <c r="BC2227" s="22"/>
      <c r="BD2227" s="22"/>
      <c r="BE2227" s="22"/>
      <c r="BF2227" s="22"/>
      <c r="BG2227" s="22"/>
      <c r="BH2227" s="22"/>
      <c r="BI2227" s="22"/>
      <c r="BJ2227" s="22"/>
      <c r="BK2227" s="22"/>
      <c r="BL2227" s="22"/>
      <c r="BM2227" s="22"/>
      <c r="BN2227" s="22"/>
      <c r="BO2227" s="22"/>
      <c r="BP2227" s="22"/>
      <c r="BQ2227" s="22"/>
      <c r="BR2227" s="22"/>
      <c r="BS2227" s="22"/>
      <c r="BT2227" s="22"/>
      <c r="BU2227" s="22"/>
      <c r="BV2227" s="22"/>
      <c r="BW2227" s="22"/>
      <c r="BX2227" s="22"/>
      <c r="BY2227" s="22"/>
      <c r="BZ2227" s="22"/>
      <c r="CA2227" s="22"/>
      <c r="CB2227" s="22"/>
      <c r="CC2227" s="22"/>
      <c r="CD2227" s="22"/>
      <c r="CE2227" s="22"/>
      <c r="CF2227" s="22"/>
      <c r="CG2227" s="22"/>
      <c r="CH2227" s="22"/>
      <c r="CI2227" s="22"/>
      <c r="CJ2227" s="22"/>
    </row>
    <row r="2228" spans="1:88">
      <c r="A2228" s="1">
        <v>2141</v>
      </c>
      <c r="B2228" s="34" t="s">
        <v>2780</v>
      </c>
      <c r="C2228" s="34">
        <v>327</v>
      </c>
      <c r="D2228" s="75">
        <v>415</v>
      </c>
      <c r="E2228" s="8">
        <v>100</v>
      </c>
      <c r="F2228" s="9" t="s">
        <v>2783</v>
      </c>
      <c r="G2228" s="20">
        <v>0</v>
      </c>
      <c r="H2228" s="20">
        <v>21381</v>
      </c>
      <c r="I2228" s="21">
        <v>21.381</v>
      </c>
      <c r="J2228" s="9">
        <v>2</v>
      </c>
      <c r="K2228" s="9" t="s">
        <v>238</v>
      </c>
      <c r="L2228" s="18">
        <v>42135</v>
      </c>
      <c r="M2228" s="9" t="s">
        <v>191</v>
      </c>
      <c r="N2228" s="38">
        <v>14.5</v>
      </c>
      <c r="O2228" s="38">
        <v>4.125</v>
      </c>
      <c r="P2228" s="38">
        <v>2.1</v>
      </c>
      <c r="Q2228" s="38">
        <v>0.67500000000000004</v>
      </c>
      <c r="R2228" s="38">
        <v>2.35622</v>
      </c>
      <c r="S2228" s="38">
        <f t="shared" si="358"/>
        <v>2.5</v>
      </c>
      <c r="T2228" s="38">
        <v>21.225000000000001</v>
      </c>
      <c r="U2228" s="38">
        <v>0.17499999999999999</v>
      </c>
      <c r="V2228" s="38">
        <v>0</v>
      </c>
      <c r="W2228" s="38">
        <v>0</v>
      </c>
      <c r="X2228" s="38">
        <v>2.8455400000000002</v>
      </c>
      <c r="Y2228" s="38">
        <f t="shared" si="359"/>
        <v>3</v>
      </c>
      <c r="Z2228" s="38">
        <v>0</v>
      </c>
      <c r="AA2228" s="38">
        <v>0</v>
      </c>
      <c r="AB2228" s="38">
        <v>21.400000000000002</v>
      </c>
      <c r="AC2228" s="38">
        <v>1.51023</v>
      </c>
      <c r="AD2228" s="38">
        <v>0</v>
      </c>
      <c r="AE2228" s="38">
        <v>0</v>
      </c>
      <c r="AF2228" s="38">
        <f t="shared" si="370"/>
        <v>0</v>
      </c>
      <c r="AG2228" s="38">
        <f t="shared" si="361"/>
        <v>0</v>
      </c>
      <c r="AH2228" s="38">
        <v>0</v>
      </c>
      <c r="AI2228" s="38">
        <f t="shared" si="371"/>
        <v>0</v>
      </c>
      <c r="AJ2228" s="38">
        <v>61</v>
      </c>
      <c r="AK2228" s="38">
        <f>AJ2228/(3.5*I2228*1000)*100</f>
        <v>8.1514295068385145E-2</v>
      </c>
      <c r="AL2228" s="38">
        <v>0</v>
      </c>
      <c r="AM2228" s="38">
        <f t="shared" si="369"/>
        <v>0</v>
      </c>
      <c r="AN2228" s="25"/>
      <c r="AO2228" s="25"/>
      <c r="AP2228" s="22"/>
      <c r="AQ2228" s="22"/>
      <c r="AR2228" s="22"/>
      <c r="AS2228" s="22"/>
      <c r="AT2228" s="22"/>
      <c r="AU2228" s="22"/>
      <c r="AV2228" s="22"/>
      <c r="AW2228" s="22"/>
      <c r="AX2228" s="22"/>
      <c r="AY2228" s="22"/>
      <c r="AZ2228" s="22"/>
      <c r="BA2228" s="22"/>
      <c r="BB2228" s="22"/>
      <c r="BC2228" s="22"/>
      <c r="BD2228" s="22"/>
      <c r="BE2228" s="22"/>
      <c r="BF2228" s="22"/>
      <c r="BG2228" s="22"/>
      <c r="BH2228" s="22"/>
      <c r="BI2228" s="22"/>
      <c r="BJ2228" s="22"/>
      <c r="BK2228" s="22"/>
      <c r="BL2228" s="22"/>
      <c r="BM2228" s="22"/>
      <c r="BN2228" s="22"/>
      <c r="BO2228" s="22"/>
      <c r="BP2228" s="22"/>
      <c r="BQ2228" s="22"/>
      <c r="BR2228" s="22"/>
      <c r="BS2228" s="22"/>
      <c r="BT2228" s="22"/>
      <c r="BU2228" s="22"/>
      <c r="BV2228" s="22"/>
      <c r="BW2228" s="22"/>
      <c r="BX2228" s="22"/>
      <c r="BY2228" s="22"/>
      <c r="BZ2228" s="22"/>
      <c r="CA2228" s="22"/>
      <c r="CB2228" s="22"/>
      <c r="CC2228" s="22"/>
      <c r="CD2228" s="22"/>
      <c r="CE2228" s="22"/>
      <c r="CF2228" s="22"/>
      <c r="CG2228" s="22"/>
      <c r="CH2228" s="22"/>
      <c r="CI2228" s="22"/>
      <c r="CJ2228" s="22"/>
    </row>
    <row r="2229" spans="1:88">
      <c r="A2229" s="1">
        <v>2161</v>
      </c>
      <c r="B2229" s="34" t="s">
        <v>2798</v>
      </c>
      <c r="C2229" s="34">
        <v>311</v>
      </c>
      <c r="D2229" s="75">
        <v>408</v>
      </c>
      <c r="E2229" s="8">
        <v>201</v>
      </c>
      <c r="F2229" s="9" t="s">
        <v>2800</v>
      </c>
      <c r="G2229" s="20">
        <v>70891</v>
      </c>
      <c r="H2229" s="20">
        <v>131600</v>
      </c>
      <c r="I2229" s="21">
        <v>60.71</v>
      </c>
      <c r="J2229" s="8">
        <v>4</v>
      </c>
      <c r="K2229" s="8" t="s">
        <v>238</v>
      </c>
      <c r="L2229" s="18">
        <v>42146</v>
      </c>
      <c r="M2229" s="9" t="s">
        <v>191</v>
      </c>
      <c r="N2229" s="38">
        <v>44.8</v>
      </c>
      <c r="O2229" s="38">
        <v>11.59</v>
      </c>
      <c r="P2229" s="38">
        <v>3.56</v>
      </c>
      <c r="Q2229" s="38">
        <v>0.79</v>
      </c>
      <c r="R2229" s="38">
        <v>2.1971799999999999</v>
      </c>
      <c r="S2229" s="38">
        <f t="shared" si="358"/>
        <v>2</v>
      </c>
      <c r="T2229" s="38">
        <v>58.64</v>
      </c>
      <c r="U2229" s="38">
        <v>1.55</v>
      </c>
      <c r="V2229" s="38">
        <v>0.37</v>
      </c>
      <c r="W2229" s="38">
        <v>0.17</v>
      </c>
      <c r="X2229" s="38">
        <v>3.3856600000000001</v>
      </c>
      <c r="Y2229" s="38">
        <f t="shared" si="359"/>
        <v>3.5</v>
      </c>
      <c r="Z2229" s="38">
        <v>0</v>
      </c>
      <c r="AA2229" s="38">
        <v>0</v>
      </c>
      <c r="AB2229" s="38">
        <v>60.71</v>
      </c>
      <c r="AC2229" s="38">
        <v>1.19347</v>
      </c>
      <c r="AD2229" s="38">
        <v>0</v>
      </c>
      <c r="AE2229" s="38">
        <v>0</v>
      </c>
      <c r="AF2229" s="38">
        <f t="shared" si="370"/>
        <v>0</v>
      </c>
      <c r="AG2229" s="38">
        <f t="shared" si="361"/>
        <v>0</v>
      </c>
      <c r="AH2229" s="38">
        <v>0</v>
      </c>
      <c r="AI2229" s="38">
        <f t="shared" si="371"/>
        <v>0</v>
      </c>
      <c r="AJ2229" s="38">
        <v>19.22</v>
      </c>
      <c r="AK2229" s="38">
        <f>AJ2229/(3.5*I2229*1000)*100</f>
        <v>9.0453443772501585E-3</v>
      </c>
      <c r="AL2229" s="38">
        <v>0</v>
      </c>
      <c r="AM2229" s="38">
        <f t="shared" si="369"/>
        <v>0</v>
      </c>
      <c r="AN2229" s="72"/>
      <c r="AO2229" s="41"/>
      <c r="AP2229" s="41"/>
      <c r="AQ2229" s="41">
        <f>SUM(N2229:Q2229)</f>
        <v>60.74</v>
      </c>
      <c r="AR2229" s="41">
        <f>SUM(T2229:W2229)</f>
        <v>60.73</v>
      </c>
      <c r="AS2229" s="12">
        <f>SUM(Z2229:AB2229)</f>
        <v>60.71</v>
      </c>
      <c r="AU2229" s="1">
        <f>I2229/AQ2229</f>
        <v>0.99950609153770165</v>
      </c>
      <c r="AV2229" s="1">
        <f>I2229/AR2229</f>
        <v>0.99967067347274829</v>
      </c>
      <c r="AW2229" s="1">
        <f>I2229/AS2229</f>
        <v>1</v>
      </c>
    </row>
    <row r="2230" spans="1:88">
      <c r="A2230" s="1">
        <v>2162</v>
      </c>
      <c r="B2230" s="34" t="s">
        <v>2798</v>
      </c>
      <c r="C2230" s="34">
        <v>311</v>
      </c>
      <c r="D2230" s="75">
        <v>408</v>
      </c>
      <c r="E2230" s="8">
        <v>201</v>
      </c>
      <c r="F2230" s="9" t="s">
        <v>2800</v>
      </c>
      <c r="G2230" s="20">
        <v>131600</v>
      </c>
      <c r="H2230" s="20">
        <v>70891</v>
      </c>
      <c r="I2230" s="21">
        <v>60.71</v>
      </c>
      <c r="J2230" s="8">
        <v>4</v>
      </c>
      <c r="K2230" s="8" t="s">
        <v>12</v>
      </c>
      <c r="L2230" s="18">
        <v>42146</v>
      </c>
      <c r="M2230" s="9" t="s">
        <v>191</v>
      </c>
      <c r="N2230" s="38">
        <v>45.42</v>
      </c>
      <c r="O2230" s="38">
        <v>11.39</v>
      </c>
      <c r="P2230" s="38">
        <v>2.6749999999999998</v>
      </c>
      <c r="Q2230" s="38">
        <v>0.8</v>
      </c>
      <c r="R2230" s="38">
        <v>2.1964999999999999</v>
      </c>
      <c r="S2230" s="38">
        <f t="shared" si="358"/>
        <v>2</v>
      </c>
      <c r="T2230" s="38">
        <v>59.81</v>
      </c>
      <c r="U2230" s="38">
        <v>0.77</v>
      </c>
      <c r="V2230" s="38">
        <v>0.15</v>
      </c>
      <c r="W2230" s="38">
        <v>0</v>
      </c>
      <c r="X2230" s="38">
        <v>3.24857</v>
      </c>
      <c r="Y2230" s="38">
        <f t="shared" si="359"/>
        <v>3</v>
      </c>
      <c r="Z2230" s="38">
        <v>0</v>
      </c>
      <c r="AA2230" s="38">
        <v>0</v>
      </c>
      <c r="AB2230" s="38">
        <v>60.71</v>
      </c>
      <c r="AC2230" s="38">
        <v>1.17049</v>
      </c>
      <c r="AD2230" s="38">
        <v>0</v>
      </c>
      <c r="AE2230" s="38">
        <v>0</v>
      </c>
      <c r="AF2230" s="38">
        <f t="shared" si="370"/>
        <v>0</v>
      </c>
      <c r="AG2230" s="38">
        <f t="shared" si="361"/>
        <v>0</v>
      </c>
      <c r="AH2230" s="38">
        <v>0</v>
      </c>
      <c r="AI2230" s="38">
        <f t="shared" si="371"/>
        <v>0</v>
      </c>
      <c r="AJ2230" s="38">
        <v>25.55</v>
      </c>
      <c r="AK2230" s="38">
        <f>AJ2230/(3.5*I2230*1000)*100</f>
        <v>1.2024378191401747E-2</v>
      </c>
      <c r="AL2230" s="38">
        <v>0</v>
      </c>
      <c r="AM2230" s="38">
        <f t="shared" si="369"/>
        <v>0</v>
      </c>
      <c r="AN2230" s="72"/>
      <c r="AO2230" s="41"/>
      <c r="AP2230" s="41"/>
      <c r="AQ2230" s="41">
        <f>SUM(N2230:Q2230)</f>
        <v>60.284999999999997</v>
      </c>
      <c r="AR2230" s="41">
        <f>SUM(T2230:W2230)</f>
        <v>60.730000000000004</v>
      </c>
      <c r="AS2230" s="12">
        <f>SUM(Z2230:AB2230)</f>
        <v>60.71</v>
      </c>
      <c r="AU2230" s="1">
        <f>I2230/AQ2230</f>
        <v>1.0070498465621631</v>
      </c>
      <c r="AV2230" s="1">
        <f>I2230/AR2230</f>
        <v>0.99967067347274818</v>
      </c>
      <c r="AW2230" s="1">
        <f>I2230/AS2230</f>
        <v>1</v>
      </c>
    </row>
    <row r="2231" spans="1:88">
      <c r="A2231" s="1">
        <v>2173</v>
      </c>
      <c r="B2231" s="34" t="s">
        <v>2798</v>
      </c>
      <c r="C2231" s="34">
        <v>311</v>
      </c>
      <c r="D2231" s="75">
        <v>414</v>
      </c>
      <c r="E2231" s="8">
        <v>102</v>
      </c>
      <c r="F2231" s="9" t="s">
        <v>2807</v>
      </c>
      <c r="G2231" s="20" t="s">
        <v>2812</v>
      </c>
      <c r="H2231" s="20" t="s">
        <v>2815</v>
      </c>
      <c r="I2231" s="21">
        <v>0.23</v>
      </c>
      <c r="J2231" s="8">
        <v>8</v>
      </c>
      <c r="K2231" s="8" t="s">
        <v>238</v>
      </c>
      <c r="L2231" s="18">
        <v>42144</v>
      </c>
      <c r="M2231" s="9" t="s">
        <v>191</v>
      </c>
      <c r="N2231" s="38">
        <v>7.0000000000000007E-2</v>
      </c>
      <c r="O2231" s="38">
        <v>0.04</v>
      </c>
      <c r="P2231" s="38">
        <v>7.0000000000000007E-2</v>
      </c>
      <c r="Q2231" s="38">
        <v>0.11</v>
      </c>
      <c r="R2231" s="38">
        <v>5.5981800000000002</v>
      </c>
      <c r="S2231" s="38">
        <f t="shared" si="358"/>
        <v>5.5</v>
      </c>
      <c r="T2231" s="38">
        <v>0.17499999999999999</v>
      </c>
      <c r="U2231" s="38">
        <v>0.08</v>
      </c>
      <c r="V2231" s="38">
        <v>0</v>
      </c>
      <c r="W2231" s="38">
        <v>0.08</v>
      </c>
      <c r="X2231" s="38">
        <v>7.7415500000000002</v>
      </c>
      <c r="Y2231" s="38">
        <f t="shared" si="359"/>
        <v>7.5</v>
      </c>
      <c r="Z2231" s="38">
        <v>0</v>
      </c>
      <c r="AA2231" s="38">
        <v>0</v>
      </c>
      <c r="AB2231" s="38">
        <v>0.25</v>
      </c>
      <c r="AC2231" s="38">
        <v>1.018</v>
      </c>
      <c r="AD2231" s="38">
        <v>0</v>
      </c>
      <c r="AE2231" s="38">
        <v>0</v>
      </c>
      <c r="AF2231" s="38">
        <f t="shared" si="370"/>
        <v>0</v>
      </c>
      <c r="AG2231" s="38">
        <f t="shared" si="361"/>
        <v>0</v>
      </c>
      <c r="AH2231" s="38">
        <v>0</v>
      </c>
      <c r="AI2231" s="38">
        <f t="shared" si="371"/>
        <v>0</v>
      </c>
      <c r="AJ2231" s="38">
        <v>16.55</v>
      </c>
      <c r="AK2231" s="38">
        <f>AJ2231/(3.5*I2231*1000)*100</f>
        <v>2.0559006211180129</v>
      </c>
      <c r="AL2231" s="38">
        <v>0</v>
      </c>
      <c r="AM2231" s="38">
        <f t="shared" si="369"/>
        <v>0</v>
      </c>
      <c r="AN2231" s="72"/>
      <c r="AO2231" s="41"/>
      <c r="AP2231" s="41"/>
      <c r="AQ2231" s="41">
        <f>SUM(N2231:Q2231)</f>
        <v>0.29000000000000004</v>
      </c>
      <c r="AR2231" s="41">
        <f>SUM(T2231:W2231)</f>
        <v>0.33500000000000002</v>
      </c>
      <c r="AS2231" s="12">
        <f>SUM(Z2231:AB2231)</f>
        <v>0.25</v>
      </c>
      <c r="AU2231" s="1">
        <f>I2231/AQ2231</f>
        <v>0.79310344827586199</v>
      </c>
      <c r="AV2231" s="1">
        <f>I2231/AR2231</f>
        <v>0.68656716417910446</v>
      </c>
      <c r="AW2231" s="1">
        <f>I2231/AS2231</f>
        <v>0.92</v>
      </c>
      <c r="AX2231" s="22"/>
      <c r="AY2231" s="22"/>
      <c r="AZ2231" s="22"/>
      <c r="BA2231" s="22"/>
      <c r="BB2231" s="22"/>
      <c r="BC2231" s="22"/>
      <c r="BD2231" s="22"/>
      <c r="BE2231" s="22"/>
      <c r="BF2231" s="22"/>
      <c r="BG2231" s="22"/>
      <c r="BH2231" s="22"/>
      <c r="BI2231" s="22"/>
      <c r="BJ2231" s="22"/>
      <c r="BK2231" s="22"/>
      <c r="BL2231" s="22"/>
      <c r="BM2231" s="22"/>
      <c r="BN2231" s="22"/>
      <c r="BO2231" s="22"/>
      <c r="BP2231" s="22"/>
      <c r="BQ2231" s="22"/>
      <c r="BR2231" s="22"/>
      <c r="BS2231" s="22"/>
      <c r="BT2231" s="22"/>
      <c r="BU2231" s="22"/>
      <c r="BV2231" s="22"/>
      <c r="BW2231" s="22"/>
      <c r="BX2231" s="22"/>
      <c r="BY2231" s="22"/>
      <c r="BZ2231" s="22"/>
      <c r="CA2231" s="22"/>
      <c r="CB2231" s="22"/>
      <c r="CC2231" s="22"/>
      <c r="CD2231" s="22"/>
      <c r="CE2231" s="22"/>
      <c r="CF2231" s="22"/>
      <c r="CG2231" s="22"/>
      <c r="CH2231" s="22"/>
      <c r="CI2231" s="22"/>
      <c r="CJ2231" s="22"/>
    </row>
    <row r="2232" spans="1:88">
      <c r="A2232" s="1">
        <v>2190</v>
      </c>
      <c r="B2232" s="34" t="s">
        <v>2827</v>
      </c>
      <c r="C2232" s="34">
        <v>314</v>
      </c>
      <c r="D2232" s="75">
        <v>4047</v>
      </c>
      <c r="E2232" s="8">
        <v>100</v>
      </c>
      <c r="F2232" s="9" t="s">
        <v>2835</v>
      </c>
      <c r="G2232" s="20">
        <v>0</v>
      </c>
      <c r="H2232" s="20">
        <v>7312</v>
      </c>
      <c r="I2232" s="21">
        <v>7.3120000000000003</v>
      </c>
      <c r="J2232" s="8">
        <v>2</v>
      </c>
      <c r="K2232" s="8" t="s">
        <v>237</v>
      </c>
      <c r="L2232" s="18">
        <v>42144</v>
      </c>
      <c r="M2232" s="9" t="s">
        <v>191</v>
      </c>
      <c r="N2232" s="38">
        <v>3.125</v>
      </c>
      <c r="O2232" s="38">
        <v>2.35</v>
      </c>
      <c r="P2232" s="38">
        <v>1.2749999999999999</v>
      </c>
      <c r="Q2232" s="38">
        <v>0.6</v>
      </c>
      <c r="R2232" s="38">
        <v>3.07456</v>
      </c>
      <c r="S2232" s="38">
        <f t="shared" si="358"/>
        <v>3</v>
      </c>
      <c r="T2232" s="38">
        <v>6.5</v>
      </c>
      <c r="U2232" s="38">
        <v>0.625</v>
      </c>
      <c r="V2232" s="38">
        <v>0.125</v>
      </c>
      <c r="W2232" s="38">
        <v>0.1</v>
      </c>
      <c r="X2232" s="38">
        <v>5.39534</v>
      </c>
      <c r="Y2232" s="38">
        <f t="shared" si="359"/>
        <v>5.5</v>
      </c>
      <c r="Z2232" s="38">
        <v>0</v>
      </c>
      <c r="AA2232" s="38">
        <v>0</v>
      </c>
      <c r="AB2232" s="38">
        <v>7.35</v>
      </c>
      <c r="AC2232" s="38">
        <v>1.1632499999999999</v>
      </c>
      <c r="AD2232" s="38">
        <v>0</v>
      </c>
      <c r="AE2232" s="38">
        <v>0</v>
      </c>
      <c r="AF2232" s="38">
        <f t="shared" si="370"/>
        <v>0</v>
      </c>
      <c r="AG2232" s="38">
        <f t="shared" si="361"/>
        <v>0</v>
      </c>
      <c r="AH2232" s="38">
        <v>26.59</v>
      </c>
      <c r="AI2232" s="38">
        <f t="shared" si="371"/>
        <v>0.10389965614254454</v>
      </c>
      <c r="AJ2232" s="38">
        <v>40.18</v>
      </c>
      <c r="AK2232" s="38">
        <v>0.15700218818380701</v>
      </c>
      <c r="AL2232" s="38">
        <v>0</v>
      </c>
      <c r="AM2232" s="38">
        <f t="shared" si="369"/>
        <v>0</v>
      </c>
      <c r="AN2232" s="72"/>
      <c r="AO2232" s="41"/>
      <c r="AP2232" s="41"/>
      <c r="AQ2232" s="73"/>
      <c r="AR2232" s="73"/>
      <c r="AS2232" s="73"/>
      <c r="AT2232" s="73"/>
    </row>
    <row r="2233" spans="1:88">
      <c r="A2233" s="1">
        <v>2198</v>
      </c>
      <c r="B2233" s="34" t="s">
        <v>2827</v>
      </c>
      <c r="C2233" s="34">
        <v>314</v>
      </c>
      <c r="D2233" s="75">
        <v>4138</v>
      </c>
      <c r="E2233" s="8">
        <v>100</v>
      </c>
      <c r="F2233" s="9" t="s">
        <v>2842</v>
      </c>
      <c r="G2233" s="20" t="s">
        <v>2843</v>
      </c>
      <c r="H2233" s="20">
        <v>0</v>
      </c>
      <c r="I2233" s="21">
        <v>15.986000000000001</v>
      </c>
      <c r="J2233" s="8">
        <v>1</v>
      </c>
      <c r="K2233" s="8" t="s">
        <v>12</v>
      </c>
      <c r="L2233" s="18">
        <v>42144</v>
      </c>
      <c r="M2233" s="9" t="s">
        <v>191</v>
      </c>
      <c r="N2233" s="38">
        <v>10.875</v>
      </c>
      <c r="O2233" s="38">
        <v>3.5</v>
      </c>
      <c r="P2233" s="38">
        <v>1.2</v>
      </c>
      <c r="Q2233" s="38">
        <v>0.5</v>
      </c>
      <c r="R2233" s="38">
        <v>2.4409999999999998</v>
      </c>
      <c r="S2233" s="38">
        <f t="shared" si="358"/>
        <v>2.5</v>
      </c>
      <c r="T2233" s="38">
        <v>15.625</v>
      </c>
      <c r="U2233" s="38">
        <v>0.32500000000000001</v>
      </c>
      <c r="V2233" s="38">
        <v>0.1</v>
      </c>
      <c r="W2233" s="38">
        <v>2.5000000000000001E-2</v>
      </c>
      <c r="X2233" s="38">
        <v>3.8639999999999999</v>
      </c>
      <c r="Y2233" s="38">
        <f t="shared" si="359"/>
        <v>4</v>
      </c>
      <c r="Z2233" s="38">
        <v>0</v>
      </c>
      <c r="AA2233" s="38">
        <v>0</v>
      </c>
      <c r="AB2233" s="38">
        <v>16.074999999999999</v>
      </c>
      <c r="AC2233" s="38">
        <v>1.1419999999999999</v>
      </c>
      <c r="AD2233" s="38">
        <v>0</v>
      </c>
      <c r="AE2233" s="38">
        <v>0</v>
      </c>
      <c r="AF2233" s="38">
        <f t="shared" si="370"/>
        <v>0</v>
      </c>
      <c r="AG2233" s="38">
        <f t="shared" si="361"/>
        <v>0</v>
      </c>
      <c r="AH2233" s="38">
        <v>26.55</v>
      </c>
      <c r="AI2233" s="38">
        <f t="shared" si="371"/>
        <v>4.74522349913317E-2</v>
      </c>
      <c r="AJ2233" s="38">
        <v>0</v>
      </c>
      <c r="AK2233" s="38">
        <v>0</v>
      </c>
      <c r="AL2233" s="38">
        <v>0</v>
      </c>
      <c r="AM2233" s="38">
        <f t="shared" si="369"/>
        <v>0</v>
      </c>
      <c r="AN2233" s="72"/>
      <c r="AO2233" s="41"/>
      <c r="AP2233" s="41"/>
      <c r="AQ2233" s="73"/>
      <c r="AR2233" s="73"/>
      <c r="AS2233" s="73"/>
      <c r="AT2233" s="73"/>
    </row>
    <row r="2234" spans="1:88">
      <c r="A2234" s="1">
        <v>2222</v>
      </c>
      <c r="B2234" s="34" t="s">
        <v>2853</v>
      </c>
      <c r="C2234" s="34">
        <v>318</v>
      </c>
      <c r="D2234" s="75">
        <v>4111</v>
      </c>
      <c r="E2234" s="8">
        <v>100</v>
      </c>
      <c r="F2234" s="9" t="s">
        <v>2868</v>
      </c>
      <c r="G2234" s="20">
        <v>0</v>
      </c>
      <c r="H2234" s="20">
        <v>75</v>
      </c>
      <c r="I2234" s="21">
        <v>7.4999999999999997E-2</v>
      </c>
      <c r="J2234" s="8">
        <v>2</v>
      </c>
      <c r="K2234" s="8" t="s">
        <v>238</v>
      </c>
      <c r="L2234" s="18">
        <v>42149</v>
      </c>
      <c r="M2234" s="9" t="s">
        <v>191</v>
      </c>
      <c r="N2234" s="38">
        <v>0</v>
      </c>
      <c r="O2234" s="38">
        <v>2.5000000000000001E-2</v>
      </c>
      <c r="P2234" s="38">
        <v>2.5000000000000001E-2</v>
      </c>
      <c r="Q2234" s="38">
        <v>0.05</v>
      </c>
      <c r="R2234" s="38">
        <v>4.9749999999999996</v>
      </c>
      <c r="S2234" s="38">
        <f t="shared" si="358"/>
        <v>5</v>
      </c>
      <c r="T2234" s="38">
        <v>0.1</v>
      </c>
      <c r="U2234" s="38">
        <v>0</v>
      </c>
      <c r="V2234" s="38">
        <v>0</v>
      </c>
      <c r="W2234" s="38">
        <v>0</v>
      </c>
      <c r="X2234" s="38">
        <v>1.1652499999999999</v>
      </c>
      <c r="Y2234" s="38">
        <f t="shared" si="359"/>
        <v>1</v>
      </c>
      <c r="Z2234" s="38">
        <v>0</v>
      </c>
      <c r="AA2234" s="38">
        <v>0</v>
      </c>
      <c r="AB2234" s="38">
        <v>0.1</v>
      </c>
      <c r="AC2234" s="38">
        <v>1.38975</v>
      </c>
      <c r="AD2234" s="38">
        <v>0</v>
      </c>
      <c r="AE2234" s="38">
        <v>0</v>
      </c>
      <c r="AF2234" s="38">
        <v>0</v>
      </c>
      <c r="AG2234" s="38">
        <f t="shared" si="361"/>
        <v>0</v>
      </c>
      <c r="AH2234" s="38">
        <v>0</v>
      </c>
      <c r="AI2234" s="38">
        <v>0</v>
      </c>
      <c r="AJ2234" s="38">
        <v>10.050000000000001</v>
      </c>
      <c r="AK2234" s="38">
        <v>3.8285714285714292</v>
      </c>
      <c r="AL2234" s="38">
        <f>AK2234/(3.5*L2234*1000)*100</f>
        <v>2.5952633538646431E-6</v>
      </c>
      <c r="AM2234" s="38">
        <f t="shared" si="369"/>
        <v>9.8867175385319753E-7</v>
      </c>
      <c r="AN2234" s="22"/>
      <c r="AO2234" s="25"/>
      <c r="AP2234" s="25"/>
      <c r="AQ2234" s="22"/>
      <c r="AR2234" s="22"/>
      <c r="AS2234" s="22"/>
    </row>
    <row r="2235" spans="1:88">
      <c r="A2235" s="1">
        <v>2232</v>
      </c>
      <c r="B2235" s="34" t="s">
        <v>2876</v>
      </c>
      <c r="C2235" s="34">
        <v>319</v>
      </c>
      <c r="D2235" s="68">
        <v>430</v>
      </c>
      <c r="E2235" s="89">
        <v>202</v>
      </c>
      <c r="F2235" s="170" t="s">
        <v>2878</v>
      </c>
      <c r="G2235" s="6">
        <v>74397</v>
      </c>
      <c r="H2235" s="6">
        <v>42939</v>
      </c>
      <c r="I2235" s="7">
        <v>31.457999999999998</v>
      </c>
      <c r="J2235" s="89">
        <v>4</v>
      </c>
      <c r="K2235" s="89" t="s">
        <v>96</v>
      </c>
      <c r="L2235" s="172">
        <v>42149</v>
      </c>
      <c r="M2235" s="9" t="s">
        <v>191</v>
      </c>
      <c r="N2235" s="38">
        <v>19.899999999999999</v>
      </c>
      <c r="O2235" s="38">
        <v>8.2249999999999996</v>
      </c>
      <c r="P2235" s="38">
        <v>2.8250000000000002</v>
      </c>
      <c r="Q2235" s="38">
        <v>0.77500000000000002</v>
      </c>
      <c r="R2235" s="38">
        <v>2.4522900000000001</v>
      </c>
      <c r="S2235" s="38">
        <f t="shared" si="358"/>
        <v>2.5</v>
      </c>
      <c r="T2235" s="38">
        <v>25.95</v>
      </c>
      <c r="U2235" s="38">
        <v>5.3</v>
      </c>
      <c r="V2235" s="38">
        <v>0.47499999999999998</v>
      </c>
      <c r="W2235" s="38">
        <v>0</v>
      </c>
      <c r="X2235" s="38">
        <v>7.0701200000000002</v>
      </c>
      <c r="Y2235" s="38">
        <f t="shared" si="359"/>
        <v>7</v>
      </c>
      <c r="Z2235" s="38">
        <v>0</v>
      </c>
      <c r="AA2235" s="38">
        <v>0</v>
      </c>
      <c r="AB2235" s="38">
        <v>31.724999999999998</v>
      </c>
      <c r="AC2235" s="38">
        <v>1.4244399999999999</v>
      </c>
      <c r="AD2235" s="38">
        <v>0</v>
      </c>
      <c r="AE2235" s="38">
        <v>0</v>
      </c>
      <c r="AF2235" s="38">
        <v>0</v>
      </c>
      <c r="AG2235" s="38">
        <f t="shared" si="361"/>
        <v>0</v>
      </c>
      <c r="AH2235" s="38">
        <v>0</v>
      </c>
      <c r="AI2235" s="38">
        <v>0</v>
      </c>
      <c r="AJ2235" s="38">
        <v>50.6</v>
      </c>
      <c r="AK2235" s="38">
        <v>4.5956967566732967E-2</v>
      </c>
      <c r="AL2235" s="38">
        <v>0</v>
      </c>
      <c r="AM2235" s="38">
        <f t="shared" si="369"/>
        <v>0</v>
      </c>
      <c r="AN2235" s="12"/>
      <c r="AO2235" s="12"/>
    </row>
  </sheetData>
  <autoFilter ref="A1:CJ2235">
    <sortState ref="A2:CI2235">
      <sortCondition descending="1" ref="AF1:AF2235"/>
    </sortState>
  </autoFilter>
  <printOptions horizontalCentered="1"/>
  <pageMargins left="0.25" right="0.25" top="0.75" bottom="0.75" header="0.3" footer="0.3"/>
  <pageSetup paperSize="8" scale="46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AC</vt:lpstr>
      <vt:lpstr>AC!Print_Area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Infraplus</cp:lastModifiedBy>
  <cp:lastPrinted>2016-06-07T02:05:59Z</cp:lastPrinted>
  <dcterms:created xsi:type="dcterms:W3CDTF">2015-10-18T10:48:31Z</dcterms:created>
  <dcterms:modified xsi:type="dcterms:W3CDTF">2017-04-10T09:51:25Z</dcterms:modified>
</cp:coreProperties>
</file>